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CAOGuineaPigs/Shared Documents/Facility Files/Existing Facilities/342681_Intel/68522_Original RA/Emissions Inventory/Submittal 1_NG and CT/2026-06-01/"/>
    </mc:Choice>
  </mc:AlternateContent>
  <xr:revisionPtr revIDLastSave="0" documentId="8_{B92F8168-3558-438D-9C97-8676D296567B}" xr6:coauthVersionLast="47" xr6:coauthVersionMax="47" xr10:uidLastSave="{00000000-0000-0000-0000-000000000000}"/>
  <bookViews>
    <workbookView xWindow="-110" yWindow="-110" windowWidth="19420" windowHeight="11500" activeTab="1" xr2:uid="{D5948BCB-D6F2-4649-A9C3-D64260F97CAB}"/>
  </bookViews>
  <sheets>
    <sheet name="Input_Cooling Towers" sheetId="1" r:id="rId1"/>
    <sheet name="COOL_Ronler" sheetId="2" r:id="rId2"/>
    <sheet name="COOL_Aloha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#N/A</definedName>
    <definedName name="__123Graph_A" hidden="1">[1]PM3!$C$1:$C$18</definedName>
    <definedName name="__123Graph_B" hidden="1">[1]PM3!$D$1:$D$18</definedName>
    <definedName name="__123Graph_C" hidden="1">[1]PM3!$E$1:$E$19</definedName>
    <definedName name="__123Graph_LBL_A" hidden="1">[1]PM3!#REF!</definedName>
    <definedName name="__123Graph_LBL_APM3LEFT" hidden="1">'[2]PM3,4,5'!#REF!</definedName>
    <definedName name="__123Graph_LBL_B" hidden="1">[1]PM3!$F$1:$F$1</definedName>
    <definedName name="__123Graph_LBL_C" hidden="1">[1]PM3!$G$1:$G$1</definedName>
    <definedName name="__123Graph_X" hidden="1">[1]PM3!$B$1:$B$18</definedName>
    <definedName name="_1Q95">#REF!</definedName>
    <definedName name="_Fill" hidden="1">#REF!</definedName>
    <definedName name="_Fill2" hidden="1">#REF!</definedName>
    <definedName name="_Key1" hidden="1">#REF!</definedName>
    <definedName name="_Key2" hidden="1">#REF!</definedName>
    <definedName name="_ods1">#REF!</definedName>
    <definedName name="_ods2">'[3]Ozone Depleting Substances'!$B$8:$K$83</definedName>
    <definedName name="_ods3">'[4]Ozone Depleting Substances'!$B$7:$K$80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a" hidden="1">#REF!</definedName>
    <definedName name="Aa">#REF!</definedName>
    <definedName name="Ab">#REF!</definedName>
    <definedName name="abc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Ac">#REF!</definedName>
    <definedName name="AccessDatabase" hidden="1">"P:\Projects\2003\62948 - INCO\CCNickel Refinery\Emissions Inventory\Rev2 CCNR EI.mdb"</definedName>
    <definedName name="ACDU">'[5]Drop-Down Box Data'!$B$45:$B$48</definedName>
    <definedName name="AL">" "</definedName>
    <definedName name="all_fuels">'[6]Fuel Lookup'!$B$5:$B$35</definedName>
    <definedName name="alpha">#REF!</definedName>
    <definedName name="amf" hidden="1">#REF!</definedName>
    <definedName name="Annual">#REF!</definedName>
    <definedName name="Annual_Hours">8760</definedName>
    <definedName name="anscount" hidden="1">1</definedName>
    <definedName name="as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asdawsfd" hidden="1">#REF!</definedName>
    <definedName name="ASDFASF">'[7]Ozone Depleting Substances'!$B$8:$K$79</definedName>
    <definedName name="AT_List">[8]!Table13[[CAS Code]:[Pollutant Common Name]]</definedName>
    <definedName name="AT_List_Number">[9]!Table13[[CAS Code2]:[Pollutant Common Name]]</definedName>
    <definedName name="axcSACF">#REF!</definedName>
    <definedName name="BAG_SIZE">'[10]Cost-Baghouse'!$A$172:$A$173</definedName>
    <definedName name="bellamy" hidden="1">{#N/A,#N/A,FALSE,"Combust 5";#N/A,#N/A,FALSE,"Combust 4";#N/A,#N/A,FALSE,"Combust 2A";#N/A,#N/A,FALSE,"Combust 1";#N/A,#N/A,FALSE,"Combust 3"}</definedName>
    <definedName name="Bz_EF">#REF!</definedName>
    <definedName name="CAS_numbers">'[11]DEQ Pollutant List'!$B$3:$B$607</definedName>
    <definedName name="center" hidden="1">{#N/A,#N/A,FALSE,"Combust 5";#N/A,#N/A,FALSE,"Combust 4";#N/A,#N/A,FALSE,"Combust 2A";#N/A,#N/A,FALSE,"Combust 1";#N/A,#N/A,FALSE,"Combust 3"}</definedName>
    <definedName name="CFA">#REF!</definedName>
    <definedName name="CFB">#REF!</definedName>
    <definedName name="CFF">#REF!</definedName>
    <definedName name="Cg">#REF!</definedName>
    <definedName name="chemical_names">'[12]DEQ Pollutant List'!$C$3:$C$607</definedName>
    <definedName name="ChemList">'[13]Toxic Chemical Listing'!$B$33:$B$612</definedName>
    <definedName name="ChemRange">'[13]Toxic Chemical Listing'!$B:$D</definedName>
    <definedName name="childNRAFc">'[14]RBC Table 5'!$J$635</definedName>
    <definedName name="childNRAFnc">'[14]RBC Table 5'!$J$636</definedName>
    <definedName name="Choice">'[5]Drop-Down Box Data'!$A$4:$A$5</definedName>
    <definedName name="Circ_Fractions_Table">'[15]Fraction of Diameter'!$A$10:$H$23</definedName>
    <definedName name="CMP">'[5]Drop-Down Box Data'!$B$159:$B$161</definedName>
    <definedName name="Cn">#REF!</definedName>
    <definedName name="CO_AP42">#REF!</definedName>
    <definedName name="CO_EF">#REF!</definedName>
    <definedName name="ContinuousCompliance">'[5]Drop-Down Box Data'!$B$50:$B$54</definedName>
    <definedName name="Control">'[5]Drop-Down Box Data'!$B$55:$B$156</definedName>
    <definedName name="Control_Option">[16]Lookup!#REF!</definedName>
    <definedName name="CONV_tpy_to_gs">907184.7/31536000</definedName>
    <definedName name="ctfuels">'[17]Emission Factors'!$I$6:$I$7</definedName>
    <definedName name="D">#REF!</definedName>
    <definedName name="Daily_Factor">1</definedName>
    <definedName name="Data">#REF!</definedName>
    <definedName name="_xlnm.Database">#REF!</definedName>
    <definedName name="DATS02">#REF!</definedName>
    <definedName name="Datum">'[5]Drop-Down Box Data'!$C$1:$C$4</definedName>
    <definedName name="Day">'[5]Drop-Down Box Data'!$A$23:$A$53</definedName>
    <definedName name="De">#REF!</definedName>
    <definedName name="def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delimiter">[12]constants!$A$3</definedName>
    <definedName name="dfasdf" hidden="1">#REF!</definedName>
    <definedName name="Di">#REF!</definedName>
    <definedName name="dieselIC">#REF!</definedName>
    <definedName name="Dome">#REF!</definedName>
    <definedName name="DPb">#REF!</definedName>
    <definedName name="DPv">#REF!</definedName>
    <definedName name="DTv">#REF!</definedName>
    <definedName name="DUST_TYPES">'[10]Size-Baghouse'!$F$80:$F$81</definedName>
    <definedName name="ELAFnr">[18]RBC!#REF!</definedName>
    <definedName name="ELAFr">[18]RBC!#REF!</definedName>
    <definedName name="EndTime">#REF!</definedName>
    <definedName name="ENG_BI_EXE_NAME" hidden="1">"BICORE.EXE"</definedName>
    <definedName name="ENG_BI_EXEC_CMD_ARGS" hidden="1">"03304607809910112010113011703204907403304607812308807407807408508509507608006907406108107008310407707007713012406907008409308506907006012612310411311511011810112110107707508307308708707008606107209209110410209408309007705009609509909806509910108306907"</definedName>
    <definedName name="ENG_BI_EXEC_CMD_ARGS_2" hidden="1">"60700500520481291280951211211061181061171020730660710700840740850790750660780660870950720750731341300961121231061191021161050730660940920690860660780660870950861061121201211171151341240961171141091230971251100680700850660840870870830870680700900680820"</definedName>
    <definedName name="ENG_BI_EXEC_CMD_ARGS_3" hidden="1">"74078059054048052064049066063059056058060050060049063061051068057055048068050053059059054058057068064049063054051053063051056064050061057060049063051060054055052064050058061059056054060051058050063054052066066051050063060051059048063054052062068050055"</definedName>
    <definedName name="ENG_BI_EXEC_CMD_ARGS_4" hidden="1">"05406005005805206305505106506605305206805005105605906005905906006505905305404906005405305306404906005806004905905306005404805506405005706205905405405606005304905806405006106406004906304906005505305306405005906105905405705206005405105206405005805906005"</definedName>
    <definedName name="ENG_BI_EXEC_CMD_ARGS_5" hidden="1">"0064058060054052058064050063065059054055058060054049059130123104119118098117106100081065082076067088077069065106111126127079086073069091076069080074083066082083065054125"</definedName>
    <definedName name="ENG_BI_GEN_LIC" hidden="1">"0"</definedName>
    <definedName name="ENG_BI_GEN_LIC_WS" hidden="1">"False"</definedName>
    <definedName name="ENG_BI_LANG_CODE" hidden="1">"en"</definedName>
    <definedName name="ENG_BI_LBI" hidden="1">"WB4X7F22TK"</definedName>
    <definedName name="ENG_BI_REPOS_FILE" hidden="1">"\\dw-sage-az\Sage100P\MAS90\SMI\alchemex.svd"</definedName>
    <definedName name="ENG_BI_REPOS_PATH" hidden="1">"\\dw-sage-az\Sage100P\MAS90\SMI\"</definedName>
    <definedName name="ENG_BI_TLA" hidden="1">"100;41;93;220;249;99;80;220;261;60;61;25;160;191;147;228;262;29;192;236;34;276;112;85;83;120;119;167;233;256;132;160"</definedName>
    <definedName name="ENG_BI_TLA2" hidden="1">"107;54;173;44;192;75;238;140;34;4;6;147;23;185;139;180;146;173;111;198;208;31;229;106;32;95;120;145;39;138;13;170"</definedName>
    <definedName name="ert" hidden="1">#REF!</definedName>
    <definedName name="ESP_TYPES">'[10]Size-ESP'!$B$74:$B$76</definedName>
    <definedName name="FF_TYPES">'[10]Size-Baghouse'!$F$76:$F$77</definedName>
    <definedName name="fg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fgcfghj">'[19]HAP EF'!#REF!</definedName>
    <definedName name="Form_EF">#REF!</definedName>
    <definedName name="fr">'[20]Ozone Depleting Substances'!$B$8:$K$80</definedName>
    <definedName name="Frequency">#REF!</definedName>
    <definedName name="fuels">'[17]Emission Factors'!$I$3:$I$7</definedName>
    <definedName name="FuelType">#REF!</definedName>
    <definedName name="gas">'[21]Ozone Depleting Substances'!$B$8:$K$83</definedName>
    <definedName name="Gas4Eq">'[22]Nonroad Engines'!$H$107:$H$192</definedName>
    <definedName name="gfa">#REF!</definedName>
    <definedName name="ghghg">#REF!</definedName>
    <definedName name="gibberish">[23]Lookups!$A$2:$A$3</definedName>
    <definedName name="HAP">#REF!</definedName>
    <definedName name="HAP_EF_SRC">'[19]HAP EF'!#REF!</definedName>
    <definedName name="HAPs">'[24]DEQ Pollutant List'!$D$617:$D$625</definedName>
    <definedName name="help2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ex_EF">#REF!</definedName>
    <definedName name="hhhh">#REF!</definedName>
    <definedName name="Hl">#REF!</definedName>
    <definedName name="Hlx">#REF!</definedName>
    <definedName name="Hrd">#REF!</definedName>
    <definedName name="Hro">#REF!</definedName>
    <definedName name="Hroc">#REF!</definedName>
    <definedName name="Hrod">#REF!</definedName>
    <definedName name="Hs">#REF!</definedName>
    <definedName name="Hvo">#REF!</definedName>
    <definedName name="I">#REF!</definedName>
    <definedName name="INFO_BI_EXE_NAME" hidden="1">"BICORE.EXE"</definedName>
    <definedName name="INFO_EXE_SERVER_PATH" hidden="1">"C:\Sage\Sage 100 Workstation\MAS90\Home\Intelligence\BICORE.EXE"</definedName>
    <definedName name="INFO_INSTANCE_ID" hidden="1">"0"</definedName>
    <definedName name="INFO_INSTANCE_NAME" hidden="1">"New Report_20181114_07_50_56_5050.xls"</definedName>
    <definedName name="INFO_REPORT_CODE" hidden="1">"-CUSTOM"</definedName>
    <definedName name="INFO_REPORT_ID" hidden="1">"8"</definedName>
    <definedName name="INFO_REPORT_NAME" hidden="1">"New Report"</definedName>
    <definedName name="INFO_RUN_USER" hidden="1">""</definedName>
    <definedName name="INFO_RUN_WORKSTATION" hidden="1">"DW-TERM1-AZ"</definedName>
    <definedName name="IR">" "</definedName>
    <definedName name="IS">" "</definedName>
    <definedName name="kb" hidden="1">{#N/A,#N/A,FALSE,"F1-Currrent";#N/A,#N/A,FALSE,"F2-Current";#N/A,#N/A,FALSE,"F2-Proposed";#N/A,#N/A,FALSE,"F3-Current";#N/A,#N/A,FALSE,"F4-Current";#N/A,#N/A,FALSE,"F4-Proposed";#N/A,#N/A,FALSE,"Controls"}</definedName>
    <definedName name="Ke">#REF!</definedName>
    <definedName name="KILN_HL">'[19]HAP EF'!#REF!</definedName>
    <definedName name="Kn">#REF!</definedName>
    <definedName name="Kp">#REF!</definedName>
    <definedName name="Ks">#REF!</definedName>
    <definedName name="lbsPerTon">[25]ConversionFactors!$C$9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S">#REF!</definedName>
    <definedName name="Lw">#REF!</definedName>
    <definedName name="m" hidden="1">{#N/A,#N/A,FALSE,"Combust 5";#N/A,#N/A,FALSE,"Combust 4";#N/A,#N/A,FALSE,"Combust 2A";#N/A,#N/A,FALSE,"Combust 1";#N/A,#N/A,FALSE,"Combust 3"}</definedName>
    <definedName name="m7_calc10_result">'[26]2012 MDI Tool'!#REF!</definedName>
    <definedName name="m7_calc2_result">'[26]2012 MDI Tool'!#REF!</definedName>
    <definedName name="m7_calc3_result">'[26]2012 MDI Tool'!#REF!</definedName>
    <definedName name="m7_calc4_result">'[26]2012 MDI Tool'!#REF!</definedName>
    <definedName name="m7_calc5_result">'[26]2012 MDI Tool'!#REF!</definedName>
    <definedName name="m7_calc6_result">'[26]2012 MDI Tool'!#REF!</definedName>
    <definedName name="m7_calc7_result">'[26]2012 MDI Tool'!#REF!</definedName>
    <definedName name="m7_calc8_result">'[26]2012 MDI Tool'!#REF!</definedName>
    <definedName name="m7_calc9_result">'[26]2012 MDI Tool'!#REF!</definedName>
    <definedName name="MASTER_SUMMARY_TABLE_OF_NCASI_EMISSION_FACTORS_FOR_PULP_AND_PAPER_MILLS___AIR_TOXICS__Jan._2013_Version">#REF!</definedName>
    <definedName name="me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Method">'[5]Drop-Down Box Data'!$B$1:$B$39</definedName>
    <definedName name="mg" hidden="1">{#N/A,#N/A,FALSE,"F1-Currrent";#N/A,#N/A,FALSE,"F2-Current";#N/A,#N/A,FALSE,"F2-Proposed";#N/A,#N/A,FALSE,"F3-Current";#N/A,#N/A,FALSE,"F4-Current";#N/A,#N/A,FALSE,"F4-Proposed";#N/A,#N/A,FALSE,"Controls"}</definedName>
    <definedName name="mmmm" hidden="1">{#N/A,#N/A,FALSE,"Emission Calcs";#N/A,#N/A,FALSE,"Equipment Summary";#N/A,#N/A,FALSE,"PRODUCTION SUMMARY "}</definedName>
    <definedName name="Month">'[5]Drop-Down Box Data'!$A$10:$A$21</definedName>
    <definedName name="Mv">#REF!</definedName>
    <definedName name="N">#REF!</definedName>
    <definedName name="newPollutantList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NM">" "</definedName>
    <definedName name="nods">#REF!</definedName>
    <definedName name="NOx_AP42">#REF!</definedName>
    <definedName name="NOx_EF">#REF!</definedName>
    <definedName name="OC">" "</definedName>
    <definedName name="ods">#REF!</definedName>
    <definedName name="Pa">#REF!</definedName>
    <definedName name="Pb_EF">#REF!</definedName>
    <definedName name="Pbp">#REF!</definedName>
    <definedName name="Pbv">#REF!</definedName>
    <definedName name="PJ_BG_TYPE">'[10]Cost-Baghouse'!$F$173:$F$174</definedName>
    <definedName name="PJ_TYPE">'[10]Cost-Baghouse'!$C$168:$C$169</definedName>
    <definedName name="PM_EF">#REF!</definedName>
    <definedName name="pm25_bg">[27]PM25_Runs!$P$1</definedName>
    <definedName name="portrait" hidden="1">#REF!</definedName>
    <definedName name="Prange">#REF!</definedName>
    <definedName name="_xlnm.Print_Area" localSheetId="2">COOL_Aloha!$A$1:$V$37</definedName>
    <definedName name="_xlnm.Print_Area" localSheetId="1">COOL_Ronler!$A$1:$AK$117</definedName>
    <definedName name="_xlnm.Print_Area" localSheetId="0">'Input_Cooling Towers'!$A$1:$I$102</definedName>
    <definedName name="_xlnm.Print_Area">#REF!</definedName>
    <definedName name="Print_Area_MI">#REF!</definedName>
    <definedName name="_xlnm.Print_Titles" localSheetId="1">COOL_Ronler!$1:$8</definedName>
    <definedName name="_xlnm.Print_Titles" localSheetId="0">'Input_Cooling Towers'!$1:$6</definedName>
    <definedName name="_xlnm.Print_Titles">#REF!</definedName>
    <definedName name="PRINT_TITLES_MI">#REF!</definedName>
    <definedName name="Production_Types">#REF!</definedName>
    <definedName name="ptemax" hidden="1">{#N/A,#N/A,FALSE,"Summary";#N/A,#N/A,FALSE,"Fixed (94)";#N/A,#N/A,FALSE,"fixed (P)";#N/A,#N/A,FALSE,"ExtFloat(94)";#N/A,#N/A,FALSE,"ExtFloat(P)";#N/A,#N/A,FALSE,"IntFloat(94)";#N/A,#N/A,FALSE,"IntFloat(P)";#N/A,#N/A,FALSE,"LD(94)";#N/A,#N/A,FALSE,"LD(P)";#N/A,#N/A,FALSE,"Fugitives";#N/A,#N/A,FALSE,"Speciate (94)";#N/A,#N/A,FALSE,"Speciate (P)"}</definedName>
    <definedName name="Pva">#REF!</definedName>
    <definedName name="Pvap">#REF!</definedName>
    <definedName name="Pvn">#REF!</definedName>
    <definedName name="Pvx">#REF!</definedName>
    <definedName name="Q">#REF!</definedName>
    <definedName name="Qg">#REF!</definedName>
    <definedName name="RA">" "</definedName>
    <definedName name="RA_BG_TYPE">'[10]Cost-Baghouse'!$F$178:$F$179</definedName>
    <definedName name="RBCs">[12]RBCs!$B$5:$J$266</definedName>
    <definedName name="Recovery" hidden="1">#REF!</definedName>
    <definedName name="refLookup_conc_units">'[28]R1 Reference Lookups'!$P$22:$P$23</definedName>
    <definedName name="refLookup_NumberOfProcesses">'[29]R1 Reference Lookups'!$M$15:$M$25</definedName>
    <definedName name="refLookup_tempRangeCMinMax">'[29]R1 Reference Lookups'!$T$15:$T$16</definedName>
    <definedName name="refLookup_validTempUnits">'[29]R1 Reference Lookups'!$P$15:$P$17</definedName>
    <definedName name="refLookup_validVolUnits">'[29]R1 Reference Lookups'!$R$15:$R$16</definedName>
    <definedName name="refTable1_tempRangeC">'[29]R2 Reference Tables'!$B$28:$B$215</definedName>
    <definedName name="refTable1_vapor_press_Hg">'[29]R2 Reference Tables'!$C$28:$C$215</definedName>
    <definedName name="refTable2_adjustFactorArray">'[29]R2 Reference Tables'!$K$28:$U$52</definedName>
    <definedName name="refTable2_MdiRngPct">'[29]R2 Reference Tables'!$K$25:$U$25</definedName>
    <definedName name="refTable2_tempRngC">'[29]R2 Reference Tables'!$I$28:$I$52</definedName>
    <definedName name="REV_TYPE">'[10]Cost-Baghouse'!$C$173:$C$174</definedName>
    <definedName name="Rr">#REF!</definedName>
    <definedName name="rrrrr" hidden="1">#REF!</definedName>
    <definedName name="s">#REF!</definedName>
    <definedName name="sarah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sdf" hidden="1">#REF!</definedName>
    <definedName name="sdsa" hidden="1">#REF!</definedName>
    <definedName name="sequence_IDs">'[12]DEQ Pollutant List'!$A$3:$A$607</definedName>
    <definedName name="SiteList">#REF!</definedName>
    <definedName name="SmplPnts">[30]Menu!$A$1:$A$13</definedName>
    <definedName name="SO2_EF">#REF!</definedName>
    <definedName name="Sr">#REF!</definedName>
    <definedName name="SRC_TYPE">'[31]Size-RTO'!$B$60:$B$61</definedName>
    <definedName name="ssss">#REF!</definedName>
    <definedName name="St">#REF!</definedName>
    <definedName name="StartTime">#REF!</definedName>
    <definedName name="SV_AUTO_CONN_CATALOG" hidden="1">"MAS_DFI"</definedName>
    <definedName name="SV_AUTO_CONN_SERVER" hidden="1">"DW-SQL1-AZ\SAGE100"</definedName>
    <definedName name="SV_ENCPT_AUTO_CONN_PASSWORD" hidden="1">"083096084083070074104055073053092123071123111080106130116103073076078078058113054085043116038050106040056"</definedName>
    <definedName name="SV_ENCPT_AUTO_CONN_USER" hidden="1">"095094088070084083066084097082105114111123123115"</definedName>
    <definedName name="SV_ENCPT_LOGON_PWD" hidden="1">"078104085088070"</definedName>
    <definedName name="SV_ENCPT_LOGON_USER" hidden="1">"095094088070084105098116103121112"</definedName>
    <definedName name="Taa">#REF!</definedName>
    <definedName name="TABLE_NO">'[32]Table No.'!$A$1:$E$169</definedName>
    <definedName name="TAC">[33]TACs!$B$3:$B$610</definedName>
    <definedName name="TACcas">[33]TACs!$B$2:$D$610</definedName>
    <definedName name="Tan">#REF!</definedName>
    <definedName name="TAPHAP">'[5]Drop-Down Box Data'!$E$1:$E$226</definedName>
    <definedName name="Tax">#REF!</definedName>
    <definedName name="Tb">#REF!</definedName>
    <definedName name="Temp">#REF!</definedName>
    <definedName name="Test1">#REF!</definedName>
    <definedName name="Tier3Fuels">#REF!</definedName>
    <definedName name="Tla">#REF!</definedName>
    <definedName name="Tln">#REF!</definedName>
    <definedName name="Tlx">#REF!</definedName>
    <definedName name="Tol_EF">#REF!</definedName>
    <definedName name="Ton.Lbs">#REF!</definedName>
    <definedName name="Tr">#REF!</definedName>
    <definedName name="Trange">#REF!</definedName>
    <definedName name="Ts">#REF!</definedName>
    <definedName name="Type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its">'[6]Units Lookup'!$B$4:$B$12</definedName>
    <definedName name="UTMZone">'[5]Drop-Down Box Data'!$A$1:$A$2</definedName>
    <definedName name="version_date">[11]constants!$A$9</definedName>
    <definedName name="version_number">[11]constants!$A$10</definedName>
    <definedName name="Vlx">#REF!</definedName>
    <definedName name="VOC_EF">#REF!</definedName>
    <definedName name="Vv">#REF!</definedName>
    <definedName name="Wax.Metal">#REF!</definedName>
    <definedName name="workNRAFc">'[14]RBC Table 5'!$J$637</definedName>
    <definedName name="workNRAFnc">'[14]RBC Table 5'!$J$638</definedName>
    <definedName name="worksheet_linkList">'[29]R1 Reference Lookups'!$G$15:$J$48</definedName>
    <definedName name="wrn.1996._.EIS._.Report.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wrn.1996._.Emission._.Inventory.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wrn.Bellamy._.Calcs." hidden="1">{#N/A,#N/A,FALSE,"Combust 5";#N/A,#N/A,FALSE,"Combust 4";#N/A,#N/A,FALSE,"Combust 2A";#N/A,#N/A,FALSE,"Combust 1";#N/A,#N/A,FALSE,"Combust 3"}</definedName>
    <definedName name="wrn.Calcs.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hidden="1">{#N/A,#N/A,FALSE,"Emission Calcs";#N/A,#N/A,FALSE,"Equipment Summary";#N/A,#N/A,FALSE,"PRODUCTION SUMMARY "}</definedName>
    <definedName name="wrn.MACTDATA." hidden="1">{#N/A,#N/A,TRUE,"COVER";#N/A,#N/A,TRUE,"NOTES";"oda",#N/A,TRUE,"OD-INDEX";"odb",#N/A,TRUE,"OD-INDEX";"odc",#N/A,TRUE,"OD-INDEX";"odd",#N/A,TRUE,"OD-INDEX";"od1",#N/A,TRUE,"OD";"od2",#N/A,TRUE,"OD";"od3",#N/A,TRUE,"OD";"od4",#N/A,TRUE,"OD";"od5",#N/A,TRUE,"OD";"od6",#N/A,TRUE,"OD";"od7",#N/A,TRUE,"OD"}</definedName>
    <definedName name="wrn.NSR._.Calculations._.Report." hidden="1">{#N/A,#N/A,FALSE,"PSD";"boiler criteria",#N/A,FALSE,"Boiler (T5)";"boiler toxic",#N/A,FALSE,"Boiler (T5)";#N/A,#N/A,FALSE,"Boiler (1994)";#N/A,#N/A,FALSE,"Boiler (1995)";#N/A,#N/A,FALSE,"Cyclones";"title v",#N/A,FALSE,"DRYERS1";"actual",#N/A,FALSE,"DRYERS1";"title v",#N/A,FALSE,"DRYERS2";"actual",#N/A,FALSE,"DRYERS2";#N/A,#N/A,FALSE,"Press"}</definedName>
    <definedName name="wrn.ODMACT." hidden="1">{"ODVF1",#N/A,FALSE,"VF1";"ODVC1R",#N/A,FALSE,"VC1";"ODVB1",#N/A,FALSE,"VB1";"ODVD1",#N/A,FALSE,"VD1";"ODVE1",#N/A,FALSE,"VE1";"ODVG1",#N/A,FALSE,"VG12";"ODVG2",#N/A,FALSE,"VG12";"ODVA1",#N/A,FALSE,"VA1";"ODVH1",#N/A,FALSE,"VH1-VI1";"ODVI1",#N/A,FALSE,"VH1-VI1";"ODVE2",#N/A,FALSE,"VE2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rmit._.Mod." hidden="1">{#N/A,#N/A,TRUE,"Title V Emission Summary";#N/A,#N/A,TRUE,"Title V Toxic Emissions Summary";#N/A,#N/A,TRUE,"Hogged Fuel Boiler (B1)";#N/A,#N/A,TRUE,"Hogged Fuel Boiler Toxics (B1)";#N/A,#N/A,TRUE,"Hogged Fuel Boiler (nat. gas)";#N/A,#N/A,TRUE,"Package Boiler (B2)";#N/A,#N/A,TRUE,"Cyclones (all)";#N/A,#N/A,TRUE,"Dryers (D1-D4)";#N/A,#N/A,TRUE,"Panel Assembly Fugitives (PAF)";#N/A,#N/A,TRUE,"Veneer Composer";#N/A,#N/A,TRUE,"Gasoline Tank";#N/A,#N/A,TRUE,"PA Modifications NSR (94-95)";#N/A,#N/A,TRUE,"Dryers NSR (94-95)";#N/A,#N/A,TRUE,"Cyclones (1994-1995)"}</definedName>
    <definedName name="wrn.peter_calc" hidden="1">{#N/A,#N/A,FALSE,"Combust 5";#N/A,#N/A,FALSE,"Combust 4";#N/A,#N/A,FALSE,"Combust 2A";#N/A,#N/A,FALSE,"Combust 1";#N/A,#N/A,FALSE,"Combust 3"}</definedName>
    <definedName name="wrn.PrintPulp.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PrintUtil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r1." hidden="1">{"boiler",#N/A,TRUE,"Hogged Fuel Boiler (B1)";"boiltox",#N/A,TRUE,"Hogged Fuel Boiler (B1)";"natgas",#N/A,TRUE,"Nat. Gas Package Boiler (B2)";"cyclones",#N/A,TRUE,"Cyclones";"dryview1",#N/A,TRUE,"Dryers (1-4)";"dryview2",#N/A,TRUE,"Dryers (1-4)";"glue",#N/A,TRUE,"Press Vents (PV)";"vc",#N/A,TRUE,"Press Vents (PV)"}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port." hidden="1">{#N/A,#N/A,FALSE,"F1-Currrent";#N/A,#N/A,FALSE,"F2-Current";#N/A,#N/A,FALSE,"F2-Proposed";#N/A,#N/A,FALSE,"F3-Current";#N/A,#N/A,FALSE,"F4-Current";#N/A,#N/A,FALSE,"F4-Proposed";#N/A,#N/A,FALSE,"Controls"}</definedName>
    <definedName name="wrn.State._.Permit._.Modification." hidden="1">{"nsr",#N/A,FALSE,"NSR";"b1prop",#N/A,FALSE,"Boiler (B1) - Proposed";"b1_1994",#N/A,FALSE,"B1 - 1994,95";"b1_1995",#N/A,FALSE,"B1 - 1994,95";"b2_t5",#N/A,FALSE,"B2 - T5";"cyc_t5",#N/A,FALSE,"Cyclones - T5, 1994,95";"cyc_2yr",#N/A,FALSE,"Cyclones - T5, 1994,95";"dry_1",#N/A,FALSE,"Dryers - T5, 1994,95";"dry_1",#N/A,FALSE,"Dryers - 2 yr summary";"dry_2",#N/A,FALSE,"Dryers - 2 yr summary";"press_1",#N/A,FALSE,"Press Vents";"press_3",#N/A,FALSE,"Press Vents";"press_2",#N/A,FALSE,"Press Vents";"veneer",#N/A,FALSE,"Veneer Composers"}</definedName>
    <definedName name="wrn.Summary." hidden="1">{"CO",#N/A,FALSE,"Summary Sheet";"H2S",#N/A,FALSE,"Summary Sheet";"NOx",#N/A,FALSE,"Summary Sheet";"SO2",#N/A,FALSE,"Summary Sheet";"PM",#N/A,FALSE,"Summary Sheet";"TRS",#N/A,FALSE,"Summary Sheet";"VOCs",#N/A,FALSE,"Summary Sheet"}</definedName>
    <definedName name="wrn.T5COMBO._.Report." hidden="1">{#N/A,#N/A,FALSE,"Reconciled Quantified Sources";#N/A,#N/A,FALSE,"Source Group Splitting";#N/A,#N/A,FALSE,"CO";#N/A,#N/A,FALSE,"H2S";#N/A,#N/A,FALSE,"NOx";#N/A,#N/A,FALSE,"Other TRS";#N/A,#N/A,FALSE,"SO2";#N/A,#N/A,FALSE,"PM";#N/A,#N/A,FALSE,"VOC";#N/A,#N/A,FALSE,"Other Toxics"}</definedName>
    <definedName name="wrn.Tank._.Emissions.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itle._.V._.Emissions._.Report." hidden="1">{#N/A,#N/A,FALSE,"Reconciled Sources";#N/A,#N/A,FALSE,"Process Rates";#N/A,#N/A,FALSE,"Emission Factors";#N/A,#N/A,FALSE,"Derived Emission Factors";#N/A,#N/A,FALSE,"Emission Summary";#N/A,#N/A,FALSE,"VOC Summary";#N/A,#N/A,FALSE,"Other Toxics";#N/A,#N/A,FALSE,"No. 20 Smelt Diss. Tank (04)";#N/A,#N/A,FALSE,"Lime Kiln (05)";#N/A,#N/A,FALSE,"No. 10c Hogged Fuel Boiler (06)";#N/A,#N/A,FALSE,"No. 20 Recovery Furnace (19,20)";#N/A,#N/A,FALSE,"No. 12 Hogged Fuel Boiler (21)";#N/A,#N/A,FALSE,"No. 21 Recovery Furnace (22)";#N/A,#N/A,FALSE,"No. 21 Smelt Diss. Tank (23)";#N/A,#N/A,FALSE,"No. 11 Package Boiler (24)";#N/A,#N/A,FALSE,"BLO Tanks (25)";#N/A,#N/A,FALSE,"Paper Machines (26)";#N/A,#N/A,FALSE,"Wastewater Treatment Sys. (27)";#N/A,#N/A,FALSE,"Batch Tall Oil Reactors (28)";#N/A,#N/A,FALSE,"Atm. Diff. Washer System (29)";#N/A,#N/A,FALSE,"Strong BL Storage Tanks (40)";#N/A,#N/A,FALSE,"Slaker-Causticizer System (43)";#N/A,#N/A,FALSE,"Green Liquor Clarifiers (44)";#N/A,#N/A,FALSE,"HD Pulp Storage Tanks (45)";#N/A,#N/A,FALSE,"Deckers (46)";#N/A,#N/A,FALSE,"Lime Mud Precoat Filter (47)";#N/A,#N/A,FALSE,"No. 20 Salt Cake Mix Tank (49)";#N/A,#N/A,FALSE,"No. 21 Salt Cake Mix Tank (50)";#N/A,#N/A,FALSE,"Semi-Chem Drum Washer Sys. (57)";#N/A,#N/A,FALSE,"Weak BL Storage Tanks (58)";#N/A,#N/A,FALSE,"Woodyard Sources (61)";#N/A,#N/A,FALSE,"Box Plant (65)";#N/A,#N/A,FALSE,"Pulp Mill Fugitives (66)";#N/A,#N/A,FALSE,"GC17"}</definedName>
    <definedName name="wrn.UtilGraph." hidden="1">{"upage1",#N/A,FALSE,"GRAPH";"upage2",#N/A,FALSE,"GRAPH";"upage3",#N/A,FALSE,"GRAPH";"upage4",#N/A,FALSE,"GRAPH";"upage5",#N/A,FALSE,"GRAPH"}</definedName>
    <definedName name="ws_2">#REF!</definedName>
    <definedName name="ws3_EU_ID_blank">[34]constants!$A$5</definedName>
    <definedName name="ws3_matching_error_msg">[34]constants!$A$4</definedName>
    <definedName name="ws5_EU_ID_MaterialName_blank">[12]constants!$A$7</definedName>
    <definedName name="ws5_matching_error_msg">[12]constants!$A$6</definedName>
    <definedName name="Wv">#REF!</definedName>
    <definedName name="wwwwww">#REF!</definedName>
    <definedName name="X">#REF!</definedName>
    <definedName name="xxx" hidden="1">{#N/A,#N/A,FALSE,"F1-Currrent";#N/A,#N/A,FALSE,"F2-Current";#N/A,#N/A,FALSE,"F2-Proposed";#N/A,#N/A,FALSE,"F3-Current";#N/A,#N/A,FALSE,"F4-Current";#N/A,#N/A,FALSE,"F4-Proposed";#N/A,#N/A,FALSE,"Controls"}</definedName>
    <definedName name="Year">'[5]Drop-Down Box Data'!$A$55:$A$177</definedName>
    <definedName name="YES_NO">'[10]Cost-Baghouse'!$A$179:$A$180</definedName>
    <definedName name="youyh" hidden="1">#REF!</definedName>
    <definedName name="yyy" hidden="1">{#N/A,#N/A,FALSE,"F1-Currrent";#N/A,#N/A,FALSE,"F2-Current";#N/A,#N/A,FALSE,"F2-Proposed";#N/A,#N/A,FALSE,"F3-Current";#N/A,#N/A,FALSE,"F4-Current";#N/A,#N/A,FALSE,"F4-Proposed";#N/A,#N/A,FALSE,"Controls"}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4" i="2" l="1"/>
  <c r="J25" i="2" s="1"/>
  <c r="H105" i="2"/>
  <c r="H106" i="2"/>
  <c r="H107" i="2"/>
  <c r="H108" i="2"/>
  <c r="H109" i="2"/>
  <c r="B114" i="2"/>
  <c r="I98" i="2"/>
  <c r="I100" i="2"/>
  <c r="I104" i="2"/>
  <c r="I105" i="2"/>
  <c r="I106" i="2"/>
  <c r="I107" i="2"/>
  <c r="I108" i="2"/>
  <c r="I109" i="2"/>
  <c r="I110" i="2"/>
  <c r="I111" i="2"/>
  <c r="G30" i="3"/>
  <c r="G29" i="3"/>
  <c r="I9" i="3" s="1"/>
  <c r="I16" i="3"/>
  <c r="C16" i="3"/>
  <c r="J15" i="3"/>
  <c r="I15" i="3"/>
  <c r="H15" i="3"/>
  <c r="E15" i="3"/>
  <c r="C15" i="3"/>
  <c r="J14" i="3"/>
  <c r="I14" i="3"/>
  <c r="H14" i="3"/>
  <c r="E14" i="3"/>
  <c r="C14" i="3"/>
  <c r="J13" i="3"/>
  <c r="I13" i="3"/>
  <c r="H13" i="3"/>
  <c r="E13" i="3"/>
  <c r="C13" i="3"/>
  <c r="J12" i="3"/>
  <c r="I12" i="3"/>
  <c r="H12" i="3"/>
  <c r="E12" i="3"/>
  <c r="C12" i="3"/>
  <c r="J11" i="3"/>
  <c r="I11" i="3"/>
  <c r="H11" i="3"/>
  <c r="E11" i="3"/>
  <c r="C11" i="3"/>
  <c r="J10" i="3"/>
  <c r="I10" i="3"/>
  <c r="H10" i="3"/>
  <c r="E10" i="3"/>
  <c r="D10" i="3"/>
  <c r="C10" i="3"/>
  <c r="J9" i="3"/>
  <c r="H9" i="3"/>
  <c r="E9" i="3"/>
  <c r="D9" i="3"/>
  <c r="C9" i="3"/>
  <c r="J72" i="2"/>
  <c r="J69" i="2"/>
  <c r="J91" i="2"/>
  <c r="J78" i="2"/>
  <c r="M92" i="2"/>
  <c r="L92" i="2"/>
  <c r="I92" i="2"/>
  <c r="H92" i="2"/>
  <c r="E92" i="2"/>
  <c r="C92" i="2"/>
  <c r="M91" i="2"/>
  <c r="L91" i="2"/>
  <c r="I91" i="2"/>
  <c r="H91" i="2"/>
  <c r="E91" i="2"/>
  <c r="C91" i="2"/>
  <c r="M90" i="2"/>
  <c r="L90" i="2"/>
  <c r="I90" i="2"/>
  <c r="H90" i="2"/>
  <c r="E90" i="2"/>
  <c r="C90" i="2"/>
  <c r="M89" i="2"/>
  <c r="L89" i="2"/>
  <c r="E89" i="2"/>
  <c r="D89" i="2"/>
  <c r="C89" i="2"/>
  <c r="M88" i="2"/>
  <c r="L88" i="2"/>
  <c r="E88" i="2"/>
  <c r="D88" i="2"/>
  <c r="C88" i="2"/>
  <c r="M87" i="2"/>
  <c r="L87" i="2"/>
  <c r="E87" i="2"/>
  <c r="C87" i="2"/>
  <c r="M86" i="2"/>
  <c r="L86" i="2"/>
  <c r="E86" i="2"/>
  <c r="C86" i="2"/>
  <c r="M85" i="2"/>
  <c r="L85" i="2"/>
  <c r="E85" i="2"/>
  <c r="C85" i="2"/>
  <c r="M84" i="2"/>
  <c r="L84" i="2"/>
  <c r="E84" i="2"/>
  <c r="C84" i="2"/>
  <c r="M83" i="2"/>
  <c r="L83" i="2"/>
  <c r="E83" i="2"/>
  <c r="C83" i="2"/>
  <c r="M82" i="2"/>
  <c r="L82" i="2"/>
  <c r="E82" i="2"/>
  <c r="C82" i="2"/>
  <c r="M81" i="2"/>
  <c r="L81" i="2"/>
  <c r="E81" i="2"/>
  <c r="C81" i="2"/>
  <c r="M80" i="2"/>
  <c r="L80" i="2"/>
  <c r="E80" i="2"/>
  <c r="C80" i="2"/>
  <c r="M79" i="2"/>
  <c r="L79" i="2"/>
  <c r="E79" i="2"/>
  <c r="C79" i="2"/>
  <c r="M78" i="2"/>
  <c r="L78" i="2"/>
  <c r="E78" i="2"/>
  <c r="C78" i="2"/>
  <c r="M77" i="2"/>
  <c r="L77" i="2"/>
  <c r="E77" i="2"/>
  <c r="C77" i="2"/>
  <c r="M76" i="2"/>
  <c r="L76" i="2"/>
  <c r="E76" i="2"/>
  <c r="C76" i="2"/>
  <c r="M75" i="2"/>
  <c r="L75" i="2"/>
  <c r="I75" i="2"/>
  <c r="H75" i="2"/>
  <c r="E75" i="2"/>
  <c r="C75" i="2"/>
  <c r="M74" i="2"/>
  <c r="L74" i="2"/>
  <c r="I74" i="2"/>
  <c r="H74" i="2"/>
  <c r="E74" i="2"/>
  <c r="C74" i="2"/>
  <c r="M73" i="2"/>
  <c r="L73" i="2"/>
  <c r="I73" i="2"/>
  <c r="H73" i="2"/>
  <c r="E73" i="2"/>
  <c r="C73" i="2"/>
  <c r="M72" i="2"/>
  <c r="L72" i="2"/>
  <c r="I72" i="2"/>
  <c r="H72" i="2"/>
  <c r="E72" i="2"/>
  <c r="C72" i="2"/>
  <c r="M71" i="2"/>
  <c r="L71" i="2"/>
  <c r="I71" i="2"/>
  <c r="H71" i="2"/>
  <c r="E71" i="2"/>
  <c r="C71" i="2"/>
  <c r="M70" i="2"/>
  <c r="L70" i="2"/>
  <c r="I70" i="2"/>
  <c r="H70" i="2"/>
  <c r="E70" i="2"/>
  <c r="C70" i="2"/>
  <c r="M69" i="2"/>
  <c r="L69" i="2"/>
  <c r="I69" i="2"/>
  <c r="H69" i="2"/>
  <c r="E69" i="2"/>
  <c r="C69" i="2"/>
  <c r="M68" i="2"/>
  <c r="L68" i="2"/>
  <c r="I68" i="2"/>
  <c r="H68" i="2"/>
  <c r="E68" i="2"/>
  <c r="C68" i="2"/>
  <c r="M67" i="2"/>
  <c r="L67" i="2"/>
  <c r="I67" i="2"/>
  <c r="H67" i="2"/>
  <c r="E67" i="2"/>
  <c r="C67" i="2"/>
  <c r="M66" i="2"/>
  <c r="L66" i="2"/>
  <c r="J66" i="2"/>
  <c r="I66" i="2"/>
  <c r="H66" i="2"/>
  <c r="E66" i="2"/>
  <c r="C66" i="2"/>
  <c r="M65" i="2"/>
  <c r="L65" i="2"/>
  <c r="I65" i="2"/>
  <c r="H65" i="2"/>
  <c r="E65" i="2"/>
  <c r="C65" i="2"/>
  <c r="M64" i="2"/>
  <c r="L64" i="2"/>
  <c r="I64" i="2"/>
  <c r="H64" i="2"/>
  <c r="E64" i="2"/>
  <c r="C64" i="2"/>
  <c r="M63" i="2"/>
  <c r="L63" i="2"/>
  <c r="I63" i="2"/>
  <c r="H63" i="2"/>
  <c r="E63" i="2"/>
  <c r="C63" i="2"/>
  <c r="M62" i="2"/>
  <c r="L62" i="2"/>
  <c r="I62" i="2"/>
  <c r="H62" i="2"/>
  <c r="E62" i="2"/>
  <c r="C62" i="2"/>
  <c r="M61" i="2"/>
  <c r="L61" i="2"/>
  <c r="I61" i="2"/>
  <c r="H61" i="2"/>
  <c r="E61" i="2"/>
  <c r="C61" i="2"/>
  <c r="M60" i="2"/>
  <c r="L60" i="2"/>
  <c r="I60" i="2"/>
  <c r="H60" i="2"/>
  <c r="E60" i="2"/>
  <c r="C60" i="2"/>
  <c r="M59" i="2"/>
  <c r="L59" i="2"/>
  <c r="I59" i="2"/>
  <c r="H59" i="2"/>
  <c r="E59" i="2"/>
  <c r="C59" i="2"/>
  <c r="M58" i="2"/>
  <c r="L58" i="2"/>
  <c r="E58" i="2"/>
  <c r="C58" i="2"/>
  <c r="M57" i="2"/>
  <c r="L57" i="2"/>
  <c r="E57" i="2"/>
  <c r="C57" i="2"/>
  <c r="M56" i="2"/>
  <c r="L56" i="2"/>
  <c r="J56" i="2"/>
  <c r="E56" i="2"/>
  <c r="D56" i="2"/>
  <c r="C56" i="2"/>
  <c r="M55" i="2"/>
  <c r="L55" i="2"/>
  <c r="E55" i="2"/>
  <c r="C55" i="2"/>
  <c r="M54" i="2"/>
  <c r="L54" i="2"/>
  <c r="E54" i="2"/>
  <c r="C54" i="2"/>
  <c r="M53" i="2"/>
  <c r="L53" i="2"/>
  <c r="E53" i="2"/>
  <c r="C53" i="2"/>
  <c r="M52" i="2"/>
  <c r="L52" i="2"/>
  <c r="E52" i="2"/>
  <c r="C52" i="2"/>
  <c r="M51" i="2"/>
  <c r="L51" i="2"/>
  <c r="E51" i="2"/>
  <c r="C51" i="2"/>
  <c r="M50" i="2"/>
  <c r="L50" i="2"/>
  <c r="E50" i="2"/>
  <c r="C50" i="2"/>
  <c r="M49" i="2"/>
  <c r="L49" i="2"/>
  <c r="E49" i="2"/>
  <c r="C49" i="2"/>
  <c r="M48" i="2"/>
  <c r="L48" i="2"/>
  <c r="E48" i="2"/>
  <c r="C48" i="2"/>
  <c r="M47" i="2"/>
  <c r="L47" i="2"/>
  <c r="J47" i="2"/>
  <c r="E47" i="2"/>
  <c r="C47" i="2"/>
  <c r="M46" i="2"/>
  <c r="L46" i="2"/>
  <c r="J46" i="2"/>
  <c r="E46" i="2"/>
  <c r="C46" i="2"/>
  <c r="M45" i="2"/>
  <c r="L45" i="2"/>
  <c r="E45" i="2"/>
  <c r="C45" i="2"/>
  <c r="M44" i="2"/>
  <c r="L44" i="2"/>
  <c r="E44" i="2"/>
  <c r="C44" i="2"/>
  <c r="M43" i="2"/>
  <c r="L43" i="2"/>
  <c r="E43" i="2"/>
  <c r="C43" i="2"/>
  <c r="M42" i="2"/>
  <c r="L42" i="2"/>
  <c r="E42" i="2"/>
  <c r="C42" i="2"/>
  <c r="M41" i="2"/>
  <c r="L41" i="2"/>
  <c r="E41" i="2"/>
  <c r="D41" i="2"/>
  <c r="C41" i="2"/>
  <c r="M40" i="2"/>
  <c r="L40" i="2"/>
  <c r="E40" i="2"/>
  <c r="C40" i="2"/>
  <c r="M39" i="2"/>
  <c r="L39" i="2"/>
  <c r="E39" i="2"/>
  <c r="C39" i="2"/>
  <c r="M38" i="2"/>
  <c r="L38" i="2"/>
  <c r="E38" i="2"/>
  <c r="C38" i="2"/>
  <c r="M37" i="2"/>
  <c r="L37" i="2"/>
  <c r="E37" i="2"/>
  <c r="C37" i="2"/>
  <c r="M36" i="2"/>
  <c r="L36" i="2"/>
  <c r="E36" i="2"/>
  <c r="C36" i="2"/>
  <c r="M35" i="2"/>
  <c r="L35" i="2"/>
  <c r="E35" i="2"/>
  <c r="C35" i="2"/>
  <c r="M34" i="2"/>
  <c r="L34" i="2"/>
  <c r="E34" i="2"/>
  <c r="C34" i="2"/>
  <c r="M33" i="2"/>
  <c r="L33" i="2"/>
  <c r="E33" i="2"/>
  <c r="C33" i="2"/>
  <c r="G33" i="2" s="1"/>
  <c r="AF33" i="2" s="1"/>
  <c r="M32" i="2"/>
  <c r="L32" i="2"/>
  <c r="E32" i="2"/>
  <c r="C32" i="2"/>
  <c r="M31" i="2"/>
  <c r="L31" i="2"/>
  <c r="J31" i="2"/>
  <c r="E31" i="2"/>
  <c r="C31" i="2"/>
  <c r="M30" i="2"/>
  <c r="L30" i="2"/>
  <c r="E30" i="2"/>
  <c r="C30" i="2"/>
  <c r="M29" i="2"/>
  <c r="L29" i="2"/>
  <c r="E29" i="2"/>
  <c r="C29" i="2"/>
  <c r="M28" i="2"/>
  <c r="L28" i="2"/>
  <c r="E28" i="2"/>
  <c r="D28" i="2"/>
  <c r="C28" i="2"/>
  <c r="M27" i="2"/>
  <c r="L27" i="2"/>
  <c r="J27" i="2"/>
  <c r="E27" i="2"/>
  <c r="C27" i="2"/>
  <c r="M26" i="2"/>
  <c r="L26" i="2"/>
  <c r="J26" i="2"/>
  <c r="E26" i="2"/>
  <c r="C26" i="2"/>
  <c r="M25" i="2"/>
  <c r="L25" i="2"/>
  <c r="E25" i="2"/>
  <c r="D25" i="2"/>
  <c r="C25" i="2"/>
  <c r="M24" i="2"/>
  <c r="L24" i="2"/>
  <c r="E24" i="2"/>
  <c r="D24" i="2"/>
  <c r="C24" i="2"/>
  <c r="M23" i="2"/>
  <c r="L23" i="2"/>
  <c r="J23" i="2"/>
  <c r="E23" i="2"/>
  <c r="C23" i="2"/>
  <c r="M22" i="2"/>
  <c r="L22" i="2"/>
  <c r="J22" i="2"/>
  <c r="E22" i="2"/>
  <c r="C22" i="2"/>
  <c r="M21" i="2"/>
  <c r="L21" i="2"/>
  <c r="E21" i="2"/>
  <c r="C21" i="2"/>
  <c r="M20" i="2"/>
  <c r="L20" i="2"/>
  <c r="J20" i="2"/>
  <c r="E20" i="2"/>
  <c r="C20" i="2"/>
  <c r="M19" i="2"/>
  <c r="L19" i="2"/>
  <c r="J19" i="2"/>
  <c r="E19" i="2"/>
  <c r="C19" i="2"/>
  <c r="M18" i="2"/>
  <c r="L18" i="2"/>
  <c r="E18" i="2"/>
  <c r="C18" i="2"/>
  <c r="M17" i="2"/>
  <c r="L17" i="2"/>
  <c r="E17" i="2"/>
  <c r="C17" i="2"/>
  <c r="M16" i="2"/>
  <c r="L16" i="2"/>
  <c r="J16" i="2"/>
  <c r="E16" i="2"/>
  <c r="C16" i="2"/>
  <c r="M15" i="2"/>
  <c r="L15" i="2"/>
  <c r="J15" i="2"/>
  <c r="E15" i="2"/>
  <c r="C15" i="2"/>
  <c r="M14" i="2"/>
  <c r="L14" i="2"/>
  <c r="E14" i="2"/>
  <c r="C14" i="2"/>
  <c r="M13" i="2"/>
  <c r="L13" i="2"/>
  <c r="J13" i="2"/>
  <c r="E13" i="2"/>
  <c r="C13" i="2"/>
  <c r="M12" i="2"/>
  <c r="L12" i="2"/>
  <c r="J12" i="2"/>
  <c r="E12" i="2"/>
  <c r="C12" i="2"/>
  <c r="M11" i="2"/>
  <c r="L11" i="2"/>
  <c r="J11" i="2"/>
  <c r="E11" i="2"/>
  <c r="C11" i="2"/>
  <c r="M10" i="2"/>
  <c r="L10" i="2"/>
  <c r="E10" i="2"/>
  <c r="C10" i="2"/>
  <c r="M9" i="2"/>
  <c r="L9" i="2"/>
  <c r="J9" i="2"/>
  <c r="E9" i="2"/>
  <c r="D9" i="2"/>
  <c r="C9" i="2"/>
  <c r="G98" i="1"/>
  <c r="E16" i="3" s="1"/>
  <c r="F98" i="1"/>
  <c r="D16" i="3" s="1"/>
  <c r="F16" i="3" s="1"/>
  <c r="S16" i="3" s="1"/>
  <c r="F97" i="1"/>
  <c r="D15" i="3" s="1"/>
  <c r="F15" i="3" s="1"/>
  <c r="K15" i="3" s="1"/>
  <c r="F96" i="1"/>
  <c r="D14" i="3" s="1"/>
  <c r="F95" i="1"/>
  <c r="D13" i="3" s="1"/>
  <c r="F94" i="1"/>
  <c r="D12" i="3" s="1"/>
  <c r="F12" i="3" s="1"/>
  <c r="K12" i="3" s="1"/>
  <c r="F93" i="1"/>
  <c r="D11" i="3" s="1"/>
  <c r="F11" i="3" s="1"/>
  <c r="F90" i="1"/>
  <c r="D92" i="2" s="1"/>
  <c r="F89" i="1"/>
  <c r="D91" i="2" s="1"/>
  <c r="F88" i="1"/>
  <c r="D90" i="2" s="1"/>
  <c r="F85" i="1"/>
  <c r="D87" i="2" s="1"/>
  <c r="F84" i="1"/>
  <c r="D86" i="2" s="1"/>
  <c r="F83" i="1"/>
  <c r="D85" i="2" s="1"/>
  <c r="F82" i="1"/>
  <c r="D84" i="2" s="1"/>
  <c r="F81" i="1"/>
  <c r="D83" i="2" s="1"/>
  <c r="F80" i="1"/>
  <c r="D82" i="2" s="1"/>
  <c r="F79" i="1"/>
  <c r="D81" i="2" s="1"/>
  <c r="F78" i="1"/>
  <c r="D80" i="2" s="1"/>
  <c r="F77" i="1"/>
  <c r="D79" i="2" s="1"/>
  <c r="F76" i="1"/>
  <c r="D78" i="2" s="1"/>
  <c r="F78" i="2" s="1"/>
  <c r="F75" i="1"/>
  <c r="D77" i="2" s="1"/>
  <c r="F74" i="1"/>
  <c r="D76" i="2" s="1"/>
  <c r="F73" i="1"/>
  <c r="D75" i="2" s="1"/>
  <c r="F72" i="1"/>
  <c r="D74" i="2" s="1"/>
  <c r="F71" i="1"/>
  <c r="D73" i="2" s="1"/>
  <c r="F70" i="1"/>
  <c r="D72" i="2" s="1"/>
  <c r="F69" i="1"/>
  <c r="D71" i="2" s="1"/>
  <c r="F68" i="1"/>
  <c r="D70" i="2" s="1"/>
  <c r="F67" i="1"/>
  <c r="D69" i="2" s="1"/>
  <c r="F66" i="1"/>
  <c r="D68" i="2" s="1"/>
  <c r="F65" i="1"/>
  <c r="D67" i="2" s="1"/>
  <c r="F64" i="1"/>
  <c r="D66" i="2" s="1"/>
  <c r="F63" i="1"/>
  <c r="D65" i="2" s="1"/>
  <c r="F62" i="1"/>
  <c r="D64" i="2" s="1"/>
  <c r="F61" i="1"/>
  <c r="D63" i="2" s="1"/>
  <c r="F60" i="1"/>
  <c r="D62" i="2" s="1"/>
  <c r="F59" i="1"/>
  <c r="D61" i="2" s="1"/>
  <c r="F58" i="1"/>
  <c r="D60" i="2" s="1"/>
  <c r="F57" i="1"/>
  <c r="D59" i="2" s="1"/>
  <c r="F56" i="1"/>
  <c r="D58" i="2" s="1"/>
  <c r="F55" i="1"/>
  <c r="D57" i="2" s="1"/>
  <c r="F54" i="1"/>
  <c r="F53" i="1"/>
  <c r="D55" i="2" s="1"/>
  <c r="F52" i="1"/>
  <c r="D54" i="2" s="1"/>
  <c r="F51" i="1"/>
  <c r="D53" i="2" s="1"/>
  <c r="F50" i="1"/>
  <c r="D52" i="2" s="1"/>
  <c r="F49" i="1"/>
  <c r="D51" i="2" s="1"/>
  <c r="F48" i="1"/>
  <c r="D50" i="2" s="1"/>
  <c r="F47" i="1"/>
  <c r="D49" i="2" s="1"/>
  <c r="F46" i="1"/>
  <c r="D48" i="2" s="1"/>
  <c r="F45" i="1"/>
  <c r="D45" i="2" s="1"/>
  <c r="F44" i="1"/>
  <c r="D44" i="2" s="1"/>
  <c r="F43" i="1"/>
  <c r="D43" i="2" s="1"/>
  <c r="F42" i="1"/>
  <c r="D42" i="2" s="1"/>
  <c r="F41" i="1"/>
  <c r="F40" i="1"/>
  <c r="D40" i="2" s="1"/>
  <c r="F39" i="1"/>
  <c r="D39" i="2" s="1"/>
  <c r="F38" i="1"/>
  <c r="D38" i="2" s="1"/>
  <c r="F37" i="1"/>
  <c r="D37" i="2" s="1"/>
  <c r="F36" i="1"/>
  <c r="D47" i="2" s="1"/>
  <c r="F35" i="1"/>
  <c r="D46" i="2" s="1"/>
  <c r="F34" i="1"/>
  <c r="D36" i="2" s="1"/>
  <c r="F33" i="1"/>
  <c r="D35" i="2" s="1"/>
  <c r="F32" i="1"/>
  <c r="D34" i="2" s="1"/>
  <c r="F31" i="1"/>
  <c r="D33" i="2" s="1"/>
  <c r="F30" i="1"/>
  <c r="D32" i="2" s="1"/>
  <c r="F29" i="1"/>
  <c r="D31" i="2" s="1"/>
  <c r="F28" i="1"/>
  <c r="D30" i="2" s="1"/>
  <c r="F27" i="1"/>
  <c r="D29" i="2" s="1"/>
  <c r="F26" i="1"/>
  <c r="F25" i="1"/>
  <c r="D27" i="2" s="1"/>
  <c r="F24" i="1"/>
  <c r="D26" i="2" s="1"/>
  <c r="F23" i="1"/>
  <c r="F22" i="1"/>
  <c r="F21" i="1"/>
  <c r="D23" i="2" s="1"/>
  <c r="F20" i="1"/>
  <c r="D22" i="2" s="1"/>
  <c r="F19" i="1"/>
  <c r="D21" i="2" s="1"/>
  <c r="F18" i="1"/>
  <c r="D20" i="2" s="1"/>
  <c r="F17" i="1"/>
  <c r="D19" i="2" s="1"/>
  <c r="F16" i="1"/>
  <c r="D18" i="2" s="1"/>
  <c r="F15" i="1"/>
  <c r="D17" i="2" s="1"/>
  <c r="F17" i="2" s="1"/>
  <c r="F14" i="1"/>
  <c r="D16" i="2" s="1"/>
  <c r="F13" i="1"/>
  <c r="D15" i="2" s="1"/>
  <c r="F12" i="1"/>
  <c r="D14" i="2" s="1"/>
  <c r="F11" i="1"/>
  <c r="D13" i="2" s="1"/>
  <c r="F10" i="1"/>
  <c r="D12" i="2" s="1"/>
  <c r="F9" i="1"/>
  <c r="D11" i="2" s="1"/>
  <c r="F8" i="1"/>
  <c r="D10" i="2" s="1"/>
  <c r="F7" i="1"/>
  <c r="G70" i="2" l="1"/>
  <c r="AB70" i="2" s="1"/>
  <c r="G92" i="2"/>
  <c r="AD78" i="2"/>
  <c r="G38" i="2"/>
  <c r="G76" i="2"/>
  <c r="T76" i="2" s="1"/>
  <c r="F20" i="2"/>
  <c r="V20" i="2" s="1"/>
  <c r="F51" i="2"/>
  <c r="R51" i="2" s="1"/>
  <c r="F47" i="2"/>
  <c r="AH47" i="2" s="1"/>
  <c r="G50" i="2"/>
  <c r="AB50" i="2" s="1"/>
  <c r="G16" i="3"/>
  <c r="M16" i="3" s="1"/>
  <c r="G10" i="3"/>
  <c r="M10" i="3" s="1"/>
  <c r="G11" i="3"/>
  <c r="M11" i="3" s="1"/>
  <c r="G15" i="3"/>
  <c r="M15" i="3" s="1"/>
  <c r="G13" i="3"/>
  <c r="Q13" i="3" s="1"/>
  <c r="G12" i="3"/>
  <c r="Q12" i="3" s="1"/>
  <c r="F9" i="3"/>
  <c r="S9" i="3" s="1"/>
  <c r="J52" i="2"/>
  <c r="J48" i="2"/>
  <c r="J53" i="2"/>
  <c r="J49" i="2"/>
  <c r="J58" i="2"/>
  <c r="J61" i="2"/>
  <c r="F87" i="2"/>
  <c r="J83" i="2"/>
  <c r="F91" i="2"/>
  <c r="AD91" i="2" s="1"/>
  <c r="J79" i="2"/>
  <c r="F11" i="2"/>
  <c r="N11" i="2" s="1"/>
  <c r="F71" i="2"/>
  <c r="AD71" i="2" s="1"/>
  <c r="J75" i="2"/>
  <c r="J84" i="2"/>
  <c r="F13" i="2"/>
  <c r="R13" i="2" s="1"/>
  <c r="J59" i="2"/>
  <c r="F75" i="2"/>
  <c r="AH75" i="2" s="1"/>
  <c r="F16" i="2"/>
  <c r="N16" i="2" s="1"/>
  <c r="F31" i="2"/>
  <c r="G31" i="2"/>
  <c r="AJ31" i="2" s="1"/>
  <c r="F52" i="2"/>
  <c r="J57" i="2"/>
  <c r="F53" i="2"/>
  <c r="F73" i="2"/>
  <c r="AH73" i="2" s="1"/>
  <c r="F74" i="2"/>
  <c r="R74" i="2" s="1"/>
  <c r="G61" i="2"/>
  <c r="AB61" i="2" s="1"/>
  <c r="F35" i="2"/>
  <c r="R35" i="2" s="1"/>
  <c r="J70" i="2"/>
  <c r="X70" i="2" s="1"/>
  <c r="G77" i="2"/>
  <c r="AB77" i="2" s="1"/>
  <c r="J85" i="2"/>
  <c r="F37" i="2"/>
  <c r="J50" i="2"/>
  <c r="J54" i="2"/>
  <c r="J64" i="2"/>
  <c r="AF70" i="2"/>
  <c r="J77" i="2"/>
  <c r="F84" i="2"/>
  <c r="F18" i="2"/>
  <c r="AH17" i="2"/>
  <c r="F42" i="2"/>
  <c r="AJ70" i="2"/>
  <c r="G68" i="2"/>
  <c r="P68" i="2" s="1"/>
  <c r="F60" i="2"/>
  <c r="G47" i="2"/>
  <c r="T47" i="2" s="1"/>
  <c r="F59" i="2"/>
  <c r="R59" i="2" s="1"/>
  <c r="J82" i="2"/>
  <c r="J90" i="2"/>
  <c r="F21" i="2"/>
  <c r="AD21" i="2" s="1"/>
  <c r="F61" i="2"/>
  <c r="AD61" i="2" s="1"/>
  <c r="J51" i="2"/>
  <c r="J55" i="2"/>
  <c r="J68" i="2"/>
  <c r="J17" i="2"/>
  <c r="V17" i="2" s="1"/>
  <c r="G83" i="2"/>
  <c r="G59" i="2"/>
  <c r="P59" i="2" s="1"/>
  <c r="G80" i="2"/>
  <c r="AJ80" i="2" s="1"/>
  <c r="G44" i="2"/>
  <c r="G35" i="2"/>
  <c r="G40" i="2"/>
  <c r="AJ40" i="2" s="1"/>
  <c r="G16" i="2"/>
  <c r="T16" i="2" s="1"/>
  <c r="J62" i="2"/>
  <c r="J65" i="2"/>
  <c r="G74" i="2"/>
  <c r="AB74" i="2" s="1"/>
  <c r="J92" i="2"/>
  <c r="X92" i="2" s="1"/>
  <c r="F63" i="2"/>
  <c r="R63" i="2" s="1"/>
  <c r="G66" i="2"/>
  <c r="AJ66" i="2" s="1"/>
  <c r="J71" i="2"/>
  <c r="G13" i="2"/>
  <c r="P13" i="2" s="1"/>
  <c r="J24" i="2"/>
  <c r="J60" i="2"/>
  <c r="G78" i="2"/>
  <c r="X78" i="2" s="1"/>
  <c r="G86" i="2"/>
  <c r="AB86" i="2" s="1"/>
  <c r="F15" i="2"/>
  <c r="AH15" i="2" s="1"/>
  <c r="G51" i="2"/>
  <c r="AF51" i="2" s="1"/>
  <c r="G45" i="2"/>
  <c r="F40" i="2"/>
  <c r="Z40" i="2" s="1"/>
  <c r="G34" i="2"/>
  <c r="G20" i="2"/>
  <c r="AF20" i="2" s="1"/>
  <c r="G42" i="2"/>
  <c r="P42" i="2" s="1"/>
  <c r="J28" i="2"/>
  <c r="G64" i="2"/>
  <c r="F34" i="2"/>
  <c r="AH34" i="2" s="1"/>
  <c r="F26" i="2"/>
  <c r="V26" i="2" s="1"/>
  <c r="F55" i="2"/>
  <c r="R55" i="2" s="1"/>
  <c r="G30" i="2"/>
  <c r="T30" i="2" s="1"/>
  <c r="F80" i="2"/>
  <c r="N80" i="2" s="1"/>
  <c r="F24" i="2"/>
  <c r="F45" i="2"/>
  <c r="N45" i="2" s="1"/>
  <c r="F48" i="2"/>
  <c r="G73" i="2"/>
  <c r="AF73" i="2" s="1"/>
  <c r="F65" i="2"/>
  <c r="G37" i="2"/>
  <c r="AF37" i="2" s="1"/>
  <c r="J21" i="2"/>
  <c r="F68" i="2"/>
  <c r="AH68" i="2" s="1"/>
  <c r="F10" i="2"/>
  <c r="N10" i="2" s="1"/>
  <c r="F30" i="2"/>
  <c r="N30" i="2" s="1"/>
  <c r="J10" i="2"/>
  <c r="J14" i="2"/>
  <c r="J18" i="2"/>
  <c r="G67" i="2"/>
  <c r="AF67" i="2" s="1"/>
  <c r="AH20" i="2"/>
  <c r="Z20" i="2"/>
  <c r="G79" i="2"/>
  <c r="G89" i="2"/>
  <c r="AJ89" i="2" s="1"/>
  <c r="F19" i="2"/>
  <c r="AH19" i="2" s="1"/>
  <c r="F50" i="2"/>
  <c r="N50" i="2" s="1"/>
  <c r="F23" i="2"/>
  <c r="F41" i="2"/>
  <c r="AD41" i="2" s="1"/>
  <c r="G17" i="2"/>
  <c r="G23" i="2"/>
  <c r="AJ23" i="2" s="1"/>
  <c r="G41" i="2"/>
  <c r="G55" i="2"/>
  <c r="T55" i="2" s="1"/>
  <c r="F10" i="3"/>
  <c r="O10" i="3" s="1"/>
  <c r="F83" i="2"/>
  <c r="Z83" i="2" s="1"/>
  <c r="F9" i="2"/>
  <c r="AH9" i="2" s="1"/>
  <c r="G65" i="2"/>
  <c r="AF65" i="2" s="1"/>
  <c r="F64" i="2"/>
  <c r="AH64" i="2" s="1"/>
  <c r="G9" i="2"/>
  <c r="AJ9" i="2" s="1"/>
  <c r="G21" i="2"/>
  <c r="P50" i="2"/>
  <c r="G72" i="2"/>
  <c r="P72" i="2" s="1"/>
  <c r="G87" i="2"/>
  <c r="AF87" i="2" s="1"/>
  <c r="G57" i="2"/>
  <c r="F27" i="2"/>
  <c r="N27" i="2" s="1"/>
  <c r="G27" i="2"/>
  <c r="G69" i="2"/>
  <c r="X69" i="2" s="1"/>
  <c r="F22" i="2"/>
  <c r="F43" i="2"/>
  <c r="Z43" i="2" s="1"/>
  <c r="K16" i="3"/>
  <c r="AF50" i="2"/>
  <c r="O16" i="3"/>
  <c r="K11" i="3"/>
  <c r="F77" i="2"/>
  <c r="Z77" i="2" s="1"/>
  <c r="G19" i="2"/>
  <c r="P19" i="2" s="1"/>
  <c r="G62" i="2"/>
  <c r="AJ62" i="2" s="1"/>
  <c r="F86" i="2"/>
  <c r="Z86" i="2" s="1"/>
  <c r="F57" i="2"/>
  <c r="AH57" i="2" s="1"/>
  <c r="G52" i="2"/>
  <c r="T50" i="2"/>
  <c r="F44" i="2"/>
  <c r="N44" i="2" s="1"/>
  <c r="AD52" i="2"/>
  <c r="G53" i="2"/>
  <c r="AB53" i="2" s="1"/>
  <c r="F69" i="2"/>
  <c r="G18" i="2"/>
  <c r="G48" i="2"/>
  <c r="T48" i="2" s="1"/>
  <c r="G63" i="2"/>
  <c r="P76" i="2"/>
  <c r="G88" i="2"/>
  <c r="AF88" i="2" s="1"/>
  <c r="F89" i="2"/>
  <c r="AH89" i="2" s="1"/>
  <c r="G11" i="2"/>
  <c r="X11" i="2" s="1"/>
  <c r="G75" i="2"/>
  <c r="AJ75" i="2" s="1"/>
  <c r="G26" i="2"/>
  <c r="AJ26" i="2" s="1"/>
  <c r="F82" i="2"/>
  <c r="R82" i="2" s="1"/>
  <c r="F66" i="2"/>
  <c r="AH66" i="2" s="1"/>
  <c r="F67" i="2"/>
  <c r="N67" i="2" s="1"/>
  <c r="F90" i="2"/>
  <c r="AD90" i="2" s="1"/>
  <c r="G24" i="2"/>
  <c r="T24" i="2" s="1"/>
  <c r="AJ50" i="2"/>
  <c r="P70" i="2"/>
  <c r="F70" i="2"/>
  <c r="AH70" i="2" s="1"/>
  <c r="G10" i="2"/>
  <c r="G85" i="2"/>
  <c r="X85" i="2" s="1"/>
  <c r="F14" i="3"/>
  <c r="S14" i="3" s="1"/>
  <c r="T38" i="2"/>
  <c r="AB38" i="2"/>
  <c r="AJ38" i="2"/>
  <c r="AF38" i="2"/>
  <c r="P38" i="2"/>
  <c r="AB37" i="2"/>
  <c r="J35" i="2"/>
  <c r="J43" i="2"/>
  <c r="J40" i="2"/>
  <c r="J36" i="2"/>
  <c r="J42" i="2"/>
  <c r="J34" i="2"/>
  <c r="J33" i="2"/>
  <c r="X33" i="2" s="1"/>
  <c r="J45" i="2"/>
  <c r="J44" i="2"/>
  <c r="J32" i="2"/>
  <c r="J41" i="2"/>
  <c r="J38" i="2"/>
  <c r="X38" i="2" s="1"/>
  <c r="Z13" i="2"/>
  <c r="F39" i="2"/>
  <c r="Q10" i="3"/>
  <c r="U10" i="3"/>
  <c r="F85" i="2"/>
  <c r="J30" i="2"/>
  <c r="AJ33" i="2"/>
  <c r="T33" i="2"/>
  <c r="P33" i="2"/>
  <c r="AB33" i="2"/>
  <c r="G84" i="2"/>
  <c r="F29" i="2"/>
  <c r="G15" i="2"/>
  <c r="AB92" i="2"/>
  <c r="AJ92" i="2"/>
  <c r="T92" i="2"/>
  <c r="AF92" i="2"/>
  <c r="P92" i="2"/>
  <c r="F28" i="2"/>
  <c r="Z78" i="2"/>
  <c r="R78" i="2"/>
  <c r="N78" i="2"/>
  <c r="V78" i="2"/>
  <c r="J37" i="2"/>
  <c r="G82" i="2"/>
  <c r="J39" i="2"/>
  <c r="F33" i="2"/>
  <c r="G49" i="2"/>
  <c r="AH78" i="2"/>
  <c r="F49" i="2"/>
  <c r="N91" i="2"/>
  <c r="AH91" i="2"/>
  <c r="R52" i="2"/>
  <c r="N52" i="2"/>
  <c r="G29" i="2"/>
  <c r="G36" i="2"/>
  <c r="Z11" i="2"/>
  <c r="J29" i="2"/>
  <c r="F46" i="2"/>
  <c r="F36" i="2"/>
  <c r="U11" i="3"/>
  <c r="Q11" i="3"/>
  <c r="G14" i="3"/>
  <c r="AD17" i="2"/>
  <c r="N17" i="2"/>
  <c r="R17" i="2"/>
  <c r="Z17" i="2"/>
  <c r="S12" i="3"/>
  <c r="O12" i="3"/>
  <c r="F56" i="2"/>
  <c r="G56" i="2"/>
  <c r="AF76" i="2"/>
  <c r="AB76" i="2"/>
  <c r="AJ76" i="2"/>
  <c r="F81" i="2"/>
  <c r="F38" i="2"/>
  <c r="F32" i="2"/>
  <c r="G81" i="2"/>
  <c r="S15" i="3"/>
  <c r="O15" i="3"/>
  <c r="G91" i="2"/>
  <c r="AD20" i="2"/>
  <c r="N20" i="2"/>
  <c r="R20" i="2"/>
  <c r="G32" i="2"/>
  <c r="F88" i="2"/>
  <c r="G60" i="2"/>
  <c r="G12" i="2"/>
  <c r="F25" i="2"/>
  <c r="F72" i="2"/>
  <c r="G46" i="2"/>
  <c r="F12" i="2"/>
  <c r="G25" i="2"/>
  <c r="F54" i="2"/>
  <c r="F14" i="2"/>
  <c r="G28" i="2"/>
  <c r="Q15" i="3"/>
  <c r="G14" i="2"/>
  <c r="F58" i="2"/>
  <c r="G43" i="2"/>
  <c r="S11" i="3"/>
  <c r="O11" i="3"/>
  <c r="F92" i="2"/>
  <c r="G58" i="2"/>
  <c r="J74" i="2"/>
  <c r="J73" i="2"/>
  <c r="G54" i="2"/>
  <c r="F13" i="3"/>
  <c r="F76" i="2"/>
  <c r="G22" i="2"/>
  <c r="G9" i="3"/>
  <c r="G39" i="2"/>
  <c r="F79" i="2"/>
  <c r="J67" i="2"/>
  <c r="J63" i="2"/>
  <c r="G71" i="2"/>
  <c r="J86" i="2"/>
  <c r="J81" i="2"/>
  <c r="J76" i="2"/>
  <c r="X76" i="2" s="1"/>
  <c r="J80" i="2"/>
  <c r="F62" i="2"/>
  <c r="T70" i="2"/>
  <c r="G90" i="2"/>
  <c r="P55" i="2" l="1"/>
  <c r="V13" i="2"/>
  <c r="Z21" i="2"/>
  <c r="AB55" i="2"/>
  <c r="Z71" i="2"/>
  <c r="AH43" i="2"/>
  <c r="AF16" i="2"/>
  <c r="AH11" i="2"/>
  <c r="AB31" i="2"/>
  <c r="AJ16" i="2"/>
  <c r="V11" i="2"/>
  <c r="AB24" i="2"/>
  <c r="R11" i="2"/>
  <c r="AD43" i="2"/>
  <c r="AD11" i="2"/>
  <c r="R43" i="2"/>
  <c r="Z47" i="2"/>
  <c r="AD47" i="2"/>
  <c r="AD51" i="2"/>
  <c r="T42" i="2"/>
  <c r="V47" i="2"/>
  <c r="N51" i="2"/>
  <c r="Z51" i="2"/>
  <c r="R47" i="2"/>
  <c r="AD68" i="2"/>
  <c r="N47" i="2"/>
  <c r="AD13" i="2"/>
  <c r="Z68" i="2"/>
  <c r="AJ42" i="2"/>
  <c r="N13" i="2"/>
  <c r="V61" i="2"/>
  <c r="AB30" i="2"/>
  <c r="V91" i="2"/>
  <c r="Z63" i="2"/>
  <c r="AJ74" i="2"/>
  <c r="N63" i="2"/>
  <c r="AF68" i="2"/>
  <c r="X30" i="2"/>
  <c r="AJ68" i="2"/>
  <c r="AH63" i="2"/>
  <c r="N73" i="2"/>
  <c r="Z61" i="2"/>
  <c r="T67" i="2"/>
  <c r="R73" i="2"/>
  <c r="AH61" i="2"/>
  <c r="N26" i="2"/>
  <c r="AH13" i="2"/>
  <c r="AJ67" i="2"/>
  <c r="AD63" i="2"/>
  <c r="X75" i="2"/>
  <c r="R91" i="2"/>
  <c r="AD64" i="2"/>
  <c r="AB67" i="2"/>
  <c r="P20" i="2"/>
  <c r="R26" i="2"/>
  <c r="AF42" i="2"/>
  <c r="AH51" i="2"/>
  <c r="X50" i="2"/>
  <c r="AF77" i="2"/>
  <c r="P67" i="2"/>
  <c r="AH44" i="2"/>
  <c r="AJ30" i="2"/>
  <c r="U15" i="3"/>
  <c r="AB42" i="2"/>
  <c r="X16" i="2"/>
  <c r="P30" i="2"/>
  <c r="V51" i="2"/>
  <c r="U12" i="3"/>
  <c r="M13" i="3"/>
  <c r="Q16" i="3"/>
  <c r="U13" i="3"/>
  <c r="U16" i="3"/>
  <c r="M12" i="3"/>
  <c r="K9" i="3"/>
  <c r="O9" i="3"/>
  <c r="K10" i="3"/>
  <c r="S10" i="3"/>
  <c r="O14" i="3"/>
  <c r="N18" i="2"/>
  <c r="Z18" i="2"/>
  <c r="AH18" i="2"/>
  <c r="R18" i="2"/>
  <c r="P34" i="2"/>
  <c r="AJ34" i="2"/>
  <c r="T44" i="2"/>
  <c r="AB44" i="2"/>
  <c r="AF44" i="2"/>
  <c r="P44" i="2"/>
  <c r="AJ44" i="2"/>
  <c r="R84" i="2"/>
  <c r="AD84" i="2"/>
  <c r="Z84" i="2"/>
  <c r="N84" i="2"/>
  <c r="R75" i="2"/>
  <c r="Z75" i="2"/>
  <c r="N75" i="2"/>
  <c r="V75" i="2"/>
  <c r="AD75" i="2"/>
  <c r="N68" i="2"/>
  <c r="R16" i="2"/>
  <c r="X57" i="2"/>
  <c r="AB57" i="2"/>
  <c r="AJ37" i="2"/>
  <c r="X10" i="2"/>
  <c r="X31" i="2"/>
  <c r="X21" i="2"/>
  <c r="P31" i="2"/>
  <c r="AB34" i="2"/>
  <c r="AD27" i="2"/>
  <c r="R87" i="2"/>
  <c r="AH87" i="2"/>
  <c r="AD87" i="2"/>
  <c r="V87" i="2"/>
  <c r="Z87" i="2"/>
  <c r="N87" i="2"/>
  <c r="Z10" i="2"/>
  <c r="AF61" i="2"/>
  <c r="T61" i="2"/>
  <c r="AD73" i="2"/>
  <c r="Z73" i="2"/>
  <c r="T87" i="2"/>
  <c r="AB35" i="2"/>
  <c r="AJ35" i="2"/>
  <c r="P35" i="2"/>
  <c r="T35" i="2"/>
  <c r="AF35" i="2"/>
  <c r="AH31" i="2"/>
  <c r="AD31" i="2"/>
  <c r="Z31" i="2"/>
  <c r="N31" i="2"/>
  <c r="R31" i="2"/>
  <c r="V31" i="2"/>
  <c r="V23" i="2"/>
  <c r="Z23" i="2"/>
  <c r="AD16" i="2"/>
  <c r="V16" i="2"/>
  <c r="AD18" i="2"/>
  <c r="R68" i="2"/>
  <c r="Z16" i="2"/>
  <c r="X35" i="2"/>
  <c r="AJ79" i="2"/>
  <c r="X79" i="2"/>
  <c r="AH16" i="2"/>
  <c r="R30" i="2"/>
  <c r="V84" i="2"/>
  <c r="AD30" i="2"/>
  <c r="AH84" i="2"/>
  <c r="T31" i="2"/>
  <c r="Z44" i="2"/>
  <c r="AF31" i="2"/>
  <c r="Z27" i="2"/>
  <c r="R10" i="2"/>
  <c r="R64" i="2"/>
  <c r="V27" i="2"/>
  <c r="X87" i="2"/>
  <c r="AD10" i="2"/>
  <c r="AH27" i="2"/>
  <c r="AD26" i="2"/>
  <c r="Z26" i="2"/>
  <c r="AH26" i="2"/>
  <c r="AD74" i="2"/>
  <c r="N74" i="2"/>
  <c r="AH74" i="2"/>
  <c r="Z74" i="2"/>
  <c r="Z60" i="2"/>
  <c r="R60" i="2"/>
  <c r="N60" i="2"/>
  <c r="AD60" i="2"/>
  <c r="AH60" i="2"/>
  <c r="AJ64" i="2"/>
  <c r="AB64" i="2"/>
  <c r="AF64" i="2"/>
  <c r="AB68" i="2"/>
  <c r="T68" i="2"/>
  <c r="AD53" i="2"/>
  <c r="AH53" i="2"/>
  <c r="R53" i="2"/>
  <c r="AF34" i="2"/>
  <c r="AF57" i="2"/>
  <c r="AF47" i="2"/>
  <c r="V18" i="2"/>
  <c r="R42" i="2"/>
  <c r="N42" i="2"/>
  <c r="Z42" i="2"/>
  <c r="AH42" i="2"/>
  <c r="AD42" i="2"/>
  <c r="V52" i="2"/>
  <c r="Z52" i="2"/>
  <c r="AH52" i="2"/>
  <c r="V65" i="2"/>
  <c r="X64" i="2"/>
  <c r="X68" i="2"/>
  <c r="V60" i="2"/>
  <c r="X24" i="2"/>
  <c r="T26" i="2"/>
  <c r="N71" i="2"/>
  <c r="V42" i="2"/>
  <c r="R71" i="2"/>
  <c r="V71" i="2"/>
  <c r="Z91" i="2"/>
  <c r="AH71" i="2"/>
  <c r="AF30" i="2"/>
  <c r="X83" i="2"/>
  <c r="AF83" i="2"/>
  <c r="T83" i="2"/>
  <c r="AJ83" i="2"/>
  <c r="P83" i="2"/>
  <c r="AF59" i="2"/>
  <c r="T37" i="2"/>
  <c r="T59" i="2"/>
  <c r="P37" i="2"/>
  <c r="T80" i="2"/>
  <c r="AB80" i="2"/>
  <c r="AH48" i="2"/>
  <c r="N48" i="2"/>
  <c r="V48" i="2"/>
  <c r="N37" i="2"/>
  <c r="AH37" i="2"/>
  <c r="Z37" i="2"/>
  <c r="R37" i="2"/>
  <c r="AD37" i="2"/>
  <c r="AH40" i="2"/>
  <c r="AF80" i="2"/>
  <c r="X37" i="2"/>
  <c r="N40" i="2"/>
  <c r="T41" i="2"/>
  <c r="P41" i="2"/>
  <c r="V24" i="2"/>
  <c r="AH24" i="2"/>
  <c r="N24" i="2"/>
  <c r="R24" i="2"/>
  <c r="Z24" i="2"/>
  <c r="AD24" i="2"/>
  <c r="R21" i="2"/>
  <c r="N21" i="2"/>
  <c r="AH21" i="2"/>
  <c r="V21" i="2"/>
  <c r="N61" i="2"/>
  <c r="T17" i="2"/>
  <c r="X17" i="2"/>
  <c r="AF17" i="2"/>
  <c r="AB17" i="2"/>
  <c r="R61" i="2"/>
  <c r="V68" i="2"/>
  <c r="N22" i="2"/>
  <c r="V22" i="2"/>
  <c r="AD22" i="2"/>
  <c r="AB83" i="2"/>
  <c r="N43" i="2"/>
  <c r="T63" i="2"/>
  <c r="AF63" i="2"/>
  <c r="AD40" i="2"/>
  <c r="R40" i="2"/>
  <c r="P45" i="2"/>
  <c r="AJ45" i="2"/>
  <c r="AB45" i="2"/>
  <c r="T45" i="2"/>
  <c r="AB59" i="2"/>
  <c r="X59" i="2"/>
  <c r="AJ59" i="2"/>
  <c r="P80" i="2"/>
  <c r="AJ27" i="2"/>
  <c r="AF27" i="2"/>
  <c r="T27" i="2"/>
  <c r="P27" i="2"/>
  <c r="AJ18" i="2"/>
  <c r="T18" i="2"/>
  <c r="AF45" i="2"/>
  <c r="X48" i="2"/>
  <c r="R69" i="2"/>
  <c r="AH69" i="2"/>
  <c r="AJ57" i="2"/>
  <c r="T57" i="2"/>
  <c r="P57" i="2"/>
  <c r="AB48" i="2"/>
  <c r="AB87" i="2"/>
  <c r="AJ87" i="2"/>
  <c r="X18" i="2"/>
  <c r="AF10" i="2"/>
  <c r="P48" i="2"/>
  <c r="AJ86" i="2"/>
  <c r="Z70" i="2"/>
  <c r="AJ10" i="2"/>
  <c r="AF48" i="2"/>
  <c r="T86" i="2"/>
  <c r="P87" i="2"/>
  <c r="Z69" i="2"/>
  <c r="R27" i="2"/>
  <c r="AB10" i="2"/>
  <c r="AJ48" i="2"/>
  <c r="P24" i="2"/>
  <c r="AD35" i="2"/>
  <c r="V59" i="2"/>
  <c r="P61" i="2"/>
  <c r="AJ24" i="2"/>
  <c r="T64" i="2"/>
  <c r="V10" i="2"/>
  <c r="X77" i="2"/>
  <c r="AJ77" i="2"/>
  <c r="P77" i="2"/>
  <c r="N59" i="2"/>
  <c r="AF24" i="2"/>
  <c r="AH35" i="2"/>
  <c r="AD59" i="2"/>
  <c r="V55" i="2"/>
  <c r="AJ61" i="2"/>
  <c r="Z35" i="2"/>
  <c r="Z59" i="2"/>
  <c r="AJ47" i="2"/>
  <c r="Z55" i="2"/>
  <c r="X61" i="2"/>
  <c r="N35" i="2"/>
  <c r="AH59" i="2"/>
  <c r="AB47" i="2"/>
  <c r="AH55" i="2"/>
  <c r="V40" i="2"/>
  <c r="Z53" i="2"/>
  <c r="P64" i="2"/>
  <c r="P47" i="2"/>
  <c r="AD55" i="2"/>
  <c r="AH30" i="2"/>
  <c r="V43" i="2"/>
  <c r="N53" i="2"/>
  <c r="Z64" i="2"/>
  <c r="X40" i="2"/>
  <c r="T40" i="2"/>
  <c r="X47" i="2"/>
  <c r="N55" i="2"/>
  <c r="Z30" i="2"/>
  <c r="V53" i="2"/>
  <c r="N64" i="2"/>
  <c r="N34" i="2"/>
  <c r="T77" i="2"/>
  <c r="AH10" i="2"/>
  <c r="V64" i="2"/>
  <c r="V9" i="2"/>
  <c r="N15" i="2"/>
  <c r="T19" i="2"/>
  <c r="AJ69" i="2"/>
  <c r="AB27" i="2"/>
  <c r="N41" i="2"/>
  <c r="AJ13" i="2"/>
  <c r="R15" i="2"/>
  <c r="AF74" i="2"/>
  <c r="P74" i="2"/>
  <c r="T74" i="2"/>
  <c r="X63" i="2"/>
  <c r="AH80" i="2"/>
  <c r="P85" i="2"/>
  <c r="T51" i="2"/>
  <c r="T69" i="2"/>
  <c r="V30" i="2"/>
  <c r="X27" i="2"/>
  <c r="Z41" i="2"/>
  <c r="Z15" i="2"/>
  <c r="AJ73" i="2"/>
  <c r="AJ85" i="2"/>
  <c r="V90" i="2"/>
  <c r="Z50" i="2"/>
  <c r="V41" i="2"/>
  <c r="V15" i="2"/>
  <c r="AB23" i="2"/>
  <c r="AF40" i="2"/>
  <c r="V80" i="2"/>
  <c r="AB73" i="2"/>
  <c r="AF86" i="2"/>
  <c r="Z65" i="2"/>
  <c r="P65" i="2"/>
  <c r="AH65" i="2"/>
  <c r="R41" i="2"/>
  <c r="AF23" i="2"/>
  <c r="AD15" i="2"/>
  <c r="X23" i="2"/>
  <c r="N65" i="2"/>
  <c r="T78" i="2"/>
  <c r="T66" i="2"/>
  <c r="P53" i="2"/>
  <c r="R45" i="2"/>
  <c r="R22" i="2"/>
  <c r="AJ51" i="2"/>
  <c r="AH90" i="2"/>
  <c r="X44" i="2"/>
  <c r="R48" i="2"/>
  <c r="P23" i="2"/>
  <c r="AD34" i="2"/>
  <c r="P40" i="2"/>
  <c r="T73" i="2"/>
  <c r="T88" i="2"/>
  <c r="X88" i="2"/>
  <c r="R65" i="2"/>
  <c r="AF78" i="2"/>
  <c r="AD80" i="2"/>
  <c r="X13" i="2"/>
  <c r="AB13" i="2"/>
  <c r="P88" i="2"/>
  <c r="N9" i="2"/>
  <c r="P73" i="2"/>
  <c r="AJ11" i="2"/>
  <c r="AF19" i="2"/>
  <c r="V83" i="2"/>
  <c r="T13" i="2"/>
  <c r="X86" i="2"/>
  <c r="AF13" i="2"/>
  <c r="AB66" i="2"/>
  <c r="AD65" i="2"/>
  <c r="R80" i="2"/>
  <c r="AH45" i="2"/>
  <c r="AB51" i="2"/>
  <c r="X66" i="2"/>
  <c r="AB69" i="2"/>
  <c r="P66" i="2"/>
  <c r="AD45" i="2"/>
  <c r="P69" i="2"/>
  <c r="N70" i="2"/>
  <c r="AB63" i="2"/>
  <c r="AD48" i="2"/>
  <c r="T23" i="2"/>
  <c r="R34" i="2"/>
  <c r="AJ78" i="2"/>
  <c r="AJ20" i="2"/>
  <c r="AB40" i="2"/>
  <c r="AF66" i="2"/>
  <c r="AD70" i="2"/>
  <c r="R44" i="2"/>
  <c r="AD69" i="2"/>
  <c r="P16" i="2"/>
  <c r="AJ63" i="2"/>
  <c r="AB16" i="2"/>
  <c r="Z48" i="2"/>
  <c r="Z34" i="2"/>
  <c r="AF75" i="2"/>
  <c r="X20" i="2"/>
  <c r="T34" i="2"/>
  <c r="AD89" i="2"/>
  <c r="P86" i="2"/>
  <c r="X42" i="2"/>
  <c r="AB78" i="2"/>
  <c r="AJ88" i="2"/>
  <c r="AB88" i="2"/>
  <c r="AB65" i="2"/>
  <c r="Z80" i="2"/>
  <c r="V37" i="2"/>
  <c r="AF69" i="2"/>
  <c r="AH41" i="2"/>
  <c r="X53" i="2"/>
  <c r="Z45" i="2"/>
  <c r="P51" i="2"/>
  <c r="P78" i="2"/>
  <c r="T53" i="2"/>
  <c r="X51" i="2"/>
  <c r="Z90" i="2"/>
  <c r="AD50" i="2"/>
  <c r="AF53" i="2"/>
  <c r="T20" i="2"/>
  <c r="AJ53" i="2"/>
  <c r="AH22" i="2"/>
  <c r="Z22" i="2"/>
  <c r="AB20" i="2"/>
  <c r="R70" i="2"/>
  <c r="AD44" i="2"/>
  <c r="P63" i="2"/>
  <c r="X34" i="2"/>
  <c r="T10" i="2"/>
  <c r="AJ72" i="2"/>
  <c r="Z82" i="2"/>
  <c r="X9" i="2"/>
  <c r="N66" i="2"/>
  <c r="AF62" i="2"/>
  <c r="N86" i="2"/>
  <c r="P79" i="2"/>
  <c r="N83" i="2"/>
  <c r="Z66" i="2"/>
  <c r="R83" i="2"/>
  <c r="AH77" i="2"/>
  <c r="X62" i="2"/>
  <c r="V89" i="2"/>
  <c r="V70" i="2"/>
  <c r="AF85" i="2"/>
  <c r="AB85" i="2"/>
  <c r="T85" i="2"/>
  <c r="X55" i="2"/>
  <c r="AJ55" i="2"/>
  <c r="AF55" i="2"/>
  <c r="N23" i="2"/>
  <c r="N82" i="2"/>
  <c r="T72" i="2"/>
  <c r="AB9" i="2"/>
  <c r="AD82" i="2"/>
  <c r="T52" i="2"/>
  <c r="P52" i="2"/>
  <c r="AF72" i="2"/>
  <c r="V66" i="2"/>
  <c r="AB72" i="2"/>
  <c r="R86" i="2"/>
  <c r="T62" i="2"/>
  <c r="AD86" i="2"/>
  <c r="P75" i="2"/>
  <c r="AB79" i="2"/>
  <c r="V67" i="2"/>
  <c r="AB21" i="2"/>
  <c r="V77" i="2"/>
  <c r="T9" i="2"/>
  <c r="AF89" i="2"/>
  <c r="AF41" i="2"/>
  <c r="AJ41" i="2"/>
  <c r="AB41" i="2"/>
  <c r="X52" i="2"/>
  <c r="X89" i="2"/>
  <c r="T65" i="2"/>
  <c r="B34" i="3"/>
  <c r="P18" i="2"/>
  <c r="K14" i="3"/>
  <c r="R9" i="2"/>
  <c r="V69" i="2"/>
  <c r="N69" i="2"/>
  <c r="R23" i="2"/>
  <c r="X72" i="2"/>
  <c r="P62" i="2"/>
  <c r="T79" i="2"/>
  <c r="AD66" i="2"/>
  <c r="R67" i="2"/>
  <c r="AF9" i="2"/>
  <c r="P9" i="2"/>
  <c r="T75" i="2"/>
  <c r="Z67" i="2"/>
  <c r="AH82" i="2"/>
  <c r="Z89" i="2"/>
  <c r="R89" i="2"/>
  <c r="AB75" i="2"/>
  <c r="AF79" i="2"/>
  <c r="AH67" i="2"/>
  <c r="AB52" i="2"/>
  <c r="N89" i="2"/>
  <c r="AJ52" i="2"/>
  <c r="AJ65" i="2"/>
  <c r="AF18" i="2"/>
  <c r="R50" i="2"/>
  <c r="Z9" i="2"/>
  <c r="AJ17" i="2"/>
  <c r="P17" i="2"/>
  <c r="AD23" i="2"/>
  <c r="P21" i="2"/>
  <c r="T21" i="2"/>
  <c r="AH86" i="2"/>
  <c r="P26" i="2"/>
  <c r="AB26" i="2"/>
  <c r="X26" i="2"/>
  <c r="AF26" i="2"/>
  <c r="AF21" i="2"/>
  <c r="R57" i="2"/>
  <c r="N57" i="2"/>
  <c r="AD57" i="2"/>
  <c r="Z57" i="2"/>
  <c r="AD19" i="2"/>
  <c r="Z19" i="2"/>
  <c r="R19" i="2"/>
  <c r="N19" i="2"/>
  <c r="T89" i="2"/>
  <c r="AB89" i="2"/>
  <c r="V19" i="2"/>
  <c r="AD67" i="2"/>
  <c r="V82" i="2"/>
  <c r="AJ19" i="2"/>
  <c r="AB19" i="2"/>
  <c r="X19" i="2"/>
  <c r="R66" i="2"/>
  <c r="AB62" i="2"/>
  <c r="AF11" i="2"/>
  <c r="P11" i="2"/>
  <c r="AB11" i="2"/>
  <c r="T11" i="2"/>
  <c r="AD77" i="2"/>
  <c r="N77" i="2"/>
  <c r="AJ21" i="2"/>
  <c r="AH83" i="2"/>
  <c r="AD83" i="2"/>
  <c r="R77" i="2"/>
  <c r="AF52" i="2"/>
  <c r="P89" i="2"/>
  <c r="X65" i="2"/>
  <c r="AH50" i="2"/>
  <c r="P10" i="2"/>
  <c r="AD9" i="2"/>
  <c r="AH23" i="2"/>
  <c r="V57" i="2"/>
  <c r="AB18" i="2"/>
  <c r="V50" i="2"/>
  <c r="R90" i="2"/>
  <c r="N90" i="2"/>
  <c r="AH79" i="2"/>
  <c r="N79" i="2"/>
  <c r="AD79" i="2"/>
  <c r="R79" i="2"/>
  <c r="V79" i="2"/>
  <c r="Z79" i="2"/>
  <c r="T14" i="2"/>
  <c r="AB14" i="2"/>
  <c r="X14" i="2"/>
  <c r="AF14" i="2"/>
  <c r="AJ14" i="2"/>
  <c r="P14" i="2"/>
  <c r="V34" i="2"/>
  <c r="X58" i="2"/>
  <c r="P58" i="2"/>
  <c r="T58" i="2"/>
  <c r="AJ58" i="2"/>
  <c r="AB58" i="2"/>
  <c r="AF58" i="2"/>
  <c r="AD72" i="2"/>
  <c r="Z72" i="2"/>
  <c r="AH72" i="2"/>
  <c r="V72" i="2"/>
  <c r="R72" i="2"/>
  <c r="N72" i="2"/>
  <c r="X91" i="2"/>
  <c r="AJ91" i="2"/>
  <c r="T91" i="2"/>
  <c r="P91" i="2"/>
  <c r="AF91" i="2"/>
  <c r="AB91" i="2"/>
  <c r="U9" i="3"/>
  <c r="M9" i="3"/>
  <c r="Q9" i="3"/>
  <c r="AB36" i="2"/>
  <c r="X36" i="2"/>
  <c r="AF36" i="2"/>
  <c r="T36" i="2"/>
  <c r="AJ36" i="2"/>
  <c r="P36" i="2"/>
  <c r="X67" i="2"/>
  <c r="T29" i="2"/>
  <c r="AB29" i="2"/>
  <c r="X29" i="2"/>
  <c r="AJ29" i="2"/>
  <c r="P29" i="2"/>
  <c r="AF29" i="2"/>
  <c r="AH33" i="2"/>
  <c r="Z33" i="2"/>
  <c r="N33" i="2"/>
  <c r="R33" i="2"/>
  <c r="V33" i="2"/>
  <c r="AD33" i="2"/>
  <c r="AB15" i="2"/>
  <c r="X15" i="2"/>
  <c r="T15" i="2"/>
  <c r="AJ15" i="2"/>
  <c r="AF15" i="2"/>
  <c r="P15" i="2"/>
  <c r="V63" i="2"/>
  <c r="V92" i="2"/>
  <c r="R92" i="2"/>
  <c r="AH92" i="2"/>
  <c r="N92" i="2"/>
  <c r="AD92" i="2"/>
  <c r="Z92" i="2"/>
  <c r="T60" i="2"/>
  <c r="AB60" i="2"/>
  <c r="P60" i="2"/>
  <c r="X60" i="2"/>
  <c r="AJ60" i="2"/>
  <c r="AF60" i="2"/>
  <c r="X81" i="2"/>
  <c r="AB81" i="2"/>
  <c r="T81" i="2"/>
  <c r="AF81" i="2"/>
  <c r="AJ81" i="2"/>
  <c r="P81" i="2"/>
  <c r="AF84" i="2"/>
  <c r="T84" i="2"/>
  <c r="AB84" i="2"/>
  <c r="AJ84" i="2"/>
  <c r="X84" i="2"/>
  <c r="P84" i="2"/>
  <c r="T54" i="2"/>
  <c r="AF54" i="2"/>
  <c r="P54" i="2"/>
  <c r="AJ54" i="2"/>
  <c r="AB54" i="2"/>
  <c r="X54" i="2"/>
  <c r="AH32" i="2"/>
  <c r="Z32" i="2"/>
  <c r="AD32" i="2"/>
  <c r="N32" i="2"/>
  <c r="R32" i="2"/>
  <c r="V32" i="2"/>
  <c r="X73" i="2"/>
  <c r="V73" i="2"/>
  <c r="AB28" i="2"/>
  <c r="X28" i="2"/>
  <c r="AJ28" i="2"/>
  <c r="T28" i="2"/>
  <c r="AF28" i="2"/>
  <c r="P28" i="2"/>
  <c r="V86" i="2"/>
  <c r="AH38" i="2"/>
  <c r="AD38" i="2"/>
  <c r="N38" i="2"/>
  <c r="V38" i="2"/>
  <c r="Z38" i="2"/>
  <c r="R38" i="2"/>
  <c r="AJ56" i="2"/>
  <c r="AB56" i="2"/>
  <c r="X56" i="2"/>
  <c r="T56" i="2"/>
  <c r="P56" i="2"/>
  <c r="AF56" i="2"/>
  <c r="T43" i="2"/>
  <c r="X43" i="2"/>
  <c r="AJ43" i="2"/>
  <c r="AF43" i="2"/>
  <c r="AB43" i="2"/>
  <c r="P43" i="2"/>
  <c r="AB25" i="2"/>
  <c r="X25" i="2"/>
  <c r="AF25" i="2"/>
  <c r="T25" i="2"/>
  <c r="P25" i="2"/>
  <c r="AJ25" i="2"/>
  <c r="AD56" i="2"/>
  <c r="R56" i="2"/>
  <c r="Z56" i="2"/>
  <c r="N56" i="2"/>
  <c r="V56" i="2"/>
  <c r="AH56" i="2"/>
  <c r="V44" i="2"/>
  <c r="V12" i="2"/>
  <c r="R12" i="2"/>
  <c r="AH12" i="2"/>
  <c r="Z12" i="2"/>
  <c r="AD12" i="2"/>
  <c r="N12" i="2"/>
  <c r="P46" i="2"/>
  <c r="T46" i="2"/>
  <c r="AF46" i="2"/>
  <c r="AB46" i="2"/>
  <c r="X46" i="2"/>
  <c r="AJ46" i="2"/>
  <c r="AD39" i="2"/>
  <c r="Z39" i="2"/>
  <c r="AH39" i="2"/>
  <c r="N39" i="2"/>
  <c r="V39" i="2"/>
  <c r="R39" i="2"/>
  <c r="AD88" i="2"/>
  <c r="N88" i="2"/>
  <c r="V88" i="2"/>
  <c r="Z88" i="2"/>
  <c r="R88" i="2"/>
  <c r="AH88" i="2"/>
  <c r="AF39" i="2"/>
  <c r="AB39" i="2"/>
  <c r="AJ39" i="2"/>
  <c r="X39" i="2"/>
  <c r="T39" i="2"/>
  <c r="P39" i="2"/>
  <c r="V58" i="2"/>
  <c r="AD58" i="2"/>
  <c r="AH58" i="2"/>
  <c r="Z58" i="2"/>
  <c r="R58" i="2"/>
  <c r="N58" i="2"/>
  <c r="AJ32" i="2"/>
  <c r="AF32" i="2"/>
  <c r="T32" i="2"/>
  <c r="P32" i="2"/>
  <c r="X32" i="2"/>
  <c r="AB32" i="2"/>
  <c r="R85" i="2"/>
  <c r="AD85" i="2"/>
  <c r="Z85" i="2"/>
  <c r="V85" i="2"/>
  <c r="N85" i="2"/>
  <c r="AH85" i="2"/>
  <c r="X41" i="2"/>
  <c r="Z46" i="2"/>
  <c r="R46" i="2"/>
  <c r="N46" i="2"/>
  <c r="AD46" i="2"/>
  <c r="V46" i="2"/>
  <c r="AH46" i="2"/>
  <c r="T90" i="2"/>
  <c r="AJ90" i="2"/>
  <c r="AF90" i="2"/>
  <c r="X90" i="2"/>
  <c r="AB90" i="2"/>
  <c r="P90" i="2"/>
  <c r="AB22" i="2"/>
  <c r="AF22" i="2"/>
  <c r="AJ22" i="2"/>
  <c r="P22" i="2"/>
  <c r="X22" i="2"/>
  <c r="T22" i="2"/>
  <c r="Z76" i="2"/>
  <c r="R76" i="2"/>
  <c r="AD76" i="2"/>
  <c r="AH76" i="2"/>
  <c r="V76" i="2"/>
  <c r="N76" i="2"/>
  <c r="X80" i="2"/>
  <c r="V29" i="2"/>
  <c r="Z29" i="2"/>
  <c r="AH29" i="2"/>
  <c r="R29" i="2"/>
  <c r="N29" i="2"/>
  <c r="AD29" i="2"/>
  <c r="V35" i="2"/>
  <c r="Q14" i="3"/>
  <c r="M14" i="3"/>
  <c r="U14" i="3"/>
  <c r="P82" i="2"/>
  <c r="AB82" i="2"/>
  <c r="AJ82" i="2"/>
  <c r="T82" i="2"/>
  <c r="X82" i="2"/>
  <c r="AF82" i="2"/>
  <c r="X74" i="2"/>
  <c r="V74" i="2"/>
  <c r="V14" i="2"/>
  <c r="Z14" i="2"/>
  <c r="AH14" i="2"/>
  <c r="N14" i="2"/>
  <c r="AD14" i="2"/>
  <c r="R14" i="2"/>
  <c r="X71" i="2"/>
  <c r="T71" i="2"/>
  <c r="AJ71" i="2"/>
  <c r="AF71" i="2"/>
  <c r="AB71" i="2"/>
  <c r="P71" i="2"/>
  <c r="AD54" i="2"/>
  <c r="AH54" i="2"/>
  <c r="N54" i="2"/>
  <c r="V54" i="2"/>
  <c r="Z54" i="2"/>
  <c r="R54" i="2"/>
  <c r="AD25" i="2"/>
  <c r="Z25" i="2"/>
  <c r="V25" i="2"/>
  <c r="N25" i="2"/>
  <c r="R25" i="2"/>
  <c r="AH25" i="2"/>
  <c r="N28" i="2"/>
  <c r="V28" i="2"/>
  <c r="AH28" i="2"/>
  <c r="AD28" i="2"/>
  <c r="Z28" i="2"/>
  <c r="R28" i="2"/>
  <c r="V45" i="2"/>
  <c r="X45" i="2"/>
  <c r="Z81" i="2"/>
  <c r="AH81" i="2"/>
  <c r="V81" i="2"/>
  <c r="R81" i="2"/>
  <c r="AD81" i="2"/>
  <c r="N81" i="2"/>
  <c r="AD49" i="2"/>
  <c r="AH49" i="2"/>
  <c r="V49" i="2"/>
  <c r="R49" i="2"/>
  <c r="Z49" i="2"/>
  <c r="N49" i="2"/>
  <c r="T12" i="2"/>
  <c r="AJ12" i="2"/>
  <c r="AF12" i="2"/>
  <c r="AB12" i="2"/>
  <c r="X12" i="2"/>
  <c r="P12" i="2"/>
  <c r="Z36" i="2"/>
  <c r="R36" i="2"/>
  <c r="N36" i="2"/>
  <c r="AH36" i="2"/>
  <c r="V36" i="2"/>
  <c r="AD36" i="2"/>
  <c r="T49" i="2"/>
  <c r="AF49" i="2"/>
  <c r="P49" i="2"/>
  <c r="AB49" i="2"/>
  <c r="X49" i="2"/>
  <c r="AJ49" i="2"/>
  <c r="AH62" i="2"/>
  <c r="R62" i="2"/>
  <c r="V62" i="2"/>
  <c r="N62" i="2"/>
  <c r="AD62" i="2"/>
  <c r="Z62" i="2"/>
  <c r="O13" i="3"/>
  <c r="S13" i="3"/>
  <c r="K13" i="3"/>
  <c r="K17" i="3" l="1"/>
  <c r="O17" i="3"/>
  <c r="C43" i="1"/>
  <c r="C73" i="1"/>
  <c r="C40" i="1"/>
  <c r="C38" i="1"/>
  <c r="C83" i="1"/>
  <c r="C42" i="1"/>
  <c r="C59" i="1"/>
  <c r="C41" i="1"/>
  <c r="C39" i="1"/>
  <c r="C37" i="1"/>
  <c r="C69" i="1"/>
  <c r="C44" i="1"/>
  <c r="C84" i="1"/>
  <c r="H29" i="3"/>
  <c r="H30" i="3"/>
  <c r="H31" i="3"/>
  <c r="H25" i="3"/>
  <c r="H24" i="3"/>
  <c r="H22" i="3"/>
  <c r="V93" i="2"/>
  <c r="AJ93" i="2"/>
  <c r="R93" i="2"/>
  <c r="AD93" i="2"/>
  <c r="X93" i="2"/>
  <c r="Z93" i="2"/>
  <c r="Q17" i="3"/>
  <c r="AB93" i="2"/>
  <c r="AH93" i="2"/>
  <c r="T93" i="2"/>
  <c r="M17" i="3"/>
  <c r="AF93" i="2"/>
  <c r="P93" i="2"/>
  <c r="N93" i="2"/>
  <c r="S17" i="3"/>
  <c r="U17" i="3"/>
</calcChain>
</file>

<file path=xl/sharedStrings.xml><?xml version="1.0" encoding="utf-8"?>
<sst xmlns="http://schemas.openxmlformats.org/spreadsheetml/2006/main" count="821" uniqueCount="284">
  <si>
    <t>Table 1</t>
  </si>
  <si>
    <t>Input Cooling Tower Rates and Parameters</t>
  </si>
  <si>
    <t>Intel Corporation</t>
  </si>
  <si>
    <r>
      <t xml:space="preserve">Toxics Emissions
Sub-Unit (TESU) ID </t>
    </r>
    <r>
      <rPr>
        <b/>
        <vertAlign val="superscript"/>
        <sz val="9"/>
        <rFont val="Century Gothic"/>
        <family val="2"/>
      </rPr>
      <t>(1)</t>
    </r>
  </si>
  <si>
    <t>Site</t>
  </si>
  <si>
    <t>Building</t>
  </si>
  <si>
    <r>
      <t xml:space="preserve">Maximum Recirculation Rate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(GPM)</t>
    </r>
  </si>
  <si>
    <r>
      <t xml:space="preserve">Average Recirculation Rate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(GPM)</t>
    </r>
  </si>
  <si>
    <r>
      <t xml:space="preserve">Drift Loss of Circulating Water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(%)</t>
    </r>
  </si>
  <si>
    <t>Stack ID</t>
  </si>
  <si>
    <t>RAC4-CT114-1</t>
  </si>
  <si>
    <t>Ronler Acres</t>
  </si>
  <si>
    <t>CUB4</t>
  </si>
  <si>
    <t>CTC4_01</t>
  </si>
  <si>
    <t>RAC4-CT114-2</t>
  </si>
  <si>
    <t>CTC4_02</t>
  </si>
  <si>
    <t>RAC4-CT114-3</t>
  </si>
  <si>
    <t>CTC4_03</t>
  </si>
  <si>
    <t>RAC4-CT114-4</t>
  </si>
  <si>
    <t>CTC4_04</t>
  </si>
  <si>
    <t>RAC4-CT114-5</t>
  </si>
  <si>
    <t>CTC4_05</t>
  </si>
  <si>
    <t>RAC4-CT114-6</t>
  </si>
  <si>
    <t>CTC4_06</t>
  </si>
  <si>
    <t>RAC4-CT114-7</t>
  </si>
  <si>
    <t>CTC4_07</t>
  </si>
  <si>
    <t>RAC4-CT114-8</t>
  </si>
  <si>
    <t>CTC4_08</t>
  </si>
  <si>
    <t>RAC4-CT114-9</t>
  </si>
  <si>
    <t>CTC4_09</t>
  </si>
  <si>
    <t>RAC4-CT114-10</t>
  </si>
  <si>
    <t>CTC4_10</t>
  </si>
  <si>
    <t>RAC4-CT114-11</t>
  </si>
  <si>
    <t>CTC4_11</t>
  </si>
  <si>
    <t>RAC4-CT114-12</t>
  </si>
  <si>
    <t>CTC4_12</t>
  </si>
  <si>
    <t>RAC4-CT114-13</t>
  </si>
  <si>
    <t>CTC4_13</t>
  </si>
  <si>
    <t>RAC4-CT114-14</t>
  </si>
  <si>
    <t>CTC4_14</t>
  </si>
  <si>
    <t>RAC4-CT114-15</t>
  </si>
  <si>
    <t>CTC4_15</t>
  </si>
  <si>
    <t>RAC4-CT114-16</t>
  </si>
  <si>
    <t>CTC4_16</t>
  </si>
  <si>
    <t>RAC4-CT114-17</t>
  </si>
  <si>
    <t>CUB4X</t>
  </si>
  <si>
    <t>CTC4_17</t>
  </si>
  <si>
    <t>RAC4-CT114-18</t>
  </si>
  <si>
    <t>CTC4_18</t>
  </si>
  <si>
    <t>RAC4-CT114-19</t>
  </si>
  <si>
    <t>CTC4_19</t>
  </si>
  <si>
    <t>RAC4-CT114-20</t>
  </si>
  <si>
    <t>CTC4_20</t>
  </si>
  <si>
    <t>RAC5-CT115-1</t>
  </si>
  <si>
    <t>CUB5</t>
  </si>
  <si>
    <t>CTC5_01</t>
  </si>
  <si>
    <t>RAC5-CT115-2</t>
  </si>
  <si>
    <t>CTC5_02</t>
  </si>
  <si>
    <t>RAC5-CT115-3</t>
  </si>
  <si>
    <t>CTC5_03</t>
  </si>
  <si>
    <t>RAC5-CT115-4</t>
  </si>
  <si>
    <t>CTC5_04</t>
  </si>
  <si>
    <t>RAC5-CT115-5</t>
  </si>
  <si>
    <t>CTC5_05</t>
  </si>
  <si>
    <t>RAC5-CT115-6</t>
  </si>
  <si>
    <t>CTC5_06</t>
  </si>
  <si>
    <t>RAC5-CT115-7</t>
  </si>
  <si>
    <t>CTC5_07</t>
  </si>
  <si>
    <t>RAC5-CT115-8</t>
  </si>
  <si>
    <t>CTC5_08</t>
  </si>
  <si>
    <t>RA5-CT114-1</t>
  </si>
  <si>
    <t>RA5</t>
  </si>
  <si>
    <t>CTR5_01</t>
  </si>
  <si>
    <t>RA6-CT114-1</t>
  </si>
  <si>
    <t>RA6</t>
  </si>
  <si>
    <t>CTR6_01</t>
  </si>
  <si>
    <t>RAC5-CT115-9</t>
  </si>
  <si>
    <t>CTC5_09</t>
  </si>
  <si>
    <t>RAC5-CT115-10</t>
  </si>
  <si>
    <t>CTC5_10</t>
  </si>
  <si>
    <t>RAC5-CT115-11</t>
  </si>
  <si>
    <t>CTC5_11</t>
  </si>
  <si>
    <t>RAC5-CT115-12</t>
  </si>
  <si>
    <t>CTC5_12</t>
  </si>
  <si>
    <t>RAC5-CT115-13</t>
  </si>
  <si>
    <t>CTC5_13</t>
  </si>
  <si>
    <t>RAC5-CT115-14</t>
  </si>
  <si>
    <t>CTC5_14</t>
  </si>
  <si>
    <t>RAC5-CT115-15</t>
  </si>
  <si>
    <t>CTC5_15</t>
  </si>
  <si>
    <t>RAC5-CT115-16</t>
  </si>
  <si>
    <t>CTC5_16</t>
  </si>
  <si>
    <t>RAC5-CT115-17</t>
  </si>
  <si>
    <t>CTC5_17</t>
  </si>
  <si>
    <t>CT-114-1-210</t>
  </si>
  <si>
    <t>CUB3</t>
  </si>
  <si>
    <t>CTC3_01</t>
  </si>
  <si>
    <t>CT-114-2-210</t>
  </si>
  <si>
    <t>CTC3_02</t>
  </si>
  <si>
    <t>CT-114-3-210</t>
  </si>
  <si>
    <t>CTC3_03</t>
  </si>
  <si>
    <t>CT-114-4-210</t>
  </si>
  <si>
    <t>CTC3_04</t>
  </si>
  <si>
    <t>CT-114-5-210</t>
  </si>
  <si>
    <t>CTC3_05</t>
  </si>
  <si>
    <t>CUB3-CT114-21-10</t>
  </si>
  <si>
    <t>CUB3X</t>
  </si>
  <si>
    <t>CTC3_06</t>
  </si>
  <si>
    <t>CUB3-CT114-22-10</t>
  </si>
  <si>
    <t>CTC3_07</t>
  </si>
  <si>
    <t>CUB3-CT114-23-10</t>
  </si>
  <si>
    <t>CTC3_08</t>
  </si>
  <si>
    <t>CUB3-CT114-24-10</t>
  </si>
  <si>
    <t>CTC3_09</t>
  </si>
  <si>
    <t>CUB3-CT114-25-10</t>
  </si>
  <si>
    <t>CTC3_10</t>
  </si>
  <si>
    <t>CUB3-CT114-26-10</t>
  </si>
  <si>
    <t>CTC3_11</t>
  </si>
  <si>
    <t>RP1-CT114-1-200</t>
  </si>
  <si>
    <t>RP1</t>
  </si>
  <si>
    <t>CTRP1_01</t>
  </si>
  <si>
    <t>RP1-CT114-2-200</t>
  </si>
  <si>
    <t>CTRP1_02</t>
  </si>
  <si>
    <t>RP1-CT114-3-00</t>
  </si>
  <si>
    <t>CTRP1_03</t>
  </si>
  <si>
    <t>CUB2-CT114-1-210</t>
  </si>
  <si>
    <t>CUB2</t>
  </si>
  <si>
    <t>CTC2_01</t>
  </si>
  <si>
    <t>CUB2-CT114-2-210</t>
  </si>
  <si>
    <t>CTC2_02</t>
  </si>
  <si>
    <t>CUB2-CT114-3-210</t>
  </si>
  <si>
    <t>CTC2_03</t>
  </si>
  <si>
    <t>CUB2-CT114-4-210</t>
  </si>
  <si>
    <t>CTC2_04</t>
  </si>
  <si>
    <t>CUB2-CT114-5-210</t>
  </si>
  <si>
    <t>CTC2_05</t>
  </si>
  <si>
    <t>CUB2-CT114-6-210</t>
  </si>
  <si>
    <t>CTC2_06</t>
  </si>
  <si>
    <t>CUB2-CT114-7-210</t>
  </si>
  <si>
    <t>CTC2_07</t>
  </si>
  <si>
    <t>CUB2-CT114-8-210</t>
  </si>
  <si>
    <t>CTC2_08</t>
  </si>
  <si>
    <t>CUB2-CT114-9-210</t>
  </si>
  <si>
    <t>CTC2_09</t>
  </si>
  <si>
    <t>CUB2-CT114-10-210</t>
  </si>
  <si>
    <t>CTC2_10</t>
  </si>
  <si>
    <t>CUB2-CT114-11-10</t>
  </si>
  <si>
    <t>CUB2X</t>
  </si>
  <si>
    <t>CTC2_11</t>
  </si>
  <si>
    <t>CUB2-CT114-12-10</t>
  </si>
  <si>
    <t>CTC2_12</t>
  </si>
  <si>
    <t>CUB2-CT114-13-10</t>
  </si>
  <si>
    <t>CTC2_13</t>
  </si>
  <si>
    <t>CUB2-CT114-14-10</t>
  </si>
  <si>
    <t>CTC2_14</t>
  </si>
  <si>
    <t>F20-CT114-1-210</t>
  </si>
  <si>
    <t>CUB1</t>
  </si>
  <si>
    <t>CTC1_01</t>
  </si>
  <si>
    <t>F20-CT114-2-210</t>
  </si>
  <si>
    <t>CTC1_02</t>
  </si>
  <si>
    <t>F20-CT114-3-210</t>
  </si>
  <si>
    <t>CTC1_03</t>
  </si>
  <si>
    <t>F20-CT114-4-210</t>
  </si>
  <si>
    <t>CTC1_04</t>
  </si>
  <si>
    <t>F20-CT114-5-210</t>
  </si>
  <si>
    <t>CTC1_05</t>
  </si>
  <si>
    <t>F20-CT114-6-210</t>
  </si>
  <si>
    <t>CTC1_06</t>
  </si>
  <si>
    <t>F20-CT114-7-210</t>
  </si>
  <si>
    <t>CTC1_07</t>
  </si>
  <si>
    <t>F20-CT114-8-210</t>
  </si>
  <si>
    <t>CTC1_08</t>
  </si>
  <si>
    <t>F20-CT114-9-210</t>
  </si>
  <si>
    <t>CTC1_09</t>
  </si>
  <si>
    <t>F20-CT114-10-210</t>
  </si>
  <si>
    <t>CTC1_10</t>
  </si>
  <si>
    <t>F20-CT114-11-210</t>
  </si>
  <si>
    <t>CTC1_11</t>
  </si>
  <si>
    <t>N2-CT114-1</t>
  </si>
  <si>
    <t>N2 Plant</t>
  </si>
  <si>
    <t>CTN2_01</t>
  </si>
  <si>
    <t>N2-CT114-2</t>
  </si>
  <si>
    <t>CTN2_02</t>
  </si>
  <si>
    <t>N2-CT114-3</t>
  </si>
  <si>
    <t>CTN2_03</t>
  </si>
  <si>
    <t>RACB3-CT-114-1-35</t>
  </si>
  <si>
    <t>PCB-1</t>
  </si>
  <si>
    <t>CTCB_01</t>
  </si>
  <si>
    <t>RACB3-CT-114-2-35</t>
  </si>
  <si>
    <t>CTCB_02</t>
  </si>
  <si>
    <t>RACB3-CT-114-3-35</t>
  </si>
  <si>
    <t>CTCB_03</t>
  </si>
  <si>
    <t>AL4-CHW-CT2</t>
  </si>
  <si>
    <t>Aloha</t>
  </si>
  <si>
    <t>AL4</t>
  </si>
  <si>
    <t>CTA4_01</t>
  </si>
  <si>
    <t>AL4-CHW-CT3</t>
  </si>
  <si>
    <t>CTA4_02</t>
  </si>
  <si>
    <t>F15-CT29-1-1</t>
  </si>
  <si>
    <t>F15</t>
  </si>
  <si>
    <t>CTF15_01</t>
  </si>
  <si>
    <t>F15-CT29-1-2</t>
  </si>
  <si>
    <t>CTF15_02</t>
  </si>
  <si>
    <t>F15-CT29-1-3</t>
  </si>
  <si>
    <t>CTF15_03</t>
  </si>
  <si>
    <t>F15-CT29-1-4</t>
  </si>
  <si>
    <t>CTF15_04</t>
  </si>
  <si>
    <t>F15-CT29-1-5</t>
  </si>
  <si>
    <t>CTF15_05</t>
  </si>
  <si>
    <t>F15-CT29-1-6-1</t>
  </si>
  <si>
    <t>CTF15_06</t>
  </si>
  <si>
    <t>References</t>
  </si>
  <si>
    <t>(1)</t>
  </si>
  <si>
    <t>Only those cooling towers dosed with chemicals listed in OAR 340-245-8040 were included.</t>
  </si>
  <si>
    <t>(2)</t>
  </si>
  <si>
    <t>Information provided by Intel Corporation based on vendor specifications.</t>
  </si>
  <si>
    <t>(3)</t>
  </si>
  <si>
    <t>Equipment is planned for future use.</t>
  </si>
  <si>
    <t>Table 2</t>
  </si>
  <si>
    <t>Cooling Towers TAC Emission Estimates—Ronler Campus</t>
  </si>
  <si>
    <t>Source</t>
  </si>
  <si>
    <r>
      <t xml:space="preserve">Drift Loss of Circulating Water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(%)</t>
    </r>
  </si>
  <si>
    <r>
      <t xml:space="preserve">Recirculation Flow Rate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(GPM)</t>
    </r>
  </si>
  <si>
    <t>Drift Loss</t>
  </si>
  <si>
    <r>
      <t>TAC Concentration</t>
    </r>
    <r>
      <rPr>
        <b/>
        <vertAlign val="superscript"/>
        <sz val="9"/>
        <rFont val="Century Gothic"/>
        <family val="2"/>
      </rPr>
      <t xml:space="preserve">
</t>
    </r>
    <r>
      <rPr>
        <b/>
        <sz val="9"/>
        <rFont val="Century Gothic"/>
        <family val="2"/>
      </rPr>
      <t xml:space="preserve"> (ppm)</t>
    </r>
  </si>
  <si>
    <t>Emissions Estimate</t>
  </si>
  <si>
    <t>Glutaraldehyde</t>
  </si>
  <si>
    <t>Methanol</t>
  </si>
  <si>
    <t>Aluminum</t>
  </si>
  <si>
    <t>Copper</t>
  </si>
  <si>
    <t>Phosphoric Acid</t>
  </si>
  <si>
    <t>Sulfuric Acid</t>
  </si>
  <si>
    <t>111-30-8</t>
  </si>
  <si>
    <t>67-56-1</t>
  </si>
  <si>
    <t>7429-90-5</t>
  </si>
  <si>
    <t>7440-50-8</t>
  </si>
  <si>
    <t>7664-38-2</t>
  </si>
  <si>
    <t>7664-93-9</t>
  </si>
  <si>
    <t>Maximum Daily</t>
  </si>
  <si>
    <t>Average Annual</t>
  </si>
  <si>
    <r>
      <t xml:space="preserve">Daily </t>
    </r>
    <r>
      <rPr>
        <b/>
        <vertAlign val="superscript"/>
        <sz val="9"/>
        <color theme="1"/>
        <rFont val="Century Gothic"/>
        <family val="2"/>
      </rPr>
      <t>(a)</t>
    </r>
    <r>
      <rPr>
        <b/>
        <sz val="9"/>
        <color theme="1"/>
        <rFont val="Century Gothic"/>
        <family val="2"/>
      </rPr>
      <t xml:space="preserve">
(lb/day)</t>
    </r>
  </si>
  <si>
    <r>
      <t xml:space="preserve">Annual </t>
    </r>
    <r>
      <rPr>
        <b/>
        <vertAlign val="superscript"/>
        <sz val="9"/>
        <color theme="1"/>
        <rFont val="Century Gothic"/>
        <family val="2"/>
      </rPr>
      <t>(b)</t>
    </r>
    <r>
      <rPr>
        <b/>
        <sz val="9"/>
        <color theme="1"/>
        <rFont val="Century Gothic"/>
        <family val="2"/>
      </rPr>
      <t xml:space="preserve">
(lb/yr)</t>
    </r>
  </si>
  <si>
    <r>
      <t xml:space="preserve">Glutaraldehyde </t>
    </r>
    <r>
      <rPr>
        <b/>
        <vertAlign val="superscript"/>
        <sz val="9"/>
        <color theme="1"/>
        <rFont val="Century Gothic"/>
        <family val="2"/>
      </rPr>
      <t>(4)</t>
    </r>
  </si>
  <si>
    <r>
      <t xml:space="preserve">Methanol </t>
    </r>
    <r>
      <rPr>
        <b/>
        <vertAlign val="superscript"/>
        <sz val="9"/>
        <color theme="1"/>
        <rFont val="Century Gothic"/>
        <family val="2"/>
      </rPr>
      <t>(4)</t>
    </r>
  </si>
  <si>
    <r>
      <t xml:space="preserve">Aluminum </t>
    </r>
    <r>
      <rPr>
        <b/>
        <vertAlign val="superscript"/>
        <sz val="9"/>
        <color theme="1"/>
        <rFont val="Century Gothic"/>
        <family val="2"/>
      </rPr>
      <t>(c)</t>
    </r>
  </si>
  <si>
    <r>
      <t xml:space="preserve">Copper </t>
    </r>
    <r>
      <rPr>
        <b/>
        <vertAlign val="superscript"/>
        <sz val="9"/>
        <color theme="1"/>
        <rFont val="Century Gothic"/>
        <family val="2"/>
      </rPr>
      <t>(4)</t>
    </r>
  </si>
  <si>
    <r>
      <t xml:space="preserve">Phosphoric Acid </t>
    </r>
    <r>
      <rPr>
        <b/>
        <vertAlign val="superscript"/>
        <sz val="9"/>
        <color theme="1"/>
        <rFont val="Century Gothic"/>
        <family val="2"/>
      </rPr>
      <t>(4)</t>
    </r>
  </si>
  <si>
    <r>
      <t xml:space="preserve">Sulfuric Acid </t>
    </r>
    <r>
      <rPr>
        <b/>
        <vertAlign val="superscript"/>
        <sz val="9"/>
        <color theme="1"/>
        <rFont val="Century Gothic"/>
        <family val="2"/>
      </rPr>
      <t>(4)</t>
    </r>
  </si>
  <si>
    <r>
      <t xml:space="preserve">Daily </t>
    </r>
    <r>
      <rPr>
        <b/>
        <vertAlign val="superscript"/>
        <sz val="9"/>
        <color theme="1"/>
        <rFont val="Century Gothic"/>
        <family val="2"/>
      </rPr>
      <t>(d)</t>
    </r>
    <r>
      <rPr>
        <b/>
        <sz val="9"/>
        <color theme="1"/>
        <rFont val="Century Gothic"/>
        <family val="2"/>
      </rPr>
      <t xml:space="preserve">
(lb/day)</t>
    </r>
  </si>
  <si>
    <r>
      <t xml:space="preserve">Annual </t>
    </r>
    <r>
      <rPr>
        <b/>
        <vertAlign val="superscript"/>
        <sz val="9"/>
        <color theme="1"/>
        <rFont val="Century Gothic"/>
        <family val="2"/>
      </rPr>
      <t>(e)</t>
    </r>
    <r>
      <rPr>
        <b/>
        <sz val="9"/>
        <color theme="1"/>
        <rFont val="Century Gothic"/>
        <family val="2"/>
      </rPr>
      <t xml:space="preserve">
(lb/yr)</t>
    </r>
  </si>
  <si>
    <t>--</t>
  </si>
  <si>
    <t>Total</t>
  </si>
  <si>
    <t>Notes</t>
  </si>
  <si>
    <t>TAC = Toxic Air Contaminant</t>
  </si>
  <si>
    <t>(a)</t>
  </si>
  <si>
    <t>Density of water (lb/gal) =</t>
  </si>
  <si>
    <t>Daily hours of operation (hrs/day) =</t>
  </si>
  <si>
    <t>(b)</t>
  </si>
  <si>
    <t>Annual days of operation (days/yr) =</t>
  </si>
  <si>
    <t>(c)</t>
  </si>
  <si>
    <t>Aluminum concentration (ppm) = (aluminum distearate concentration [ppm]) x (molecular weight of aluminum [g/mol]) / (molecular weight of aluminum distearate [g/mol])</t>
  </si>
  <si>
    <t>Molecular weight of aluminum (g/mol) =</t>
  </si>
  <si>
    <t>Molecular weight of aluminum distearate (g/mol) =</t>
  </si>
  <si>
    <t>(d)</t>
  </si>
  <si>
    <t>Daily emissions estimate (lb/day) = (daily drift loss [lb/day]) x (concentration [ppm] / 1,000,000)</t>
  </si>
  <si>
    <t>(e)</t>
  </si>
  <si>
    <t>Annual emissions estimate (lb/yr) = (annual drift loss [lb/yr]) x (concentration [ppm] / 1,000,000)</t>
  </si>
  <si>
    <t>Based on continuous operation.</t>
  </si>
  <si>
    <t>Assumes the composition of the drift loss is same as the cooling tower makeup water.</t>
  </si>
  <si>
    <t>(4)</t>
  </si>
  <si>
    <t>Information provided by Intel Corporation. TAC concentration Is based on dosage rates and TAC percentage in SDS.</t>
  </si>
  <si>
    <t>Table 3</t>
  </si>
  <si>
    <t>Cooling Towers TAC Emission Estimates—Aloha Campus</t>
  </si>
  <si>
    <t>TAC Concentration
(ppm)</t>
  </si>
  <si>
    <t>Daily drift loss (lb/day) = (maximum daily recirculation flow rate [gpm]) x (density of water [lb/gal]) x (drift loss percent of circulating water [%] / 100) x (60 min/hr) x (daily hours of operation [hrs/day])</t>
  </si>
  <si>
    <t>Annual drift loss (lb/yr) = (average annual recirculation flow rate [gpm]) x (density of water [lb/gal]) x (drift loss percent of circulating water [%] / 100) x (60 min/hr) x (daily hours of operation [hrs/day]) x (annual days of operation [days/yr])</t>
  </si>
  <si>
    <t>Concentration of aluminum distearate - RAC4 (ppm) =</t>
  </si>
  <si>
    <t>Concentration of aluminum distearate - RAC5 (ppm =</t>
  </si>
  <si>
    <t>Concentration of aluminum distearate - CUB3, F20 (ppm) =</t>
  </si>
  <si>
    <t>Concentration of aluminum distearate - RP1, PAWN (ppm) =</t>
  </si>
  <si>
    <t>Concentration of aluminum distearate - CUB2 (ppm) =</t>
  </si>
  <si>
    <t>Concentration of aluminum distearate - CUB2_EXP (ppm) =</t>
  </si>
  <si>
    <t>Concentration of aluminum distearate - AL4 (ppm) =</t>
  </si>
  <si>
    <t>Concentration of aluminum distearate - F15 (ppm)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</si>
</sst>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"/>
    <numFmt numFmtId="166" formatCode="0.0000"/>
    <numFmt numFmtId="167" formatCode="0.0"/>
    <numFmt numFmtId="168" formatCode="#\-##\-0"/>
    <numFmt numFmtId="169" formatCode="0.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entury Gothic"/>
      <family val="2"/>
    </font>
    <font>
      <sz val="9"/>
      <name val="Century Gothic"/>
      <family val="2"/>
    </font>
    <font>
      <b/>
      <sz val="12"/>
      <color theme="1"/>
      <name val="Century Gothic"/>
      <family val="2"/>
    </font>
    <font>
      <b/>
      <vertAlign val="superscript"/>
      <sz val="12"/>
      <color theme="1"/>
      <name val="Century Gothic"/>
      <family val="2"/>
    </font>
    <font>
      <b/>
      <sz val="9"/>
      <color rgb="FFFF0000"/>
      <name val="Century Gothic"/>
      <family val="2"/>
    </font>
    <font>
      <vertAlign val="superscript"/>
      <sz val="9"/>
      <name val="Century Gothic"/>
      <family val="2"/>
    </font>
    <font>
      <b/>
      <sz val="9"/>
      <name val="Century Gothic"/>
      <family val="2"/>
    </font>
    <font>
      <b/>
      <vertAlign val="superscript"/>
      <sz val="9"/>
      <name val="Century Gothic"/>
      <family val="2"/>
    </font>
    <font>
      <sz val="9"/>
      <color rgb="FF00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vertAlign val="superscript"/>
      <sz val="8"/>
      <name val="Century Gothic"/>
      <family val="2"/>
    </font>
    <font>
      <sz val="10"/>
      <color theme="1"/>
      <name val="Arial"/>
      <family val="2"/>
    </font>
    <font>
      <b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sz val="8"/>
      <color theme="1"/>
      <name val="Century Gothic"/>
      <family val="2"/>
    </font>
    <font>
      <vertAlign val="superscript"/>
      <sz val="8"/>
      <color theme="1"/>
      <name val="Century Gothic"/>
      <family val="2"/>
    </font>
    <font>
      <sz val="11"/>
      <name val="CG Times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0"/>
    <xf numFmtId="0" fontId="1" fillId="0" borderId="0"/>
    <xf numFmtId="0" fontId="14" fillId="0" borderId="0"/>
    <xf numFmtId="0" fontId="21" fillId="0" borderId="0"/>
  </cellStyleXfs>
  <cellXfs count="11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/>
    </xf>
    <xf numFmtId="165" fontId="3" fillId="0" borderId="5" xfId="0" quotePrefix="1" applyNumberFormat="1" applyFont="1" applyBorder="1" applyAlignment="1">
      <alignment horizontal="center" vertical="center"/>
    </xf>
    <xf numFmtId="1" fontId="3" fillId="0" borderId="5" xfId="0" quotePrefix="1" applyNumberFormat="1" applyFont="1" applyBorder="1" applyAlignment="1">
      <alignment horizontal="center" vertical="center"/>
    </xf>
    <xf numFmtId="166" fontId="3" fillId="0" borderId="12" xfId="0" quotePrefix="1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164" fontId="3" fillId="0" borderId="12" xfId="0" quotePrefix="1" applyNumberFormat="1" applyFont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Continuous"/>
    </xf>
    <xf numFmtId="0" fontId="6" fillId="0" borderId="0" xfId="2" applyFont="1" applyAlignment="1">
      <alignment horizontal="centerContinuous" vertical="center"/>
    </xf>
    <xf numFmtId="0" fontId="15" fillId="0" borderId="12" xfId="2" applyFont="1" applyBorder="1" applyAlignment="1">
      <alignment horizontal="centerContinuous" vertical="center"/>
    </xf>
    <xf numFmtId="0" fontId="15" fillId="0" borderId="5" xfId="2" applyFont="1" applyBorder="1" applyAlignment="1">
      <alignment horizontal="centerContinuous" vertical="center"/>
    </xf>
    <xf numFmtId="0" fontId="15" fillId="0" borderId="0" xfId="2" applyFont="1" applyAlignment="1">
      <alignment horizontal="center" vertical="center"/>
    </xf>
    <xf numFmtId="168" fontId="15" fillId="0" borderId="12" xfId="2" applyNumberFormat="1" applyFont="1" applyBorder="1" applyAlignment="1">
      <alignment horizontal="centerContinuous" vertical="center"/>
    </xf>
    <xf numFmtId="168" fontId="15" fillId="0" borderId="5" xfId="2" applyNumberFormat="1" applyFont="1" applyBorder="1" applyAlignment="1">
      <alignment horizontal="centerContinuous" vertical="center"/>
    </xf>
    <xf numFmtId="0" fontId="8" fillId="0" borderId="5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Continuous" vertical="center" wrapText="1"/>
    </xf>
    <xf numFmtId="0" fontId="15" fillId="0" borderId="5" xfId="2" applyFont="1" applyBorder="1" applyAlignment="1">
      <alignment horizontal="centerContinuous" vertical="center" wrapText="1"/>
    </xf>
    <xf numFmtId="0" fontId="17" fillId="0" borderId="10" xfId="2" applyFont="1" applyBorder="1" applyAlignment="1">
      <alignment horizontal="centerContinuous" vertical="center"/>
    </xf>
    <xf numFmtId="0" fontId="17" fillId="0" borderId="11" xfId="2" applyFont="1" applyBorder="1" applyAlignment="1">
      <alignment horizontal="centerContinuous" vertical="center"/>
    </xf>
    <xf numFmtId="0" fontId="17" fillId="0" borderId="5" xfId="2" applyFont="1" applyBorder="1" applyAlignment="1">
      <alignment horizontal="center" vertical="center"/>
    </xf>
    <xf numFmtId="1" fontId="17" fillId="0" borderId="5" xfId="2" applyNumberFormat="1" applyFont="1" applyBorder="1" applyAlignment="1">
      <alignment horizontal="center" vertical="center"/>
    </xf>
    <xf numFmtId="0" fontId="17" fillId="0" borderId="5" xfId="2" quotePrefix="1" applyFont="1" applyBorder="1" applyAlignment="1">
      <alignment horizontal="center" vertical="center"/>
    </xf>
    <xf numFmtId="11" fontId="17" fillId="0" borderId="5" xfId="2" applyNumberFormat="1" applyFont="1" applyBorder="1" applyAlignment="1">
      <alignment horizontal="center" vertical="center"/>
    </xf>
    <xf numFmtId="2" fontId="17" fillId="0" borderId="5" xfId="2" applyNumberFormat="1" applyFont="1" applyBorder="1" applyAlignment="1">
      <alignment horizontal="center" vertical="center"/>
    </xf>
    <xf numFmtId="0" fontId="17" fillId="0" borderId="11" xfId="3" applyFont="1" applyBorder="1" applyAlignment="1">
      <alignment horizontal="centerContinuous" vertical="center"/>
    </xf>
    <xf numFmtId="0" fontId="18" fillId="0" borderId="12" xfId="3" applyFont="1" applyBorder="1" applyAlignment="1">
      <alignment horizontal="centerContinuous" vertical="center"/>
    </xf>
    <xf numFmtId="169" fontId="17" fillId="0" borderId="11" xfId="3" applyNumberFormat="1" applyFont="1" applyBorder="1" applyAlignment="1">
      <alignment horizontal="centerContinuous" vertical="center"/>
    </xf>
    <xf numFmtId="0" fontId="17" fillId="0" borderId="0" xfId="2" applyFont="1" applyAlignment="1">
      <alignment horizontal="center" vertical="center"/>
    </xf>
    <xf numFmtId="164" fontId="17" fillId="0" borderId="5" xfId="2" applyNumberFormat="1" applyFont="1" applyBorder="1" applyAlignment="1">
      <alignment horizontal="center" vertical="center"/>
    </xf>
    <xf numFmtId="167" fontId="17" fillId="0" borderId="5" xfId="2" applyNumberFormat="1" applyFont="1" applyBorder="1" applyAlignment="1">
      <alignment horizontal="center" vertical="center"/>
    </xf>
    <xf numFmtId="0" fontId="15" fillId="0" borderId="10" xfId="2" applyFont="1" applyBorder="1" applyAlignment="1">
      <alignment horizontal="centerContinuous" vertical="center"/>
    </xf>
    <xf numFmtId="0" fontId="15" fillId="0" borderId="11" xfId="2" applyFont="1" applyBorder="1" applyAlignment="1">
      <alignment horizontal="centerContinuous" vertical="center"/>
    </xf>
    <xf numFmtId="0" fontId="15" fillId="0" borderId="11" xfId="3" applyFont="1" applyBorder="1" applyAlignment="1">
      <alignment horizontal="centerContinuous" vertical="center"/>
    </xf>
    <xf numFmtId="0" fontId="16" fillId="0" borderId="12" xfId="3" applyFont="1" applyBorder="1" applyAlignment="1">
      <alignment horizontal="centerContinuous" vertical="center"/>
    </xf>
    <xf numFmtId="11" fontId="16" fillId="0" borderId="12" xfId="3" applyNumberFormat="1" applyFont="1" applyBorder="1" applyAlignment="1">
      <alignment horizontal="centerContinuous"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vertical="center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2" fontId="0" fillId="0" borderId="0" xfId="0" applyNumberFormat="1" applyAlignment="1">
      <alignment horizontal="centerContinuous"/>
    </xf>
    <xf numFmtId="11" fontId="22" fillId="0" borderId="0" xfId="0" applyNumberFormat="1" applyFont="1" applyAlignment="1">
      <alignment horizontal="centerContinuous"/>
    </xf>
    <xf numFmtId="0" fontId="22" fillId="0" borderId="0" xfId="0" applyFont="1" applyAlignment="1">
      <alignment horizontal="centerContinuous"/>
    </xf>
    <xf numFmtId="2" fontId="22" fillId="0" borderId="0" xfId="0" applyNumberFormat="1" applyFont="1" applyAlignment="1">
      <alignment horizontal="centerContinuous"/>
    </xf>
    <xf numFmtId="166" fontId="17" fillId="0" borderId="5" xfId="2" applyNumberFormat="1" applyFont="1" applyBorder="1" applyAlignment="1">
      <alignment horizontal="center" vertical="center"/>
    </xf>
    <xf numFmtId="2" fontId="0" fillId="0" borderId="0" xfId="0" applyNumberFormat="1"/>
    <xf numFmtId="11" fontId="22" fillId="0" borderId="0" xfId="0" applyNumberFormat="1" applyFont="1"/>
    <xf numFmtId="0" fontId="22" fillId="0" borderId="0" xfId="0" applyFont="1"/>
    <xf numFmtId="2" fontId="22" fillId="0" borderId="0" xfId="0" applyNumberFormat="1" applyFont="1"/>
    <xf numFmtId="1" fontId="10" fillId="0" borderId="5" xfId="0" quotePrefix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 vertical="center"/>
    </xf>
    <xf numFmtId="2" fontId="12" fillId="0" borderId="0" xfId="0" applyNumberFormat="1" applyFont="1" applyAlignment="1">
      <alignment horizontal="center" vertical="center"/>
    </xf>
    <xf numFmtId="0" fontId="13" fillId="0" borderId="0" xfId="1" quotePrefix="1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</cellXfs>
  <cellStyles count="5">
    <cellStyle name="Normal" xfId="0" builtinId="0"/>
    <cellStyle name="Normal 3 2" xfId="1" xr:uid="{F883327F-AE6B-42C7-96AD-A7677C894C9E}"/>
    <cellStyle name="Normal 3 42" xfId="3" xr:uid="{114F512C-72CE-477C-8B13-4E411CE62579}"/>
    <cellStyle name="Normal 8 35" xfId="2" xr:uid="{3BB0F091-EBB4-42DA-825F-560BB87C920E}"/>
    <cellStyle name="Normal_Danville2" xfId="4" xr:uid="{9187D2BC-7D51-4084-BC66-D1A5290BCC77}"/>
  </cellStyles>
  <dxfs count="70">
    <dxf>
      <numFmt numFmtId="167" formatCode="0.0"/>
    </dxf>
    <dxf>
      <numFmt numFmtId="2" formatCode="0.00"/>
    </dxf>
    <dxf>
      <numFmt numFmtId="164" formatCode="0.000"/>
    </dxf>
    <dxf>
      <numFmt numFmtId="170" formatCode="0.0E+00"/>
    </dxf>
    <dxf>
      <numFmt numFmtId="1" formatCode="0"/>
    </dxf>
    <dxf>
      <numFmt numFmtId="3" formatCode="#,##0"/>
    </dxf>
    <dxf>
      <numFmt numFmtId="3" formatCode="#,##0"/>
    </dxf>
    <dxf>
      <numFmt numFmtId="167" formatCode="0.0"/>
    </dxf>
    <dxf>
      <numFmt numFmtId="2" formatCode="0.00"/>
    </dxf>
    <dxf>
      <numFmt numFmtId="164" formatCode="0.000"/>
    </dxf>
    <dxf>
      <numFmt numFmtId="170" formatCode="0.0E+00"/>
    </dxf>
    <dxf>
      <numFmt numFmtId="1" formatCode="0"/>
    </dxf>
    <dxf>
      <numFmt numFmtId="170" formatCode="0.0E+00"/>
    </dxf>
    <dxf>
      <numFmt numFmtId="164" formatCode="0.000"/>
    </dxf>
    <dxf>
      <numFmt numFmtId="2" formatCode="0.00"/>
    </dxf>
    <dxf>
      <numFmt numFmtId="167" formatCode="0.0"/>
    </dxf>
    <dxf>
      <numFmt numFmtId="3" formatCode="#,##0"/>
    </dxf>
    <dxf>
      <numFmt numFmtId="1" formatCode="0"/>
    </dxf>
    <dxf>
      <numFmt numFmtId="170" formatCode="0.0E+00"/>
    </dxf>
    <dxf>
      <numFmt numFmtId="164" formatCode="0.000"/>
    </dxf>
    <dxf>
      <numFmt numFmtId="2" formatCode="0.00"/>
    </dxf>
    <dxf>
      <numFmt numFmtId="167" formatCode="0.0"/>
    </dxf>
    <dxf>
      <numFmt numFmtId="3" formatCode="#,##0"/>
    </dxf>
    <dxf>
      <numFmt numFmtId="1" formatCode="0"/>
    </dxf>
    <dxf>
      <numFmt numFmtId="3" formatCode="#,##0"/>
    </dxf>
    <dxf>
      <numFmt numFmtId="170" formatCode="0.0E+00"/>
    </dxf>
    <dxf>
      <numFmt numFmtId="164" formatCode="0.000"/>
    </dxf>
    <dxf>
      <numFmt numFmtId="2" formatCode="0.00"/>
    </dxf>
    <dxf>
      <numFmt numFmtId="167" formatCode="0.0"/>
    </dxf>
    <dxf>
      <numFmt numFmtId="3" formatCode="#,##0"/>
    </dxf>
    <dxf>
      <numFmt numFmtId="1" formatCode="0"/>
    </dxf>
    <dxf>
      <numFmt numFmtId="3" formatCode="#,##0"/>
    </dxf>
    <dxf>
      <numFmt numFmtId="167" formatCode="0.0"/>
    </dxf>
    <dxf>
      <numFmt numFmtId="2" formatCode="0.00"/>
    </dxf>
    <dxf>
      <numFmt numFmtId="164" formatCode="0.000"/>
    </dxf>
    <dxf>
      <numFmt numFmtId="170" formatCode="0.0E+00"/>
    </dxf>
    <dxf>
      <numFmt numFmtId="1" formatCode="0"/>
    </dxf>
    <dxf>
      <numFmt numFmtId="3" formatCode="#,##0"/>
    </dxf>
    <dxf>
      <numFmt numFmtId="167" formatCode="0.0"/>
    </dxf>
    <dxf>
      <numFmt numFmtId="2" formatCode="0.00"/>
    </dxf>
    <dxf>
      <numFmt numFmtId="164" formatCode="0.000"/>
    </dxf>
    <dxf>
      <numFmt numFmtId="15" formatCode="0.00E+00"/>
    </dxf>
    <dxf>
      <numFmt numFmtId="1" formatCode="0"/>
    </dxf>
    <dxf>
      <numFmt numFmtId="170" formatCode="0.0E+00"/>
    </dxf>
    <dxf>
      <numFmt numFmtId="164" formatCode="0.000"/>
    </dxf>
    <dxf>
      <numFmt numFmtId="2" formatCode="0.00"/>
    </dxf>
    <dxf>
      <numFmt numFmtId="167" formatCode="0.0"/>
    </dxf>
    <dxf>
      <numFmt numFmtId="3" formatCode="#,##0"/>
    </dxf>
    <dxf>
      <numFmt numFmtId="1" formatCode="0"/>
    </dxf>
    <dxf>
      <numFmt numFmtId="170" formatCode="0.0E+00"/>
    </dxf>
    <dxf>
      <numFmt numFmtId="164" formatCode="0.000"/>
    </dxf>
    <dxf>
      <numFmt numFmtId="2" formatCode="0.00"/>
    </dxf>
    <dxf>
      <numFmt numFmtId="167" formatCode="0.0"/>
    </dxf>
    <dxf>
      <numFmt numFmtId="3" formatCode="#,##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15" formatCode="0.00E+00"/>
    </dxf>
    <dxf>
      <numFmt numFmtId="3" formatCode="#,##0"/>
    </dxf>
    <dxf>
      <numFmt numFmtId="15" formatCode="0.00E+00"/>
    </dxf>
    <dxf>
      <numFmt numFmtId="3" formatCode="#,##0"/>
    </dxf>
    <dxf>
      <numFmt numFmtId="15" formatCode="0.00E+00"/>
    </dxf>
    <dxf>
      <numFmt numFmtId="170" formatCode="0.0E+00"/>
    </dxf>
    <dxf>
      <numFmt numFmtId="170" formatCode="0.0E+00"/>
    </dxf>
    <dxf>
      <numFmt numFmtId="3" formatCode="#,##0"/>
    </dxf>
    <dxf>
      <numFmt numFmtId="3" formatCode="#,##0"/>
    </dxf>
    <dxf>
      <numFmt numFmtId="170" formatCode="0.0E+00"/>
    </dxf>
    <dxf>
      <numFmt numFmtId="170" formatCode="0.0E+0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customXml" Target="../customXml/item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sea\modeling\COST\PULPUTIL\EXCEL\2004\04-Close\PM_Pgs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beagle/Desktop/Air%20Reference/BACT/BACT%20Spreadsheets/BACT%20Cost%20Analysis%20Template%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amcbride/Downloads/2020ATEIReportingForm(1)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1716.02%20Intel%20Corporation\01_CAO%20Support%20for%20Permit\Data\aq104BtoxicsReport.xlsx" TargetMode="External"/><Relationship Id="rId1" Type="http://schemas.openxmlformats.org/officeDocument/2006/relationships/externalLinkPath" Target="file:///\\stmfa01.file.core.windows.net\data\Projects\1716.02%20Intel%20Corporation\01_CAO%20Support%20for%20Permit\Data\aq104BtoxicsRepor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filesrv\Departments\AHerschberger\Desktop\RFP%20TRI%202011\Simsboro%20Form%20R%20Threshold%20Determinations%20Calc_20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References\Ref%20by%20Subject\_Compliance\Air%20Reference\Air%20Toxics\Draft%20Rule\2018-05-01%20-%20New%20Draft%20Rule%20Response%20to%20SB%201541\Draft%20TRV%20RBC%20Tables%20May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Air/Projects/Intel%20OR/0430810%20Intel-RA%20Q4%20Cont'd-Eng.Supp/Data/D1X%20RCTOs/FID/Intel%20OR%20RCTO%20D1X-VOC138-7-120%20Rev-0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Td-HV%20HHRA%20EI-1421.01.02-V0.0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sea\modeling\Documents%20and%20Settings\mjzufall\Local%20Settings\Temporary%20Internet%20Files\OLK34\EI%20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918.01%20ECS%20Case\01_Air%20Permitting%20Support\Data\Copy%20of%20Copy%20of%20Styrene%20Calculation%20(2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OST\PULPUTIL\EXCEL\2001\01-Close\PM_PG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uvallwh\Desktop\Templates\2006AEI%20Stationary_template_v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ocuments%20and%20Settings\hasena\Desktop\ANG%20Inventories\Installations\Newburgh%20NY\Draft%202005%20AEI\Stewart%202005%20Stationary%20(draft)%2009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ata255-440\Work255\AIR%20QUALITY\ANG%20Emissions%20Inventories\KS%20-%20Smoky%20Hill%20-%20184%20Det%201\DCFs%20from%20Installation\2006%20Salina%20KS%20Mobile%20DCF%20Final%20(Draft)_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lriley/Desktop/Copy%20of%202017-3-23%20(CG)%20Medford%20Material%20Balance%20Data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mfa01.file.core.windows.net\data\Projects\0201.10%20Hydro%20Extrusions\01_CAO%20Permitting%20Support\Data\Previous%20EIs\TEU-1-AQ405cao_DFCR.xlsx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faspdx-fs1\Projects\1421.01%20Hollingsworth%20&amp;%20Vose%20Fiber%20Company\02_CONFIDENTIAL\External\Correspondence\2017-0223%20-%202016%20Production%20Data\020817_Monthly_%20PM_CONFIDENTIAL_Production_Tracker_V1%203_PasswordProtected%20-%20Copy.xlsx?DBE1586B" TargetMode="External"/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99da54a3efd6538/Work-CEM/Hydro/PDX%20CAO/TEU-TIE%20mep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3.01%20Al%20Frei%20and%20Sons\01_Walstrum%20Quarry%20Permitting\Modeling\2017%20Model\2017-1103%20-%20Model%20Run%20Key%20&amp;%20Results%20Summary%20v0.0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Building%20Dwgs%20and%20PFDs\TIE%20Line\TIE%20Line%20Hydro%20MDI%20Tool%20Hydro%20mep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Coatings%20TIE%20Process%20-%202012-MDI-Tool-2%20mep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Work255\AIR%20QUALITY\ANG%20Emissions%20Inventories\Installations\Newburgh%20NY\Draft%202005%20AEI\Stewart%202005%20Stationary%20(draft)%20082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MCFILES\reportsandprotocols\Documents%20and%20Settings\estefani\Desktop\LIMS%20DATA\High%20Pressure%20Fuel%20Gas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1359.03%20Katerra\08_Kiln%20Air%20Modeling\Data\Emissions\Tf-Katerra%20EI%20-%201359.03%20V8.00.xlsx" TargetMode="External"/><Relationship Id="rId1" Type="http://schemas.openxmlformats.org/officeDocument/2006/relationships/externalLinkPath" Target="https://intel.sharepoint.com/Projects/1359.03%20Katerra/08_Kiln%20Air%20Modeling/Data/Emissions/Tf-Katerra%20EI%20-%201359.03%20V8.00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ER\Mact3\Mact\Tech_Bulletin_final\hh_Tech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rralstin/Documents/Cleaner%20Air%20Oregon/Level1Tool_-_NW_Metals_Screening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sites/cs_or_td_air_smp/Shared%20Documents/Contractors/Confidential-Subject%20to%20Attorney%20Client%20Privilege%20and%20Attorney%20Work%20Product%20&amp;%20CBI/ODEQ%20PTE%20CBI%20&amp;%20Redaction%20Versions/constant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SW-CPW-FP01\Division255-440$\Documents%20and%20Settings\hasena\Desktop\ANG%20Inventories\Installations\Selfridge%20MI\Draft%202005%20AEI%20Report\Submittal%20files\Appendicies\Selfridge%202005%20Stationary%20(draft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ills\West%20Monroe\r01_EIQ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l.sharepoint.com/Users/BEagle/AppData/Local/Microsoft/Windows/Temporary%20Internet%20Files/Content.Outlook/KVR03GOJ/bear%20mountain%20ghg%20propo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N-MAIN\VOL1\c055\alpena2\tem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Air_Toxics_Gen\AT_EFs_Combustio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Myers_Container\Myers_Scoping_Cal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1"/>
      <sheetName val="PM1A"/>
      <sheetName val="PM2"/>
      <sheetName val="PM3"/>
      <sheetName val="PM4"/>
      <sheetName val="PM4A"/>
      <sheetName val="PM5"/>
      <sheetName val="PM6"/>
      <sheetName val="PM6A"/>
      <sheetName val="PM7"/>
      <sheetName val="PM8"/>
      <sheetName val="PM9"/>
      <sheetName val="PM10"/>
      <sheetName val="PMKPI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I Form Instructions"/>
      <sheetName val="Facility Note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constants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I 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screen"/>
      <sheetName val="DEQ Pollutant List"/>
      <sheetName val="RBCs"/>
      <sheetName val="constants"/>
      <sheetName val="Rev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able Chemicals_Summary"/>
      <sheetName val="Assumptions"/>
      <sheetName val="Threshold Summary"/>
      <sheetName val="MSDS Wt%"/>
      <sheetName val="LPB Threshold Determination"/>
      <sheetName val="Ammonia"/>
      <sheetName val="Formaldehyde"/>
      <sheetName val="Methanol"/>
      <sheetName val="Dryer excess emissions"/>
      <sheetName val="09 TRI CALCS"/>
      <sheetName val="2010 TRI Calcs"/>
      <sheetName val="Toxic Chemical Listing"/>
      <sheetName val="PBT's"/>
      <sheetName val="PACs"/>
      <sheetName val="Dioxi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All Toxicity Values"/>
      <sheetName val="TRV Table 3"/>
      <sheetName val="TRV Table 3 formatted"/>
      <sheetName val="RBC Table 5"/>
      <sheetName val="RBC Table 5 formatted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C"/>
      <sheetName val="Start"/>
      <sheetName val="Linear"/>
      <sheetName val="Bias"/>
      <sheetName val="Summary"/>
      <sheetName val="Run 1"/>
      <sheetName val="Run 2"/>
      <sheetName val="Run 3"/>
      <sheetName val="Run 4"/>
      <sheetName val="Run 5"/>
      <sheetName val="TCEMsData"/>
      <sheetName val="RCTO Operating Parameters"/>
      <sheetName val="TO Flow Rate"/>
      <sheetName val="TO RM1"/>
      <sheetName val="TO RM2 R1"/>
      <sheetName val="TO RM2 R2"/>
      <sheetName val="TO RM2 R3"/>
      <sheetName val="TO RM2 R4"/>
      <sheetName val="RO Flow Rate"/>
      <sheetName val="RO RM1"/>
      <sheetName val="RO RM2 R1"/>
      <sheetName val="RO RM2 R2"/>
      <sheetName val="RO RM2 R3"/>
      <sheetName val="RO RM2 R4"/>
      <sheetName val="FTIR-TO"/>
      <sheetName val="FTIR-RO"/>
      <sheetName val="FTIR-Inlet"/>
      <sheetName val="Sample Calcs"/>
      <sheetName val="FTIR Summary"/>
      <sheetName val="Detection Limit  Summary"/>
      <sheetName val="FLOW Rpt Table"/>
      <sheetName val="CTS Summary"/>
      <sheetName val="CTS TO"/>
      <sheetName val="CTS RO"/>
      <sheetName val="Inlet Flow Rate-Not Used"/>
      <sheetName val="Inlet RM1-Not Used"/>
      <sheetName val="Inlet RM2 R1-Not Used"/>
      <sheetName val="Inlet RM2 R2-Not Used"/>
      <sheetName val="Inlet RM2 R3-Not Used"/>
      <sheetName val="Chart2"/>
      <sheetName val="Chart3"/>
      <sheetName val="CTS TO R2-Not Used"/>
      <sheetName val="CTS RO R2-Not Used"/>
      <sheetName val="CTS TO R3-Not Used"/>
      <sheetName val="CTS RO R3-Not Used"/>
      <sheetName val="Reportable List"/>
      <sheetName val="Fraction of Diameter"/>
      <sheetName val="FID Assignments"/>
      <sheetName val="Run 6"/>
      <sheetName val="Run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atOx-Criteria"/>
      <sheetName val="Criteria Summary"/>
      <sheetName val="Toxics List"/>
      <sheetName val="GP1-L1-Toxics"/>
      <sheetName val="GP1-L2-Toxics"/>
      <sheetName val="GP1-L3-Toxics"/>
      <sheetName val="GP2-L4-Toxics"/>
      <sheetName val="GM-Toxics"/>
      <sheetName val="Facility-NG-Toxic"/>
      <sheetName val="Generator_HAP"/>
      <sheetName val="CatOx_HAP"/>
      <sheetName val="Facility-CrVI"/>
      <sheetName val="Toxic_Summary"/>
      <sheetName val="HHRA"/>
      <sheetName val="Summary Stack"/>
      <sheetName val="MOD_SUMMARY"/>
      <sheetName val="MOD_Release_Parameters"/>
      <sheetName val="Criteria-Catalog Summary"/>
      <sheetName val="CFU-PM"/>
      <sheetName val="Metals-EF Summary"/>
      <sheetName val="DRE-M29-Nov16-RF"/>
      <sheetName val="EF-Toxic"/>
      <sheetName val="M0061-Nov16-RF"/>
      <sheetName val="DRE-M29-Oct16-RC"/>
      <sheetName val="M0061-Oct16-RC"/>
      <sheetName val="Organics-EF Summary"/>
      <sheetName val="DRE-Nov16-TO15-RF"/>
      <sheetName val="DRE-M13B-26A-316-RF"/>
      <sheetName val="DRE-M13B-26A-316-RC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fluent "/>
      <sheetName val="Boiler Fuels"/>
      <sheetName val="CT &amp; WHB &amp; PM"/>
      <sheetName val="CT Hours"/>
      <sheetName val="NOx and SO2 for Boilers"/>
      <sheetName val="VOCs"/>
      <sheetName val="NOx and SO2_boiler_fuel source"/>
      <sheetName val="Emission Facto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BC"/>
      <sheetName val="Level_1"/>
      <sheetName val="Existing Facility"/>
      <sheetName val="New Facili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3,4,5"/>
      <sheetName val="PM1"/>
      <sheetName val="Summary"/>
      <sheetName val="PM2"/>
      <sheetName val="PM6&amp;7"/>
      <sheetName val="Defoamer"/>
      <sheetName val="PM8"/>
      <sheetName val="PM9&amp;10"/>
      <sheetName val="PM11"/>
      <sheetName val="Module2"/>
      <sheetName val="Sheet1"/>
      <sheetName val="PM1&amp;2 (2)"/>
      <sheetName val="PM1 Chart1"/>
      <sheetName val="PM1A"/>
      <sheetName val="PM2 Chart1"/>
      <sheetName val="PM3"/>
      <sheetName val="PM3 Chart1"/>
      <sheetName val="PM3 Chart2"/>
      <sheetName val="PM3 Chart3"/>
      <sheetName val="PM4"/>
      <sheetName val="PM4 Chart1"/>
      <sheetName val="PM4 Chart2"/>
      <sheetName val="PM4 Chart3"/>
      <sheetName val="PM4A"/>
      <sheetName val="PM5"/>
      <sheetName val="PM5 Chart1"/>
      <sheetName val="PM5 Chart2"/>
      <sheetName val="PM5 Chart3"/>
      <sheetName val="PM5 Chart4"/>
      <sheetName val="PM5 Chart5"/>
      <sheetName val="PM5 Chart6"/>
      <sheetName val="PM6"/>
      <sheetName val="PM6 Chart1"/>
      <sheetName val="PM6 Chart2"/>
      <sheetName val="PM6 Chart3"/>
      <sheetName val="PM6 Chart4"/>
      <sheetName val="PM6 Chart5"/>
      <sheetName val="PM6 Chart6"/>
      <sheetName val="PM6 Chart7"/>
      <sheetName val="PM6 Chart8"/>
      <sheetName val="PM6A"/>
      <sheetName val="PM6A Chart1"/>
      <sheetName val="PM8 Chart1"/>
      <sheetName val="PM8 Chart2"/>
      <sheetName val="PM8 Chart3"/>
      <sheetName val="PM8 Chart4"/>
      <sheetName val="PM8 Chart5"/>
      <sheetName val="PM8 Chart6"/>
      <sheetName val="PM8 Chart7"/>
      <sheetName val="PM8 Chart8"/>
      <sheetName val="PM8 Chart9"/>
      <sheetName val="PM9"/>
      <sheetName val="PM9 Chart1"/>
      <sheetName val="PM9 Chart2"/>
      <sheetName val="PM9 Chart3"/>
      <sheetName val="PM10"/>
      <sheetName val="PM10 Chart1"/>
      <sheetName val="PMKPI"/>
      <sheetName val="PM KPI Chart1"/>
      <sheetName val="PM KPI Char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al Fired COMBOILR &lt;100 MMBtu"/>
      <sheetName val="Res.&amp;Com. &lt;.3-100"/>
      <sheetName val="Diesel Generator &lt; 600 hp"/>
      <sheetName val="Diesel Generator &gt; 600 hp "/>
      <sheetName val="JP-8 Generators"/>
      <sheetName val="Natural Gas Generators"/>
      <sheetName val="Gasoline Generator &lt; 600 hp"/>
      <sheetName val="Engine Test Cell"/>
      <sheetName val="Horizontal Fixed Roof Tanks"/>
      <sheetName val="Internal Floating Roof Tank"/>
      <sheetName val="Vertical Fixed Roof Tank"/>
      <sheetName val="External Floating Roof Tank"/>
      <sheetName val="Fuel Transfer Losses"/>
      <sheetName val="Gasoline Service Station"/>
      <sheetName val="Degreaser"/>
      <sheetName val="Aircraft Deicing"/>
      <sheetName val="Painting"/>
      <sheetName val="Abrasive Blasting"/>
      <sheetName val="Fuel Cell Maint."/>
      <sheetName val="Woodworking"/>
      <sheetName val="Welding"/>
      <sheetName val="Pesticide"/>
      <sheetName val="Fuel Spill"/>
      <sheetName val="Small Arms"/>
      <sheetName val="Open Detonation"/>
      <sheetName val="AsphaltPaving"/>
      <sheetName val="Installation R Sites SVE"/>
      <sheetName val="Installation R Sites Pump"/>
      <sheetName val="Incinerator"/>
      <sheetName val="Chemical Usage CY2006"/>
      <sheetName val="Ozone Depleting Substances"/>
      <sheetName val="TBLES-1, Summary"/>
      <sheetName val="TBLES-2, Source Summary"/>
      <sheetName val="TBLES-3, Stationary GHG Summ."/>
      <sheetName val="TBLES-4, Mobile GHG Summ."/>
      <sheetName val="TBLES-5, Transients"/>
      <sheetName val="TBLES-6, ODS Summary"/>
      <sheetName val="TBLES-7, Permit Compliance"/>
      <sheetName val="TBL2-1,Actual, Stationary"/>
      <sheetName val="TBL2-2, Actual HAP"/>
      <sheetName val="TBL2-3, Potential, Stationary"/>
      <sheetName val="TBL2-4, Potential HAP"/>
      <sheetName val="TBLE-3-1, ODS Summary"/>
      <sheetName val="TBL5-1,GHG Actual, Stationary"/>
      <sheetName val="TBL5-2, GHG Potential, Stat."/>
      <sheetName val="Tbl4-1, Actual Mobile"/>
      <sheetName val="Left Footer"/>
      <sheetName val="Center Header"/>
      <sheetName val="Right Header"/>
      <sheetName val="List of Jet Engines"/>
      <sheetName val="Jet Engine EFs"/>
      <sheetName val="Jet Fuel Sulfur Values"/>
      <sheetName val="EPA Haps"/>
      <sheetName val="GHG GWP lookup"/>
      <sheetName val="Jet Engine criteria lookup"/>
      <sheetName val="Non VOCs"/>
      <sheetName val="Final Glycol Ether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tural Gas Generators"/>
      <sheetName val="Gasoline IC Engines"/>
      <sheetName val="Gasoline-Fired Stationary AGE"/>
      <sheetName val="Diesel-Fired Stationary AGE"/>
      <sheetName val="Chemical List"/>
      <sheetName val="Dual Fuel Boilers-oil"/>
      <sheetName val="Dual fuel boilers-NG"/>
      <sheetName val="NGBolr usage &lt;.3 MMBtu"/>
      <sheetName val="NGBolr usage.3-100 MMBtu"/>
      <sheetName val="NGBolr no use data"/>
      <sheetName val="Diesel Generator &lt; 600 hp"/>
      <sheetName val="Engine Test Cells"/>
      <sheetName val="Horizontal Fixed Roof Tanks"/>
      <sheetName val="Internal Floating Roof Tank"/>
      <sheetName val="Mogas"/>
      <sheetName val="Fuel Transfer Losses"/>
      <sheetName val="KC-130 Fuel Cell Maint"/>
      <sheetName val="C-5 Fuel Cell Maintenance"/>
      <sheetName val="Chemical Use"/>
      <sheetName val="Aircraft Deicing"/>
      <sheetName val="Degreasers"/>
      <sheetName val="Woodworking"/>
      <sheetName val="Abrasive Blasting"/>
      <sheetName val="Paint Booths"/>
      <sheetName val="Other Painting"/>
      <sheetName val="Welding"/>
      <sheetName val="FuelSpills"/>
      <sheetName val="Gasoline-Fired Mobile AGE"/>
      <sheetName val="Diesel-Fired Mobile AGE"/>
      <sheetName val="Ozone Depleting Substances"/>
      <sheetName val="TBLES-1, Summary"/>
      <sheetName val="TBLES-2, Source Summary"/>
      <sheetName val="TBL2-1,Actual, Stationary"/>
      <sheetName val="TBL2-2, Actual HAP"/>
      <sheetName val="TBL2-3, Potential, Stationary"/>
      <sheetName val="TBL2-4, Potential HAP"/>
      <sheetName val="TBLES-3, ODS Summary"/>
      <sheetName val="Tbl3-1, ODSs"/>
      <sheetName val="AGE-OffRoad HPRange Nonroad Md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AGE"/>
      <sheetName val="GOVs"/>
      <sheetName val="Employees"/>
      <sheetName val="POVs"/>
      <sheetName val="Nonroad Engines"/>
      <sheetName val="LTOs"/>
      <sheetName val="TGOs"/>
      <sheetName val="LAs"/>
      <sheetName val="Trim&amp;Power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PFD"/>
      <sheetName val="Operation"/>
      <sheetName val="Chemicals"/>
      <sheetName val="Product Usages"/>
      <sheetName val="Chem. Usage &amp; Emissions"/>
      <sheetName val="A150X Report"/>
      <sheetName val="F230X Mass Balance"/>
      <sheetName val="A116X ERA-CAO"/>
      <sheetName val="F230X Total Throughput"/>
      <sheetName val="F230X TT by unit"/>
      <sheetName val="F230X Efficiencies"/>
      <sheetName val="F230X-MB-Emissions"/>
      <sheetName val="References"/>
      <sheetName val="A150X HZPL"/>
      <sheetName val="A150X VPL"/>
      <sheetName val="A150X Paint Room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C9">
            <v>2000</v>
          </cell>
        </row>
      </sheetData>
      <sheetData sheetId="21"/>
      <sheetData sheetId="2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7 MDI Tool"/>
      <sheetName val="Chemical Usage"/>
      <sheetName val="Pix"/>
      <sheetName val="Hydro Info"/>
      <sheetName val="Azon Data"/>
      <sheetName val="2012 MDI Tool"/>
      <sheetName val="R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 - 1-hour"/>
      <sheetName val="Table 2 - 8-hour"/>
      <sheetName val="Table 3 - 24-hour"/>
      <sheetName val="Table 4 - Annual"/>
      <sheetName val="SIL_SUMMARY"/>
      <sheetName val="NAAQS_SUMMARY"/>
      <sheetName val="stupid EVR02001"/>
      <sheetName val="jan2017 - bck"/>
      <sheetName val="March2017"/>
      <sheetName val="2017 NO2"/>
      <sheetName val="NOx_Runs"/>
      <sheetName val="Sheet1"/>
      <sheetName val="no2_1"/>
      <sheetName val="no2_2"/>
      <sheetName val="no2_3"/>
      <sheetName val="no2_4"/>
      <sheetName val="no2_5"/>
      <sheetName val="no2_6"/>
      <sheetName val="PM25_Runs"/>
      <sheetName val="pm25_1"/>
      <sheetName val="pm25_2"/>
      <sheetName val="pm25_3"/>
      <sheetName val="pm25_4"/>
      <sheetName val="pm25_5"/>
      <sheetName val="pm25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M1 Tank"/>
      <sheetName val="M2 Fugitive_Monitoring Data"/>
      <sheetName val="M3 Fugitive_Equipment Leaks"/>
      <sheetName val="M3a Fugitive no SV"/>
      <sheetName val="M3b Fugitive SV is Zero"/>
      <sheetName val="M3c Fugitive SV is not zero"/>
      <sheetName val="M4 Enclosed Process_Overview"/>
      <sheetName val="M4a Enclosed Process_Weight"/>
      <sheetName val="M4b Enclosed Process_Volume"/>
      <sheetName val="M5 Open Process Overview"/>
      <sheetName val="M5a Open Process"/>
      <sheetName val="M5b Open Process Oven"/>
      <sheetName val="M6 Exhaust Air_Measured"/>
      <sheetName val="M6S Exhaust Air_Saturated"/>
      <sheetName val="M7 Binding Agent"/>
      <sheetName val="M8 Spill"/>
      <sheetName val="M9 Spray Coating"/>
      <sheetName val="M9a Spray Coating_Oven"/>
      <sheetName val="M9b Spray Coating_Air Dry"/>
      <sheetName val="R1 Reference Lookups"/>
      <sheetName val="R2 Reference Tables"/>
      <sheetName val="S1 Emission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A5 Sample Calculations"/>
      <sheetName val="M1 Tank"/>
      <sheetName val="M2 Fugitive-Monitoring Data"/>
      <sheetName val="M3 Fugitive-Equipment Leaks"/>
      <sheetName val="M4 Enclosed Process-Cavity Size"/>
      <sheetName val="M5 Enclosed Process-Foam Densit"/>
      <sheetName val="M6 Open Process Continuous"/>
      <sheetName val="M7 Filling-Blending Operation"/>
      <sheetName val="MDI Guideline Example"/>
      <sheetName val="M8 Spill"/>
      <sheetName val="M9 Adhesives"/>
      <sheetName val="M11 Carpet Coating"/>
      <sheetName val="M12 Foundries and Casters"/>
      <sheetName val="M13 Belt and Tire Cord"/>
      <sheetName val="M14 Oriented Strand Board"/>
      <sheetName val="M15 Air Filters"/>
      <sheetName val="M16 Appliances"/>
      <sheetName val="M17 Appliance - Truck"/>
      <sheetName val="M18 Automotive"/>
      <sheetName val="M19 Boats"/>
      <sheetName val="M20 Doors"/>
      <sheetName val="M21 Mobile Homes"/>
      <sheetName val="M22 Packaging"/>
      <sheetName val="M23 Rebond"/>
      <sheetName val="M24 Spray Foam"/>
      <sheetName val="M25 Spandex"/>
      <sheetName val="M26 Water Heaters"/>
      <sheetName val="R1 Reference Lookups"/>
      <sheetName val="R2 Reference Tables"/>
      <sheetName val="S1 Emissions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al Fuel Boilers-oil"/>
      <sheetName val="Dual fuel boilers-NG"/>
      <sheetName val="NGBolr usage (1)"/>
      <sheetName val="NGBolr usage (2)"/>
      <sheetName val="NGBolr no use data"/>
      <sheetName val="Diesel Generator &lt; 600 hp"/>
      <sheetName val="Natural Gas Generators"/>
      <sheetName val="Gasoline IC Engines"/>
      <sheetName val="Gasoline-Fired Stationary AGE"/>
      <sheetName val="Diesel-Fired Stationary AGE"/>
      <sheetName val="Engine Test Cells"/>
      <sheetName val="Horizontal Fixed Roof Tanks"/>
      <sheetName val="Internal Floating Roof Tank"/>
      <sheetName val="Mogas"/>
      <sheetName val="Fuel Transfer Losses"/>
      <sheetName val="KC-130 Fuel Cell Maint"/>
      <sheetName val="C-5 Fuel Cell Maintenance"/>
      <sheetName val="Chemical List"/>
      <sheetName val="Aircraft Deicing"/>
      <sheetName val="Degreasers"/>
      <sheetName val="Woodworking"/>
      <sheetName val="Abrasive Blasting"/>
      <sheetName val="Painting"/>
      <sheetName val="Painting (1)"/>
      <sheetName val="Chemical Use"/>
      <sheetName val="Welding"/>
      <sheetName val="FuelSpills"/>
      <sheetName val="Gasoline-Fired Mobile AGE"/>
      <sheetName val="Diesel-Fired Mobile AGE"/>
      <sheetName val="Ozone Depleting Substances"/>
      <sheetName val="TBLES-1, Summary"/>
      <sheetName val="TBLES-2, Source Summary"/>
      <sheetName val="TBL2-1,Actual, Stationary"/>
      <sheetName val="TBL2-2, Actual HAP"/>
      <sheetName val="TBL2-3, Potential, Stationary"/>
      <sheetName val="TBL2-4, Potential HAP"/>
      <sheetName val="TBLES-3, ODS Summary"/>
      <sheetName val="Tbl3-1, ODSs"/>
      <sheetName val="AGE-OffRoad HPRange Nonroad Md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ta"/>
      <sheetName val="Menu"/>
    </sheetNames>
    <sheetDataSet>
      <sheetData sheetId="0"/>
      <sheetData sheetId="1"/>
      <sheetData sheetId="2">
        <row r="1">
          <cell r="A1" t="str">
            <v>UNIT 33 RECYCLE HYDROGEN</v>
          </cell>
        </row>
        <row r="2">
          <cell r="A2" t="str">
            <v>UNIT 64 AFTER SHIFT CONV</v>
          </cell>
        </row>
        <row r="3">
          <cell r="A3" t="str">
            <v>UNIT 64 BEFORE SHIFT CON</v>
          </cell>
        </row>
        <row r="4">
          <cell r="A4" t="str">
            <v>UNIT 64 PSA FEED</v>
          </cell>
        </row>
        <row r="5">
          <cell r="A5" t="str">
            <v>UNIT 64 PSA PRODUCT</v>
          </cell>
        </row>
        <row r="6">
          <cell r="A6" t="str">
            <v>UNIT 64 SULFUR GUARD</v>
          </cell>
        </row>
        <row r="7">
          <cell r="A7" t="str">
            <v>UNIT 7 LP FUEL GAS</v>
          </cell>
        </row>
        <row r="8">
          <cell r="A8" t="str">
            <v>UNIT 70 HP FUEL GAS</v>
          </cell>
        </row>
        <row r="9">
          <cell r="A9" t="str">
            <v>UNIT 70 STAB OFF GAS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Input"/>
      <sheetName val="Material_Input"/>
      <sheetName val="Kiln_EFs &lt;200"/>
      <sheetName val="Kiln_CRIT"/>
      <sheetName val="Kiln_HAP &lt;200"/>
      <sheetName val="KILN_NG_CRIT"/>
      <sheetName val="KILN_NG_HAP"/>
      <sheetName val="Planer"/>
      <sheetName val="Sander"/>
      <sheetName val="CNC"/>
      <sheetName val="Jointer"/>
      <sheetName val="Surfacer 1"/>
      <sheetName val="Surfacer 2"/>
      <sheetName val="Truck Bin"/>
      <sheetName val="Hog"/>
      <sheetName val="Generator_CRIT"/>
      <sheetName val="Generator_HAP"/>
      <sheetName val="Adhesives"/>
      <sheetName val="Criteria_Summary"/>
      <sheetName val="HAP_Summary&lt;200"/>
      <sheetName val="HAP_TAP Thresholds &lt;200"/>
      <sheetName val="ODEQ KILN EF"/>
      <sheetName val="HAP_Summary"/>
      <sheetName val="HAP_TAP Thresholds"/>
      <sheetName val="Kiln_EFs"/>
      <sheetName val="MC_SUMM"/>
      <sheetName val="MC_SUMM (&lt;200)"/>
      <sheetName val="MC_INPUT"/>
      <sheetName val="MC_INPUT_Short"/>
      <sheetName val="MC_INPUT_Short (&lt;200)"/>
      <sheetName val="ASIL"/>
      <sheetName val="WA_TAPS_HAPS"/>
      <sheetName val="Source Parameters"/>
      <sheetName val="Buildings"/>
      <sheetName val="ADHESIVE2 (2)"/>
      <sheetName val="M1"/>
      <sheetName val="Removal update"/>
      <sheetName val="Source Map"/>
      <sheetName val="Sheet1"/>
      <sheetName val="Kilns Criteria"/>
      <sheetName val="Kilns HAP_TAP"/>
      <sheetName val="HAP List"/>
      <sheetName val="Generator_CRIT (2)"/>
      <sheetName val="ADHESIVE2"/>
      <sheetName val="Sheet2"/>
      <sheetName val="Sheet1 (2)"/>
      <sheetName val="Kiln_HAP"/>
      <sheetName val="NO2_ratio_data"/>
      <sheetName val="beta_database"/>
      <sheetName val="Sheet3"/>
      <sheetName val="Size-RTO"/>
      <sheetName val="Size-Cat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per12 total"/>
      <sheetName val="Paper12 dry"/>
      <sheetName val="Paper12 wet"/>
      <sheetName val="Paper14 total"/>
      <sheetName val="Paper14 wet"/>
      <sheetName val="paper14 dry"/>
      <sheetName val="deink5"/>
      <sheetName val="deink1"/>
      <sheetName val="HH01"/>
      <sheetName val="HH2D"/>
      <sheetName val="HH4B"/>
      <sheetName val="HH05"/>
      <sheetName val="HH06"/>
      <sheetName val="HH07"/>
      <sheetName val="HH08"/>
      <sheetName val="HH09"/>
      <sheetName val="HH11"/>
      <sheetName val="HH12"/>
      <sheetName val="HH13"/>
      <sheetName val="HH14"/>
      <sheetName val="HH15"/>
      <sheetName val="HH16"/>
      <sheetName val="HH17"/>
      <sheetName val="HH20"/>
      <sheetName val="HH21"/>
      <sheetName val="HH22"/>
      <sheetName val="HH23"/>
      <sheetName val="HH24"/>
      <sheetName val="HH26"/>
      <sheetName val="Table N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y Toxic Emitting Units"/>
      <sheetName val="Identify Toxic Air Contaminents"/>
      <sheetName val="Identify Exposure Locations"/>
      <sheetName val="Calculate Dispersion Factors"/>
      <sheetName val="Calculate Risk"/>
      <sheetName val="Summarize Risk"/>
      <sheetName val="RBCs"/>
      <sheetName val="TACs"/>
      <sheetName val="Dispersion Fa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&amp;Com. &lt;.3-100"/>
      <sheetName val="Diesel Generator &lt; 600 hp"/>
      <sheetName val="Gasoline-Fired Stationary AGE"/>
      <sheetName val="Diesel-Fired Stationary AGE"/>
      <sheetName val="Gasoline Generator &lt; 600 hp"/>
      <sheetName val="Natural Gas Generators"/>
      <sheetName val="Engine Test Cells"/>
      <sheetName val="Horizontal Fixed Roof Tanks"/>
      <sheetName val="Vertical Fixed Roof Tank"/>
      <sheetName val="External Floating Roof Tank"/>
      <sheetName val="Mogas"/>
      <sheetName val="Fuel Transfer Losses"/>
      <sheetName val="Chemical Usage CY2005"/>
      <sheetName val="Fuel Cell Maint."/>
      <sheetName val="Woodworking"/>
      <sheetName val="Abrasive Blasting"/>
      <sheetName val="Degreaser"/>
      <sheetName val="Aircraft Deicing"/>
      <sheetName val="Painting"/>
      <sheetName val="Pesticide"/>
      <sheetName val="Installation Restoration Sites"/>
      <sheetName val="Fuel Spill"/>
      <sheetName val="Gasoline-Fired Mobile AGE"/>
      <sheetName val="Diesel-Fired Mobile AGE"/>
      <sheetName val="Ozone Depleting Substances"/>
      <sheetName val="TBLES-1, Summary"/>
      <sheetName val="TBLES-2, Source Summary"/>
      <sheetName val="TBLES-3, Permit Compliance1 "/>
      <sheetName val="TBLES-4, Permit Compliance2"/>
      <sheetName val="TBLES-5, ODS Summary"/>
      <sheetName val="TBL2-1,Actual, Stationary"/>
      <sheetName val="TBL2-2, Actual HAP"/>
      <sheetName val="TBL2-3, Potential, Stationary"/>
      <sheetName val="TBL2-4, Potential HAP"/>
      <sheetName val="TBL3-1, ODSs"/>
      <sheetName val="Tbl4-1, Actual Mob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Q Form"/>
      <sheetName val="Drop-Down Box Data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ustion emissions"/>
      <sheetName val="Fuel Lookup"/>
      <sheetName val="Units Looku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OILR &lt; 100 MMBtu"/>
      <sheetName val="RESBLRNG &lt; 0.3 MMBtu"/>
      <sheetName val="COMBLRNG 0.3-100 MMBtu "/>
      <sheetName val="Propane"/>
      <sheetName val="Fire Training"/>
      <sheetName val="Diesel Generator &lt; 600 hp"/>
      <sheetName val="Gasoline Generator &lt; 600 hp"/>
      <sheetName val="Nat Gas Generators"/>
      <sheetName val="Propane Generators"/>
      <sheetName val="Gasoline IC Engines"/>
      <sheetName val="AGE-Stationary"/>
      <sheetName val="Horizontal tanks"/>
      <sheetName val="Internal tanks"/>
      <sheetName val="Fuel Transfer Losses"/>
      <sheetName val="VOC Compounds"/>
      <sheetName val="Degreasers"/>
      <sheetName val="Woodworking"/>
      <sheetName val="Aircraft Deicing"/>
      <sheetName val="Off-road gasoline vehicles"/>
      <sheetName val="Off-road diesel vehicles"/>
      <sheetName val="Aircraft LTOs &amp; T&amp;Gs"/>
      <sheetName val="Aircraft Trim&amp;Power Chks"/>
      <sheetName val="Onroad Vehicles"/>
      <sheetName val="Ozone Depleting Substances"/>
      <sheetName val="TBLES-1, Summary"/>
      <sheetName val="TBLES-2, Source Summary"/>
      <sheetName val="TBLES-3, ODS Summary"/>
      <sheetName val="TBL2-1,Actual, Stationary"/>
      <sheetName val="TBL2-2, Actual HAP"/>
      <sheetName val="TBL2-3, Potential, Stationary"/>
      <sheetName val="TBL2-4, Potential HAP"/>
      <sheetName val="Tbl3-1, Actual Mobile"/>
      <sheetName val="Tbl4-1, O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G_Ext_Comb"/>
      <sheetName val="NG_Flare"/>
      <sheetName val="NG_Turbine"/>
      <sheetName val="NG_ICE"/>
      <sheetName val="FO_Ext_Comb"/>
      <sheetName val="FO_Int_Comb"/>
      <sheetName val="FO_Turbine"/>
      <sheetName val="Propane_Ext_Comb"/>
      <sheetName val="Propane_Turbine"/>
      <sheetName val="Propane_ICE"/>
      <sheetName val="Air Toxic Contaminants List"/>
      <sheetName val="WAC_173_460"/>
      <sheetName val="AT_EFs_Combustion.xlsx"/>
      <sheetName val="AT_EFs_Combus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ping"/>
      <sheetName val="CMS_NG_Ext_Comb"/>
      <sheetName val="CMS_Shot_Blast"/>
      <sheetName val="CMS_paints"/>
      <sheetName val="KWE_paints"/>
      <sheetName val="List_Compare"/>
      <sheetName val="Air Toxic Contaminants List"/>
      <sheetName val="Myers_Scoping_Calcs.xlsx"/>
      <sheetName val="Myers_Scoping_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86FE-BFBC-4A05-8DB3-259A3F6EAE4D}">
  <dimension ref="A1:I102"/>
  <sheetViews>
    <sheetView topLeftCell="A84" zoomScaleNormal="100" zoomScaleSheetLayoutView="100" workbookViewId="0">
      <selection activeCell="K23" sqref="K23"/>
    </sheetView>
  </sheetViews>
  <sheetFormatPr defaultColWidth="15.81640625" defaultRowHeight="15" customHeight="1"/>
  <cols>
    <col min="1" max="1" width="3.1796875" style="19" customWidth="1"/>
    <col min="2" max="2" width="13.54296875" style="19" customWidth="1"/>
    <col min="3" max="3" width="3.1796875" style="20" customWidth="1"/>
    <col min="4" max="4" width="15.453125" style="19" customWidth="1"/>
    <col min="5" max="5" width="15.54296875" style="19" customWidth="1"/>
    <col min="6" max="7" width="18.1796875" style="19" customWidth="1"/>
    <col min="8" max="8" width="19.81640625" style="19" customWidth="1"/>
    <col min="9" max="9" width="12.1796875" style="19" customWidth="1"/>
    <col min="10" max="16384" width="15.81640625" style="19"/>
  </cols>
  <sheetData>
    <row r="1" spans="1:9" s="2" customFormat="1" ht="18" customHeight="1">
      <c r="A1" s="3" t="s">
        <v>0</v>
      </c>
      <c r="B1" s="3"/>
      <c r="C1" s="4"/>
      <c r="D1" s="3"/>
      <c r="E1" s="3"/>
      <c r="F1" s="3"/>
      <c r="G1" s="3"/>
      <c r="H1" s="3"/>
      <c r="I1" s="5"/>
    </row>
    <row r="2" spans="1:9" s="2" customFormat="1" ht="18" customHeight="1">
      <c r="A2" s="3" t="s">
        <v>1</v>
      </c>
      <c r="B2" s="3"/>
      <c r="C2" s="4"/>
      <c r="D2" s="3"/>
      <c r="E2" s="3"/>
      <c r="F2" s="3"/>
      <c r="G2" s="3"/>
      <c r="H2" s="3"/>
      <c r="I2" s="5"/>
    </row>
    <row r="3" spans="1:9" s="2" customFormat="1" ht="18" customHeight="1">
      <c r="A3" s="3" t="s">
        <v>2</v>
      </c>
      <c r="B3" s="3"/>
      <c r="C3" s="4"/>
      <c r="D3" s="3"/>
      <c r="E3" s="3"/>
      <c r="F3" s="3"/>
      <c r="G3" s="3"/>
      <c r="H3" s="3"/>
      <c r="I3" s="5"/>
    </row>
    <row r="4" spans="1:9" s="1" customFormat="1" ht="14">
      <c r="A4" s="6"/>
      <c r="B4" s="7"/>
      <c r="C4" s="8"/>
      <c r="D4" s="7"/>
      <c r="E4" s="7"/>
      <c r="F4" s="7"/>
      <c r="G4" s="7"/>
      <c r="H4" s="7"/>
    </row>
    <row r="5" spans="1:9" s="9" customFormat="1" ht="15" customHeight="1">
      <c r="A5" s="82" t="s">
        <v>3</v>
      </c>
      <c r="B5" s="83"/>
      <c r="C5" s="84"/>
      <c r="D5" s="82" t="s">
        <v>4</v>
      </c>
      <c r="E5" s="82" t="s">
        <v>5</v>
      </c>
      <c r="F5" s="82" t="s">
        <v>6</v>
      </c>
      <c r="G5" s="82" t="s">
        <v>7</v>
      </c>
      <c r="H5" s="89" t="s">
        <v>8</v>
      </c>
      <c r="I5" s="81" t="s">
        <v>9</v>
      </c>
    </row>
    <row r="6" spans="1:9" s="1" customFormat="1" ht="30" customHeight="1">
      <c r="A6" s="85"/>
      <c r="B6" s="86"/>
      <c r="C6" s="87"/>
      <c r="D6" s="88"/>
      <c r="E6" s="88"/>
      <c r="F6" s="88"/>
      <c r="G6" s="88"/>
      <c r="H6" s="90"/>
      <c r="I6" s="81"/>
    </row>
    <row r="7" spans="1:9" s="1" customFormat="1" ht="14">
      <c r="A7" s="10" t="s">
        <v>10</v>
      </c>
      <c r="B7" s="11"/>
      <c r="C7" s="12"/>
      <c r="D7" s="13" t="s">
        <v>11</v>
      </c>
      <c r="E7" s="13" t="s">
        <v>12</v>
      </c>
      <c r="F7" s="14">
        <f>G7*2</f>
        <v>10722</v>
      </c>
      <c r="G7" s="14">
        <v>5361</v>
      </c>
      <c r="H7" s="15">
        <v>5.0000000000000001E-4</v>
      </c>
      <c r="I7" s="13" t="s">
        <v>13</v>
      </c>
    </row>
    <row r="8" spans="1:9" s="1" customFormat="1" ht="14">
      <c r="A8" s="10" t="s">
        <v>14</v>
      </c>
      <c r="B8" s="11"/>
      <c r="C8" s="12"/>
      <c r="D8" s="16" t="s">
        <v>11</v>
      </c>
      <c r="E8" s="16" t="s">
        <v>12</v>
      </c>
      <c r="F8" s="14">
        <f t="shared" ref="F8:F71" si="0">G8*2</f>
        <v>10722</v>
      </c>
      <c r="G8" s="14">
        <v>5361</v>
      </c>
      <c r="H8" s="15">
        <v>5.0000000000000001E-4</v>
      </c>
      <c r="I8" s="16" t="s">
        <v>15</v>
      </c>
    </row>
    <row r="9" spans="1:9" s="1" customFormat="1" ht="14">
      <c r="A9" s="10" t="s">
        <v>16</v>
      </c>
      <c r="B9" s="11"/>
      <c r="C9" s="12"/>
      <c r="D9" s="16" t="s">
        <v>11</v>
      </c>
      <c r="E9" s="16" t="s">
        <v>12</v>
      </c>
      <c r="F9" s="14">
        <f t="shared" si="0"/>
        <v>10722</v>
      </c>
      <c r="G9" s="14">
        <v>5361</v>
      </c>
      <c r="H9" s="15">
        <v>5.0000000000000001E-4</v>
      </c>
      <c r="I9" s="16" t="s">
        <v>17</v>
      </c>
    </row>
    <row r="10" spans="1:9" s="1" customFormat="1" ht="14">
      <c r="A10" s="10" t="s">
        <v>18</v>
      </c>
      <c r="B10" s="11"/>
      <c r="C10" s="12"/>
      <c r="D10" s="16" t="s">
        <v>11</v>
      </c>
      <c r="E10" s="16" t="s">
        <v>12</v>
      </c>
      <c r="F10" s="14">
        <f t="shared" si="0"/>
        <v>10722</v>
      </c>
      <c r="G10" s="14">
        <v>5361</v>
      </c>
      <c r="H10" s="15">
        <v>5.0000000000000001E-4</v>
      </c>
      <c r="I10" s="16" t="s">
        <v>19</v>
      </c>
    </row>
    <row r="11" spans="1:9" s="1" customFormat="1" ht="14">
      <c r="A11" s="10" t="s">
        <v>20</v>
      </c>
      <c r="B11" s="11"/>
      <c r="C11" s="12"/>
      <c r="D11" s="16" t="s">
        <v>11</v>
      </c>
      <c r="E11" s="16" t="s">
        <v>12</v>
      </c>
      <c r="F11" s="14">
        <f t="shared" si="0"/>
        <v>10722</v>
      </c>
      <c r="G11" s="14">
        <v>5361</v>
      </c>
      <c r="H11" s="15">
        <v>5.0000000000000001E-4</v>
      </c>
      <c r="I11" s="16" t="s">
        <v>21</v>
      </c>
    </row>
    <row r="12" spans="1:9" s="1" customFormat="1" ht="14">
      <c r="A12" s="10" t="s">
        <v>22</v>
      </c>
      <c r="B12" s="11"/>
      <c r="C12" s="12"/>
      <c r="D12" s="16" t="s">
        <v>11</v>
      </c>
      <c r="E12" s="16" t="s">
        <v>12</v>
      </c>
      <c r="F12" s="14">
        <f t="shared" si="0"/>
        <v>10722</v>
      </c>
      <c r="G12" s="14">
        <v>5361</v>
      </c>
      <c r="H12" s="15">
        <v>5.0000000000000001E-4</v>
      </c>
      <c r="I12" s="16" t="s">
        <v>23</v>
      </c>
    </row>
    <row r="13" spans="1:9" s="1" customFormat="1" ht="14">
      <c r="A13" s="10" t="s">
        <v>24</v>
      </c>
      <c r="B13" s="11"/>
      <c r="C13" s="12"/>
      <c r="D13" s="16" t="s">
        <v>11</v>
      </c>
      <c r="E13" s="16" t="s">
        <v>12</v>
      </c>
      <c r="F13" s="14">
        <f t="shared" si="0"/>
        <v>10722</v>
      </c>
      <c r="G13" s="14">
        <v>5361</v>
      </c>
      <c r="H13" s="15">
        <v>5.0000000000000001E-4</v>
      </c>
      <c r="I13" s="16" t="s">
        <v>25</v>
      </c>
    </row>
    <row r="14" spans="1:9" s="1" customFormat="1" ht="14">
      <c r="A14" s="10" t="s">
        <v>26</v>
      </c>
      <c r="B14" s="11"/>
      <c r="C14" s="12"/>
      <c r="D14" s="16" t="s">
        <v>11</v>
      </c>
      <c r="E14" s="16" t="s">
        <v>12</v>
      </c>
      <c r="F14" s="14">
        <f t="shared" si="0"/>
        <v>10722</v>
      </c>
      <c r="G14" s="14">
        <v>5361</v>
      </c>
      <c r="H14" s="15">
        <v>5.0000000000000001E-4</v>
      </c>
      <c r="I14" s="16" t="s">
        <v>27</v>
      </c>
    </row>
    <row r="15" spans="1:9" s="1" customFormat="1" ht="14">
      <c r="A15" s="10" t="s">
        <v>28</v>
      </c>
      <c r="B15" s="11"/>
      <c r="C15" s="12"/>
      <c r="D15" s="16" t="s">
        <v>11</v>
      </c>
      <c r="E15" s="16" t="s">
        <v>12</v>
      </c>
      <c r="F15" s="14">
        <f t="shared" si="0"/>
        <v>10722</v>
      </c>
      <c r="G15" s="14">
        <v>5361</v>
      </c>
      <c r="H15" s="15">
        <v>5.0000000000000001E-4</v>
      </c>
      <c r="I15" s="16" t="s">
        <v>29</v>
      </c>
    </row>
    <row r="16" spans="1:9" s="1" customFormat="1" ht="14">
      <c r="A16" s="10" t="s">
        <v>30</v>
      </c>
      <c r="B16" s="11"/>
      <c r="C16" s="12"/>
      <c r="D16" s="16" t="s">
        <v>11</v>
      </c>
      <c r="E16" s="16" t="s">
        <v>12</v>
      </c>
      <c r="F16" s="14">
        <f t="shared" si="0"/>
        <v>10722</v>
      </c>
      <c r="G16" s="14">
        <v>5361</v>
      </c>
      <c r="H16" s="15">
        <v>5.0000000000000001E-4</v>
      </c>
      <c r="I16" s="16" t="s">
        <v>31</v>
      </c>
    </row>
    <row r="17" spans="1:9" s="1" customFormat="1" ht="14">
      <c r="A17" s="10" t="s">
        <v>32</v>
      </c>
      <c r="B17" s="11"/>
      <c r="C17" s="12"/>
      <c r="D17" s="16" t="s">
        <v>11</v>
      </c>
      <c r="E17" s="16" t="s">
        <v>12</v>
      </c>
      <c r="F17" s="14">
        <f t="shared" si="0"/>
        <v>10722</v>
      </c>
      <c r="G17" s="14">
        <v>5361</v>
      </c>
      <c r="H17" s="15">
        <v>5.0000000000000001E-4</v>
      </c>
      <c r="I17" s="16" t="s">
        <v>33</v>
      </c>
    </row>
    <row r="18" spans="1:9" s="1" customFormat="1" ht="14">
      <c r="A18" s="10" t="s">
        <v>34</v>
      </c>
      <c r="B18" s="11"/>
      <c r="C18" s="12"/>
      <c r="D18" s="16" t="s">
        <v>11</v>
      </c>
      <c r="E18" s="16" t="s">
        <v>12</v>
      </c>
      <c r="F18" s="14">
        <f t="shared" si="0"/>
        <v>10722</v>
      </c>
      <c r="G18" s="14">
        <v>5361</v>
      </c>
      <c r="H18" s="15">
        <v>5.0000000000000001E-4</v>
      </c>
      <c r="I18" s="16" t="s">
        <v>35</v>
      </c>
    </row>
    <row r="19" spans="1:9" s="1" customFormat="1" ht="14">
      <c r="A19" s="10" t="s">
        <v>36</v>
      </c>
      <c r="B19" s="11"/>
      <c r="C19" s="12"/>
      <c r="D19" s="16" t="s">
        <v>11</v>
      </c>
      <c r="E19" s="16" t="s">
        <v>12</v>
      </c>
      <c r="F19" s="14">
        <f t="shared" si="0"/>
        <v>10722</v>
      </c>
      <c r="G19" s="14">
        <v>5361</v>
      </c>
      <c r="H19" s="15">
        <v>5.0000000000000001E-4</v>
      </c>
      <c r="I19" s="16" t="s">
        <v>37</v>
      </c>
    </row>
    <row r="20" spans="1:9" s="1" customFormat="1" ht="14">
      <c r="A20" s="10" t="s">
        <v>38</v>
      </c>
      <c r="B20" s="11"/>
      <c r="C20" s="12"/>
      <c r="D20" s="16" t="s">
        <v>11</v>
      </c>
      <c r="E20" s="16" t="s">
        <v>12</v>
      </c>
      <c r="F20" s="14">
        <f t="shared" si="0"/>
        <v>10722</v>
      </c>
      <c r="G20" s="14">
        <v>5361</v>
      </c>
      <c r="H20" s="15">
        <v>5.0000000000000001E-4</v>
      </c>
      <c r="I20" s="16" t="s">
        <v>39</v>
      </c>
    </row>
    <row r="21" spans="1:9" s="1" customFormat="1" ht="14">
      <c r="A21" s="10" t="s">
        <v>40</v>
      </c>
      <c r="B21" s="11"/>
      <c r="C21" s="12"/>
      <c r="D21" s="16" t="s">
        <v>11</v>
      </c>
      <c r="E21" s="16" t="s">
        <v>12</v>
      </c>
      <c r="F21" s="14">
        <f t="shared" si="0"/>
        <v>10722</v>
      </c>
      <c r="G21" s="14">
        <v>5361</v>
      </c>
      <c r="H21" s="15">
        <v>5.0000000000000001E-4</v>
      </c>
      <c r="I21" s="16" t="s">
        <v>41</v>
      </c>
    </row>
    <row r="22" spans="1:9" s="1" customFormat="1" ht="14">
      <c r="A22" s="10" t="s">
        <v>42</v>
      </c>
      <c r="B22" s="11"/>
      <c r="C22" s="12"/>
      <c r="D22" s="16" t="s">
        <v>11</v>
      </c>
      <c r="E22" s="16" t="s">
        <v>12</v>
      </c>
      <c r="F22" s="14">
        <f t="shared" si="0"/>
        <v>10722</v>
      </c>
      <c r="G22" s="14">
        <v>5361</v>
      </c>
      <c r="H22" s="15">
        <v>5.0000000000000001E-4</v>
      </c>
      <c r="I22" s="16" t="s">
        <v>43</v>
      </c>
    </row>
    <row r="23" spans="1:9" s="1" customFormat="1" ht="14">
      <c r="A23" s="10" t="s">
        <v>44</v>
      </c>
      <c r="B23" s="11"/>
      <c r="C23" s="12"/>
      <c r="D23" s="16" t="s">
        <v>11</v>
      </c>
      <c r="E23" s="16" t="s">
        <v>45</v>
      </c>
      <c r="F23" s="14">
        <f t="shared" si="0"/>
        <v>10722</v>
      </c>
      <c r="G23" s="14">
        <v>5361</v>
      </c>
      <c r="H23" s="15">
        <v>5.0000000000000001E-4</v>
      </c>
      <c r="I23" s="16" t="s">
        <v>46</v>
      </c>
    </row>
    <row r="24" spans="1:9" s="1" customFormat="1" ht="14">
      <c r="A24" s="10" t="s">
        <v>47</v>
      </c>
      <c r="B24" s="11"/>
      <c r="C24" s="12"/>
      <c r="D24" s="16" t="s">
        <v>11</v>
      </c>
      <c r="E24" s="16" t="s">
        <v>45</v>
      </c>
      <c r="F24" s="14">
        <f t="shared" si="0"/>
        <v>10722</v>
      </c>
      <c r="G24" s="14">
        <v>5361</v>
      </c>
      <c r="H24" s="15">
        <v>5.0000000000000001E-4</v>
      </c>
      <c r="I24" s="16" t="s">
        <v>48</v>
      </c>
    </row>
    <row r="25" spans="1:9" s="1" customFormat="1" ht="14">
      <c r="A25" s="10" t="s">
        <v>49</v>
      </c>
      <c r="B25" s="11"/>
      <c r="C25" s="12"/>
      <c r="D25" s="16" t="s">
        <v>11</v>
      </c>
      <c r="E25" s="16" t="s">
        <v>45</v>
      </c>
      <c r="F25" s="14">
        <f t="shared" si="0"/>
        <v>10722</v>
      </c>
      <c r="G25" s="14">
        <v>5361</v>
      </c>
      <c r="H25" s="15">
        <v>5.0000000000000001E-4</v>
      </c>
      <c r="I25" s="16" t="s">
        <v>50</v>
      </c>
    </row>
    <row r="26" spans="1:9" s="1" customFormat="1" ht="14">
      <c r="A26" s="10" t="s">
        <v>51</v>
      </c>
      <c r="B26" s="11"/>
      <c r="C26" s="12"/>
      <c r="D26" s="16" t="s">
        <v>11</v>
      </c>
      <c r="E26" s="16" t="s">
        <v>45</v>
      </c>
      <c r="F26" s="14">
        <f t="shared" si="0"/>
        <v>10722</v>
      </c>
      <c r="G26" s="14">
        <v>5361</v>
      </c>
      <c r="H26" s="15">
        <v>5.0000000000000001E-4</v>
      </c>
      <c r="I26" s="16" t="s">
        <v>52</v>
      </c>
    </row>
    <row r="27" spans="1:9" s="1" customFormat="1" ht="14">
      <c r="A27" s="10" t="s">
        <v>53</v>
      </c>
      <c r="B27" s="11"/>
      <c r="C27" s="12"/>
      <c r="D27" s="16" t="s">
        <v>11</v>
      </c>
      <c r="E27" s="16" t="s">
        <v>54</v>
      </c>
      <c r="F27" s="14">
        <f t="shared" si="0"/>
        <v>10722</v>
      </c>
      <c r="G27" s="14">
        <v>5361</v>
      </c>
      <c r="H27" s="15">
        <v>5.0000000000000001E-4</v>
      </c>
      <c r="I27" s="16" t="s">
        <v>55</v>
      </c>
    </row>
    <row r="28" spans="1:9" s="1" customFormat="1" ht="14">
      <c r="A28" s="10" t="s">
        <v>56</v>
      </c>
      <c r="B28" s="11"/>
      <c r="C28" s="12"/>
      <c r="D28" s="16" t="s">
        <v>11</v>
      </c>
      <c r="E28" s="16" t="s">
        <v>54</v>
      </c>
      <c r="F28" s="14">
        <f t="shared" si="0"/>
        <v>10722</v>
      </c>
      <c r="G28" s="14">
        <v>5361</v>
      </c>
      <c r="H28" s="15">
        <v>5.0000000000000001E-4</v>
      </c>
      <c r="I28" s="16" t="s">
        <v>57</v>
      </c>
    </row>
    <row r="29" spans="1:9" s="1" customFormat="1" ht="14">
      <c r="A29" s="10" t="s">
        <v>58</v>
      </c>
      <c r="B29" s="11"/>
      <c r="C29" s="12"/>
      <c r="D29" s="16" t="s">
        <v>11</v>
      </c>
      <c r="E29" s="16" t="s">
        <v>54</v>
      </c>
      <c r="F29" s="14">
        <f t="shared" si="0"/>
        <v>10722</v>
      </c>
      <c r="G29" s="14">
        <v>5361</v>
      </c>
      <c r="H29" s="15">
        <v>5.0000000000000001E-4</v>
      </c>
      <c r="I29" s="16" t="s">
        <v>59</v>
      </c>
    </row>
    <row r="30" spans="1:9" s="1" customFormat="1" ht="14">
      <c r="A30" s="10" t="s">
        <v>60</v>
      </c>
      <c r="B30" s="11"/>
      <c r="C30" s="12"/>
      <c r="D30" s="16" t="s">
        <v>11</v>
      </c>
      <c r="E30" s="16" t="s">
        <v>54</v>
      </c>
      <c r="F30" s="14">
        <f t="shared" si="0"/>
        <v>10722</v>
      </c>
      <c r="G30" s="14">
        <v>5361</v>
      </c>
      <c r="H30" s="15">
        <v>5.0000000000000001E-4</v>
      </c>
      <c r="I30" s="16" t="s">
        <v>61</v>
      </c>
    </row>
    <row r="31" spans="1:9" s="1" customFormat="1" ht="14">
      <c r="A31" s="10" t="s">
        <v>62</v>
      </c>
      <c r="B31" s="11"/>
      <c r="C31" s="12"/>
      <c r="D31" s="16" t="s">
        <v>11</v>
      </c>
      <c r="E31" s="16" t="s">
        <v>54</v>
      </c>
      <c r="F31" s="14">
        <f t="shared" si="0"/>
        <v>10722</v>
      </c>
      <c r="G31" s="14">
        <v>5361</v>
      </c>
      <c r="H31" s="15">
        <v>5.0000000000000001E-4</v>
      </c>
      <c r="I31" s="16" t="s">
        <v>63</v>
      </c>
    </row>
    <row r="32" spans="1:9" s="1" customFormat="1" ht="14">
      <c r="A32" s="10" t="s">
        <v>64</v>
      </c>
      <c r="B32" s="11"/>
      <c r="C32" s="12"/>
      <c r="D32" s="16" t="s">
        <v>11</v>
      </c>
      <c r="E32" s="16" t="s">
        <v>54</v>
      </c>
      <c r="F32" s="14">
        <f t="shared" si="0"/>
        <v>10722</v>
      </c>
      <c r="G32" s="14">
        <v>5361</v>
      </c>
      <c r="H32" s="15">
        <v>5.0000000000000001E-4</v>
      </c>
      <c r="I32" s="16" t="s">
        <v>65</v>
      </c>
    </row>
    <row r="33" spans="1:9" s="1" customFormat="1" ht="14">
      <c r="A33" s="10" t="s">
        <v>66</v>
      </c>
      <c r="B33" s="11"/>
      <c r="C33" s="12"/>
      <c r="D33" s="16" t="s">
        <v>11</v>
      </c>
      <c r="E33" s="16" t="s">
        <v>54</v>
      </c>
      <c r="F33" s="14">
        <f t="shared" si="0"/>
        <v>10722</v>
      </c>
      <c r="G33" s="14">
        <v>5361</v>
      </c>
      <c r="H33" s="15">
        <v>5.0000000000000001E-4</v>
      </c>
      <c r="I33" s="16" t="s">
        <v>67</v>
      </c>
    </row>
    <row r="34" spans="1:9" s="1" customFormat="1" ht="14">
      <c r="A34" s="10" t="s">
        <v>68</v>
      </c>
      <c r="B34" s="11"/>
      <c r="C34" s="12"/>
      <c r="D34" s="16" t="s">
        <v>11</v>
      </c>
      <c r="E34" s="16" t="s">
        <v>54</v>
      </c>
      <c r="F34" s="14">
        <f t="shared" si="0"/>
        <v>10722</v>
      </c>
      <c r="G34" s="14">
        <v>5361</v>
      </c>
      <c r="H34" s="15">
        <v>5.0000000000000001E-4</v>
      </c>
      <c r="I34" s="16" t="s">
        <v>69</v>
      </c>
    </row>
    <row r="35" spans="1:9" s="1" customFormat="1" ht="14">
      <c r="A35" s="10" t="s">
        <v>70</v>
      </c>
      <c r="B35" s="11"/>
      <c r="C35" s="12"/>
      <c r="D35" s="16" t="s">
        <v>11</v>
      </c>
      <c r="E35" s="16" t="s">
        <v>71</v>
      </c>
      <c r="F35" s="14">
        <f t="shared" si="0"/>
        <v>10722</v>
      </c>
      <c r="G35" s="14">
        <v>5361</v>
      </c>
      <c r="H35" s="15">
        <v>5.0000000000000001E-4</v>
      </c>
      <c r="I35" s="16" t="s">
        <v>72</v>
      </c>
    </row>
    <row r="36" spans="1:9" s="1" customFormat="1" ht="14">
      <c r="A36" s="10" t="s">
        <v>73</v>
      </c>
      <c r="B36" s="11"/>
      <c r="C36" s="12"/>
      <c r="D36" s="16" t="s">
        <v>11</v>
      </c>
      <c r="E36" s="16" t="s">
        <v>74</v>
      </c>
      <c r="F36" s="14">
        <f t="shared" si="0"/>
        <v>10722</v>
      </c>
      <c r="G36" s="14">
        <v>5361</v>
      </c>
      <c r="H36" s="15">
        <v>5.0000000000000001E-4</v>
      </c>
      <c r="I36" s="16" t="s">
        <v>75</v>
      </c>
    </row>
    <row r="37" spans="1:9" s="1" customFormat="1" ht="14">
      <c r="A37" s="10" t="s">
        <v>76</v>
      </c>
      <c r="B37" s="11"/>
      <c r="C37" s="12" t="str">
        <f>$A$102</f>
        <v>(3)</v>
      </c>
      <c r="D37" s="16" t="s">
        <v>11</v>
      </c>
      <c r="E37" s="16" t="s">
        <v>54</v>
      </c>
      <c r="F37" s="14">
        <f t="shared" si="0"/>
        <v>10722</v>
      </c>
      <c r="G37" s="14">
        <v>5361</v>
      </c>
      <c r="H37" s="15">
        <v>5.0000000000000001E-4</v>
      </c>
      <c r="I37" s="16" t="s">
        <v>77</v>
      </c>
    </row>
    <row r="38" spans="1:9" s="1" customFormat="1" ht="14">
      <c r="A38" s="10" t="s">
        <v>78</v>
      </c>
      <c r="B38" s="11"/>
      <c r="C38" s="12" t="str">
        <f t="shared" ref="C38:C44" si="1">$A$102</f>
        <v>(3)</v>
      </c>
      <c r="D38" s="16" t="s">
        <v>11</v>
      </c>
      <c r="E38" s="16" t="s">
        <v>54</v>
      </c>
      <c r="F38" s="14">
        <f t="shared" si="0"/>
        <v>10722</v>
      </c>
      <c r="G38" s="14">
        <v>5361</v>
      </c>
      <c r="H38" s="15">
        <v>5.0000000000000001E-4</v>
      </c>
      <c r="I38" s="16" t="s">
        <v>79</v>
      </c>
    </row>
    <row r="39" spans="1:9" s="1" customFormat="1" ht="14">
      <c r="A39" s="10" t="s">
        <v>80</v>
      </c>
      <c r="B39" s="11"/>
      <c r="C39" s="12" t="str">
        <f t="shared" si="1"/>
        <v>(3)</v>
      </c>
      <c r="D39" s="16" t="s">
        <v>11</v>
      </c>
      <c r="E39" s="16" t="s">
        <v>54</v>
      </c>
      <c r="F39" s="14">
        <f t="shared" si="0"/>
        <v>10722</v>
      </c>
      <c r="G39" s="14">
        <v>5361</v>
      </c>
      <c r="H39" s="15">
        <v>5.0000000000000001E-4</v>
      </c>
      <c r="I39" s="16" t="s">
        <v>81</v>
      </c>
    </row>
    <row r="40" spans="1:9" s="1" customFormat="1" ht="14">
      <c r="A40" s="10" t="s">
        <v>82</v>
      </c>
      <c r="B40" s="11"/>
      <c r="C40" s="12" t="str">
        <f t="shared" si="1"/>
        <v>(3)</v>
      </c>
      <c r="D40" s="16" t="s">
        <v>11</v>
      </c>
      <c r="E40" s="16" t="s">
        <v>54</v>
      </c>
      <c r="F40" s="14">
        <f t="shared" si="0"/>
        <v>10722</v>
      </c>
      <c r="G40" s="14">
        <v>5361</v>
      </c>
      <c r="H40" s="15">
        <v>5.0000000000000001E-4</v>
      </c>
      <c r="I40" s="16" t="s">
        <v>83</v>
      </c>
    </row>
    <row r="41" spans="1:9" s="1" customFormat="1" ht="14">
      <c r="A41" s="10" t="s">
        <v>84</v>
      </c>
      <c r="B41" s="11"/>
      <c r="C41" s="12" t="str">
        <f t="shared" si="1"/>
        <v>(3)</v>
      </c>
      <c r="D41" s="16" t="s">
        <v>11</v>
      </c>
      <c r="E41" s="16" t="s">
        <v>54</v>
      </c>
      <c r="F41" s="14">
        <f t="shared" si="0"/>
        <v>10722</v>
      </c>
      <c r="G41" s="14">
        <v>5361</v>
      </c>
      <c r="H41" s="15">
        <v>5.0000000000000001E-4</v>
      </c>
      <c r="I41" s="16" t="s">
        <v>85</v>
      </c>
    </row>
    <row r="42" spans="1:9" s="1" customFormat="1" ht="14">
      <c r="A42" s="10" t="s">
        <v>86</v>
      </c>
      <c r="B42" s="11"/>
      <c r="C42" s="12" t="str">
        <f t="shared" si="1"/>
        <v>(3)</v>
      </c>
      <c r="D42" s="16" t="s">
        <v>11</v>
      </c>
      <c r="E42" s="16" t="s">
        <v>54</v>
      </c>
      <c r="F42" s="14">
        <f t="shared" si="0"/>
        <v>10722</v>
      </c>
      <c r="G42" s="14">
        <v>5361</v>
      </c>
      <c r="H42" s="15">
        <v>5.0000000000000001E-4</v>
      </c>
      <c r="I42" s="16" t="s">
        <v>87</v>
      </c>
    </row>
    <row r="43" spans="1:9" s="1" customFormat="1" ht="14">
      <c r="A43" s="10" t="s">
        <v>88</v>
      </c>
      <c r="B43" s="11"/>
      <c r="C43" s="12" t="str">
        <f t="shared" si="1"/>
        <v>(3)</v>
      </c>
      <c r="D43" s="16" t="s">
        <v>11</v>
      </c>
      <c r="E43" s="16" t="s">
        <v>54</v>
      </c>
      <c r="F43" s="14">
        <f t="shared" si="0"/>
        <v>10722</v>
      </c>
      <c r="G43" s="14">
        <v>5361</v>
      </c>
      <c r="H43" s="15">
        <v>5.0000000000000001E-4</v>
      </c>
      <c r="I43" s="16" t="s">
        <v>89</v>
      </c>
    </row>
    <row r="44" spans="1:9" s="1" customFormat="1" ht="14">
      <c r="A44" s="10" t="s">
        <v>90</v>
      </c>
      <c r="B44" s="11"/>
      <c r="C44" s="12" t="str">
        <f t="shared" si="1"/>
        <v>(3)</v>
      </c>
      <c r="D44" s="16" t="s">
        <v>11</v>
      </c>
      <c r="E44" s="16" t="s">
        <v>54</v>
      </c>
      <c r="F44" s="14">
        <f t="shared" si="0"/>
        <v>10722</v>
      </c>
      <c r="G44" s="14">
        <v>5361</v>
      </c>
      <c r="H44" s="15">
        <v>5.0000000000000001E-4</v>
      </c>
      <c r="I44" s="16" t="s">
        <v>91</v>
      </c>
    </row>
    <row r="45" spans="1:9" s="1" customFormat="1" ht="14">
      <c r="A45" s="10" t="s">
        <v>92</v>
      </c>
      <c r="B45" s="11"/>
      <c r="C45" s="12"/>
      <c r="D45" s="16" t="s">
        <v>11</v>
      </c>
      <c r="E45" s="16" t="s">
        <v>54</v>
      </c>
      <c r="F45" s="14">
        <f t="shared" si="0"/>
        <v>10722</v>
      </c>
      <c r="G45" s="14">
        <v>5361</v>
      </c>
      <c r="H45" s="15">
        <v>5.0000000000000001E-4</v>
      </c>
      <c r="I45" s="16" t="s">
        <v>93</v>
      </c>
    </row>
    <row r="46" spans="1:9" s="1" customFormat="1" ht="14">
      <c r="A46" s="10" t="s">
        <v>94</v>
      </c>
      <c r="B46" s="11"/>
      <c r="C46" s="12"/>
      <c r="D46" s="16" t="s">
        <v>11</v>
      </c>
      <c r="E46" s="16" t="s">
        <v>95</v>
      </c>
      <c r="F46" s="14">
        <f t="shared" si="0"/>
        <v>7700</v>
      </c>
      <c r="G46" s="14">
        <v>3850</v>
      </c>
      <c r="H46" s="17">
        <v>1E-3</v>
      </c>
      <c r="I46" s="16" t="s">
        <v>96</v>
      </c>
    </row>
    <row r="47" spans="1:9" s="1" customFormat="1" ht="14">
      <c r="A47" s="10" t="s">
        <v>97</v>
      </c>
      <c r="B47" s="11"/>
      <c r="C47" s="12"/>
      <c r="D47" s="16" t="s">
        <v>11</v>
      </c>
      <c r="E47" s="16" t="s">
        <v>95</v>
      </c>
      <c r="F47" s="14">
        <f t="shared" si="0"/>
        <v>7700</v>
      </c>
      <c r="G47" s="14">
        <v>3850</v>
      </c>
      <c r="H47" s="17">
        <v>1E-3</v>
      </c>
      <c r="I47" s="16" t="s">
        <v>98</v>
      </c>
    </row>
    <row r="48" spans="1:9" s="1" customFormat="1" ht="14">
      <c r="A48" s="10" t="s">
        <v>99</v>
      </c>
      <c r="B48" s="11"/>
      <c r="C48" s="12"/>
      <c r="D48" s="16" t="s">
        <v>11</v>
      </c>
      <c r="E48" s="16" t="s">
        <v>95</v>
      </c>
      <c r="F48" s="14">
        <f t="shared" si="0"/>
        <v>7700</v>
      </c>
      <c r="G48" s="14">
        <v>3850</v>
      </c>
      <c r="H48" s="17">
        <v>1E-3</v>
      </c>
      <c r="I48" s="16" t="s">
        <v>100</v>
      </c>
    </row>
    <row r="49" spans="1:9" s="1" customFormat="1" ht="14">
      <c r="A49" s="10" t="s">
        <v>101</v>
      </c>
      <c r="B49" s="11"/>
      <c r="C49" s="12"/>
      <c r="D49" s="16" t="s">
        <v>11</v>
      </c>
      <c r="E49" s="16" t="s">
        <v>95</v>
      </c>
      <c r="F49" s="14">
        <f t="shared" si="0"/>
        <v>7700</v>
      </c>
      <c r="G49" s="14">
        <v>3850</v>
      </c>
      <c r="H49" s="17">
        <v>1E-3</v>
      </c>
      <c r="I49" s="16" t="s">
        <v>102</v>
      </c>
    </row>
    <row r="50" spans="1:9" s="1" customFormat="1" ht="14">
      <c r="A50" s="10" t="s">
        <v>103</v>
      </c>
      <c r="B50" s="11"/>
      <c r="C50" s="12"/>
      <c r="D50" s="16" t="s">
        <v>11</v>
      </c>
      <c r="E50" s="16" t="s">
        <v>95</v>
      </c>
      <c r="F50" s="14">
        <f t="shared" si="0"/>
        <v>7700</v>
      </c>
      <c r="G50" s="14">
        <v>3850</v>
      </c>
      <c r="H50" s="17">
        <v>1E-3</v>
      </c>
      <c r="I50" s="16" t="s">
        <v>104</v>
      </c>
    </row>
    <row r="51" spans="1:9" s="1" customFormat="1" ht="14">
      <c r="A51" s="10" t="s">
        <v>105</v>
      </c>
      <c r="B51" s="11"/>
      <c r="C51" s="12"/>
      <c r="D51" s="16" t="s">
        <v>11</v>
      </c>
      <c r="E51" s="16" t="s">
        <v>106</v>
      </c>
      <c r="F51" s="14">
        <f t="shared" si="0"/>
        <v>7700</v>
      </c>
      <c r="G51" s="14">
        <v>3850</v>
      </c>
      <c r="H51" s="17">
        <v>1E-3</v>
      </c>
      <c r="I51" s="16" t="s">
        <v>107</v>
      </c>
    </row>
    <row r="52" spans="1:9" s="1" customFormat="1" ht="14">
      <c r="A52" s="10" t="s">
        <v>108</v>
      </c>
      <c r="B52" s="11"/>
      <c r="C52" s="12"/>
      <c r="D52" s="16" t="s">
        <v>11</v>
      </c>
      <c r="E52" s="16" t="s">
        <v>106</v>
      </c>
      <c r="F52" s="14">
        <f t="shared" si="0"/>
        <v>7700</v>
      </c>
      <c r="G52" s="14">
        <v>3850</v>
      </c>
      <c r="H52" s="17">
        <v>1E-3</v>
      </c>
      <c r="I52" s="16" t="s">
        <v>109</v>
      </c>
    </row>
    <row r="53" spans="1:9" s="1" customFormat="1" ht="14">
      <c r="A53" s="10" t="s">
        <v>110</v>
      </c>
      <c r="B53" s="11"/>
      <c r="C53" s="12"/>
      <c r="D53" s="16" t="s">
        <v>11</v>
      </c>
      <c r="E53" s="16" t="s">
        <v>106</v>
      </c>
      <c r="F53" s="14">
        <f t="shared" si="0"/>
        <v>7700</v>
      </c>
      <c r="G53" s="14">
        <v>3850</v>
      </c>
      <c r="H53" s="17">
        <v>1E-3</v>
      </c>
      <c r="I53" s="16" t="s">
        <v>111</v>
      </c>
    </row>
    <row r="54" spans="1:9" s="1" customFormat="1" ht="14">
      <c r="A54" s="10" t="s">
        <v>112</v>
      </c>
      <c r="B54" s="11"/>
      <c r="C54" s="12"/>
      <c r="D54" s="16" t="s">
        <v>11</v>
      </c>
      <c r="E54" s="16" t="s">
        <v>106</v>
      </c>
      <c r="F54" s="14">
        <f t="shared" si="0"/>
        <v>7700</v>
      </c>
      <c r="G54" s="14">
        <v>3850</v>
      </c>
      <c r="H54" s="17">
        <v>1E-3</v>
      </c>
      <c r="I54" s="16" t="s">
        <v>113</v>
      </c>
    </row>
    <row r="55" spans="1:9" s="1" customFormat="1" ht="14">
      <c r="A55" s="10" t="s">
        <v>114</v>
      </c>
      <c r="B55" s="11"/>
      <c r="C55" s="12"/>
      <c r="D55" s="16" t="s">
        <v>11</v>
      </c>
      <c r="E55" s="16" t="s">
        <v>106</v>
      </c>
      <c r="F55" s="14">
        <f t="shared" si="0"/>
        <v>7700</v>
      </c>
      <c r="G55" s="14">
        <v>3850</v>
      </c>
      <c r="H55" s="17">
        <v>1E-3</v>
      </c>
      <c r="I55" s="16" t="s">
        <v>115</v>
      </c>
    </row>
    <row r="56" spans="1:9" s="1" customFormat="1" ht="14">
      <c r="A56" s="10" t="s">
        <v>116</v>
      </c>
      <c r="B56" s="11"/>
      <c r="C56" s="12"/>
      <c r="D56" s="16" t="s">
        <v>11</v>
      </c>
      <c r="E56" s="16" t="s">
        <v>106</v>
      </c>
      <c r="F56" s="14">
        <f t="shared" si="0"/>
        <v>7700</v>
      </c>
      <c r="G56" s="14">
        <v>3850</v>
      </c>
      <c r="H56" s="17">
        <v>1E-3</v>
      </c>
      <c r="I56" s="16" t="s">
        <v>117</v>
      </c>
    </row>
    <row r="57" spans="1:9" s="1" customFormat="1" ht="14">
      <c r="A57" s="10" t="s">
        <v>118</v>
      </c>
      <c r="B57" s="11"/>
      <c r="C57" s="12"/>
      <c r="D57" s="16" t="s">
        <v>11</v>
      </c>
      <c r="E57" s="16" t="s">
        <v>119</v>
      </c>
      <c r="F57" s="14">
        <f t="shared" si="0"/>
        <v>3844</v>
      </c>
      <c r="G57" s="14">
        <v>1922</v>
      </c>
      <c r="H57" s="17">
        <v>1E-3</v>
      </c>
      <c r="I57" s="16" t="s">
        <v>120</v>
      </c>
    </row>
    <row r="58" spans="1:9" s="1" customFormat="1" ht="14">
      <c r="A58" s="10" t="s">
        <v>121</v>
      </c>
      <c r="B58" s="11"/>
      <c r="C58" s="12"/>
      <c r="D58" s="16" t="s">
        <v>11</v>
      </c>
      <c r="E58" s="16" t="s">
        <v>119</v>
      </c>
      <c r="F58" s="14">
        <f t="shared" si="0"/>
        <v>3844</v>
      </c>
      <c r="G58" s="14">
        <v>1922</v>
      </c>
      <c r="H58" s="17">
        <v>1E-3</v>
      </c>
      <c r="I58" s="16" t="s">
        <v>122</v>
      </c>
    </row>
    <row r="59" spans="1:9" s="1" customFormat="1" ht="14">
      <c r="A59" s="10" t="s">
        <v>123</v>
      </c>
      <c r="B59" s="11"/>
      <c r="C59" s="12" t="str">
        <f>$A$102</f>
        <v>(3)</v>
      </c>
      <c r="D59" s="16" t="s">
        <v>11</v>
      </c>
      <c r="E59" s="16" t="s">
        <v>119</v>
      </c>
      <c r="F59" s="14">
        <f t="shared" si="0"/>
        <v>3844</v>
      </c>
      <c r="G59" s="14">
        <v>1922</v>
      </c>
      <c r="H59" s="17">
        <v>1E-3</v>
      </c>
      <c r="I59" s="16" t="s">
        <v>124</v>
      </c>
    </row>
    <row r="60" spans="1:9" s="1" customFormat="1" ht="14">
      <c r="A60" s="10" t="s">
        <v>125</v>
      </c>
      <c r="B60" s="11"/>
      <c r="C60" s="12"/>
      <c r="D60" s="16" t="s">
        <v>11</v>
      </c>
      <c r="E60" s="16" t="s">
        <v>126</v>
      </c>
      <c r="F60" s="14">
        <f t="shared" si="0"/>
        <v>8000</v>
      </c>
      <c r="G60" s="14">
        <v>4000</v>
      </c>
      <c r="H60" s="17">
        <v>1E-3</v>
      </c>
      <c r="I60" s="16" t="s">
        <v>127</v>
      </c>
    </row>
    <row r="61" spans="1:9" s="1" customFormat="1" ht="14">
      <c r="A61" s="10" t="s">
        <v>128</v>
      </c>
      <c r="B61" s="11"/>
      <c r="C61" s="12"/>
      <c r="D61" s="16" t="s">
        <v>11</v>
      </c>
      <c r="E61" s="16" t="s">
        <v>126</v>
      </c>
      <c r="F61" s="14">
        <f t="shared" si="0"/>
        <v>8000</v>
      </c>
      <c r="G61" s="14">
        <v>4000</v>
      </c>
      <c r="H61" s="17">
        <v>1E-3</v>
      </c>
      <c r="I61" s="16" t="s">
        <v>129</v>
      </c>
    </row>
    <row r="62" spans="1:9" s="1" customFormat="1" ht="14">
      <c r="A62" s="10" t="s">
        <v>130</v>
      </c>
      <c r="B62" s="11"/>
      <c r="C62" s="12"/>
      <c r="D62" s="16" t="s">
        <v>11</v>
      </c>
      <c r="E62" s="16" t="s">
        <v>126</v>
      </c>
      <c r="F62" s="14">
        <f t="shared" si="0"/>
        <v>8000</v>
      </c>
      <c r="G62" s="14">
        <v>4000</v>
      </c>
      <c r="H62" s="17">
        <v>1E-3</v>
      </c>
      <c r="I62" s="16" t="s">
        <v>131</v>
      </c>
    </row>
    <row r="63" spans="1:9" s="1" customFormat="1" ht="14">
      <c r="A63" s="10" t="s">
        <v>132</v>
      </c>
      <c r="B63" s="11"/>
      <c r="C63" s="12"/>
      <c r="D63" s="16" t="s">
        <v>11</v>
      </c>
      <c r="E63" s="16" t="s">
        <v>126</v>
      </c>
      <c r="F63" s="14">
        <f t="shared" si="0"/>
        <v>8000</v>
      </c>
      <c r="G63" s="14">
        <v>4000</v>
      </c>
      <c r="H63" s="17">
        <v>1E-3</v>
      </c>
      <c r="I63" s="16" t="s">
        <v>133</v>
      </c>
    </row>
    <row r="64" spans="1:9" s="1" customFormat="1" ht="14">
      <c r="A64" s="10" t="s">
        <v>134</v>
      </c>
      <c r="B64" s="11"/>
      <c r="C64" s="12"/>
      <c r="D64" s="16" t="s">
        <v>11</v>
      </c>
      <c r="E64" s="16" t="s">
        <v>126</v>
      </c>
      <c r="F64" s="14">
        <f t="shared" si="0"/>
        <v>8000</v>
      </c>
      <c r="G64" s="14">
        <v>4000</v>
      </c>
      <c r="H64" s="17">
        <v>1E-3</v>
      </c>
      <c r="I64" s="16" t="s">
        <v>135</v>
      </c>
    </row>
    <row r="65" spans="1:9" s="1" customFormat="1" ht="14">
      <c r="A65" s="10" t="s">
        <v>136</v>
      </c>
      <c r="B65" s="11"/>
      <c r="C65" s="12"/>
      <c r="D65" s="16" t="s">
        <v>11</v>
      </c>
      <c r="E65" s="16" t="s">
        <v>126</v>
      </c>
      <c r="F65" s="14">
        <f t="shared" si="0"/>
        <v>8000</v>
      </c>
      <c r="G65" s="14">
        <v>4000</v>
      </c>
      <c r="H65" s="17">
        <v>1E-3</v>
      </c>
      <c r="I65" s="16" t="s">
        <v>137</v>
      </c>
    </row>
    <row r="66" spans="1:9" s="1" customFormat="1" ht="14">
      <c r="A66" s="10" t="s">
        <v>138</v>
      </c>
      <c r="B66" s="11"/>
      <c r="C66" s="12"/>
      <c r="D66" s="16" t="s">
        <v>11</v>
      </c>
      <c r="E66" s="16" t="s">
        <v>126</v>
      </c>
      <c r="F66" s="14">
        <f t="shared" si="0"/>
        <v>8000</v>
      </c>
      <c r="G66" s="14">
        <v>4000</v>
      </c>
      <c r="H66" s="17">
        <v>1E-3</v>
      </c>
      <c r="I66" s="16" t="s">
        <v>139</v>
      </c>
    </row>
    <row r="67" spans="1:9" s="1" customFormat="1" ht="14">
      <c r="A67" s="10" t="s">
        <v>140</v>
      </c>
      <c r="B67" s="11"/>
      <c r="C67" s="12"/>
      <c r="D67" s="16" t="s">
        <v>11</v>
      </c>
      <c r="E67" s="16" t="s">
        <v>126</v>
      </c>
      <c r="F67" s="14">
        <f t="shared" si="0"/>
        <v>8000</v>
      </c>
      <c r="G67" s="14">
        <v>4000</v>
      </c>
      <c r="H67" s="17">
        <v>1E-3</v>
      </c>
      <c r="I67" s="16" t="s">
        <v>141</v>
      </c>
    </row>
    <row r="68" spans="1:9" s="1" customFormat="1" ht="14">
      <c r="A68" s="10" t="s">
        <v>142</v>
      </c>
      <c r="B68" s="11"/>
      <c r="C68" s="12"/>
      <c r="D68" s="16" t="s">
        <v>11</v>
      </c>
      <c r="E68" s="16" t="s">
        <v>126</v>
      </c>
      <c r="F68" s="14">
        <f t="shared" si="0"/>
        <v>8000</v>
      </c>
      <c r="G68" s="14">
        <v>4000</v>
      </c>
      <c r="H68" s="17">
        <v>1E-3</v>
      </c>
      <c r="I68" s="16" t="s">
        <v>143</v>
      </c>
    </row>
    <row r="69" spans="1:9" s="1" customFormat="1" ht="14">
      <c r="A69" s="10" t="s">
        <v>144</v>
      </c>
      <c r="B69" s="11"/>
      <c r="C69" s="12" t="str">
        <f>$A$102</f>
        <v>(3)</v>
      </c>
      <c r="D69" s="16" t="s">
        <v>11</v>
      </c>
      <c r="E69" s="16" t="s">
        <v>126</v>
      </c>
      <c r="F69" s="14">
        <f t="shared" si="0"/>
        <v>8000</v>
      </c>
      <c r="G69" s="14">
        <v>4000</v>
      </c>
      <c r="H69" s="17">
        <v>1E-3</v>
      </c>
      <c r="I69" s="16" t="s">
        <v>145</v>
      </c>
    </row>
    <row r="70" spans="1:9" s="1" customFormat="1" ht="14">
      <c r="A70" s="10" t="s">
        <v>146</v>
      </c>
      <c r="B70" s="11"/>
      <c r="C70" s="12"/>
      <c r="D70" s="16" t="s">
        <v>11</v>
      </c>
      <c r="E70" s="16" t="s">
        <v>147</v>
      </c>
      <c r="F70" s="14">
        <f t="shared" si="0"/>
        <v>8000</v>
      </c>
      <c r="G70" s="14">
        <v>4000</v>
      </c>
      <c r="H70" s="17">
        <v>1E-3</v>
      </c>
      <c r="I70" s="16" t="s">
        <v>148</v>
      </c>
    </row>
    <row r="71" spans="1:9" s="1" customFormat="1" ht="14">
      <c r="A71" s="10" t="s">
        <v>149</v>
      </c>
      <c r="B71" s="11"/>
      <c r="C71" s="12"/>
      <c r="D71" s="16" t="s">
        <v>11</v>
      </c>
      <c r="E71" s="16" t="s">
        <v>147</v>
      </c>
      <c r="F71" s="14">
        <f t="shared" si="0"/>
        <v>8000</v>
      </c>
      <c r="G71" s="14">
        <v>4000</v>
      </c>
      <c r="H71" s="17">
        <v>1E-3</v>
      </c>
      <c r="I71" s="16" t="s">
        <v>150</v>
      </c>
    </row>
    <row r="72" spans="1:9" s="1" customFormat="1" ht="14">
      <c r="A72" s="10" t="s">
        <v>151</v>
      </c>
      <c r="B72" s="11"/>
      <c r="C72" s="12"/>
      <c r="D72" s="16" t="s">
        <v>11</v>
      </c>
      <c r="E72" s="16" t="s">
        <v>147</v>
      </c>
      <c r="F72" s="14">
        <f t="shared" ref="F72:F90" si="2">G72*2</f>
        <v>8000</v>
      </c>
      <c r="G72" s="14">
        <v>4000</v>
      </c>
      <c r="H72" s="17">
        <v>1E-3</v>
      </c>
      <c r="I72" s="16" t="s">
        <v>152</v>
      </c>
    </row>
    <row r="73" spans="1:9" s="1" customFormat="1" ht="14">
      <c r="A73" s="10" t="s">
        <v>153</v>
      </c>
      <c r="B73" s="11"/>
      <c r="C73" s="12" t="str">
        <f>$A$102</f>
        <v>(3)</v>
      </c>
      <c r="D73" s="16" t="s">
        <v>11</v>
      </c>
      <c r="E73" s="16" t="s">
        <v>147</v>
      </c>
      <c r="F73" s="14">
        <f t="shared" si="2"/>
        <v>8000</v>
      </c>
      <c r="G73" s="14">
        <v>4000</v>
      </c>
      <c r="H73" s="17">
        <v>1E-3</v>
      </c>
      <c r="I73" s="16" t="s">
        <v>154</v>
      </c>
    </row>
    <row r="74" spans="1:9" s="1" customFormat="1" ht="14">
      <c r="A74" s="10" t="s">
        <v>155</v>
      </c>
      <c r="B74" s="11"/>
      <c r="C74" s="12"/>
      <c r="D74" s="16" t="s">
        <v>11</v>
      </c>
      <c r="E74" s="16" t="s">
        <v>156</v>
      </c>
      <c r="F74" s="14">
        <f t="shared" si="2"/>
        <v>8000</v>
      </c>
      <c r="G74" s="14">
        <v>4000</v>
      </c>
      <c r="H74" s="17">
        <v>1E-3</v>
      </c>
      <c r="I74" s="16" t="s">
        <v>157</v>
      </c>
    </row>
    <row r="75" spans="1:9" s="1" customFormat="1" ht="14">
      <c r="A75" s="10" t="s">
        <v>158</v>
      </c>
      <c r="B75" s="11"/>
      <c r="C75" s="12"/>
      <c r="D75" s="16" t="s">
        <v>11</v>
      </c>
      <c r="E75" s="16" t="s">
        <v>156</v>
      </c>
      <c r="F75" s="14">
        <f t="shared" si="2"/>
        <v>8000</v>
      </c>
      <c r="G75" s="14">
        <v>4000</v>
      </c>
      <c r="H75" s="17">
        <v>1E-3</v>
      </c>
      <c r="I75" s="16" t="s">
        <v>159</v>
      </c>
    </row>
    <row r="76" spans="1:9" s="1" customFormat="1" ht="14">
      <c r="A76" s="10" t="s">
        <v>160</v>
      </c>
      <c r="B76" s="11"/>
      <c r="C76" s="12"/>
      <c r="D76" s="16" t="s">
        <v>11</v>
      </c>
      <c r="E76" s="16" t="s">
        <v>156</v>
      </c>
      <c r="F76" s="14">
        <f t="shared" si="2"/>
        <v>8000</v>
      </c>
      <c r="G76" s="14">
        <v>4000</v>
      </c>
      <c r="H76" s="17">
        <v>1E-3</v>
      </c>
      <c r="I76" s="16" t="s">
        <v>161</v>
      </c>
    </row>
    <row r="77" spans="1:9" s="1" customFormat="1" ht="14">
      <c r="A77" s="10" t="s">
        <v>162</v>
      </c>
      <c r="B77" s="11"/>
      <c r="C77" s="12"/>
      <c r="D77" s="16" t="s">
        <v>11</v>
      </c>
      <c r="E77" s="16" t="s">
        <v>156</v>
      </c>
      <c r="F77" s="14">
        <f t="shared" si="2"/>
        <v>8000</v>
      </c>
      <c r="G77" s="14">
        <v>4000</v>
      </c>
      <c r="H77" s="17">
        <v>1E-3</v>
      </c>
      <c r="I77" s="16" t="s">
        <v>163</v>
      </c>
    </row>
    <row r="78" spans="1:9" s="1" customFormat="1" ht="14">
      <c r="A78" s="10" t="s">
        <v>164</v>
      </c>
      <c r="B78" s="11"/>
      <c r="C78" s="12"/>
      <c r="D78" s="16" t="s">
        <v>11</v>
      </c>
      <c r="E78" s="16" t="s">
        <v>156</v>
      </c>
      <c r="F78" s="14">
        <f t="shared" si="2"/>
        <v>8000</v>
      </c>
      <c r="G78" s="14">
        <v>4000</v>
      </c>
      <c r="H78" s="17">
        <v>1E-3</v>
      </c>
      <c r="I78" s="16" t="s">
        <v>165</v>
      </c>
    </row>
    <row r="79" spans="1:9" s="1" customFormat="1" ht="14">
      <c r="A79" s="10" t="s">
        <v>166</v>
      </c>
      <c r="B79" s="11"/>
      <c r="C79" s="12"/>
      <c r="D79" s="16" t="s">
        <v>11</v>
      </c>
      <c r="E79" s="16" t="s">
        <v>156</v>
      </c>
      <c r="F79" s="14">
        <f t="shared" si="2"/>
        <v>8000</v>
      </c>
      <c r="G79" s="14">
        <v>4000</v>
      </c>
      <c r="H79" s="17">
        <v>1E-3</v>
      </c>
      <c r="I79" s="16" t="s">
        <v>167</v>
      </c>
    </row>
    <row r="80" spans="1:9" s="1" customFormat="1" ht="14">
      <c r="A80" s="10" t="s">
        <v>168</v>
      </c>
      <c r="B80" s="11"/>
      <c r="C80" s="12"/>
      <c r="D80" s="16" t="s">
        <v>11</v>
      </c>
      <c r="E80" s="16" t="s">
        <v>156</v>
      </c>
      <c r="F80" s="14">
        <f t="shared" si="2"/>
        <v>8000</v>
      </c>
      <c r="G80" s="14">
        <v>4000</v>
      </c>
      <c r="H80" s="17">
        <v>1E-3</v>
      </c>
      <c r="I80" s="16" t="s">
        <v>169</v>
      </c>
    </row>
    <row r="81" spans="1:9" s="1" customFormat="1" ht="14">
      <c r="A81" s="10" t="s">
        <v>170</v>
      </c>
      <c r="B81" s="11"/>
      <c r="C81" s="12"/>
      <c r="D81" s="16" t="s">
        <v>11</v>
      </c>
      <c r="E81" s="16" t="s">
        <v>156</v>
      </c>
      <c r="F81" s="14">
        <f t="shared" si="2"/>
        <v>8000</v>
      </c>
      <c r="G81" s="14">
        <v>4000</v>
      </c>
      <c r="H81" s="17">
        <v>1E-3</v>
      </c>
      <c r="I81" s="16" t="s">
        <v>171</v>
      </c>
    </row>
    <row r="82" spans="1:9" s="1" customFormat="1" ht="14">
      <c r="A82" s="10" t="s">
        <v>172</v>
      </c>
      <c r="B82" s="11"/>
      <c r="C82" s="12"/>
      <c r="D82" s="16" t="s">
        <v>11</v>
      </c>
      <c r="E82" s="16" t="s">
        <v>156</v>
      </c>
      <c r="F82" s="14">
        <f t="shared" si="2"/>
        <v>8000</v>
      </c>
      <c r="G82" s="14">
        <v>4000</v>
      </c>
      <c r="H82" s="17">
        <v>1E-3</v>
      </c>
      <c r="I82" s="16" t="s">
        <v>173</v>
      </c>
    </row>
    <row r="83" spans="1:9" s="1" customFormat="1" ht="14">
      <c r="A83" s="10" t="s">
        <v>174</v>
      </c>
      <c r="B83" s="11"/>
      <c r="C83" s="12" t="str">
        <f>$A$102</f>
        <v>(3)</v>
      </c>
      <c r="D83" s="16" t="s">
        <v>11</v>
      </c>
      <c r="E83" s="16" t="s">
        <v>156</v>
      </c>
      <c r="F83" s="14">
        <f t="shared" si="2"/>
        <v>8000</v>
      </c>
      <c r="G83" s="14">
        <v>4000</v>
      </c>
      <c r="H83" s="17">
        <v>1E-3</v>
      </c>
      <c r="I83" s="16" t="s">
        <v>175</v>
      </c>
    </row>
    <row r="84" spans="1:9" s="1" customFormat="1" ht="14">
      <c r="A84" s="10" t="s">
        <v>176</v>
      </c>
      <c r="B84" s="11"/>
      <c r="C84" s="12" t="str">
        <f>$A$102</f>
        <v>(3)</v>
      </c>
      <c r="D84" s="16" t="s">
        <v>11</v>
      </c>
      <c r="E84" s="16" t="s">
        <v>156</v>
      </c>
      <c r="F84" s="14">
        <f t="shared" si="2"/>
        <v>8000</v>
      </c>
      <c r="G84" s="14">
        <v>4000</v>
      </c>
      <c r="H84" s="17">
        <v>1E-3</v>
      </c>
      <c r="I84" s="16" t="s">
        <v>177</v>
      </c>
    </row>
    <row r="85" spans="1:9" s="1" customFormat="1" ht="14">
      <c r="A85" s="10" t="s">
        <v>178</v>
      </c>
      <c r="B85" s="11"/>
      <c r="C85" s="12"/>
      <c r="D85" s="16" t="s">
        <v>11</v>
      </c>
      <c r="E85" s="16" t="s">
        <v>179</v>
      </c>
      <c r="F85" s="14">
        <f t="shared" si="2"/>
        <v>10722</v>
      </c>
      <c r="G85" s="14">
        <v>5361</v>
      </c>
      <c r="H85" s="17">
        <v>1E-3</v>
      </c>
      <c r="I85" s="16" t="s">
        <v>180</v>
      </c>
    </row>
    <row r="86" spans="1:9" s="1" customFormat="1" ht="14">
      <c r="A86" s="10" t="s">
        <v>181</v>
      </c>
      <c r="B86" s="11"/>
      <c r="C86" s="12"/>
      <c r="D86" s="16" t="s">
        <v>11</v>
      </c>
      <c r="E86" s="16" t="s">
        <v>179</v>
      </c>
      <c r="F86" s="14">
        <v>10724</v>
      </c>
      <c r="G86" s="14">
        <v>5361</v>
      </c>
      <c r="H86" s="17">
        <v>1E-3</v>
      </c>
      <c r="I86" s="16" t="s">
        <v>182</v>
      </c>
    </row>
    <row r="87" spans="1:9" s="1" customFormat="1" ht="14">
      <c r="A87" s="10" t="s">
        <v>183</v>
      </c>
      <c r="B87" s="11"/>
      <c r="C87" s="12"/>
      <c r="D87" s="16" t="s">
        <v>11</v>
      </c>
      <c r="E87" s="16" t="s">
        <v>179</v>
      </c>
      <c r="F87" s="14">
        <v>10724</v>
      </c>
      <c r="G87" s="14">
        <v>5361</v>
      </c>
      <c r="H87" s="17">
        <v>1E-3</v>
      </c>
      <c r="I87" s="16" t="s">
        <v>184</v>
      </c>
    </row>
    <row r="88" spans="1:9" s="1" customFormat="1" ht="14">
      <c r="A88" s="10" t="s">
        <v>185</v>
      </c>
      <c r="B88" s="11"/>
      <c r="C88" s="12"/>
      <c r="D88" s="16" t="s">
        <v>11</v>
      </c>
      <c r="E88" s="16" t="s">
        <v>186</v>
      </c>
      <c r="F88" s="14">
        <f t="shared" si="2"/>
        <v>7700</v>
      </c>
      <c r="G88" s="14">
        <v>3850</v>
      </c>
      <c r="H88" s="17">
        <v>1E-3</v>
      </c>
      <c r="I88" s="16" t="s">
        <v>187</v>
      </c>
    </row>
    <row r="89" spans="1:9" s="1" customFormat="1" ht="14">
      <c r="A89" s="10" t="s">
        <v>188</v>
      </c>
      <c r="B89" s="11"/>
      <c r="C89" s="12"/>
      <c r="D89" s="16" t="s">
        <v>11</v>
      </c>
      <c r="E89" s="16" t="s">
        <v>186</v>
      </c>
      <c r="F89" s="14">
        <f t="shared" si="2"/>
        <v>7700</v>
      </c>
      <c r="G89" s="14">
        <v>3850</v>
      </c>
      <c r="H89" s="17">
        <v>1E-3</v>
      </c>
      <c r="I89" s="16" t="s">
        <v>189</v>
      </c>
    </row>
    <row r="90" spans="1:9" s="1" customFormat="1" ht="14">
      <c r="A90" s="10" t="s">
        <v>190</v>
      </c>
      <c r="B90" s="11"/>
      <c r="C90" s="12"/>
      <c r="D90" s="16" t="s">
        <v>11</v>
      </c>
      <c r="E90" s="16" t="s">
        <v>186</v>
      </c>
      <c r="F90" s="14">
        <f t="shared" si="2"/>
        <v>7700</v>
      </c>
      <c r="G90" s="14">
        <v>3850</v>
      </c>
      <c r="H90" s="17">
        <v>1E-3</v>
      </c>
      <c r="I90" s="16" t="s">
        <v>191</v>
      </c>
    </row>
    <row r="91" spans="1:9" s="1" customFormat="1" ht="14">
      <c r="A91" s="10" t="s">
        <v>192</v>
      </c>
      <c r="B91" s="11"/>
      <c r="C91" s="12"/>
      <c r="D91" s="16" t="s">
        <v>193</v>
      </c>
      <c r="E91" s="16" t="s">
        <v>194</v>
      </c>
      <c r="F91" s="14">
        <v>1500</v>
      </c>
      <c r="G91" s="14">
        <v>750</v>
      </c>
      <c r="H91" s="17">
        <v>1E-3</v>
      </c>
      <c r="I91" s="16" t="s">
        <v>195</v>
      </c>
    </row>
    <row r="92" spans="1:9" s="1" customFormat="1" ht="14">
      <c r="A92" s="10" t="s">
        <v>196</v>
      </c>
      <c r="B92" s="11"/>
      <c r="C92" s="12"/>
      <c r="D92" s="16" t="s">
        <v>193</v>
      </c>
      <c r="E92" s="16" t="s">
        <v>194</v>
      </c>
      <c r="F92" s="14">
        <v>1500</v>
      </c>
      <c r="G92" s="14">
        <v>750</v>
      </c>
      <c r="H92" s="17">
        <v>1E-3</v>
      </c>
      <c r="I92" s="16" t="s">
        <v>197</v>
      </c>
    </row>
    <row r="93" spans="1:9" s="1" customFormat="1" ht="14">
      <c r="A93" s="10" t="s">
        <v>198</v>
      </c>
      <c r="B93" s="11"/>
      <c r="C93" s="12"/>
      <c r="D93" s="16" t="s">
        <v>193</v>
      </c>
      <c r="E93" s="16" t="s">
        <v>199</v>
      </c>
      <c r="F93" s="74">
        <f>2*G93</f>
        <v>4680</v>
      </c>
      <c r="G93" s="74">
        <v>2340</v>
      </c>
      <c r="H93" s="17">
        <v>1E-3</v>
      </c>
      <c r="I93" s="16" t="s">
        <v>200</v>
      </c>
    </row>
    <row r="94" spans="1:9" s="1" customFormat="1" ht="14">
      <c r="A94" s="10" t="s">
        <v>201</v>
      </c>
      <c r="B94" s="11"/>
      <c r="C94" s="12"/>
      <c r="D94" s="16" t="s">
        <v>193</v>
      </c>
      <c r="E94" s="16" t="s">
        <v>199</v>
      </c>
      <c r="F94" s="74">
        <f t="shared" ref="F94:F98" si="3">2*G94</f>
        <v>4680</v>
      </c>
      <c r="G94" s="74">
        <v>2340</v>
      </c>
      <c r="H94" s="17">
        <v>1E-3</v>
      </c>
      <c r="I94" s="16" t="s">
        <v>202</v>
      </c>
    </row>
    <row r="95" spans="1:9" s="1" customFormat="1" ht="14">
      <c r="A95" s="10" t="s">
        <v>203</v>
      </c>
      <c r="B95" s="11"/>
      <c r="C95" s="12"/>
      <c r="D95" s="16" t="s">
        <v>193</v>
      </c>
      <c r="E95" s="16" t="s">
        <v>199</v>
      </c>
      <c r="F95" s="74">
        <f t="shared" si="3"/>
        <v>4680</v>
      </c>
      <c r="G95" s="74">
        <v>2340</v>
      </c>
      <c r="H95" s="17">
        <v>1E-3</v>
      </c>
      <c r="I95" s="16" t="s">
        <v>204</v>
      </c>
    </row>
    <row r="96" spans="1:9" s="1" customFormat="1" ht="14">
      <c r="A96" s="10" t="s">
        <v>205</v>
      </c>
      <c r="B96" s="11"/>
      <c r="C96" s="12"/>
      <c r="D96" s="16" t="s">
        <v>193</v>
      </c>
      <c r="E96" s="16" t="s">
        <v>199</v>
      </c>
      <c r="F96" s="74">
        <f t="shared" si="3"/>
        <v>4680</v>
      </c>
      <c r="G96" s="74">
        <v>2340</v>
      </c>
      <c r="H96" s="17">
        <v>1E-3</v>
      </c>
      <c r="I96" s="16" t="s">
        <v>206</v>
      </c>
    </row>
    <row r="97" spans="1:9" s="1" customFormat="1" ht="14">
      <c r="A97" s="10" t="s">
        <v>207</v>
      </c>
      <c r="B97" s="11"/>
      <c r="C97" s="12"/>
      <c r="D97" s="16" t="s">
        <v>193</v>
      </c>
      <c r="E97" s="16" t="s">
        <v>199</v>
      </c>
      <c r="F97" s="74">
        <f t="shared" si="3"/>
        <v>4680</v>
      </c>
      <c r="G97" s="74">
        <v>2340</v>
      </c>
      <c r="H97" s="17">
        <v>1E-3</v>
      </c>
      <c r="I97" s="16" t="s">
        <v>208</v>
      </c>
    </row>
    <row r="98" spans="1:9" s="1" customFormat="1" ht="14">
      <c r="A98" s="10" t="s">
        <v>209</v>
      </c>
      <c r="B98" s="11"/>
      <c r="C98" s="12"/>
      <c r="D98" s="16" t="s">
        <v>193</v>
      </c>
      <c r="E98" s="16" t="s">
        <v>199</v>
      </c>
      <c r="F98" s="74">
        <f t="shared" si="3"/>
        <v>1956</v>
      </c>
      <c r="G98" s="74">
        <f>326*3</f>
        <v>978</v>
      </c>
      <c r="H98" s="17">
        <v>1E-3</v>
      </c>
      <c r="I98" s="16" t="s">
        <v>210</v>
      </c>
    </row>
    <row r="99" spans="1:9" s="1" customFormat="1" ht="15" customHeight="1">
      <c r="A99" s="18" t="s">
        <v>211</v>
      </c>
      <c r="B99" s="19"/>
      <c r="C99" s="20"/>
      <c r="D99" s="19"/>
      <c r="E99" s="19"/>
      <c r="F99" s="19"/>
      <c r="G99" s="19"/>
      <c r="H99" s="19"/>
      <c r="I99" s="19"/>
    </row>
    <row r="100" spans="1:9" s="1" customFormat="1" ht="15" customHeight="1">
      <c r="A100" s="22" t="s">
        <v>212</v>
      </c>
      <c r="B100" s="19" t="s">
        <v>213</v>
      </c>
      <c r="C100" s="20"/>
      <c r="D100" s="19"/>
      <c r="E100" s="19"/>
      <c r="F100" s="19"/>
      <c r="G100" s="19"/>
      <c r="H100" s="19"/>
      <c r="I100" s="19"/>
    </row>
    <row r="101" spans="1:9" ht="15" customHeight="1">
      <c r="A101" s="22" t="s">
        <v>214</v>
      </c>
      <c r="B101" s="19" t="s">
        <v>215</v>
      </c>
    </row>
    <row r="102" spans="1:9" ht="15" customHeight="1">
      <c r="A102" s="80" t="s">
        <v>216</v>
      </c>
      <c r="B102" s="23" t="s">
        <v>217</v>
      </c>
      <c r="C102" s="21"/>
      <c r="F102" s="21"/>
      <c r="G102" s="21"/>
      <c r="H102" s="21"/>
    </row>
  </sheetData>
  <mergeCells count="7">
    <mergeCell ref="I5:I6"/>
    <mergeCell ref="A5:C6"/>
    <mergeCell ref="D5:D6"/>
    <mergeCell ref="E5:E6"/>
    <mergeCell ref="F5:F6"/>
    <mergeCell ref="G5:G6"/>
    <mergeCell ref="H5:H6"/>
  </mergeCells>
  <conditionalFormatting sqref="A1:A3 A4:E4 H4:I4 F4:G5 H5 D8:E98 I8:I98 A99:E99 F99:I100 C100:E100">
    <cfRule type="cellIs" dxfId="69" priority="13" operator="greaterThan">
      <formula>999</formula>
    </cfRule>
  </conditionalFormatting>
  <conditionalFormatting sqref="A2:A3 A4:E4 H4:I4 F4:G5 H5 D8:E100 I8:I100 A99:C99 F99:H100">
    <cfRule type="cellIs" dxfId="68" priority="12" operator="lessThan">
      <formula>0.01</formula>
    </cfRule>
  </conditionalFormatting>
  <conditionalFormatting sqref="A7:A98">
    <cfRule type="cellIs" dxfId="67" priority="9" operator="lessThan">
      <formula>0.01</formula>
    </cfRule>
    <cfRule type="cellIs" dxfId="66" priority="10" operator="greaterThan">
      <formula>999</formula>
    </cfRule>
  </conditionalFormatting>
  <conditionalFormatting sqref="A100:A102">
    <cfRule type="cellIs" dxfId="65" priority="3" operator="greaterThan">
      <formula>999</formula>
    </cfRule>
  </conditionalFormatting>
  <conditionalFormatting sqref="A102">
    <cfRule type="cellIs" dxfId="64" priority="2" operator="lessThan">
      <formula>0.01</formula>
    </cfRule>
  </conditionalFormatting>
  <conditionalFormatting sqref="A100:B101">
    <cfRule type="cellIs" dxfId="63" priority="5" operator="lessThan">
      <formula>0.01</formula>
    </cfRule>
  </conditionalFormatting>
  <conditionalFormatting sqref="A5:C6">
    <cfRule type="cellIs" dxfId="62" priority="7" operator="lessThan">
      <formula>0.01</formula>
    </cfRule>
    <cfRule type="cellIs" dxfId="61" priority="8" operator="greaterThan">
      <formula>999</formula>
    </cfRule>
  </conditionalFormatting>
  <conditionalFormatting sqref="B100:B101">
    <cfRule type="cellIs" dxfId="60" priority="4" operator="lessThan">
      <formula>0.01</formula>
    </cfRule>
    <cfRule type="cellIs" dxfId="59" priority="6" operator="greaterThan">
      <formula>999</formula>
    </cfRule>
  </conditionalFormatting>
  <conditionalFormatting sqref="C100">
    <cfRule type="cellIs" dxfId="58" priority="11" operator="lessThan">
      <formula>0.01</formula>
    </cfRule>
  </conditionalFormatting>
  <conditionalFormatting sqref="F7:G98">
    <cfRule type="cellIs" dxfId="57" priority="1" operator="greaterThanOrEqual">
      <formula>100</formula>
    </cfRule>
  </conditionalFormatting>
  <printOptions horizontalCentered="1"/>
  <pageMargins left="0.7" right="0.7" top="0.75" bottom="0.75" header="0.3" footer="0.3"/>
  <pageSetup paperSize="3" scale="99" orientation="portrait" r:id="rId1"/>
  <headerFooter>
    <oddFooter>&amp;R&amp;"Century Gothic,Regular"&amp;6&amp;P of &amp;N</oddFooter>
  </headerFooter>
  <rowBreaks count="1" manualBreakCount="1">
    <brk id="62" max="7" man="1"/>
  </rowBreaks>
  <ignoredErrors>
    <ignoredError sqref="A100:A10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22EB-9897-4727-AC5A-0BCD764DD1C4}">
  <dimension ref="A1:AK120"/>
  <sheetViews>
    <sheetView tabSelected="1" zoomScaleNormal="100" zoomScaleSheetLayoutView="115" workbookViewId="0">
      <selection activeCell="J12" sqref="J12"/>
    </sheetView>
  </sheetViews>
  <sheetFormatPr defaultRowHeight="14.5"/>
  <cols>
    <col min="1" max="1" width="3.1796875" customWidth="1"/>
    <col min="2" max="2" width="15.81640625" customWidth="1"/>
    <col min="3" max="3" width="12.54296875" customWidth="1"/>
    <col min="4" max="7" width="10.81640625" customWidth="1"/>
    <col min="8" max="8" width="14.54296875" customWidth="1"/>
    <col min="9" max="13" width="12.54296875" customWidth="1"/>
    <col min="14" max="14" width="6.81640625" customWidth="1"/>
    <col min="15" max="15" width="3.1796875" customWidth="1"/>
    <col min="16" max="16" width="6.81640625" customWidth="1"/>
    <col min="17" max="17" width="3.1796875" customWidth="1"/>
    <col min="18" max="18" width="6.81640625" customWidth="1"/>
    <col min="19" max="19" width="3.1796875" customWidth="1"/>
    <col min="20" max="20" width="6.81640625" customWidth="1"/>
    <col min="21" max="21" width="3.1796875" customWidth="1"/>
    <col min="22" max="22" width="6.81640625" customWidth="1"/>
    <col min="23" max="23" width="3.1796875" customWidth="1"/>
    <col min="24" max="24" width="6.81640625" customWidth="1"/>
    <col min="25" max="25" width="3.1796875" customWidth="1"/>
    <col min="26" max="26" width="6.81640625" customWidth="1"/>
    <col min="27" max="27" width="3.1796875" customWidth="1"/>
    <col min="28" max="28" width="6.81640625" customWidth="1"/>
    <col min="29" max="29" width="3.1796875" customWidth="1"/>
    <col min="30" max="30" width="6.81640625" customWidth="1"/>
    <col min="31" max="31" width="3.1796875" customWidth="1"/>
    <col min="32" max="32" width="6.81640625" customWidth="1"/>
    <col min="33" max="33" width="3.1796875" customWidth="1"/>
    <col min="34" max="34" width="6.81640625" customWidth="1"/>
    <col min="35" max="35" width="3.1796875" customWidth="1"/>
    <col min="36" max="36" width="6.81640625" customWidth="1"/>
    <col min="37" max="37" width="3.1796875" customWidth="1"/>
  </cols>
  <sheetData>
    <row r="1" spans="1:37" ht="15">
      <c r="A1" s="3" t="s">
        <v>218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</row>
    <row r="2" spans="1:37" ht="15">
      <c r="A2" s="3" t="s">
        <v>219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15">
      <c r="A3" s="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>
      <c r="A4" s="25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s="28" customFormat="1" ht="15" customHeight="1">
      <c r="A5" s="91" t="s">
        <v>220</v>
      </c>
      <c r="B5" s="91"/>
      <c r="C5" s="92" t="s">
        <v>221</v>
      </c>
      <c r="D5" s="95" t="s">
        <v>222</v>
      </c>
      <c r="E5" s="96"/>
      <c r="F5" s="95" t="s">
        <v>223</v>
      </c>
      <c r="G5" s="96"/>
      <c r="H5" s="95" t="s">
        <v>224</v>
      </c>
      <c r="I5" s="101"/>
      <c r="J5" s="101"/>
      <c r="K5" s="101"/>
      <c r="L5" s="101"/>
      <c r="M5" s="102"/>
      <c r="N5" s="26" t="s">
        <v>225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7" s="28" customFormat="1" ht="15" customHeight="1">
      <c r="A6" s="91"/>
      <c r="B6" s="91"/>
      <c r="C6" s="93"/>
      <c r="D6" s="97"/>
      <c r="E6" s="98"/>
      <c r="F6" s="97"/>
      <c r="G6" s="98"/>
      <c r="H6" s="103"/>
      <c r="I6" s="104"/>
      <c r="J6" s="104"/>
      <c r="K6" s="104"/>
      <c r="L6" s="104"/>
      <c r="M6" s="105"/>
      <c r="N6" s="26" t="s">
        <v>226</v>
      </c>
      <c r="O6" s="27"/>
      <c r="P6" s="27"/>
      <c r="Q6" s="27"/>
      <c r="R6" s="27" t="s">
        <v>227</v>
      </c>
      <c r="S6" s="27"/>
      <c r="T6" s="27"/>
      <c r="U6" s="27"/>
      <c r="V6" s="27" t="s">
        <v>228</v>
      </c>
      <c r="W6" s="27"/>
      <c r="X6" s="27"/>
      <c r="Y6" s="27"/>
      <c r="Z6" s="27" t="s">
        <v>229</v>
      </c>
      <c r="AA6" s="27"/>
      <c r="AB6" s="27"/>
      <c r="AC6" s="27"/>
      <c r="AD6" s="27" t="s">
        <v>230</v>
      </c>
      <c r="AE6" s="27"/>
      <c r="AF6" s="27"/>
      <c r="AG6" s="27"/>
      <c r="AH6" s="27" t="s">
        <v>231</v>
      </c>
      <c r="AI6" s="27"/>
      <c r="AJ6" s="27"/>
      <c r="AK6" s="27"/>
    </row>
    <row r="7" spans="1:37" s="28" customFormat="1" ht="11.5">
      <c r="A7" s="91"/>
      <c r="B7" s="91"/>
      <c r="C7" s="93"/>
      <c r="D7" s="97"/>
      <c r="E7" s="98"/>
      <c r="F7" s="99"/>
      <c r="G7" s="100"/>
      <c r="H7" s="106"/>
      <c r="I7" s="107"/>
      <c r="J7" s="107"/>
      <c r="K7" s="107"/>
      <c r="L7" s="107"/>
      <c r="M7" s="108"/>
      <c r="N7" s="29" t="s">
        <v>232</v>
      </c>
      <c r="O7" s="27"/>
      <c r="P7" s="27"/>
      <c r="Q7" s="27"/>
      <c r="R7" s="27" t="s">
        <v>233</v>
      </c>
      <c r="S7" s="27"/>
      <c r="T7" s="27"/>
      <c r="U7" s="27"/>
      <c r="V7" s="30" t="s">
        <v>234</v>
      </c>
      <c r="W7" s="27"/>
      <c r="X7" s="27"/>
      <c r="Y7" s="27"/>
      <c r="Z7" s="30" t="s">
        <v>235</v>
      </c>
      <c r="AA7" s="27"/>
      <c r="AB7" s="27"/>
      <c r="AC7" s="27"/>
      <c r="AD7" s="30" t="s">
        <v>236</v>
      </c>
      <c r="AE7" s="27"/>
      <c r="AF7" s="27"/>
      <c r="AG7" s="27"/>
      <c r="AH7" s="30" t="s">
        <v>237</v>
      </c>
      <c r="AI7" s="27"/>
      <c r="AJ7" s="27"/>
      <c r="AK7" s="27"/>
    </row>
    <row r="8" spans="1:37" s="28" customFormat="1" ht="25">
      <c r="A8" s="91"/>
      <c r="B8" s="91"/>
      <c r="C8" s="94"/>
      <c r="D8" s="31" t="s">
        <v>238</v>
      </c>
      <c r="E8" s="31" t="s">
        <v>239</v>
      </c>
      <c r="F8" s="32" t="s">
        <v>240</v>
      </c>
      <c r="G8" s="33" t="s">
        <v>241</v>
      </c>
      <c r="H8" s="26" t="s">
        <v>242</v>
      </c>
      <c r="I8" s="27" t="s">
        <v>243</v>
      </c>
      <c r="J8" s="33" t="s">
        <v>244</v>
      </c>
      <c r="K8" s="33" t="s">
        <v>245</v>
      </c>
      <c r="L8" s="33" t="s">
        <v>246</v>
      </c>
      <c r="M8" s="27" t="s">
        <v>247</v>
      </c>
      <c r="N8" s="32" t="s">
        <v>248</v>
      </c>
      <c r="O8" s="27"/>
      <c r="P8" s="33" t="s">
        <v>249</v>
      </c>
      <c r="Q8" s="27"/>
      <c r="R8" s="32" t="s">
        <v>248</v>
      </c>
      <c r="S8" s="27"/>
      <c r="T8" s="33" t="s">
        <v>249</v>
      </c>
      <c r="U8" s="27"/>
      <c r="V8" s="32" t="s">
        <v>248</v>
      </c>
      <c r="W8" s="27"/>
      <c r="X8" s="33" t="s">
        <v>249</v>
      </c>
      <c r="Y8" s="27"/>
      <c r="Z8" s="32" t="s">
        <v>248</v>
      </c>
      <c r="AA8" s="27"/>
      <c r="AB8" s="33" t="s">
        <v>249</v>
      </c>
      <c r="AC8" s="27"/>
      <c r="AD8" s="32" t="s">
        <v>248</v>
      </c>
      <c r="AE8" s="27"/>
      <c r="AF8" s="33" t="s">
        <v>249</v>
      </c>
      <c r="AG8" s="27"/>
      <c r="AH8" s="32" t="s">
        <v>248</v>
      </c>
      <c r="AI8" s="27"/>
      <c r="AJ8" s="33" t="s">
        <v>249</v>
      </c>
      <c r="AK8" s="27"/>
    </row>
    <row r="9" spans="1:37" s="44" customFormat="1" ht="15" customHeight="1">
      <c r="A9" s="34" t="s">
        <v>10</v>
      </c>
      <c r="B9" s="35"/>
      <c r="C9" s="36">
        <f>_xlfn.XLOOKUP($A9,'Input_Cooling Towers'!$A$7:$A$98,'Input_Cooling Towers'!$H$7:$H$98)</f>
        <v>5.0000000000000001E-4</v>
      </c>
      <c r="D9" s="36">
        <f>_xlfn.XLOOKUP($A9,'Input_Cooling Towers'!$A$7:$A$98,'Input_Cooling Towers'!$F$7:$F$98)</f>
        <v>10722</v>
      </c>
      <c r="E9" s="36">
        <f>_xlfn.XLOOKUP($A9,'Input_Cooling Towers'!$A$7:$A$98,'Input_Cooling Towers'!$G$7:$G$98)</f>
        <v>5361</v>
      </c>
      <c r="F9" s="37">
        <f>$D9*$H$97*$C9/100*60*$H$98</f>
        <v>643.834656</v>
      </c>
      <c r="G9" s="36">
        <f>$E9*$H$97*$C9/100*60*$H$98*$H$100</f>
        <v>117499.82472</v>
      </c>
      <c r="H9" s="38" t="s">
        <v>250</v>
      </c>
      <c r="I9" s="38" t="s">
        <v>250</v>
      </c>
      <c r="J9" s="39">
        <f>$H$104*$H$102/$H$103</f>
        <v>1.6560817114890413E-3</v>
      </c>
      <c r="K9" s="38" t="s">
        <v>250</v>
      </c>
      <c r="L9" s="40">
        <f>6/20</f>
        <v>0.3</v>
      </c>
      <c r="M9" s="40">
        <f>6/20</f>
        <v>0.3</v>
      </c>
      <c r="N9" s="41" t="str">
        <f>IFERROR($F9*$H9/1000000,"--")</f>
        <v>--</v>
      </c>
      <c r="O9" s="42"/>
      <c r="P9" s="41" t="str">
        <f>IFERROR($G9*$H9/1000000,"--")</f>
        <v>--</v>
      </c>
      <c r="Q9" s="42"/>
      <c r="R9" s="41" t="str">
        <f>IFERROR($F9*$I9/1000000,"--")</f>
        <v>--</v>
      </c>
      <c r="S9" s="42"/>
      <c r="T9" s="41" t="str">
        <f>IFERROR($G9*$I9/1000000,"--")</f>
        <v>--</v>
      </c>
      <c r="U9" s="42"/>
      <c r="V9" s="43">
        <f>IFERROR($F9*$J9/1000000,"--")</f>
        <v>1.0662427990244382E-6</v>
      </c>
      <c r="W9" s="42"/>
      <c r="X9" s="41">
        <f>IFERROR($G9*$J9/1000000,"--")</f>
        <v>1.9458931082195997E-4</v>
      </c>
      <c r="Y9" s="42"/>
      <c r="Z9" s="43" t="str">
        <f t="shared" ref="Z9:Z72" si="0">IFERROR($F9*$K9/1000000,"--")</f>
        <v>--</v>
      </c>
      <c r="AA9" s="42"/>
      <c r="AB9" s="41" t="str">
        <f t="shared" ref="AB9:AB72" si="1">IFERROR($G9*$K9/1000000,"--")</f>
        <v>--</v>
      </c>
      <c r="AC9" s="42"/>
      <c r="AD9" s="43">
        <f>IFERROR($F9*$L9/1000000,"--")</f>
        <v>1.9315039679999998E-4</v>
      </c>
      <c r="AE9" s="42"/>
      <c r="AF9" s="41">
        <f>IFERROR($G9*$L9/1000000,"--")</f>
        <v>3.5249947416000002E-2</v>
      </c>
      <c r="AG9" s="42"/>
      <c r="AH9" s="41">
        <f>IFERROR($F9*$M9/1000000,"--")</f>
        <v>1.9315039679999998E-4</v>
      </c>
      <c r="AI9" s="42"/>
      <c r="AJ9" s="41">
        <f>IFERROR($G9*$M9/1000000,"--")</f>
        <v>3.5249947416000002E-2</v>
      </c>
      <c r="AK9" s="42"/>
    </row>
    <row r="10" spans="1:37" s="44" customFormat="1" ht="15" customHeight="1">
      <c r="A10" s="34" t="s">
        <v>14</v>
      </c>
      <c r="B10" s="35"/>
      <c r="C10" s="36">
        <f>_xlfn.XLOOKUP($A10,'Input_Cooling Towers'!$A$7:$A$98,'Input_Cooling Towers'!$H$7:$H$98)</f>
        <v>5.0000000000000001E-4</v>
      </c>
      <c r="D10" s="36">
        <f>_xlfn.XLOOKUP($A10,'Input_Cooling Towers'!$A$7:$A$98,'Input_Cooling Towers'!$F$7:$F$98)</f>
        <v>10722</v>
      </c>
      <c r="E10" s="36">
        <f>_xlfn.XLOOKUP($A10,'Input_Cooling Towers'!$A$7:$A$98,'Input_Cooling Towers'!$G$7:$G$98)</f>
        <v>5361</v>
      </c>
      <c r="F10" s="37">
        <f t="shared" ref="F10:F73" si="2">$D10*$H$97*$C10/100*60*$H$98</f>
        <v>643.834656</v>
      </c>
      <c r="G10" s="36">
        <f>$E10*$H$97*$C10/100*60*$H$98*$H$100</f>
        <v>117499.82472</v>
      </c>
      <c r="H10" s="38" t="s">
        <v>250</v>
      </c>
      <c r="I10" s="38" t="s">
        <v>250</v>
      </c>
      <c r="J10" s="39">
        <f t="shared" ref="J10:J28" si="3">$H$104*$H$102/$H$103</f>
        <v>1.6560817114890413E-3</v>
      </c>
      <c r="K10" s="38" t="s">
        <v>250</v>
      </c>
      <c r="L10" s="40">
        <f t="shared" ref="L10:M28" si="4">6/20</f>
        <v>0.3</v>
      </c>
      <c r="M10" s="40">
        <f t="shared" si="4"/>
        <v>0.3</v>
      </c>
      <c r="N10" s="41" t="str">
        <f t="shared" ref="N10:N75" si="5">IFERROR($F10*$H10/1000000,"--")</f>
        <v>--</v>
      </c>
      <c r="O10" s="42"/>
      <c r="P10" s="41" t="str">
        <f t="shared" ref="P10:P75" si="6">IFERROR($G10*$H10/1000000,"--")</f>
        <v>--</v>
      </c>
      <c r="Q10" s="42"/>
      <c r="R10" s="41" t="str">
        <f t="shared" ref="R10:R75" si="7">IFERROR($F10*$I10/1000000,"--")</f>
        <v>--</v>
      </c>
      <c r="S10" s="42"/>
      <c r="T10" s="41" t="str">
        <f t="shared" ref="T10:T75" si="8">IFERROR($G10*$I10/1000000,"--")</f>
        <v>--</v>
      </c>
      <c r="U10" s="42"/>
      <c r="V10" s="43">
        <f t="shared" ref="V10:V73" si="9">IFERROR($F10*$J10/1000000,"--")</f>
        <v>1.0662427990244382E-6</v>
      </c>
      <c r="W10" s="42"/>
      <c r="X10" s="41">
        <f t="shared" ref="X10:X73" si="10">IFERROR($G10*$J10/1000000,"--")</f>
        <v>1.9458931082195997E-4</v>
      </c>
      <c r="Y10" s="42"/>
      <c r="Z10" s="43" t="str">
        <f t="shared" si="0"/>
        <v>--</v>
      </c>
      <c r="AA10" s="42"/>
      <c r="AB10" s="41" t="str">
        <f t="shared" si="1"/>
        <v>--</v>
      </c>
      <c r="AC10" s="42"/>
      <c r="AD10" s="43">
        <f t="shared" ref="AD10:AD75" si="11">IFERROR($F10*$L10/1000000,"--")</f>
        <v>1.9315039679999998E-4</v>
      </c>
      <c r="AE10" s="42"/>
      <c r="AF10" s="41">
        <f t="shared" ref="AF10:AF75" si="12">IFERROR($G10*$L10/1000000,"--")</f>
        <v>3.5249947416000002E-2</v>
      </c>
      <c r="AG10" s="42"/>
      <c r="AH10" s="41">
        <f t="shared" ref="AH10:AH75" si="13">IFERROR($F10*$M10/1000000,"--")</f>
        <v>1.9315039679999998E-4</v>
      </c>
      <c r="AI10" s="42"/>
      <c r="AJ10" s="41">
        <f t="shared" ref="AJ10:AJ75" si="14">IFERROR($G10*$M10/1000000,"--")</f>
        <v>3.5249947416000002E-2</v>
      </c>
      <c r="AK10" s="42"/>
    </row>
    <row r="11" spans="1:37" s="44" customFormat="1" ht="15" customHeight="1">
      <c r="A11" s="34" t="s">
        <v>16</v>
      </c>
      <c r="B11" s="35"/>
      <c r="C11" s="36">
        <f>_xlfn.XLOOKUP($A11,'Input_Cooling Towers'!$A$7:$A$98,'Input_Cooling Towers'!$H$7:$H$98)</f>
        <v>5.0000000000000001E-4</v>
      </c>
      <c r="D11" s="36">
        <f>_xlfn.XLOOKUP($A11,'Input_Cooling Towers'!$A$7:$A$98,'Input_Cooling Towers'!$F$7:$F$98)</f>
        <v>10722</v>
      </c>
      <c r="E11" s="36">
        <f>_xlfn.XLOOKUP($A11,'Input_Cooling Towers'!$A$7:$A$98,'Input_Cooling Towers'!$G$7:$G$98)</f>
        <v>5361</v>
      </c>
      <c r="F11" s="37">
        <f t="shared" si="2"/>
        <v>643.834656</v>
      </c>
      <c r="G11" s="36">
        <f t="shared" ref="G11:G74" si="15">$E11*$H$97*$C11/100*60*$H$98*$H$100</f>
        <v>117499.82472</v>
      </c>
      <c r="H11" s="38" t="s">
        <v>250</v>
      </c>
      <c r="I11" s="38" t="s">
        <v>250</v>
      </c>
      <c r="J11" s="39">
        <f t="shared" si="3"/>
        <v>1.6560817114890413E-3</v>
      </c>
      <c r="K11" s="38" t="s">
        <v>250</v>
      </c>
      <c r="L11" s="40">
        <f t="shared" si="4"/>
        <v>0.3</v>
      </c>
      <c r="M11" s="40">
        <f t="shared" si="4"/>
        <v>0.3</v>
      </c>
      <c r="N11" s="41" t="str">
        <f t="shared" si="5"/>
        <v>--</v>
      </c>
      <c r="O11" s="42"/>
      <c r="P11" s="41" t="str">
        <f t="shared" si="6"/>
        <v>--</v>
      </c>
      <c r="Q11" s="42"/>
      <c r="R11" s="41" t="str">
        <f t="shared" si="7"/>
        <v>--</v>
      </c>
      <c r="S11" s="42"/>
      <c r="T11" s="41" t="str">
        <f t="shared" si="8"/>
        <v>--</v>
      </c>
      <c r="U11" s="42"/>
      <c r="V11" s="43">
        <f t="shared" si="9"/>
        <v>1.0662427990244382E-6</v>
      </c>
      <c r="W11" s="42"/>
      <c r="X11" s="41">
        <f t="shared" si="10"/>
        <v>1.9458931082195997E-4</v>
      </c>
      <c r="Y11" s="42"/>
      <c r="Z11" s="43" t="str">
        <f t="shared" si="0"/>
        <v>--</v>
      </c>
      <c r="AA11" s="42"/>
      <c r="AB11" s="41" t="str">
        <f t="shared" si="1"/>
        <v>--</v>
      </c>
      <c r="AC11" s="42"/>
      <c r="AD11" s="43">
        <f t="shared" si="11"/>
        <v>1.9315039679999998E-4</v>
      </c>
      <c r="AE11" s="42"/>
      <c r="AF11" s="41">
        <f t="shared" si="12"/>
        <v>3.5249947416000002E-2</v>
      </c>
      <c r="AG11" s="42"/>
      <c r="AH11" s="41">
        <f t="shared" si="13"/>
        <v>1.9315039679999998E-4</v>
      </c>
      <c r="AI11" s="42"/>
      <c r="AJ11" s="41">
        <f t="shared" si="14"/>
        <v>3.5249947416000002E-2</v>
      </c>
      <c r="AK11" s="42"/>
    </row>
    <row r="12" spans="1:37" s="44" customFormat="1" ht="15" customHeight="1">
      <c r="A12" s="34" t="s">
        <v>18</v>
      </c>
      <c r="B12" s="35"/>
      <c r="C12" s="36">
        <f>_xlfn.XLOOKUP($A12,'Input_Cooling Towers'!$A$7:$A$98,'Input_Cooling Towers'!$H$7:$H$98)</f>
        <v>5.0000000000000001E-4</v>
      </c>
      <c r="D12" s="36">
        <f>_xlfn.XLOOKUP($A12,'Input_Cooling Towers'!$A$7:$A$98,'Input_Cooling Towers'!$F$7:$F$98)</f>
        <v>10722</v>
      </c>
      <c r="E12" s="36">
        <f>_xlfn.XLOOKUP($A12,'Input_Cooling Towers'!$A$7:$A$98,'Input_Cooling Towers'!$G$7:$G$98)</f>
        <v>5361</v>
      </c>
      <c r="F12" s="37">
        <f t="shared" si="2"/>
        <v>643.834656</v>
      </c>
      <c r="G12" s="36">
        <f t="shared" si="15"/>
        <v>117499.82472</v>
      </c>
      <c r="H12" s="38" t="s">
        <v>250</v>
      </c>
      <c r="I12" s="38" t="s">
        <v>250</v>
      </c>
      <c r="J12" s="39">
        <f t="shared" si="3"/>
        <v>1.6560817114890413E-3</v>
      </c>
      <c r="K12" s="38" t="s">
        <v>250</v>
      </c>
      <c r="L12" s="40">
        <f t="shared" si="4"/>
        <v>0.3</v>
      </c>
      <c r="M12" s="40">
        <f t="shared" si="4"/>
        <v>0.3</v>
      </c>
      <c r="N12" s="41" t="str">
        <f t="shared" si="5"/>
        <v>--</v>
      </c>
      <c r="O12" s="42"/>
      <c r="P12" s="41" t="str">
        <f t="shared" si="6"/>
        <v>--</v>
      </c>
      <c r="Q12" s="42"/>
      <c r="R12" s="41" t="str">
        <f t="shared" si="7"/>
        <v>--</v>
      </c>
      <c r="S12" s="42"/>
      <c r="T12" s="41" t="str">
        <f t="shared" si="8"/>
        <v>--</v>
      </c>
      <c r="U12" s="42"/>
      <c r="V12" s="43">
        <f t="shared" si="9"/>
        <v>1.0662427990244382E-6</v>
      </c>
      <c r="W12" s="42"/>
      <c r="X12" s="41">
        <f t="shared" si="10"/>
        <v>1.9458931082195997E-4</v>
      </c>
      <c r="Y12" s="42"/>
      <c r="Z12" s="43" t="str">
        <f t="shared" si="0"/>
        <v>--</v>
      </c>
      <c r="AA12" s="42"/>
      <c r="AB12" s="41" t="str">
        <f t="shared" si="1"/>
        <v>--</v>
      </c>
      <c r="AC12" s="42"/>
      <c r="AD12" s="43">
        <f t="shared" si="11"/>
        <v>1.9315039679999998E-4</v>
      </c>
      <c r="AE12" s="42"/>
      <c r="AF12" s="41">
        <f>IFERROR($G12*$L12/1000000,"--")</f>
        <v>3.5249947416000002E-2</v>
      </c>
      <c r="AG12" s="42"/>
      <c r="AH12" s="41">
        <f t="shared" si="13"/>
        <v>1.9315039679999998E-4</v>
      </c>
      <c r="AI12" s="42"/>
      <c r="AJ12" s="41">
        <f t="shared" si="14"/>
        <v>3.5249947416000002E-2</v>
      </c>
      <c r="AK12" s="42"/>
    </row>
    <row r="13" spans="1:37" s="44" customFormat="1" ht="15" customHeight="1">
      <c r="A13" s="34" t="s">
        <v>20</v>
      </c>
      <c r="B13" s="35"/>
      <c r="C13" s="36">
        <f>_xlfn.XLOOKUP($A13,'Input_Cooling Towers'!$A$7:$A$98,'Input_Cooling Towers'!$H$7:$H$98)</f>
        <v>5.0000000000000001E-4</v>
      </c>
      <c r="D13" s="36">
        <f>_xlfn.XLOOKUP($A13,'Input_Cooling Towers'!$A$7:$A$98,'Input_Cooling Towers'!$F$7:$F$98)</f>
        <v>10722</v>
      </c>
      <c r="E13" s="36">
        <f>_xlfn.XLOOKUP($A13,'Input_Cooling Towers'!$A$7:$A$98,'Input_Cooling Towers'!$G$7:$G$98)</f>
        <v>5361</v>
      </c>
      <c r="F13" s="37">
        <f t="shared" si="2"/>
        <v>643.834656</v>
      </c>
      <c r="G13" s="36">
        <f t="shared" si="15"/>
        <v>117499.82472</v>
      </c>
      <c r="H13" s="38" t="s">
        <v>250</v>
      </c>
      <c r="I13" s="38" t="s">
        <v>250</v>
      </c>
      <c r="J13" s="39">
        <f t="shared" si="3"/>
        <v>1.6560817114890413E-3</v>
      </c>
      <c r="K13" s="38" t="s">
        <v>250</v>
      </c>
      <c r="L13" s="40">
        <f t="shared" si="4"/>
        <v>0.3</v>
      </c>
      <c r="M13" s="40">
        <f t="shared" si="4"/>
        <v>0.3</v>
      </c>
      <c r="N13" s="41" t="str">
        <f t="shared" si="5"/>
        <v>--</v>
      </c>
      <c r="O13" s="42"/>
      <c r="P13" s="41" t="str">
        <f t="shared" si="6"/>
        <v>--</v>
      </c>
      <c r="Q13" s="42"/>
      <c r="R13" s="41" t="str">
        <f t="shared" si="7"/>
        <v>--</v>
      </c>
      <c r="S13" s="42"/>
      <c r="T13" s="41" t="str">
        <f t="shared" si="8"/>
        <v>--</v>
      </c>
      <c r="U13" s="42"/>
      <c r="V13" s="43">
        <f t="shared" si="9"/>
        <v>1.0662427990244382E-6</v>
      </c>
      <c r="W13" s="42"/>
      <c r="X13" s="41">
        <f t="shared" si="10"/>
        <v>1.9458931082195997E-4</v>
      </c>
      <c r="Y13" s="42"/>
      <c r="Z13" s="43" t="str">
        <f t="shared" si="0"/>
        <v>--</v>
      </c>
      <c r="AA13" s="42"/>
      <c r="AB13" s="41" t="str">
        <f t="shared" si="1"/>
        <v>--</v>
      </c>
      <c r="AC13" s="42"/>
      <c r="AD13" s="43">
        <f t="shared" si="11"/>
        <v>1.9315039679999998E-4</v>
      </c>
      <c r="AE13" s="42"/>
      <c r="AF13" s="41">
        <f t="shared" si="12"/>
        <v>3.5249947416000002E-2</v>
      </c>
      <c r="AG13" s="42"/>
      <c r="AH13" s="41">
        <f t="shared" si="13"/>
        <v>1.9315039679999998E-4</v>
      </c>
      <c r="AI13" s="42"/>
      <c r="AJ13" s="41">
        <f t="shared" si="14"/>
        <v>3.5249947416000002E-2</v>
      </c>
      <c r="AK13" s="42"/>
    </row>
    <row r="14" spans="1:37" s="44" customFormat="1" ht="15" customHeight="1">
      <c r="A14" s="34" t="s">
        <v>22</v>
      </c>
      <c r="B14" s="35"/>
      <c r="C14" s="36">
        <f>_xlfn.XLOOKUP($A14,'Input_Cooling Towers'!$A$7:$A$98,'Input_Cooling Towers'!$H$7:$H$98)</f>
        <v>5.0000000000000001E-4</v>
      </c>
      <c r="D14" s="36">
        <f>_xlfn.XLOOKUP($A14,'Input_Cooling Towers'!$A$7:$A$98,'Input_Cooling Towers'!$F$7:$F$98)</f>
        <v>10722</v>
      </c>
      <c r="E14" s="36">
        <f>_xlfn.XLOOKUP($A14,'Input_Cooling Towers'!$A$7:$A$98,'Input_Cooling Towers'!$G$7:$G$98)</f>
        <v>5361</v>
      </c>
      <c r="F14" s="37">
        <f t="shared" si="2"/>
        <v>643.834656</v>
      </c>
      <c r="G14" s="36">
        <f t="shared" si="15"/>
        <v>117499.82472</v>
      </c>
      <c r="H14" s="38" t="s">
        <v>250</v>
      </c>
      <c r="I14" s="38" t="s">
        <v>250</v>
      </c>
      <c r="J14" s="39">
        <f t="shared" si="3"/>
        <v>1.6560817114890413E-3</v>
      </c>
      <c r="K14" s="38" t="s">
        <v>250</v>
      </c>
      <c r="L14" s="40">
        <f t="shared" si="4"/>
        <v>0.3</v>
      </c>
      <c r="M14" s="40">
        <f t="shared" si="4"/>
        <v>0.3</v>
      </c>
      <c r="N14" s="41" t="str">
        <f t="shared" si="5"/>
        <v>--</v>
      </c>
      <c r="O14" s="42"/>
      <c r="P14" s="41" t="str">
        <f t="shared" si="6"/>
        <v>--</v>
      </c>
      <c r="Q14" s="42"/>
      <c r="R14" s="41" t="str">
        <f t="shared" si="7"/>
        <v>--</v>
      </c>
      <c r="S14" s="42"/>
      <c r="T14" s="41" t="str">
        <f t="shared" si="8"/>
        <v>--</v>
      </c>
      <c r="U14" s="42"/>
      <c r="V14" s="43">
        <f t="shared" si="9"/>
        <v>1.0662427990244382E-6</v>
      </c>
      <c r="W14" s="42"/>
      <c r="X14" s="41">
        <f t="shared" si="10"/>
        <v>1.9458931082195997E-4</v>
      </c>
      <c r="Y14" s="42"/>
      <c r="Z14" s="43" t="str">
        <f t="shared" si="0"/>
        <v>--</v>
      </c>
      <c r="AA14" s="42"/>
      <c r="AB14" s="41" t="str">
        <f t="shared" si="1"/>
        <v>--</v>
      </c>
      <c r="AC14" s="42"/>
      <c r="AD14" s="43">
        <f t="shared" si="11"/>
        <v>1.9315039679999998E-4</v>
      </c>
      <c r="AE14" s="42"/>
      <c r="AF14" s="41">
        <f t="shared" si="12"/>
        <v>3.5249947416000002E-2</v>
      </c>
      <c r="AG14" s="42"/>
      <c r="AH14" s="41">
        <f t="shared" si="13"/>
        <v>1.9315039679999998E-4</v>
      </c>
      <c r="AI14" s="42"/>
      <c r="AJ14" s="41">
        <f t="shared" si="14"/>
        <v>3.5249947416000002E-2</v>
      </c>
      <c r="AK14" s="42"/>
    </row>
    <row r="15" spans="1:37" s="44" customFormat="1" ht="15" customHeight="1">
      <c r="A15" s="34" t="s">
        <v>24</v>
      </c>
      <c r="B15" s="35"/>
      <c r="C15" s="36">
        <f>_xlfn.XLOOKUP($A15,'Input_Cooling Towers'!$A$7:$A$98,'Input_Cooling Towers'!$H$7:$H$98)</f>
        <v>5.0000000000000001E-4</v>
      </c>
      <c r="D15" s="36">
        <f>_xlfn.XLOOKUP($A15,'Input_Cooling Towers'!$A$7:$A$98,'Input_Cooling Towers'!$F$7:$F$98)</f>
        <v>10722</v>
      </c>
      <c r="E15" s="36">
        <f>_xlfn.XLOOKUP($A15,'Input_Cooling Towers'!$A$7:$A$98,'Input_Cooling Towers'!$G$7:$G$98)</f>
        <v>5361</v>
      </c>
      <c r="F15" s="37">
        <f t="shared" si="2"/>
        <v>643.834656</v>
      </c>
      <c r="G15" s="36">
        <f t="shared" si="15"/>
        <v>117499.82472</v>
      </c>
      <c r="H15" s="38" t="s">
        <v>250</v>
      </c>
      <c r="I15" s="38" t="s">
        <v>250</v>
      </c>
      <c r="J15" s="39">
        <f t="shared" si="3"/>
        <v>1.6560817114890413E-3</v>
      </c>
      <c r="K15" s="38" t="s">
        <v>250</v>
      </c>
      <c r="L15" s="40">
        <f t="shared" si="4"/>
        <v>0.3</v>
      </c>
      <c r="M15" s="40">
        <f t="shared" si="4"/>
        <v>0.3</v>
      </c>
      <c r="N15" s="41" t="str">
        <f t="shared" si="5"/>
        <v>--</v>
      </c>
      <c r="O15" s="42"/>
      <c r="P15" s="41" t="str">
        <f t="shared" si="6"/>
        <v>--</v>
      </c>
      <c r="Q15" s="42"/>
      <c r="R15" s="41" t="str">
        <f t="shared" si="7"/>
        <v>--</v>
      </c>
      <c r="S15" s="42"/>
      <c r="T15" s="41" t="str">
        <f t="shared" si="8"/>
        <v>--</v>
      </c>
      <c r="U15" s="42"/>
      <c r="V15" s="43">
        <f t="shared" si="9"/>
        <v>1.0662427990244382E-6</v>
      </c>
      <c r="W15" s="42"/>
      <c r="X15" s="41">
        <f t="shared" si="10"/>
        <v>1.9458931082195997E-4</v>
      </c>
      <c r="Y15" s="42"/>
      <c r="Z15" s="43" t="str">
        <f t="shared" si="0"/>
        <v>--</v>
      </c>
      <c r="AA15" s="42"/>
      <c r="AB15" s="41" t="str">
        <f t="shared" si="1"/>
        <v>--</v>
      </c>
      <c r="AC15" s="42"/>
      <c r="AD15" s="43">
        <f t="shared" si="11"/>
        <v>1.9315039679999998E-4</v>
      </c>
      <c r="AE15" s="42"/>
      <c r="AF15" s="41">
        <f t="shared" si="12"/>
        <v>3.5249947416000002E-2</v>
      </c>
      <c r="AG15" s="42"/>
      <c r="AH15" s="41">
        <f t="shared" si="13"/>
        <v>1.9315039679999998E-4</v>
      </c>
      <c r="AI15" s="42"/>
      <c r="AJ15" s="41">
        <f t="shared" si="14"/>
        <v>3.5249947416000002E-2</v>
      </c>
      <c r="AK15" s="42"/>
    </row>
    <row r="16" spans="1:37" s="44" customFormat="1" ht="15" customHeight="1">
      <c r="A16" s="34" t="s">
        <v>26</v>
      </c>
      <c r="B16" s="35"/>
      <c r="C16" s="36">
        <f>_xlfn.XLOOKUP($A16,'Input_Cooling Towers'!$A$7:$A$98,'Input_Cooling Towers'!$H$7:$H$98)</f>
        <v>5.0000000000000001E-4</v>
      </c>
      <c r="D16" s="36">
        <f>_xlfn.XLOOKUP($A16,'Input_Cooling Towers'!$A$7:$A$98,'Input_Cooling Towers'!$F$7:$F$98)</f>
        <v>10722</v>
      </c>
      <c r="E16" s="36">
        <f>_xlfn.XLOOKUP($A16,'Input_Cooling Towers'!$A$7:$A$98,'Input_Cooling Towers'!$G$7:$G$98)</f>
        <v>5361</v>
      </c>
      <c r="F16" s="37">
        <f t="shared" si="2"/>
        <v>643.834656</v>
      </c>
      <c r="G16" s="36">
        <f t="shared" si="15"/>
        <v>117499.82472</v>
      </c>
      <c r="H16" s="38" t="s">
        <v>250</v>
      </c>
      <c r="I16" s="38" t="s">
        <v>250</v>
      </c>
      <c r="J16" s="39">
        <f t="shared" si="3"/>
        <v>1.6560817114890413E-3</v>
      </c>
      <c r="K16" s="38" t="s">
        <v>250</v>
      </c>
      <c r="L16" s="40">
        <f t="shared" si="4"/>
        <v>0.3</v>
      </c>
      <c r="M16" s="40">
        <f t="shared" si="4"/>
        <v>0.3</v>
      </c>
      <c r="N16" s="41" t="str">
        <f t="shared" si="5"/>
        <v>--</v>
      </c>
      <c r="O16" s="42"/>
      <c r="P16" s="41" t="str">
        <f t="shared" si="6"/>
        <v>--</v>
      </c>
      <c r="Q16" s="42"/>
      <c r="R16" s="41" t="str">
        <f t="shared" si="7"/>
        <v>--</v>
      </c>
      <c r="S16" s="42"/>
      <c r="T16" s="41" t="str">
        <f t="shared" si="8"/>
        <v>--</v>
      </c>
      <c r="U16" s="42"/>
      <c r="V16" s="43">
        <f t="shared" si="9"/>
        <v>1.0662427990244382E-6</v>
      </c>
      <c r="W16" s="42"/>
      <c r="X16" s="41">
        <f t="shared" si="10"/>
        <v>1.9458931082195997E-4</v>
      </c>
      <c r="Y16" s="42"/>
      <c r="Z16" s="43" t="str">
        <f t="shared" si="0"/>
        <v>--</v>
      </c>
      <c r="AA16" s="42"/>
      <c r="AB16" s="41" t="str">
        <f t="shared" si="1"/>
        <v>--</v>
      </c>
      <c r="AC16" s="42"/>
      <c r="AD16" s="43">
        <f t="shared" si="11"/>
        <v>1.9315039679999998E-4</v>
      </c>
      <c r="AE16" s="42"/>
      <c r="AF16" s="41">
        <f t="shared" si="12"/>
        <v>3.5249947416000002E-2</v>
      </c>
      <c r="AG16" s="42"/>
      <c r="AH16" s="41">
        <f t="shared" si="13"/>
        <v>1.9315039679999998E-4</v>
      </c>
      <c r="AI16" s="42"/>
      <c r="AJ16" s="41">
        <f t="shared" si="14"/>
        <v>3.5249947416000002E-2</v>
      </c>
      <c r="AK16" s="42"/>
    </row>
    <row r="17" spans="1:37" s="44" customFormat="1" ht="15" customHeight="1">
      <c r="A17" s="34" t="s">
        <v>28</v>
      </c>
      <c r="B17" s="35"/>
      <c r="C17" s="36">
        <f>_xlfn.XLOOKUP($A17,'Input_Cooling Towers'!$A$7:$A$98,'Input_Cooling Towers'!$H$7:$H$98)</f>
        <v>5.0000000000000001E-4</v>
      </c>
      <c r="D17" s="36">
        <f>_xlfn.XLOOKUP($A17,'Input_Cooling Towers'!$A$7:$A$98,'Input_Cooling Towers'!$F$7:$F$98)</f>
        <v>10722</v>
      </c>
      <c r="E17" s="36">
        <f>_xlfn.XLOOKUP($A17,'Input_Cooling Towers'!$A$7:$A$98,'Input_Cooling Towers'!$G$7:$G$98)</f>
        <v>5361</v>
      </c>
      <c r="F17" s="37">
        <f t="shared" si="2"/>
        <v>643.834656</v>
      </c>
      <c r="G17" s="36">
        <f t="shared" si="15"/>
        <v>117499.82472</v>
      </c>
      <c r="H17" s="38" t="s">
        <v>250</v>
      </c>
      <c r="I17" s="38" t="s">
        <v>250</v>
      </c>
      <c r="J17" s="39">
        <f t="shared" si="3"/>
        <v>1.6560817114890413E-3</v>
      </c>
      <c r="K17" s="38" t="s">
        <v>250</v>
      </c>
      <c r="L17" s="40">
        <f t="shared" si="4"/>
        <v>0.3</v>
      </c>
      <c r="M17" s="40">
        <f t="shared" si="4"/>
        <v>0.3</v>
      </c>
      <c r="N17" s="41" t="str">
        <f t="shared" si="5"/>
        <v>--</v>
      </c>
      <c r="O17" s="42"/>
      <c r="P17" s="41" t="str">
        <f t="shared" si="6"/>
        <v>--</v>
      </c>
      <c r="Q17" s="42"/>
      <c r="R17" s="41" t="str">
        <f t="shared" si="7"/>
        <v>--</v>
      </c>
      <c r="S17" s="42"/>
      <c r="T17" s="41" t="str">
        <f t="shared" si="8"/>
        <v>--</v>
      </c>
      <c r="U17" s="42"/>
      <c r="V17" s="43">
        <f t="shared" si="9"/>
        <v>1.0662427990244382E-6</v>
      </c>
      <c r="W17" s="42"/>
      <c r="X17" s="41">
        <f t="shared" si="10"/>
        <v>1.9458931082195997E-4</v>
      </c>
      <c r="Y17" s="42"/>
      <c r="Z17" s="43" t="str">
        <f t="shared" si="0"/>
        <v>--</v>
      </c>
      <c r="AA17" s="42"/>
      <c r="AB17" s="41" t="str">
        <f t="shared" si="1"/>
        <v>--</v>
      </c>
      <c r="AC17" s="42"/>
      <c r="AD17" s="43">
        <f t="shared" si="11"/>
        <v>1.9315039679999998E-4</v>
      </c>
      <c r="AE17" s="42"/>
      <c r="AF17" s="41">
        <f t="shared" si="12"/>
        <v>3.5249947416000002E-2</v>
      </c>
      <c r="AG17" s="42"/>
      <c r="AH17" s="41">
        <f t="shared" si="13"/>
        <v>1.9315039679999998E-4</v>
      </c>
      <c r="AI17" s="42"/>
      <c r="AJ17" s="41">
        <f t="shared" si="14"/>
        <v>3.5249947416000002E-2</v>
      </c>
      <c r="AK17" s="42"/>
    </row>
    <row r="18" spans="1:37" s="44" customFormat="1" ht="15" customHeight="1">
      <c r="A18" s="34" t="s">
        <v>30</v>
      </c>
      <c r="B18" s="35"/>
      <c r="C18" s="36">
        <f>_xlfn.XLOOKUP($A18,'Input_Cooling Towers'!$A$7:$A$98,'Input_Cooling Towers'!$H$7:$H$98)</f>
        <v>5.0000000000000001E-4</v>
      </c>
      <c r="D18" s="36">
        <f>_xlfn.XLOOKUP($A18,'Input_Cooling Towers'!$A$7:$A$98,'Input_Cooling Towers'!$F$7:$F$98)</f>
        <v>10722</v>
      </c>
      <c r="E18" s="36">
        <f>_xlfn.XLOOKUP($A18,'Input_Cooling Towers'!$A$7:$A$98,'Input_Cooling Towers'!$G$7:$G$98)</f>
        <v>5361</v>
      </c>
      <c r="F18" s="37">
        <f t="shared" si="2"/>
        <v>643.834656</v>
      </c>
      <c r="G18" s="36">
        <f t="shared" si="15"/>
        <v>117499.82472</v>
      </c>
      <c r="H18" s="38" t="s">
        <v>250</v>
      </c>
      <c r="I18" s="38" t="s">
        <v>250</v>
      </c>
      <c r="J18" s="39">
        <f t="shared" si="3"/>
        <v>1.6560817114890413E-3</v>
      </c>
      <c r="K18" s="38" t="s">
        <v>250</v>
      </c>
      <c r="L18" s="40">
        <f t="shared" si="4"/>
        <v>0.3</v>
      </c>
      <c r="M18" s="40">
        <f t="shared" si="4"/>
        <v>0.3</v>
      </c>
      <c r="N18" s="41" t="str">
        <f t="shared" si="5"/>
        <v>--</v>
      </c>
      <c r="O18" s="42"/>
      <c r="P18" s="41" t="str">
        <f t="shared" si="6"/>
        <v>--</v>
      </c>
      <c r="Q18" s="42"/>
      <c r="R18" s="41" t="str">
        <f t="shared" si="7"/>
        <v>--</v>
      </c>
      <c r="S18" s="42"/>
      <c r="T18" s="41" t="str">
        <f t="shared" si="8"/>
        <v>--</v>
      </c>
      <c r="U18" s="42"/>
      <c r="V18" s="43">
        <f t="shared" si="9"/>
        <v>1.0662427990244382E-6</v>
      </c>
      <c r="W18" s="42"/>
      <c r="X18" s="41">
        <f t="shared" si="10"/>
        <v>1.9458931082195997E-4</v>
      </c>
      <c r="Y18" s="42"/>
      <c r="Z18" s="43" t="str">
        <f t="shared" si="0"/>
        <v>--</v>
      </c>
      <c r="AA18" s="42"/>
      <c r="AB18" s="41" t="str">
        <f t="shared" si="1"/>
        <v>--</v>
      </c>
      <c r="AC18" s="42"/>
      <c r="AD18" s="43">
        <f t="shared" si="11"/>
        <v>1.9315039679999998E-4</v>
      </c>
      <c r="AE18" s="42"/>
      <c r="AF18" s="41">
        <f t="shared" si="12"/>
        <v>3.5249947416000002E-2</v>
      </c>
      <c r="AG18" s="42"/>
      <c r="AH18" s="41">
        <f t="shared" si="13"/>
        <v>1.9315039679999998E-4</v>
      </c>
      <c r="AI18" s="42"/>
      <c r="AJ18" s="41">
        <f t="shared" si="14"/>
        <v>3.5249947416000002E-2</v>
      </c>
      <c r="AK18" s="42"/>
    </row>
    <row r="19" spans="1:37" s="44" customFormat="1" ht="15" customHeight="1">
      <c r="A19" s="34" t="s">
        <v>32</v>
      </c>
      <c r="B19" s="35"/>
      <c r="C19" s="36">
        <f>_xlfn.XLOOKUP($A19,'Input_Cooling Towers'!$A$7:$A$98,'Input_Cooling Towers'!$H$7:$H$98)</f>
        <v>5.0000000000000001E-4</v>
      </c>
      <c r="D19" s="36">
        <f>_xlfn.XLOOKUP($A19,'Input_Cooling Towers'!$A$7:$A$98,'Input_Cooling Towers'!$F$7:$F$98)</f>
        <v>10722</v>
      </c>
      <c r="E19" s="36">
        <f>_xlfn.XLOOKUP($A19,'Input_Cooling Towers'!$A$7:$A$98,'Input_Cooling Towers'!$G$7:$G$98)</f>
        <v>5361</v>
      </c>
      <c r="F19" s="37">
        <f t="shared" si="2"/>
        <v>643.834656</v>
      </c>
      <c r="G19" s="36">
        <f t="shared" si="15"/>
        <v>117499.82472</v>
      </c>
      <c r="H19" s="38" t="s">
        <v>250</v>
      </c>
      <c r="I19" s="38" t="s">
        <v>250</v>
      </c>
      <c r="J19" s="39">
        <f t="shared" si="3"/>
        <v>1.6560817114890413E-3</v>
      </c>
      <c r="K19" s="38" t="s">
        <v>250</v>
      </c>
      <c r="L19" s="40">
        <f t="shared" si="4"/>
        <v>0.3</v>
      </c>
      <c r="M19" s="40">
        <f t="shared" si="4"/>
        <v>0.3</v>
      </c>
      <c r="N19" s="41" t="str">
        <f t="shared" si="5"/>
        <v>--</v>
      </c>
      <c r="O19" s="42"/>
      <c r="P19" s="41" t="str">
        <f t="shared" si="6"/>
        <v>--</v>
      </c>
      <c r="Q19" s="42"/>
      <c r="R19" s="41" t="str">
        <f t="shared" si="7"/>
        <v>--</v>
      </c>
      <c r="S19" s="42"/>
      <c r="T19" s="41" t="str">
        <f t="shared" si="8"/>
        <v>--</v>
      </c>
      <c r="U19" s="42"/>
      <c r="V19" s="43">
        <f t="shared" si="9"/>
        <v>1.0662427990244382E-6</v>
      </c>
      <c r="W19" s="42"/>
      <c r="X19" s="41">
        <f t="shared" si="10"/>
        <v>1.9458931082195997E-4</v>
      </c>
      <c r="Y19" s="42"/>
      <c r="Z19" s="43" t="str">
        <f t="shared" si="0"/>
        <v>--</v>
      </c>
      <c r="AA19" s="42"/>
      <c r="AB19" s="41" t="str">
        <f t="shared" si="1"/>
        <v>--</v>
      </c>
      <c r="AC19" s="42"/>
      <c r="AD19" s="43">
        <f t="shared" si="11"/>
        <v>1.9315039679999998E-4</v>
      </c>
      <c r="AE19" s="42"/>
      <c r="AF19" s="41">
        <f t="shared" si="12"/>
        <v>3.5249947416000002E-2</v>
      </c>
      <c r="AG19" s="42"/>
      <c r="AH19" s="41">
        <f t="shared" si="13"/>
        <v>1.9315039679999998E-4</v>
      </c>
      <c r="AI19" s="42"/>
      <c r="AJ19" s="41">
        <f t="shared" si="14"/>
        <v>3.5249947416000002E-2</v>
      </c>
      <c r="AK19" s="42"/>
    </row>
    <row r="20" spans="1:37" s="44" customFormat="1" ht="15" customHeight="1">
      <c r="A20" s="34" t="s">
        <v>34</v>
      </c>
      <c r="B20" s="35"/>
      <c r="C20" s="36">
        <f>_xlfn.XLOOKUP($A20,'Input_Cooling Towers'!$A$7:$A$98,'Input_Cooling Towers'!$H$7:$H$98)</f>
        <v>5.0000000000000001E-4</v>
      </c>
      <c r="D20" s="36">
        <f>_xlfn.XLOOKUP($A20,'Input_Cooling Towers'!$A$7:$A$98,'Input_Cooling Towers'!$F$7:$F$98)</f>
        <v>10722</v>
      </c>
      <c r="E20" s="36">
        <f>_xlfn.XLOOKUP($A20,'Input_Cooling Towers'!$A$7:$A$98,'Input_Cooling Towers'!$G$7:$G$98)</f>
        <v>5361</v>
      </c>
      <c r="F20" s="37">
        <f t="shared" si="2"/>
        <v>643.834656</v>
      </c>
      <c r="G20" s="36">
        <f t="shared" si="15"/>
        <v>117499.82472</v>
      </c>
      <c r="H20" s="38" t="s">
        <v>250</v>
      </c>
      <c r="I20" s="38" t="s">
        <v>250</v>
      </c>
      <c r="J20" s="39">
        <f t="shared" si="3"/>
        <v>1.6560817114890413E-3</v>
      </c>
      <c r="K20" s="38" t="s">
        <v>250</v>
      </c>
      <c r="L20" s="40">
        <f t="shared" si="4"/>
        <v>0.3</v>
      </c>
      <c r="M20" s="40">
        <f t="shared" si="4"/>
        <v>0.3</v>
      </c>
      <c r="N20" s="41" t="str">
        <f t="shared" si="5"/>
        <v>--</v>
      </c>
      <c r="O20" s="42"/>
      <c r="P20" s="41" t="str">
        <f t="shared" si="6"/>
        <v>--</v>
      </c>
      <c r="Q20" s="42"/>
      <c r="R20" s="41" t="str">
        <f t="shared" si="7"/>
        <v>--</v>
      </c>
      <c r="S20" s="42"/>
      <c r="T20" s="41" t="str">
        <f t="shared" si="8"/>
        <v>--</v>
      </c>
      <c r="U20" s="42"/>
      <c r="V20" s="43">
        <f t="shared" si="9"/>
        <v>1.0662427990244382E-6</v>
      </c>
      <c r="W20" s="42"/>
      <c r="X20" s="41">
        <f t="shared" si="10"/>
        <v>1.9458931082195997E-4</v>
      </c>
      <c r="Y20" s="42"/>
      <c r="Z20" s="43" t="str">
        <f t="shared" si="0"/>
        <v>--</v>
      </c>
      <c r="AA20" s="42"/>
      <c r="AB20" s="41" t="str">
        <f t="shared" si="1"/>
        <v>--</v>
      </c>
      <c r="AC20" s="42"/>
      <c r="AD20" s="43">
        <f t="shared" si="11"/>
        <v>1.9315039679999998E-4</v>
      </c>
      <c r="AE20" s="42"/>
      <c r="AF20" s="41">
        <f t="shared" si="12"/>
        <v>3.5249947416000002E-2</v>
      </c>
      <c r="AG20" s="42"/>
      <c r="AH20" s="41">
        <f t="shared" si="13"/>
        <v>1.9315039679999998E-4</v>
      </c>
      <c r="AI20" s="42"/>
      <c r="AJ20" s="41">
        <f t="shared" si="14"/>
        <v>3.5249947416000002E-2</v>
      </c>
      <c r="AK20" s="42"/>
    </row>
    <row r="21" spans="1:37" s="44" customFormat="1" ht="15" customHeight="1">
      <c r="A21" s="34" t="s">
        <v>36</v>
      </c>
      <c r="B21" s="35"/>
      <c r="C21" s="36">
        <f>_xlfn.XLOOKUP($A21,'Input_Cooling Towers'!$A$7:$A$98,'Input_Cooling Towers'!$H$7:$H$98)</f>
        <v>5.0000000000000001E-4</v>
      </c>
      <c r="D21" s="36">
        <f>_xlfn.XLOOKUP($A21,'Input_Cooling Towers'!$A$7:$A$98,'Input_Cooling Towers'!$F$7:$F$98)</f>
        <v>10722</v>
      </c>
      <c r="E21" s="36">
        <f>_xlfn.XLOOKUP($A21,'Input_Cooling Towers'!$A$7:$A$98,'Input_Cooling Towers'!$G$7:$G$98)</f>
        <v>5361</v>
      </c>
      <c r="F21" s="37">
        <f t="shared" si="2"/>
        <v>643.834656</v>
      </c>
      <c r="G21" s="36">
        <f t="shared" si="15"/>
        <v>117499.82472</v>
      </c>
      <c r="H21" s="38" t="s">
        <v>250</v>
      </c>
      <c r="I21" s="38" t="s">
        <v>250</v>
      </c>
      <c r="J21" s="39">
        <f t="shared" si="3"/>
        <v>1.6560817114890413E-3</v>
      </c>
      <c r="K21" s="38" t="s">
        <v>250</v>
      </c>
      <c r="L21" s="40">
        <f t="shared" si="4"/>
        <v>0.3</v>
      </c>
      <c r="M21" s="40">
        <f t="shared" si="4"/>
        <v>0.3</v>
      </c>
      <c r="N21" s="41" t="str">
        <f t="shared" si="5"/>
        <v>--</v>
      </c>
      <c r="O21" s="42"/>
      <c r="P21" s="41" t="str">
        <f t="shared" si="6"/>
        <v>--</v>
      </c>
      <c r="Q21" s="42"/>
      <c r="R21" s="41" t="str">
        <f t="shared" si="7"/>
        <v>--</v>
      </c>
      <c r="S21" s="42"/>
      <c r="T21" s="41" t="str">
        <f t="shared" si="8"/>
        <v>--</v>
      </c>
      <c r="U21" s="42"/>
      <c r="V21" s="43">
        <f t="shared" si="9"/>
        <v>1.0662427990244382E-6</v>
      </c>
      <c r="W21" s="42"/>
      <c r="X21" s="41">
        <f t="shared" si="10"/>
        <v>1.9458931082195997E-4</v>
      </c>
      <c r="Y21" s="42"/>
      <c r="Z21" s="43" t="str">
        <f t="shared" si="0"/>
        <v>--</v>
      </c>
      <c r="AA21" s="42"/>
      <c r="AB21" s="41" t="str">
        <f t="shared" si="1"/>
        <v>--</v>
      </c>
      <c r="AC21" s="42"/>
      <c r="AD21" s="43">
        <f t="shared" si="11"/>
        <v>1.9315039679999998E-4</v>
      </c>
      <c r="AE21" s="42"/>
      <c r="AF21" s="41">
        <f t="shared" si="12"/>
        <v>3.5249947416000002E-2</v>
      </c>
      <c r="AG21" s="42"/>
      <c r="AH21" s="41">
        <f t="shared" si="13"/>
        <v>1.9315039679999998E-4</v>
      </c>
      <c r="AI21" s="42"/>
      <c r="AJ21" s="41">
        <f t="shared" si="14"/>
        <v>3.5249947416000002E-2</v>
      </c>
      <c r="AK21" s="42"/>
    </row>
    <row r="22" spans="1:37" s="44" customFormat="1" ht="15" customHeight="1">
      <c r="A22" s="34" t="s">
        <v>38</v>
      </c>
      <c r="B22" s="35"/>
      <c r="C22" s="36">
        <f>_xlfn.XLOOKUP($A22,'Input_Cooling Towers'!$A$7:$A$98,'Input_Cooling Towers'!$H$7:$H$98)</f>
        <v>5.0000000000000001E-4</v>
      </c>
      <c r="D22" s="36">
        <f>_xlfn.XLOOKUP($A22,'Input_Cooling Towers'!$A$7:$A$98,'Input_Cooling Towers'!$F$7:$F$98)</f>
        <v>10722</v>
      </c>
      <c r="E22" s="36">
        <f>_xlfn.XLOOKUP($A22,'Input_Cooling Towers'!$A$7:$A$98,'Input_Cooling Towers'!$G$7:$G$98)</f>
        <v>5361</v>
      </c>
      <c r="F22" s="37">
        <f t="shared" si="2"/>
        <v>643.834656</v>
      </c>
      <c r="G22" s="36">
        <f t="shared" si="15"/>
        <v>117499.82472</v>
      </c>
      <c r="H22" s="38" t="s">
        <v>250</v>
      </c>
      <c r="I22" s="38" t="s">
        <v>250</v>
      </c>
      <c r="J22" s="39">
        <f t="shared" si="3"/>
        <v>1.6560817114890413E-3</v>
      </c>
      <c r="K22" s="38" t="s">
        <v>250</v>
      </c>
      <c r="L22" s="40">
        <f t="shared" si="4"/>
        <v>0.3</v>
      </c>
      <c r="M22" s="40">
        <f t="shared" si="4"/>
        <v>0.3</v>
      </c>
      <c r="N22" s="41" t="str">
        <f t="shared" si="5"/>
        <v>--</v>
      </c>
      <c r="O22" s="42"/>
      <c r="P22" s="41" t="str">
        <f t="shared" si="6"/>
        <v>--</v>
      </c>
      <c r="Q22" s="42"/>
      <c r="R22" s="41" t="str">
        <f t="shared" si="7"/>
        <v>--</v>
      </c>
      <c r="S22" s="42"/>
      <c r="T22" s="41" t="str">
        <f t="shared" si="8"/>
        <v>--</v>
      </c>
      <c r="U22" s="42"/>
      <c r="V22" s="43">
        <f t="shared" si="9"/>
        <v>1.0662427990244382E-6</v>
      </c>
      <c r="W22" s="42"/>
      <c r="X22" s="41">
        <f t="shared" si="10"/>
        <v>1.9458931082195997E-4</v>
      </c>
      <c r="Y22" s="42"/>
      <c r="Z22" s="43" t="str">
        <f t="shared" si="0"/>
        <v>--</v>
      </c>
      <c r="AA22" s="42"/>
      <c r="AB22" s="41" t="str">
        <f t="shared" si="1"/>
        <v>--</v>
      </c>
      <c r="AC22" s="42"/>
      <c r="AD22" s="43">
        <f t="shared" si="11"/>
        <v>1.9315039679999998E-4</v>
      </c>
      <c r="AE22" s="42"/>
      <c r="AF22" s="41">
        <f t="shared" si="12"/>
        <v>3.5249947416000002E-2</v>
      </c>
      <c r="AG22" s="42"/>
      <c r="AH22" s="41">
        <f t="shared" si="13"/>
        <v>1.9315039679999998E-4</v>
      </c>
      <c r="AI22" s="42"/>
      <c r="AJ22" s="41">
        <f t="shared" si="14"/>
        <v>3.5249947416000002E-2</v>
      </c>
      <c r="AK22" s="42"/>
    </row>
    <row r="23" spans="1:37" s="44" customFormat="1" ht="15" customHeight="1">
      <c r="A23" s="34" t="s">
        <v>40</v>
      </c>
      <c r="B23" s="35"/>
      <c r="C23" s="36">
        <f>_xlfn.XLOOKUP($A23,'Input_Cooling Towers'!$A$7:$A$98,'Input_Cooling Towers'!$H$7:$H$98)</f>
        <v>5.0000000000000001E-4</v>
      </c>
      <c r="D23" s="36">
        <f>_xlfn.XLOOKUP($A23,'Input_Cooling Towers'!$A$7:$A$98,'Input_Cooling Towers'!$F$7:$F$98)</f>
        <v>10722</v>
      </c>
      <c r="E23" s="36">
        <f>_xlfn.XLOOKUP($A23,'Input_Cooling Towers'!$A$7:$A$98,'Input_Cooling Towers'!$G$7:$G$98)</f>
        <v>5361</v>
      </c>
      <c r="F23" s="37">
        <f t="shared" si="2"/>
        <v>643.834656</v>
      </c>
      <c r="G23" s="36">
        <f t="shared" si="15"/>
        <v>117499.82472</v>
      </c>
      <c r="H23" s="38" t="s">
        <v>250</v>
      </c>
      <c r="I23" s="38" t="s">
        <v>250</v>
      </c>
      <c r="J23" s="39">
        <f t="shared" si="3"/>
        <v>1.6560817114890413E-3</v>
      </c>
      <c r="K23" s="38" t="s">
        <v>250</v>
      </c>
      <c r="L23" s="40">
        <f t="shared" si="4"/>
        <v>0.3</v>
      </c>
      <c r="M23" s="40">
        <f t="shared" si="4"/>
        <v>0.3</v>
      </c>
      <c r="N23" s="41" t="str">
        <f t="shared" si="5"/>
        <v>--</v>
      </c>
      <c r="O23" s="42"/>
      <c r="P23" s="41" t="str">
        <f t="shared" si="6"/>
        <v>--</v>
      </c>
      <c r="Q23" s="42"/>
      <c r="R23" s="41" t="str">
        <f t="shared" si="7"/>
        <v>--</v>
      </c>
      <c r="S23" s="42"/>
      <c r="T23" s="41" t="str">
        <f t="shared" si="8"/>
        <v>--</v>
      </c>
      <c r="U23" s="42"/>
      <c r="V23" s="43">
        <f t="shared" si="9"/>
        <v>1.0662427990244382E-6</v>
      </c>
      <c r="W23" s="42"/>
      <c r="X23" s="41">
        <f t="shared" si="10"/>
        <v>1.9458931082195997E-4</v>
      </c>
      <c r="Y23" s="42"/>
      <c r="Z23" s="43" t="str">
        <f t="shared" si="0"/>
        <v>--</v>
      </c>
      <c r="AA23" s="42"/>
      <c r="AB23" s="41" t="str">
        <f t="shared" si="1"/>
        <v>--</v>
      </c>
      <c r="AC23" s="42"/>
      <c r="AD23" s="43">
        <f t="shared" si="11"/>
        <v>1.9315039679999998E-4</v>
      </c>
      <c r="AE23" s="42"/>
      <c r="AF23" s="41">
        <f t="shared" si="12"/>
        <v>3.5249947416000002E-2</v>
      </c>
      <c r="AG23" s="42"/>
      <c r="AH23" s="41">
        <f t="shared" si="13"/>
        <v>1.9315039679999998E-4</v>
      </c>
      <c r="AI23" s="42"/>
      <c r="AJ23" s="41">
        <f t="shared" si="14"/>
        <v>3.5249947416000002E-2</v>
      </c>
      <c r="AK23" s="42"/>
    </row>
    <row r="24" spans="1:37" s="44" customFormat="1" ht="15" customHeight="1">
      <c r="A24" s="34" t="s">
        <v>42</v>
      </c>
      <c r="B24" s="35"/>
      <c r="C24" s="36">
        <f>_xlfn.XLOOKUP($A24,'Input_Cooling Towers'!$A$7:$A$98,'Input_Cooling Towers'!$H$7:$H$98)</f>
        <v>5.0000000000000001E-4</v>
      </c>
      <c r="D24" s="36">
        <f>_xlfn.XLOOKUP($A24,'Input_Cooling Towers'!$A$7:$A$98,'Input_Cooling Towers'!$F$7:$F$98)</f>
        <v>10722</v>
      </c>
      <c r="E24" s="36">
        <f>_xlfn.XLOOKUP($A24,'Input_Cooling Towers'!$A$7:$A$98,'Input_Cooling Towers'!$G$7:$G$98)</f>
        <v>5361</v>
      </c>
      <c r="F24" s="37">
        <f t="shared" si="2"/>
        <v>643.834656</v>
      </c>
      <c r="G24" s="36">
        <f t="shared" si="15"/>
        <v>117499.82472</v>
      </c>
      <c r="H24" s="38" t="s">
        <v>250</v>
      </c>
      <c r="I24" s="38" t="s">
        <v>250</v>
      </c>
      <c r="J24" s="39">
        <f t="shared" si="3"/>
        <v>1.6560817114890413E-3</v>
      </c>
      <c r="K24" s="38" t="s">
        <v>250</v>
      </c>
      <c r="L24" s="40">
        <f t="shared" si="4"/>
        <v>0.3</v>
      </c>
      <c r="M24" s="40">
        <f t="shared" si="4"/>
        <v>0.3</v>
      </c>
      <c r="N24" s="41" t="str">
        <f t="shared" si="5"/>
        <v>--</v>
      </c>
      <c r="O24" s="42"/>
      <c r="P24" s="41" t="str">
        <f t="shared" si="6"/>
        <v>--</v>
      </c>
      <c r="Q24" s="42"/>
      <c r="R24" s="41" t="str">
        <f t="shared" si="7"/>
        <v>--</v>
      </c>
      <c r="S24" s="42"/>
      <c r="T24" s="41" t="str">
        <f t="shared" si="8"/>
        <v>--</v>
      </c>
      <c r="U24" s="42"/>
      <c r="V24" s="43">
        <f t="shared" si="9"/>
        <v>1.0662427990244382E-6</v>
      </c>
      <c r="W24" s="42"/>
      <c r="X24" s="41">
        <f t="shared" si="10"/>
        <v>1.9458931082195997E-4</v>
      </c>
      <c r="Y24" s="42"/>
      <c r="Z24" s="43" t="str">
        <f t="shared" si="0"/>
        <v>--</v>
      </c>
      <c r="AA24" s="42"/>
      <c r="AB24" s="41" t="str">
        <f t="shared" si="1"/>
        <v>--</v>
      </c>
      <c r="AC24" s="42"/>
      <c r="AD24" s="43">
        <f t="shared" si="11"/>
        <v>1.9315039679999998E-4</v>
      </c>
      <c r="AE24" s="42"/>
      <c r="AF24" s="41">
        <f t="shared" si="12"/>
        <v>3.5249947416000002E-2</v>
      </c>
      <c r="AG24" s="42"/>
      <c r="AH24" s="41">
        <f t="shared" si="13"/>
        <v>1.9315039679999998E-4</v>
      </c>
      <c r="AI24" s="42"/>
      <c r="AJ24" s="41">
        <f t="shared" si="14"/>
        <v>3.5249947416000002E-2</v>
      </c>
      <c r="AK24" s="42"/>
    </row>
    <row r="25" spans="1:37" s="44" customFormat="1" ht="15" customHeight="1">
      <c r="A25" s="34" t="s">
        <v>44</v>
      </c>
      <c r="B25" s="35"/>
      <c r="C25" s="36">
        <f>_xlfn.XLOOKUP($A25,'Input_Cooling Towers'!$A$7:$A$98,'Input_Cooling Towers'!$H$7:$H$98)</f>
        <v>5.0000000000000001E-4</v>
      </c>
      <c r="D25" s="36">
        <f>_xlfn.XLOOKUP($A25,'Input_Cooling Towers'!$A$7:$A$98,'Input_Cooling Towers'!$F$7:$F$98)</f>
        <v>10722</v>
      </c>
      <c r="E25" s="36">
        <f>_xlfn.XLOOKUP($A25,'Input_Cooling Towers'!$A$7:$A$98,'Input_Cooling Towers'!$G$7:$G$98)</f>
        <v>5361</v>
      </c>
      <c r="F25" s="37">
        <f t="shared" si="2"/>
        <v>643.834656</v>
      </c>
      <c r="G25" s="36">
        <f t="shared" si="15"/>
        <v>117499.82472</v>
      </c>
      <c r="H25" s="38" t="s">
        <v>250</v>
      </c>
      <c r="I25" s="38" t="s">
        <v>250</v>
      </c>
      <c r="J25" s="39">
        <f t="shared" si="3"/>
        <v>1.6560817114890413E-3</v>
      </c>
      <c r="K25" s="38" t="s">
        <v>250</v>
      </c>
      <c r="L25" s="40">
        <f t="shared" si="4"/>
        <v>0.3</v>
      </c>
      <c r="M25" s="40">
        <f t="shared" si="4"/>
        <v>0.3</v>
      </c>
      <c r="N25" s="41" t="str">
        <f t="shared" si="5"/>
        <v>--</v>
      </c>
      <c r="O25" s="42"/>
      <c r="P25" s="41" t="str">
        <f t="shared" si="6"/>
        <v>--</v>
      </c>
      <c r="Q25" s="42"/>
      <c r="R25" s="41" t="str">
        <f t="shared" si="7"/>
        <v>--</v>
      </c>
      <c r="S25" s="42"/>
      <c r="T25" s="41" t="str">
        <f t="shared" si="8"/>
        <v>--</v>
      </c>
      <c r="U25" s="42"/>
      <c r="V25" s="43">
        <f t="shared" si="9"/>
        <v>1.0662427990244382E-6</v>
      </c>
      <c r="W25" s="42"/>
      <c r="X25" s="41">
        <f t="shared" si="10"/>
        <v>1.9458931082195997E-4</v>
      </c>
      <c r="Y25" s="42"/>
      <c r="Z25" s="43" t="str">
        <f t="shared" si="0"/>
        <v>--</v>
      </c>
      <c r="AA25" s="42"/>
      <c r="AB25" s="41" t="str">
        <f t="shared" si="1"/>
        <v>--</v>
      </c>
      <c r="AC25" s="42"/>
      <c r="AD25" s="43">
        <f t="shared" si="11"/>
        <v>1.9315039679999998E-4</v>
      </c>
      <c r="AE25" s="42"/>
      <c r="AF25" s="41">
        <f t="shared" si="12"/>
        <v>3.5249947416000002E-2</v>
      </c>
      <c r="AG25" s="42"/>
      <c r="AH25" s="41">
        <f t="shared" si="13"/>
        <v>1.9315039679999998E-4</v>
      </c>
      <c r="AI25" s="42"/>
      <c r="AJ25" s="41">
        <f t="shared" si="14"/>
        <v>3.5249947416000002E-2</v>
      </c>
      <c r="AK25" s="42"/>
    </row>
    <row r="26" spans="1:37" s="44" customFormat="1" ht="15" customHeight="1">
      <c r="A26" s="34" t="s">
        <v>47</v>
      </c>
      <c r="B26" s="35"/>
      <c r="C26" s="36">
        <f>_xlfn.XLOOKUP($A26,'Input_Cooling Towers'!$A$7:$A$98,'Input_Cooling Towers'!$H$7:$H$98)</f>
        <v>5.0000000000000001E-4</v>
      </c>
      <c r="D26" s="36">
        <f>_xlfn.XLOOKUP($A26,'Input_Cooling Towers'!$A$7:$A$98,'Input_Cooling Towers'!$F$7:$F$98)</f>
        <v>10722</v>
      </c>
      <c r="E26" s="36">
        <f>_xlfn.XLOOKUP($A26,'Input_Cooling Towers'!$A$7:$A$98,'Input_Cooling Towers'!$G$7:$G$98)</f>
        <v>5361</v>
      </c>
      <c r="F26" s="37">
        <f t="shared" si="2"/>
        <v>643.834656</v>
      </c>
      <c r="G26" s="36">
        <f t="shared" si="15"/>
        <v>117499.82472</v>
      </c>
      <c r="H26" s="38" t="s">
        <v>250</v>
      </c>
      <c r="I26" s="38" t="s">
        <v>250</v>
      </c>
      <c r="J26" s="39">
        <f t="shared" si="3"/>
        <v>1.6560817114890413E-3</v>
      </c>
      <c r="K26" s="38" t="s">
        <v>250</v>
      </c>
      <c r="L26" s="40">
        <f t="shared" si="4"/>
        <v>0.3</v>
      </c>
      <c r="M26" s="40">
        <f t="shared" si="4"/>
        <v>0.3</v>
      </c>
      <c r="N26" s="41" t="str">
        <f t="shared" si="5"/>
        <v>--</v>
      </c>
      <c r="O26" s="42"/>
      <c r="P26" s="41" t="str">
        <f t="shared" si="6"/>
        <v>--</v>
      </c>
      <c r="Q26" s="42"/>
      <c r="R26" s="41" t="str">
        <f t="shared" si="7"/>
        <v>--</v>
      </c>
      <c r="S26" s="42"/>
      <c r="T26" s="41" t="str">
        <f t="shared" si="8"/>
        <v>--</v>
      </c>
      <c r="U26" s="42"/>
      <c r="V26" s="43">
        <f t="shared" si="9"/>
        <v>1.0662427990244382E-6</v>
      </c>
      <c r="W26" s="42"/>
      <c r="X26" s="41">
        <f t="shared" si="10"/>
        <v>1.9458931082195997E-4</v>
      </c>
      <c r="Y26" s="42"/>
      <c r="Z26" s="43" t="str">
        <f t="shared" si="0"/>
        <v>--</v>
      </c>
      <c r="AA26" s="42"/>
      <c r="AB26" s="41" t="str">
        <f t="shared" si="1"/>
        <v>--</v>
      </c>
      <c r="AC26" s="42"/>
      <c r="AD26" s="43">
        <f t="shared" si="11"/>
        <v>1.9315039679999998E-4</v>
      </c>
      <c r="AE26" s="42"/>
      <c r="AF26" s="41">
        <f t="shared" si="12"/>
        <v>3.5249947416000002E-2</v>
      </c>
      <c r="AG26" s="42"/>
      <c r="AH26" s="41">
        <f t="shared" si="13"/>
        <v>1.9315039679999998E-4</v>
      </c>
      <c r="AI26" s="42"/>
      <c r="AJ26" s="41">
        <f t="shared" si="14"/>
        <v>3.5249947416000002E-2</v>
      </c>
      <c r="AK26" s="42"/>
    </row>
    <row r="27" spans="1:37" s="44" customFormat="1" ht="15" customHeight="1">
      <c r="A27" s="34" t="s">
        <v>49</v>
      </c>
      <c r="B27" s="35"/>
      <c r="C27" s="36">
        <f>_xlfn.XLOOKUP($A27,'Input_Cooling Towers'!$A$7:$A$98,'Input_Cooling Towers'!$H$7:$H$98)</f>
        <v>5.0000000000000001E-4</v>
      </c>
      <c r="D27" s="36">
        <f>_xlfn.XLOOKUP($A27,'Input_Cooling Towers'!$A$7:$A$98,'Input_Cooling Towers'!$F$7:$F$98)</f>
        <v>10722</v>
      </c>
      <c r="E27" s="36">
        <f>_xlfn.XLOOKUP($A27,'Input_Cooling Towers'!$A$7:$A$98,'Input_Cooling Towers'!$G$7:$G$98)</f>
        <v>5361</v>
      </c>
      <c r="F27" s="37">
        <f t="shared" si="2"/>
        <v>643.834656</v>
      </c>
      <c r="G27" s="36">
        <f t="shared" si="15"/>
        <v>117499.82472</v>
      </c>
      <c r="H27" s="38" t="s">
        <v>250</v>
      </c>
      <c r="I27" s="38" t="s">
        <v>250</v>
      </c>
      <c r="J27" s="39">
        <f t="shared" si="3"/>
        <v>1.6560817114890413E-3</v>
      </c>
      <c r="K27" s="38" t="s">
        <v>250</v>
      </c>
      <c r="L27" s="40">
        <f t="shared" si="4"/>
        <v>0.3</v>
      </c>
      <c r="M27" s="40">
        <f t="shared" si="4"/>
        <v>0.3</v>
      </c>
      <c r="N27" s="41" t="str">
        <f t="shared" si="5"/>
        <v>--</v>
      </c>
      <c r="O27" s="42"/>
      <c r="P27" s="41" t="str">
        <f t="shared" si="6"/>
        <v>--</v>
      </c>
      <c r="Q27" s="42"/>
      <c r="R27" s="41" t="str">
        <f t="shared" si="7"/>
        <v>--</v>
      </c>
      <c r="S27" s="42"/>
      <c r="T27" s="41" t="str">
        <f t="shared" si="8"/>
        <v>--</v>
      </c>
      <c r="U27" s="42"/>
      <c r="V27" s="43">
        <f t="shared" si="9"/>
        <v>1.0662427990244382E-6</v>
      </c>
      <c r="W27" s="42"/>
      <c r="X27" s="41">
        <f t="shared" si="10"/>
        <v>1.9458931082195997E-4</v>
      </c>
      <c r="Y27" s="42"/>
      <c r="Z27" s="43" t="str">
        <f t="shared" si="0"/>
        <v>--</v>
      </c>
      <c r="AA27" s="42"/>
      <c r="AB27" s="41" t="str">
        <f t="shared" si="1"/>
        <v>--</v>
      </c>
      <c r="AC27" s="42"/>
      <c r="AD27" s="43">
        <f t="shared" si="11"/>
        <v>1.9315039679999998E-4</v>
      </c>
      <c r="AE27" s="42"/>
      <c r="AF27" s="41">
        <f t="shared" si="12"/>
        <v>3.5249947416000002E-2</v>
      </c>
      <c r="AG27" s="42"/>
      <c r="AH27" s="41">
        <f t="shared" si="13"/>
        <v>1.9315039679999998E-4</v>
      </c>
      <c r="AI27" s="42"/>
      <c r="AJ27" s="41">
        <f t="shared" si="14"/>
        <v>3.5249947416000002E-2</v>
      </c>
      <c r="AK27" s="42"/>
    </row>
    <row r="28" spans="1:37" s="44" customFormat="1" ht="15" customHeight="1">
      <c r="A28" s="34" t="s">
        <v>51</v>
      </c>
      <c r="B28" s="35"/>
      <c r="C28" s="36">
        <f>_xlfn.XLOOKUP($A28,'Input_Cooling Towers'!$A$7:$A$98,'Input_Cooling Towers'!$H$7:$H$98)</f>
        <v>5.0000000000000001E-4</v>
      </c>
      <c r="D28" s="36">
        <f>_xlfn.XLOOKUP($A28,'Input_Cooling Towers'!$A$7:$A$98,'Input_Cooling Towers'!$F$7:$F$98)</f>
        <v>10722</v>
      </c>
      <c r="E28" s="36">
        <f>_xlfn.XLOOKUP($A28,'Input_Cooling Towers'!$A$7:$A$98,'Input_Cooling Towers'!$G$7:$G$98)</f>
        <v>5361</v>
      </c>
      <c r="F28" s="37">
        <f t="shared" si="2"/>
        <v>643.834656</v>
      </c>
      <c r="G28" s="36">
        <f t="shared" si="15"/>
        <v>117499.82472</v>
      </c>
      <c r="H28" s="38" t="s">
        <v>250</v>
      </c>
      <c r="I28" s="38" t="s">
        <v>250</v>
      </c>
      <c r="J28" s="39">
        <f t="shared" si="3"/>
        <v>1.6560817114890413E-3</v>
      </c>
      <c r="K28" s="38" t="s">
        <v>250</v>
      </c>
      <c r="L28" s="40">
        <f t="shared" si="4"/>
        <v>0.3</v>
      </c>
      <c r="M28" s="40">
        <f t="shared" si="4"/>
        <v>0.3</v>
      </c>
      <c r="N28" s="41" t="str">
        <f t="shared" si="5"/>
        <v>--</v>
      </c>
      <c r="O28" s="42"/>
      <c r="P28" s="41" t="str">
        <f t="shared" si="6"/>
        <v>--</v>
      </c>
      <c r="Q28" s="42"/>
      <c r="R28" s="41" t="str">
        <f t="shared" si="7"/>
        <v>--</v>
      </c>
      <c r="S28" s="42"/>
      <c r="T28" s="41" t="str">
        <f t="shared" si="8"/>
        <v>--</v>
      </c>
      <c r="U28" s="42"/>
      <c r="V28" s="43">
        <f t="shared" si="9"/>
        <v>1.0662427990244382E-6</v>
      </c>
      <c r="W28" s="42"/>
      <c r="X28" s="41">
        <f t="shared" si="10"/>
        <v>1.9458931082195997E-4</v>
      </c>
      <c r="Y28" s="42"/>
      <c r="Z28" s="43" t="str">
        <f t="shared" si="0"/>
        <v>--</v>
      </c>
      <c r="AA28" s="42"/>
      <c r="AB28" s="41" t="str">
        <f t="shared" si="1"/>
        <v>--</v>
      </c>
      <c r="AC28" s="42"/>
      <c r="AD28" s="43">
        <f t="shared" si="11"/>
        <v>1.9315039679999998E-4</v>
      </c>
      <c r="AE28" s="42"/>
      <c r="AF28" s="41">
        <f t="shared" si="12"/>
        <v>3.5249947416000002E-2</v>
      </c>
      <c r="AG28" s="42"/>
      <c r="AH28" s="41">
        <f t="shared" si="13"/>
        <v>1.9315039679999998E-4</v>
      </c>
      <c r="AI28" s="42"/>
      <c r="AJ28" s="41">
        <f t="shared" si="14"/>
        <v>3.5249947416000002E-2</v>
      </c>
      <c r="AK28" s="42"/>
    </row>
    <row r="29" spans="1:37" s="44" customFormat="1" ht="15" customHeight="1">
      <c r="A29" s="34" t="s">
        <v>53</v>
      </c>
      <c r="B29" s="35"/>
      <c r="C29" s="36">
        <f>_xlfn.XLOOKUP($A29,'Input_Cooling Towers'!$A$7:$A$98,'Input_Cooling Towers'!$H$7:$H$98)</f>
        <v>5.0000000000000001E-4</v>
      </c>
      <c r="D29" s="36">
        <f>_xlfn.XLOOKUP($A29,'Input_Cooling Towers'!$A$7:$A$98,'Input_Cooling Towers'!$F$7:$F$98)</f>
        <v>10722</v>
      </c>
      <c r="E29" s="36">
        <f>_xlfn.XLOOKUP($A29,'Input_Cooling Towers'!$A$7:$A$98,'Input_Cooling Towers'!$G$7:$G$98)</f>
        <v>5361</v>
      </c>
      <c r="F29" s="37">
        <f t="shared" si="2"/>
        <v>643.834656</v>
      </c>
      <c r="G29" s="36">
        <f t="shared" si="15"/>
        <v>117499.82472</v>
      </c>
      <c r="H29" s="38" t="s">
        <v>250</v>
      </c>
      <c r="I29" s="38" t="s">
        <v>250</v>
      </c>
      <c r="J29" s="39">
        <f>$H$105*$H$102/$H$103</f>
        <v>1.9483314252812254E-3</v>
      </c>
      <c r="K29" s="38" t="s">
        <v>250</v>
      </c>
      <c r="L29" s="40">
        <f>4.5/17</f>
        <v>0.26470588235294118</v>
      </c>
      <c r="M29" s="40">
        <f>4.5/17</f>
        <v>0.26470588235294118</v>
      </c>
      <c r="N29" s="41" t="str">
        <f t="shared" si="5"/>
        <v>--</v>
      </c>
      <c r="O29" s="42"/>
      <c r="P29" s="41" t="str">
        <f t="shared" si="6"/>
        <v>--</v>
      </c>
      <c r="Q29" s="42"/>
      <c r="R29" s="41" t="str">
        <f t="shared" si="7"/>
        <v>--</v>
      </c>
      <c r="S29" s="42"/>
      <c r="T29" s="41" t="str">
        <f t="shared" si="8"/>
        <v>--</v>
      </c>
      <c r="U29" s="42"/>
      <c r="V29" s="43">
        <f t="shared" si="9"/>
        <v>1.2544032929699274E-6</v>
      </c>
      <c r="W29" s="42"/>
      <c r="X29" s="41">
        <f t="shared" si="10"/>
        <v>2.2892860096701176E-4</v>
      </c>
      <c r="Y29" s="42"/>
      <c r="Z29" s="43" t="str">
        <f t="shared" si="0"/>
        <v>--</v>
      </c>
      <c r="AA29" s="42"/>
      <c r="AB29" s="41" t="str">
        <f t="shared" si="1"/>
        <v>--</v>
      </c>
      <c r="AC29" s="42"/>
      <c r="AD29" s="43">
        <f t="shared" si="11"/>
        <v>1.7042682070588237E-4</v>
      </c>
      <c r="AE29" s="42"/>
      <c r="AF29" s="41">
        <f t="shared" si="12"/>
        <v>3.1102894778823532E-2</v>
      </c>
      <c r="AG29" s="42"/>
      <c r="AH29" s="41">
        <f t="shared" si="13"/>
        <v>1.7042682070588237E-4</v>
      </c>
      <c r="AI29" s="42"/>
      <c r="AJ29" s="41">
        <f t="shared" si="14"/>
        <v>3.1102894778823532E-2</v>
      </c>
      <c r="AK29" s="42"/>
    </row>
    <row r="30" spans="1:37" s="44" customFormat="1" ht="15" customHeight="1">
      <c r="A30" s="34" t="s">
        <v>56</v>
      </c>
      <c r="B30" s="35"/>
      <c r="C30" s="36">
        <f>_xlfn.XLOOKUP($A30,'Input_Cooling Towers'!$A$7:$A$98,'Input_Cooling Towers'!$H$7:$H$98)</f>
        <v>5.0000000000000001E-4</v>
      </c>
      <c r="D30" s="36">
        <f>_xlfn.XLOOKUP($A30,'Input_Cooling Towers'!$A$7:$A$98,'Input_Cooling Towers'!$F$7:$F$98)</f>
        <v>10722</v>
      </c>
      <c r="E30" s="36">
        <f>_xlfn.XLOOKUP($A30,'Input_Cooling Towers'!$A$7:$A$98,'Input_Cooling Towers'!$G$7:$G$98)</f>
        <v>5361</v>
      </c>
      <c r="F30" s="37">
        <f t="shared" si="2"/>
        <v>643.834656</v>
      </c>
      <c r="G30" s="36">
        <f t="shared" si="15"/>
        <v>117499.82472</v>
      </c>
      <c r="H30" s="38" t="s">
        <v>250</v>
      </c>
      <c r="I30" s="38" t="s">
        <v>250</v>
      </c>
      <c r="J30" s="39">
        <f t="shared" ref="J30:J45" si="16">$H$105*$H$102/$H$103</f>
        <v>1.9483314252812254E-3</v>
      </c>
      <c r="K30" s="38" t="s">
        <v>250</v>
      </c>
      <c r="L30" s="40">
        <f t="shared" ref="L30:M45" si="17">4.5/17</f>
        <v>0.26470588235294118</v>
      </c>
      <c r="M30" s="40">
        <f t="shared" si="17"/>
        <v>0.26470588235294118</v>
      </c>
      <c r="N30" s="41" t="str">
        <f t="shared" si="5"/>
        <v>--</v>
      </c>
      <c r="O30" s="42"/>
      <c r="P30" s="41" t="str">
        <f t="shared" si="6"/>
        <v>--</v>
      </c>
      <c r="Q30" s="42"/>
      <c r="R30" s="41" t="str">
        <f t="shared" si="7"/>
        <v>--</v>
      </c>
      <c r="S30" s="42"/>
      <c r="T30" s="41" t="str">
        <f t="shared" si="8"/>
        <v>--</v>
      </c>
      <c r="U30" s="42"/>
      <c r="V30" s="43">
        <f t="shared" si="9"/>
        <v>1.2544032929699274E-6</v>
      </c>
      <c r="W30" s="42"/>
      <c r="X30" s="41">
        <f t="shared" si="10"/>
        <v>2.2892860096701176E-4</v>
      </c>
      <c r="Y30" s="42"/>
      <c r="Z30" s="43" t="str">
        <f t="shared" si="0"/>
        <v>--</v>
      </c>
      <c r="AA30" s="42"/>
      <c r="AB30" s="41" t="str">
        <f t="shared" si="1"/>
        <v>--</v>
      </c>
      <c r="AC30" s="42"/>
      <c r="AD30" s="43">
        <f t="shared" si="11"/>
        <v>1.7042682070588237E-4</v>
      </c>
      <c r="AE30" s="42"/>
      <c r="AF30" s="41">
        <f t="shared" si="12"/>
        <v>3.1102894778823532E-2</v>
      </c>
      <c r="AG30" s="42"/>
      <c r="AH30" s="41">
        <f t="shared" si="13"/>
        <v>1.7042682070588237E-4</v>
      </c>
      <c r="AI30" s="42"/>
      <c r="AJ30" s="41">
        <f t="shared" si="14"/>
        <v>3.1102894778823532E-2</v>
      </c>
      <c r="AK30" s="42"/>
    </row>
    <row r="31" spans="1:37" s="44" customFormat="1" ht="15" customHeight="1">
      <c r="A31" s="34" t="s">
        <v>58</v>
      </c>
      <c r="B31" s="35"/>
      <c r="C31" s="36">
        <f>_xlfn.XLOOKUP($A31,'Input_Cooling Towers'!$A$7:$A$98,'Input_Cooling Towers'!$H$7:$H$98)</f>
        <v>5.0000000000000001E-4</v>
      </c>
      <c r="D31" s="36">
        <f>_xlfn.XLOOKUP($A31,'Input_Cooling Towers'!$A$7:$A$98,'Input_Cooling Towers'!$F$7:$F$98)</f>
        <v>10722</v>
      </c>
      <c r="E31" s="36">
        <f>_xlfn.XLOOKUP($A31,'Input_Cooling Towers'!$A$7:$A$98,'Input_Cooling Towers'!$G$7:$G$98)</f>
        <v>5361</v>
      </c>
      <c r="F31" s="37">
        <f t="shared" si="2"/>
        <v>643.834656</v>
      </c>
      <c r="G31" s="36">
        <f t="shared" si="15"/>
        <v>117499.82472</v>
      </c>
      <c r="H31" s="38" t="s">
        <v>250</v>
      </c>
      <c r="I31" s="38" t="s">
        <v>250</v>
      </c>
      <c r="J31" s="39">
        <f t="shared" si="16"/>
        <v>1.9483314252812254E-3</v>
      </c>
      <c r="K31" s="38" t="s">
        <v>250</v>
      </c>
      <c r="L31" s="40">
        <f t="shared" si="17"/>
        <v>0.26470588235294118</v>
      </c>
      <c r="M31" s="40">
        <f t="shared" si="17"/>
        <v>0.26470588235294118</v>
      </c>
      <c r="N31" s="41" t="str">
        <f t="shared" si="5"/>
        <v>--</v>
      </c>
      <c r="O31" s="42"/>
      <c r="P31" s="41" t="str">
        <f t="shared" si="6"/>
        <v>--</v>
      </c>
      <c r="Q31" s="42"/>
      <c r="R31" s="41" t="str">
        <f t="shared" si="7"/>
        <v>--</v>
      </c>
      <c r="S31" s="42"/>
      <c r="T31" s="41" t="str">
        <f t="shared" si="8"/>
        <v>--</v>
      </c>
      <c r="U31" s="42"/>
      <c r="V31" s="43">
        <f t="shared" si="9"/>
        <v>1.2544032929699274E-6</v>
      </c>
      <c r="W31" s="42"/>
      <c r="X31" s="41">
        <f t="shared" si="10"/>
        <v>2.2892860096701176E-4</v>
      </c>
      <c r="Y31" s="42"/>
      <c r="Z31" s="43" t="str">
        <f t="shared" si="0"/>
        <v>--</v>
      </c>
      <c r="AA31" s="42"/>
      <c r="AB31" s="41" t="str">
        <f t="shared" si="1"/>
        <v>--</v>
      </c>
      <c r="AC31" s="42"/>
      <c r="AD31" s="43">
        <f t="shared" si="11"/>
        <v>1.7042682070588237E-4</v>
      </c>
      <c r="AE31" s="42"/>
      <c r="AF31" s="41">
        <f t="shared" si="12"/>
        <v>3.1102894778823532E-2</v>
      </c>
      <c r="AG31" s="42"/>
      <c r="AH31" s="41">
        <f t="shared" si="13"/>
        <v>1.7042682070588237E-4</v>
      </c>
      <c r="AI31" s="42"/>
      <c r="AJ31" s="41">
        <f t="shared" si="14"/>
        <v>3.1102894778823532E-2</v>
      </c>
      <c r="AK31" s="42"/>
    </row>
    <row r="32" spans="1:37" s="44" customFormat="1" ht="15" customHeight="1">
      <c r="A32" s="34" t="s">
        <v>60</v>
      </c>
      <c r="B32" s="35"/>
      <c r="C32" s="36">
        <f>_xlfn.XLOOKUP($A32,'Input_Cooling Towers'!$A$7:$A$98,'Input_Cooling Towers'!$H$7:$H$98)</f>
        <v>5.0000000000000001E-4</v>
      </c>
      <c r="D32" s="36">
        <f>_xlfn.XLOOKUP($A32,'Input_Cooling Towers'!$A$7:$A$98,'Input_Cooling Towers'!$F$7:$F$98)</f>
        <v>10722</v>
      </c>
      <c r="E32" s="36">
        <f>_xlfn.XLOOKUP($A32,'Input_Cooling Towers'!$A$7:$A$98,'Input_Cooling Towers'!$G$7:$G$98)</f>
        <v>5361</v>
      </c>
      <c r="F32" s="37">
        <f t="shared" si="2"/>
        <v>643.834656</v>
      </c>
      <c r="G32" s="36">
        <f t="shared" si="15"/>
        <v>117499.82472</v>
      </c>
      <c r="H32" s="38" t="s">
        <v>250</v>
      </c>
      <c r="I32" s="38" t="s">
        <v>250</v>
      </c>
      <c r="J32" s="39">
        <f t="shared" si="16"/>
        <v>1.9483314252812254E-3</v>
      </c>
      <c r="K32" s="38" t="s">
        <v>250</v>
      </c>
      <c r="L32" s="40">
        <f t="shared" si="17"/>
        <v>0.26470588235294118</v>
      </c>
      <c r="M32" s="40">
        <f t="shared" si="17"/>
        <v>0.26470588235294118</v>
      </c>
      <c r="N32" s="41" t="str">
        <f t="shared" si="5"/>
        <v>--</v>
      </c>
      <c r="O32" s="42"/>
      <c r="P32" s="41" t="str">
        <f t="shared" si="6"/>
        <v>--</v>
      </c>
      <c r="Q32" s="42"/>
      <c r="R32" s="41" t="str">
        <f t="shared" si="7"/>
        <v>--</v>
      </c>
      <c r="S32" s="42"/>
      <c r="T32" s="41" t="str">
        <f t="shared" si="8"/>
        <v>--</v>
      </c>
      <c r="U32" s="42"/>
      <c r="V32" s="43">
        <f t="shared" si="9"/>
        <v>1.2544032929699274E-6</v>
      </c>
      <c r="W32" s="42"/>
      <c r="X32" s="41">
        <f t="shared" si="10"/>
        <v>2.2892860096701176E-4</v>
      </c>
      <c r="Y32" s="42"/>
      <c r="Z32" s="43" t="str">
        <f t="shared" si="0"/>
        <v>--</v>
      </c>
      <c r="AA32" s="42"/>
      <c r="AB32" s="41" t="str">
        <f t="shared" si="1"/>
        <v>--</v>
      </c>
      <c r="AC32" s="42"/>
      <c r="AD32" s="43">
        <f t="shared" si="11"/>
        <v>1.7042682070588237E-4</v>
      </c>
      <c r="AE32" s="42"/>
      <c r="AF32" s="41">
        <f t="shared" si="12"/>
        <v>3.1102894778823532E-2</v>
      </c>
      <c r="AG32" s="42"/>
      <c r="AH32" s="41">
        <f t="shared" si="13"/>
        <v>1.7042682070588237E-4</v>
      </c>
      <c r="AI32" s="42"/>
      <c r="AJ32" s="41">
        <f t="shared" si="14"/>
        <v>3.1102894778823532E-2</v>
      </c>
      <c r="AK32" s="42"/>
    </row>
    <row r="33" spans="1:37" s="44" customFormat="1" ht="15" customHeight="1">
      <c r="A33" s="34" t="s">
        <v>62</v>
      </c>
      <c r="B33" s="35"/>
      <c r="C33" s="36">
        <f>_xlfn.XLOOKUP($A33,'Input_Cooling Towers'!$A$7:$A$98,'Input_Cooling Towers'!$H$7:$H$98)</f>
        <v>5.0000000000000001E-4</v>
      </c>
      <c r="D33" s="36">
        <f>_xlfn.XLOOKUP($A33,'Input_Cooling Towers'!$A$7:$A$98,'Input_Cooling Towers'!$F$7:$F$98)</f>
        <v>10722</v>
      </c>
      <c r="E33" s="36">
        <f>_xlfn.XLOOKUP($A33,'Input_Cooling Towers'!$A$7:$A$98,'Input_Cooling Towers'!$G$7:$G$98)</f>
        <v>5361</v>
      </c>
      <c r="F33" s="37">
        <f t="shared" si="2"/>
        <v>643.834656</v>
      </c>
      <c r="G33" s="36">
        <f t="shared" si="15"/>
        <v>117499.82472</v>
      </c>
      <c r="H33" s="38" t="s">
        <v>250</v>
      </c>
      <c r="I33" s="38" t="s">
        <v>250</v>
      </c>
      <c r="J33" s="39">
        <f t="shared" si="16"/>
        <v>1.9483314252812254E-3</v>
      </c>
      <c r="K33" s="38" t="s">
        <v>250</v>
      </c>
      <c r="L33" s="40">
        <f t="shared" si="17"/>
        <v>0.26470588235294118</v>
      </c>
      <c r="M33" s="40">
        <f t="shared" si="17"/>
        <v>0.26470588235294118</v>
      </c>
      <c r="N33" s="41" t="str">
        <f t="shared" si="5"/>
        <v>--</v>
      </c>
      <c r="O33" s="42"/>
      <c r="P33" s="41" t="str">
        <f t="shared" si="6"/>
        <v>--</v>
      </c>
      <c r="Q33" s="42"/>
      <c r="R33" s="41" t="str">
        <f t="shared" si="7"/>
        <v>--</v>
      </c>
      <c r="S33" s="42"/>
      <c r="T33" s="41" t="str">
        <f t="shared" si="8"/>
        <v>--</v>
      </c>
      <c r="U33" s="42"/>
      <c r="V33" s="43">
        <f t="shared" si="9"/>
        <v>1.2544032929699274E-6</v>
      </c>
      <c r="W33" s="42"/>
      <c r="X33" s="41">
        <f t="shared" si="10"/>
        <v>2.2892860096701176E-4</v>
      </c>
      <c r="Y33" s="42"/>
      <c r="Z33" s="43" t="str">
        <f t="shared" si="0"/>
        <v>--</v>
      </c>
      <c r="AA33" s="42"/>
      <c r="AB33" s="41" t="str">
        <f t="shared" si="1"/>
        <v>--</v>
      </c>
      <c r="AC33" s="42"/>
      <c r="AD33" s="43">
        <f t="shared" si="11"/>
        <v>1.7042682070588237E-4</v>
      </c>
      <c r="AE33" s="42"/>
      <c r="AF33" s="41">
        <f t="shared" si="12"/>
        <v>3.1102894778823532E-2</v>
      </c>
      <c r="AG33" s="42"/>
      <c r="AH33" s="41">
        <f t="shared" si="13"/>
        <v>1.7042682070588237E-4</v>
      </c>
      <c r="AI33" s="42"/>
      <c r="AJ33" s="41">
        <f t="shared" si="14"/>
        <v>3.1102894778823532E-2</v>
      </c>
      <c r="AK33" s="42"/>
    </row>
    <row r="34" spans="1:37" s="44" customFormat="1" ht="15" customHeight="1">
      <c r="A34" s="34" t="s">
        <v>64</v>
      </c>
      <c r="B34" s="35"/>
      <c r="C34" s="36">
        <f>_xlfn.XLOOKUP($A34,'Input_Cooling Towers'!$A$7:$A$98,'Input_Cooling Towers'!$H$7:$H$98)</f>
        <v>5.0000000000000001E-4</v>
      </c>
      <c r="D34" s="36">
        <f>_xlfn.XLOOKUP($A34,'Input_Cooling Towers'!$A$7:$A$98,'Input_Cooling Towers'!$F$7:$F$98)</f>
        <v>10722</v>
      </c>
      <c r="E34" s="36">
        <f>_xlfn.XLOOKUP($A34,'Input_Cooling Towers'!$A$7:$A$98,'Input_Cooling Towers'!$G$7:$G$98)</f>
        <v>5361</v>
      </c>
      <c r="F34" s="37">
        <f t="shared" si="2"/>
        <v>643.834656</v>
      </c>
      <c r="G34" s="36">
        <f t="shared" si="15"/>
        <v>117499.82472</v>
      </c>
      <c r="H34" s="38" t="s">
        <v>250</v>
      </c>
      <c r="I34" s="38" t="s">
        <v>250</v>
      </c>
      <c r="J34" s="39">
        <f t="shared" si="16"/>
        <v>1.9483314252812254E-3</v>
      </c>
      <c r="K34" s="38" t="s">
        <v>250</v>
      </c>
      <c r="L34" s="40">
        <f t="shared" si="17"/>
        <v>0.26470588235294118</v>
      </c>
      <c r="M34" s="40">
        <f t="shared" si="17"/>
        <v>0.26470588235294118</v>
      </c>
      <c r="N34" s="41" t="str">
        <f t="shared" si="5"/>
        <v>--</v>
      </c>
      <c r="O34" s="42"/>
      <c r="P34" s="41" t="str">
        <f t="shared" si="6"/>
        <v>--</v>
      </c>
      <c r="Q34" s="42"/>
      <c r="R34" s="41" t="str">
        <f t="shared" si="7"/>
        <v>--</v>
      </c>
      <c r="S34" s="42"/>
      <c r="T34" s="41" t="str">
        <f t="shared" si="8"/>
        <v>--</v>
      </c>
      <c r="U34" s="42"/>
      <c r="V34" s="43">
        <f t="shared" si="9"/>
        <v>1.2544032929699274E-6</v>
      </c>
      <c r="W34" s="42"/>
      <c r="X34" s="41">
        <f t="shared" si="10"/>
        <v>2.2892860096701176E-4</v>
      </c>
      <c r="Y34" s="42"/>
      <c r="Z34" s="43" t="str">
        <f t="shared" si="0"/>
        <v>--</v>
      </c>
      <c r="AA34" s="42"/>
      <c r="AB34" s="41" t="str">
        <f t="shared" si="1"/>
        <v>--</v>
      </c>
      <c r="AC34" s="42"/>
      <c r="AD34" s="43">
        <f t="shared" si="11"/>
        <v>1.7042682070588237E-4</v>
      </c>
      <c r="AE34" s="42"/>
      <c r="AF34" s="41">
        <f t="shared" si="12"/>
        <v>3.1102894778823532E-2</v>
      </c>
      <c r="AG34" s="42"/>
      <c r="AH34" s="41">
        <f t="shared" si="13"/>
        <v>1.7042682070588237E-4</v>
      </c>
      <c r="AI34" s="42"/>
      <c r="AJ34" s="41">
        <f t="shared" si="14"/>
        <v>3.1102894778823532E-2</v>
      </c>
      <c r="AK34" s="42"/>
    </row>
    <row r="35" spans="1:37" s="44" customFormat="1" ht="15" customHeight="1">
      <c r="A35" s="34" t="s">
        <v>66</v>
      </c>
      <c r="B35" s="35"/>
      <c r="C35" s="36">
        <f>_xlfn.XLOOKUP($A35,'Input_Cooling Towers'!$A$7:$A$98,'Input_Cooling Towers'!$H$7:$H$98)</f>
        <v>5.0000000000000001E-4</v>
      </c>
      <c r="D35" s="36">
        <f>_xlfn.XLOOKUP($A35,'Input_Cooling Towers'!$A$7:$A$98,'Input_Cooling Towers'!$F$7:$F$98)</f>
        <v>10722</v>
      </c>
      <c r="E35" s="36">
        <f>_xlfn.XLOOKUP($A35,'Input_Cooling Towers'!$A$7:$A$98,'Input_Cooling Towers'!$G$7:$G$98)</f>
        <v>5361</v>
      </c>
      <c r="F35" s="37">
        <f t="shared" si="2"/>
        <v>643.834656</v>
      </c>
      <c r="G35" s="36">
        <f t="shared" si="15"/>
        <v>117499.82472</v>
      </c>
      <c r="H35" s="38" t="s">
        <v>250</v>
      </c>
      <c r="I35" s="38" t="s">
        <v>250</v>
      </c>
      <c r="J35" s="39">
        <f t="shared" si="16"/>
        <v>1.9483314252812254E-3</v>
      </c>
      <c r="K35" s="38" t="s">
        <v>250</v>
      </c>
      <c r="L35" s="40">
        <f t="shared" si="17"/>
        <v>0.26470588235294118</v>
      </c>
      <c r="M35" s="40">
        <f t="shared" si="17"/>
        <v>0.26470588235294118</v>
      </c>
      <c r="N35" s="41" t="str">
        <f t="shared" si="5"/>
        <v>--</v>
      </c>
      <c r="O35" s="42"/>
      <c r="P35" s="41" t="str">
        <f t="shared" si="6"/>
        <v>--</v>
      </c>
      <c r="Q35" s="42"/>
      <c r="R35" s="41" t="str">
        <f t="shared" si="7"/>
        <v>--</v>
      </c>
      <c r="S35" s="42"/>
      <c r="T35" s="41" t="str">
        <f t="shared" si="8"/>
        <v>--</v>
      </c>
      <c r="U35" s="42"/>
      <c r="V35" s="43">
        <f t="shared" si="9"/>
        <v>1.2544032929699274E-6</v>
      </c>
      <c r="W35" s="42"/>
      <c r="X35" s="41">
        <f t="shared" si="10"/>
        <v>2.2892860096701176E-4</v>
      </c>
      <c r="Y35" s="42"/>
      <c r="Z35" s="43" t="str">
        <f t="shared" si="0"/>
        <v>--</v>
      </c>
      <c r="AA35" s="42"/>
      <c r="AB35" s="41" t="str">
        <f t="shared" si="1"/>
        <v>--</v>
      </c>
      <c r="AC35" s="42"/>
      <c r="AD35" s="43">
        <f t="shared" si="11"/>
        <v>1.7042682070588237E-4</v>
      </c>
      <c r="AE35" s="42"/>
      <c r="AF35" s="41">
        <f t="shared" si="12"/>
        <v>3.1102894778823532E-2</v>
      </c>
      <c r="AG35" s="42"/>
      <c r="AH35" s="41">
        <f t="shared" si="13"/>
        <v>1.7042682070588237E-4</v>
      </c>
      <c r="AI35" s="42"/>
      <c r="AJ35" s="41">
        <f t="shared" si="14"/>
        <v>3.1102894778823532E-2</v>
      </c>
      <c r="AK35" s="42"/>
    </row>
    <row r="36" spans="1:37" s="44" customFormat="1" ht="15" customHeight="1">
      <c r="A36" s="34" t="s">
        <v>68</v>
      </c>
      <c r="B36" s="35"/>
      <c r="C36" s="36">
        <f>_xlfn.XLOOKUP($A36,'Input_Cooling Towers'!$A$7:$A$98,'Input_Cooling Towers'!$H$7:$H$98)</f>
        <v>5.0000000000000001E-4</v>
      </c>
      <c r="D36" s="36">
        <f>_xlfn.XLOOKUP($A36,'Input_Cooling Towers'!$A$7:$A$98,'Input_Cooling Towers'!$F$7:$F$98)</f>
        <v>10722</v>
      </c>
      <c r="E36" s="36">
        <f>_xlfn.XLOOKUP($A36,'Input_Cooling Towers'!$A$7:$A$98,'Input_Cooling Towers'!$G$7:$G$98)</f>
        <v>5361</v>
      </c>
      <c r="F36" s="37">
        <f t="shared" si="2"/>
        <v>643.834656</v>
      </c>
      <c r="G36" s="36">
        <f t="shared" si="15"/>
        <v>117499.82472</v>
      </c>
      <c r="H36" s="38" t="s">
        <v>250</v>
      </c>
      <c r="I36" s="38" t="s">
        <v>250</v>
      </c>
      <c r="J36" s="39">
        <f t="shared" si="16"/>
        <v>1.9483314252812254E-3</v>
      </c>
      <c r="K36" s="38" t="s">
        <v>250</v>
      </c>
      <c r="L36" s="40">
        <f t="shared" si="17"/>
        <v>0.26470588235294118</v>
      </c>
      <c r="M36" s="40">
        <f t="shared" si="17"/>
        <v>0.26470588235294118</v>
      </c>
      <c r="N36" s="41" t="str">
        <f t="shared" si="5"/>
        <v>--</v>
      </c>
      <c r="O36" s="42"/>
      <c r="P36" s="41" t="str">
        <f t="shared" si="6"/>
        <v>--</v>
      </c>
      <c r="Q36" s="42"/>
      <c r="R36" s="41" t="str">
        <f t="shared" si="7"/>
        <v>--</v>
      </c>
      <c r="S36" s="42"/>
      <c r="T36" s="41" t="str">
        <f t="shared" si="8"/>
        <v>--</v>
      </c>
      <c r="U36" s="42"/>
      <c r="V36" s="43">
        <f t="shared" si="9"/>
        <v>1.2544032929699274E-6</v>
      </c>
      <c r="W36" s="42"/>
      <c r="X36" s="41">
        <f t="shared" si="10"/>
        <v>2.2892860096701176E-4</v>
      </c>
      <c r="Y36" s="42"/>
      <c r="Z36" s="43" t="str">
        <f t="shared" si="0"/>
        <v>--</v>
      </c>
      <c r="AA36" s="42"/>
      <c r="AB36" s="41" t="str">
        <f t="shared" si="1"/>
        <v>--</v>
      </c>
      <c r="AC36" s="42"/>
      <c r="AD36" s="43">
        <f t="shared" si="11"/>
        <v>1.7042682070588237E-4</v>
      </c>
      <c r="AE36" s="42"/>
      <c r="AF36" s="41">
        <f t="shared" si="12"/>
        <v>3.1102894778823532E-2</v>
      </c>
      <c r="AG36" s="42"/>
      <c r="AH36" s="41">
        <f t="shared" si="13"/>
        <v>1.7042682070588237E-4</v>
      </c>
      <c r="AI36" s="42"/>
      <c r="AJ36" s="41">
        <f t="shared" si="14"/>
        <v>3.1102894778823532E-2</v>
      </c>
      <c r="AK36" s="42"/>
    </row>
    <row r="37" spans="1:37" s="44" customFormat="1" ht="15" customHeight="1">
      <c r="A37" s="34" t="s">
        <v>76</v>
      </c>
      <c r="B37" s="35"/>
      <c r="C37" s="36">
        <f>_xlfn.XLOOKUP($A37,'Input_Cooling Towers'!$A$7:$A$98,'Input_Cooling Towers'!$H$7:$H$98)</f>
        <v>5.0000000000000001E-4</v>
      </c>
      <c r="D37" s="36">
        <f>_xlfn.XLOOKUP($A37,'Input_Cooling Towers'!$A$7:$A$98,'Input_Cooling Towers'!$F$7:$F$98)</f>
        <v>10722</v>
      </c>
      <c r="E37" s="36">
        <f>_xlfn.XLOOKUP($A37,'Input_Cooling Towers'!$A$7:$A$98,'Input_Cooling Towers'!$G$7:$G$98)</f>
        <v>5361</v>
      </c>
      <c r="F37" s="37">
        <f t="shared" si="2"/>
        <v>643.834656</v>
      </c>
      <c r="G37" s="36">
        <f t="shared" si="15"/>
        <v>117499.82472</v>
      </c>
      <c r="H37" s="38" t="s">
        <v>250</v>
      </c>
      <c r="I37" s="38" t="s">
        <v>250</v>
      </c>
      <c r="J37" s="39">
        <f t="shared" si="16"/>
        <v>1.9483314252812254E-3</v>
      </c>
      <c r="K37" s="38" t="s">
        <v>250</v>
      </c>
      <c r="L37" s="40">
        <f t="shared" si="17"/>
        <v>0.26470588235294118</v>
      </c>
      <c r="M37" s="40">
        <f t="shared" si="17"/>
        <v>0.26470588235294118</v>
      </c>
      <c r="N37" s="41" t="str">
        <f t="shared" si="5"/>
        <v>--</v>
      </c>
      <c r="O37" s="42"/>
      <c r="P37" s="41" t="str">
        <f t="shared" si="6"/>
        <v>--</v>
      </c>
      <c r="Q37" s="42"/>
      <c r="R37" s="41" t="str">
        <f t="shared" si="7"/>
        <v>--</v>
      </c>
      <c r="S37" s="42"/>
      <c r="T37" s="41" t="str">
        <f t="shared" si="8"/>
        <v>--</v>
      </c>
      <c r="U37" s="42"/>
      <c r="V37" s="43">
        <f t="shared" si="9"/>
        <v>1.2544032929699274E-6</v>
      </c>
      <c r="W37" s="42"/>
      <c r="X37" s="41">
        <f t="shared" si="10"/>
        <v>2.2892860096701176E-4</v>
      </c>
      <c r="Y37" s="42"/>
      <c r="Z37" s="43" t="str">
        <f t="shared" si="0"/>
        <v>--</v>
      </c>
      <c r="AA37" s="42"/>
      <c r="AB37" s="41" t="str">
        <f t="shared" si="1"/>
        <v>--</v>
      </c>
      <c r="AC37" s="42"/>
      <c r="AD37" s="43">
        <f t="shared" si="11"/>
        <v>1.7042682070588237E-4</v>
      </c>
      <c r="AE37" s="42"/>
      <c r="AF37" s="41">
        <f t="shared" si="12"/>
        <v>3.1102894778823532E-2</v>
      </c>
      <c r="AG37" s="42"/>
      <c r="AH37" s="41">
        <f t="shared" si="13"/>
        <v>1.7042682070588237E-4</v>
      </c>
      <c r="AI37" s="42"/>
      <c r="AJ37" s="41">
        <f t="shared" si="14"/>
        <v>3.1102894778823532E-2</v>
      </c>
      <c r="AK37" s="42"/>
    </row>
    <row r="38" spans="1:37" s="44" customFormat="1" ht="15" customHeight="1">
      <c r="A38" s="34" t="s">
        <v>78</v>
      </c>
      <c r="B38" s="35"/>
      <c r="C38" s="36">
        <f>_xlfn.XLOOKUP($A38,'Input_Cooling Towers'!$A$7:$A$98,'Input_Cooling Towers'!$H$7:$H$98)</f>
        <v>5.0000000000000001E-4</v>
      </c>
      <c r="D38" s="36">
        <f>_xlfn.XLOOKUP($A38,'Input_Cooling Towers'!$A$7:$A$98,'Input_Cooling Towers'!$F$7:$F$98)</f>
        <v>10722</v>
      </c>
      <c r="E38" s="36">
        <f>_xlfn.XLOOKUP($A38,'Input_Cooling Towers'!$A$7:$A$98,'Input_Cooling Towers'!$G$7:$G$98)</f>
        <v>5361</v>
      </c>
      <c r="F38" s="37">
        <f t="shared" si="2"/>
        <v>643.834656</v>
      </c>
      <c r="G38" s="36">
        <f t="shared" si="15"/>
        <v>117499.82472</v>
      </c>
      <c r="H38" s="38" t="s">
        <v>250</v>
      </c>
      <c r="I38" s="38" t="s">
        <v>250</v>
      </c>
      <c r="J38" s="39">
        <f t="shared" si="16"/>
        <v>1.9483314252812254E-3</v>
      </c>
      <c r="K38" s="38" t="s">
        <v>250</v>
      </c>
      <c r="L38" s="40">
        <f t="shared" si="17"/>
        <v>0.26470588235294118</v>
      </c>
      <c r="M38" s="40">
        <f t="shared" si="17"/>
        <v>0.26470588235294118</v>
      </c>
      <c r="N38" s="41" t="str">
        <f t="shared" si="5"/>
        <v>--</v>
      </c>
      <c r="O38" s="42"/>
      <c r="P38" s="41" t="str">
        <f t="shared" si="6"/>
        <v>--</v>
      </c>
      <c r="Q38" s="42"/>
      <c r="R38" s="41" t="str">
        <f t="shared" si="7"/>
        <v>--</v>
      </c>
      <c r="S38" s="42"/>
      <c r="T38" s="41" t="str">
        <f t="shared" si="8"/>
        <v>--</v>
      </c>
      <c r="U38" s="42"/>
      <c r="V38" s="43">
        <f t="shared" si="9"/>
        <v>1.2544032929699274E-6</v>
      </c>
      <c r="W38" s="42"/>
      <c r="X38" s="41">
        <f t="shared" si="10"/>
        <v>2.2892860096701176E-4</v>
      </c>
      <c r="Y38" s="42"/>
      <c r="Z38" s="43" t="str">
        <f t="shared" si="0"/>
        <v>--</v>
      </c>
      <c r="AA38" s="42"/>
      <c r="AB38" s="41" t="str">
        <f t="shared" si="1"/>
        <v>--</v>
      </c>
      <c r="AC38" s="42"/>
      <c r="AD38" s="43">
        <f t="shared" si="11"/>
        <v>1.7042682070588237E-4</v>
      </c>
      <c r="AE38" s="42"/>
      <c r="AF38" s="41">
        <f t="shared" si="12"/>
        <v>3.1102894778823532E-2</v>
      </c>
      <c r="AG38" s="42"/>
      <c r="AH38" s="41">
        <f t="shared" si="13"/>
        <v>1.7042682070588237E-4</v>
      </c>
      <c r="AI38" s="42"/>
      <c r="AJ38" s="41">
        <f t="shared" si="14"/>
        <v>3.1102894778823532E-2</v>
      </c>
      <c r="AK38" s="42"/>
    </row>
    <row r="39" spans="1:37" s="44" customFormat="1" ht="15" customHeight="1">
      <c r="A39" s="34" t="s">
        <v>80</v>
      </c>
      <c r="B39" s="35"/>
      <c r="C39" s="36">
        <f>_xlfn.XLOOKUP($A39,'Input_Cooling Towers'!$A$7:$A$98,'Input_Cooling Towers'!$H$7:$H$98)</f>
        <v>5.0000000000000001E-4</v>
      </c>
      <c r="D39" s="36">
        <f>_xlfn.XLOOKUP($A39,'Input_Cooling Towers'!$A$7:$A$98,'Input_Cooling Towers'!$F$7:$F$98)</f>
        <v>10722</v>
      </c>
      <c r="E39" s="36">
        <f>_xlfn.XLOOKUP($A39,'Input_Cooling Towers'!$A$7:$A$98,'Input_Cooling Towers'!$G$7:$G$98)</f>
        <v>5361</v>
      </c>
      <c r="F39" s="37">
        <f t="shared" si="2"/>
        <v>643.834656</v>
      </c>
      <c r="G39" s="36">
        <f t="shared" si="15"/>
        <v>117499.82472</v>
      </c>
      <c r="H39" s="38" t="s">
        <v>250</v>
      </c>
      <c r="I39" s="38" t="s">
        <v>250</v>
      </c>
      <c r="J39" s="39">
        <f t="shared" si="16"/>
        <v>1.9483314252812254E-3</v>
      </c>
      <c r="K39" s="38" t="s">
        <v>250</v>
      </c>
      <c r="L39" s="40">
        <f t="shared" si="17"/>
        <v>0.26470588235294118</v>
      </c>
      <c r="M39" s="40">
        <f t="shared" si="17"/>
        <v>0.26470588235294118</v>
      </c>
      <c r="N39" s="41" t="str">
        <f t="shared" si="5"/>
        <v>--</v>
      </c>
      <c r="O39" s="42"/>
      <c r="P39" s="41" t="str">
        <f t="shared" si="6"/>
        <v>--</v>
      </c>
      <c r="Q39" s="42"/>
      <c r="R39" s="41" t="str">
        <f t="shared" si="7"/>
        <v>--</v>
      </c>
      <c r="S39" s="42"/>
      <c r="T39" s="41" t="str">
        <f t="shared" si="8"/>
        <v>--</v>
      </c>
      <c r="U39" s="42"/>
      <c r="V39" s="43">
        <f t="shared" si="9"/>
        <v>1.2544032929699274E-6</v>
      </c>
      <c r="W39" s="42"/>
      <c r="X39" s="41">
        <f t="shared" si="10"/>
        <v>2.2892860096701176E-4</v>
      </c>
      <c r="Y39" s="42"/>
      <c r="Z39" s="43" t="str">
        <f t="shared" si="0"/>
        <v>--</v>
      </c>
      <c r="AA39" s="42"/>
      <c r="AB39" s="41" t="str">
        <f t="shared" si="1"/>
        <v>--</v>
      </c>
      <c r="AC39" s="42"/>
      <c r="AD39" s="43">
        <f t="shared" si="11"/>
        <v>1.7042682070588237E-4</v>
      </c>
      <c r="AE39" s="42"/>
      <c r="AF39" s="41">
        <f t="shared" si="12"/>
        <v>3.1102894778823532E-2</v>
      </c>
      <c r="AG39" s="42"/>
      <c r="AH39" s="41">
        <f t="shared" si="13"/>
        <v>1.7042682070588237E-4</v>
      </c>
      <c r="AI39" s="42"/>
      <c r="AJ39" s="41">
        <f t="shared" si="14"/>
        <v>3.1102894778823532E-2</v>
      </c>
      <c r="AK39" s="42"/>
    </row>
    <row r="40" spans="1:37" s="44" customFormat="1" ht="15" customHeight="1">
      <c r="A40" s="34" t="s">
        <v>82</v>
      </c>
      <c r="B40" s="35"/>
      <c r="C40" s="36">
        <f>_xlfn.XLOOKUP($A40,'Input_Cooling Towers'!$A$7:$A$98,'Input_Cooling Towers'!$H$7:$H$98)</f>
        <v>5.0000000000000001E-4</v>
      </c>
      <c r="D40" s="36">
        <f>_xlfn.XLOOKUP($A40,'Input_Cooling Towers'!$A$7:$A$98,'Input_Cooling Towers'!$F$7:$F$98)</f>
        <v>10722</v>
      </c>
      <c r="E40" s="36">
        <f>_xlfn.XLOOKUP($A40,'Input_Cooling Towers'!$A$7:$A$98,'Input_Cooling Towers'!$G$7:$G$98)</f>
        <v>5361</v>
      </c>
      <c r="F40" s="37">
        <f t="shared" si="2"/>
        <v>643.834656</v>
      </c>
      <c r="G40" s="36">
        <f t="shared" si="15"/>
        <v>117499.82472</v>
      </c>
      <c r="H40" s="38" t="s">
        <v>250</v>
      </c>
      <c r="I40" s="38" t="s">
        <v>250</v>
      </c>
      <c r="J40" s="39">
        <f t="shared" si="16"/>
        <v>1.9483314252812254E-3</v>
      </c>
      <c r="K40" s="38" t="s">
        <v>250</v>
      </c>
      <c r="L40" s="40">
        <f t="shared" si="17"/>
        <v>0.26470588235294118</v>
      </c>
      <c r="M40" s="40">
        <f t="shared" si="17"/>
        <v>0.26470588235294118</v>
      </c>
      <c r="N40" s="41" t="str">
        <f t="shared" si="5"/>
        <v>--</v>
      </c>
      <c r="O40" s="42"/>
      <c r="P40" s="41" t="str">
        <f t="shared" si="6"/>
        <v>--</v>
      </c>
      <c r="Q40" s="42"/>
      <c r="R40" s="41" t="str">
        <f t="shared" si="7"/>
        <v>--</v>
      </c>
      <c r="S40" s="42"/>
      <c r="T40" s="41" t="str">
        <f t="shared" si="8"/>
        <v>--</v>
      </c>
      <c r="U40" s="42"/>
      <c r="V40" s="43">
        <f t="shared" si="9"/>
        <v>1.2544032929699274E-6</v>
      </c>
      <c r="W40" s="42"/>
      <c r="X40" s="41">
        <f t="shared" si="10"/>
        <v>2.2892860096701176E-4</v>
      </c>
      <c r="Y40" s="42"/>
      <c r="Z40" s="43" t="str">
        <f t="shared" si="0"/>
        <v>--</v>
      </c>
      <c r="AA40" s="42"/>
      <c r="AB40" s="41" t="str">
        <f t="shared" si="1"/>
        <v>--</v>
      </c>
      <c r="AC40" s="42"/>
      <c r="AD40" s="43">
        <f t="shared" si="11"/>
        <v>1.7042682070588237E-4</v>
      </c>
      <c r="AE40" s="42"/>
      <c r="AF40" s="41">
        <f t="shared" si="12"/>
        <v>3.1102894778823532E-2</v>
      </c>
      <c r="AG40" s="42"/>
      <c r="AH40" s="41">
        <f t="shared" si="13"/>
        <v>1.7042682070588237E-4</v>
      </c>
      <c r="AI40" s="42"/>
      <c r="AJ40" s="41">
        <f t="shared" si="14"/>
        <v>3.1102894778823532E-2</v>
      </c>
      <c r="AK40" s="42"/>
    </row>
    <row r="41" spans="1:37" s="44" customFormat="1" ht="15" customHeight="1">
      <c r="A41" s="34" t="s">
        <v>84</v>
      </c>
      <c r="B41" s="35"/>
      <c r="C41" s="36">
        <f>_xlfn.XLOOKUP($A41,'Input_Cooling Towers'!$A$7:$A$98,'Input_Cooling Towers'!$H$7:$H$98)</f>
        <v>5.0000000000000001E-4</v>
      </c>
      <c r="D41" s="36">
        <f>_xlfn.XLOOKUP($A41,'Input_Cooling Towers'!$A$7:$A$98,'Input_Cooling Towers'!$F$7:$F$98)</f>
        <v>10722</v>
      </c>
      <c r="E41" s="36">
        <f>_xlfn.XLOOKUP($A41,'Input_Cooling Towers'!$A$7:$A$98,'Input_Cooling Towers'!$G$7:$G$98)</f>
        <v>5361</v>
      </c>
      <c r="F41" s="37">
        <f t="shared" si="2"/>
        <v>643.834656</v>
      </c>
      <c r="G41" s="36">
        <f t="shared" si="15"/>
        <v>117499.82472</v>
      </c>
      <c r="H41" s="38" t="s">
        <v>250</v>
      </c>
      <c r="I41" s="38" t="s">
        <v>250</v>
      </c>
      <c r="J41" s="39">
        <f t="shared" si="16"/>
        <v>1.9483314252812254E-3</v>
      </c>
      <c r="K41" s="38" t="s">
        <v>250</v>
      </c>
      <c r="L41" s="40">
        <f t="shared" si="17"/>
        <v>0.26470588235294118</v>
      </c>
      <c r="M41" s="40">
        <f t="shared" si="17"/>
        <v>0.26470588235294118</v>
      </c>
      <c r="N41" s="41" t="str">
        <f t="shared" si="5"/>
        <v>--</v>
      </c>
      <c r="O41" s="42"/>
      <c r="P41" s="41" t="str">
        <f t="shared" si="6"/>
        <v>--</v>
      </c>
      <c r="Q41" s="42"/>
      <c r="R41" s="41" t="str">
        <f t="shared" si="7"/>
        <v>--</v>
      </c>
      <c r="S41" s="42"/>
      <c r="T41" s="41" t="str">
        <f t="shared" si="8"/>
        <v>--</v>
      </c>
      <c r="U41" s="42"/>
      <c r="V41" s="43">
        <f t="shared" si="9"/>
        <v>1.2544032929699274E-6</v>
      </c>
      <c r="W41" s="42"/>
      <c r="X41" s="41">
        <f t="shared" si="10"/>
        <v>2.2892860096701176E-4</v>
      </c>
      <c r="Y41" s="42"/>
      <c r="Z41" s="43" t="str">
        <f t="shared" si="0"/>
        <v>--</v>
      </c>
      <c r="AA41" s="42"/>
      <c r="AB41" s="41" t="str">
        <f t="shared" si="1"/>
        <v>--</v>
      </c>
      <c r="AC41" s="42"/>
      <c r="AD41" s="43">
        <f t="shared" si="11"/>
        <v>1.7042682070588237E-4</v>
      </c>
      <c r="AE41" s="42"/>
      <c r="AF41" s="41">
        <f t="shared" si="12"/>
        <v>3.1102894778823532E-2</v>
      </c>
      <c r="AG41" s="42"/>
      <c r="AH41" s="41">
        <f t="shared" si="13"/>
        <v>1.7042682070588237E-4</v>
      </c>
      <c r="AI41" s="42"/>
      <c r="AJ41" s="41">
        <f t="shared" si="14"/>
        <v>3.1102894778823532E-2</v>
      </c>
      <c r="AK41" s="42"/>
    </row>
    <row r="42" spans="1:37" s="44" customFormat="1" ht="15" customHeight="1">
      <c r="A42" s="34" t="s">
        <v>86</v>
      </c>
      <c r="B42" s="35"/>
      <c r="C42" s="36">
        <f>_xlfn.XLOOKUP($A42,'Input_Cooling Towers'!$A$7:$A$98,'Input_Cooling Towers'!$H$7:$H$98)</f>
        <v>5.0000000000000001E-4</v>
      </c>
      <c r="D42" s="36">
        <f>_xlfn.XLOOKUP($A42,'Input_Cooling Towers'!$A$7:$A$98,'Input_Cooling Towers'!$F$7:$F$98)</f>
        <v>10722</v>
      </c>
      <c r="E42" s="36">
        <f>_xlfn.XLOOKUP($A42,'Input_Cooling Towers'!$A$7:$A$98,'Input_Cooling Towers'!$G$7:$G$98)</f>
        <v>5361</v>
      </c>
      <c r="F42" s="37">
        <f t="shared" si="2"/>
        <v>643.834656</v>
      </c>
      <c r="G42" s="36">
        <f t="shared" si="15"/>
        <v>117499.82472</v>
      </c>
      <c r="H42" s="38" t="s">
        <v>250</v>
      </c>
      <c r="I42" s="38" t="s">
        <v>250</v>
      </c>
      <c r="J42" s="39">
        <f t="shared" si="16"/>
        <v>1.9483314252812254E-3</v>
      </c>
      <c r="K42" s="38" t="s">
        <v>250</v>
      </c>
      <c r="L42" s="40">
        <f t="shared" si="17"/>
        <v>0.26470588235294118</v>
      </c>
      <c r="M42" s="40">
        <f t="shared" si="17"/>
        <v>0.26470588235294118</v>
      </c>
      <c r="N42" s="41" t="str">
        <f t="shared" si="5"/>
        <v>--</v>
      </c>
      <c r="O42" s="42"/>
      <c r="P42" s="41" t="str">
        <f t="shared" si="6"/>
        <v>--</v>
      </c>
      <c r="Q42" s="42"/>
      <c r="R42" s="41" t="str">
        <f t="shared" si="7"/>
        <v>--</v>
      </c>
      <c r="S42" s="42"/>
      <c r="T42" s="41" t="str">
        <f t="shared" si="8"/>
        <v>--</v>
      </c>
      <c r="U42" s="42"/>
      <c r="V42" s="43">
        <f t="shared" si="9"/>
        <v>1.2544032929699274E-6</v>
      </c>
      <c r="W42" s="42"/>
      <c r="X42" s="41">
        <f t="shared" si="10"/>
        <v>2.2892860096701176E-4</v>
      </c>
      <c r="Y42" s="42"/>
      <c r="Z42" s="43" t="str">
        <f t="shared" si="0"/>
        <v>--</v>
      </c>
      <c r="AA42" s="42"/>
      <c r="AB42" s="41" t="str">
        <f t="shared" si="1"/>
        <v>--</v>
      </c>
      <c r="AC42" s="42"/>
      <c r="AD42" s="43">
        <f t="shared" si="11"/>
        <v>1.7042682070588237E-4</v>
      </c>
      <c r="AE42" s="42"/>
      <c r="AF42" s="41">
        <f t="shared" si="12"/>
        <v>3.1102894778823532E-2</v>
      </c>
      <c r="AG42" s="42"/>
      <c r="AH42" s="41">
        <f t="shared" si="13"/>
        <v>1.7042682070588237E-4</v>
      </c>
      <c r="AI42" s="42"/>
      <c r="AJ42" s="41">
        <f t="shared" si="14"/>
        <v>3.1102894778823532E-2</v>
      </c>
      <c r="AK42" s="42"/>
    </row>
    <row r="43" spans="1:37" s="44" customFormat="1" ht="15" customHeight="1">
      <c r="A43" s="34" t="s">
        <v>88</v>
      </c>
      <c r="B43" s="35"/>
      <c r="C43" s="36">
        <f>_xlfn.XLOOKUP($A43,'Input_Cooling Towers'!$A$7:$A$98,'Input_Cooling Towers'!$H$7:$H$98)</f>
        <v>5.0000000000000001E-4</v>
      </c>
      <c r="D43" s="36">
        <f>_xlfn.XLOOKUP($A43,'Input_Cooling Towers'!$A$7:$A$98,'Input_Cooling Towers'!$F$7:$F$98)</f>
        <v>10722</v>
      </c>
      <c r="E43" s="36">
        <f>_xlfn.XLOOKUP($A43,'Input_Cooling Towers'!$A$7:$A$98,'Input_Cooling Towers'!$G$7:$G$98)</f>
        <v>5361</v>
      </c>
      <c r="F43" s="37">
        <f t="shared" si="2"/>
        <v>643.834656</v>
      </c>
      <c r="G43" s="36">
        <f t="shared" si="15"/>
        <v>117499.82472</v>
      </c>
      <c r="H43" s="38" t="s">
        <v>250</v>
      </c>
      <c r="I43" s="38" t="s">
        <v>250</v>
      </c>
      <c r="J43" s="39">
        <f t="shared" si="16"/>
        <v>1.9483314252812254E-3</v>
      </c>
      <c r="K43" s="38" t="s">
        <v>250</v>
      </c>
      <c r="L43" s="40">
        <f t="shared" si="17"/>
        <v>0.26470588235294118</v>
      </c>
      <c r="M43" s="40">
        <f t="shared" si="17"/>
        <v>0.26470588235294118</v>
      </c>
      <c r="N43" s="41" t="str">
        <f t="shared" si="5"/>
        <v>--</v>
      </c>
      <c r="O43" s="42"/>
      <c r="P43" s="41" t="str">
        <f t="shared" si="6"/>
        <v>--</v>
      </c>
      <c r="Q43" s="42"/>
      <c r="R43" s="41" t="str">
        <f t="shared" si="7"/>
        <v>--</v>
      </c>
      <c r="S43" s="42"/>
      <c r="T43" s="41" t="str">
        <f t="shared" si="8"/>
        <v>--</v>
      </c>
      <c r="U43" s="42"/>
      <c r="V43" s="43">
        <f t="shared" si="9"/>
        <v>1.2544032929699274E-6</v>
      </c>
      <c r="W43" s="42"/>
      <c r="X43" s="41">
        <f t="shared" si="10"/>
        <v>2.2892860096701176E-4</v>
      </c>
      <c r="Y43" s="42"/>
      <c r="Z43" s="43" t="str">
        <f t="shared" si="0"/>
        <v>--</v>
      </c>
      <c r="AA43" s="42"/>
      <c r="AB43" s="41" t="str">
        <f t="shared" si="1"/>
        <v>--</v>
      </c>
      <c r="AC43" s="42"/>
      <c r="AD43" s="43">
        <f t="shared" si="11"/>
        <v>1.7042682070588237E-4</v>
      </c>
      <c r="AE43" s="42"/>
      <c r="AF43" s="41">
        <f t="shared" si="12"/>
        <v>3.1102894778823532E-2</v>
      </c>
      <c r="AG43" s="42"/>
      <c r="AH43" s="41">
        <f t="shared" si="13"/>
        <v>1.7042682070588237E-4</v>
      </c>
      <c r="AI43" s="42"/>
      <c r="AJ43" s="41">
        <f t="shared" si="14"/>
        <v>3.1102894778823532E-2</v>
      </c>
      <c r="AK43" s="42"/>
    </row>
    <row r="44" spans="1:37" s="44" customFormat="1" ht="15" customHeight="1">
      <c r="A44" s="34" t="s">
        <v>90</v>
      </c>
      <c r="B44" s="35"/>
      <c r="C44" s="36">
        <f>_xlfn.XLOOKUP($A44,'Input_Cooling Towers'!$A$7:$A$98,'Input_Cooling Towers'!$H$7:$H$98)</f>
        <v>5.0000000000000001E-4</v>
      </c>
      <c r="D44" s="36">
        <f>_xlfn.XLOOKUP($A44,'Input_Cooling Towers'!$A$7:$A$98,'Input_Cooling Towers'!$F$7:$F$98)</f>
        <v>10722</v>
      </c>
      <c r="E44" s="36">
        <f>_xlfn.XLOOKUP($A44,'Input_Cooling Towers'!$A$7:$A$98,'Input_Cooling Towers'!$G$7:$G$98)</f>
        <v>5361</v>
      </c>
      <c r="F44" s="37">
        <f t="shared" si="2"/>
        <v>643.834656</v>
      </c>
      <c r="G44" s="36">
        <f t="shared" si="15"/>
        <v>117499.82472</v>
      </c>
      <c r="H44" s="38" t="s">
        <v>250</v>
      </c>
      <c r="I44" s="38" t="s">
        <v>250</v>
      </c>
      <c r="J44" s="39">
        <f t="shared" si="16"/>
        <v>1.9483314252812254E-3</v>
      </c>
      <c r="K44" s="38" t="s">
        <v>250</v>
      </c>
      <c r="L44" s="40">
        <f t="shared" si="17"/>
        <v>0.26470588235294118</v>
      </c>
      <c r="M44" s="40">
        <f t="shared" si="17"/>
        <v>0.26470588235294118</v>
      </c>
      <c r="N44" s="41" t="str">
        <f t="shared" si="5"/>
        <v>--</v>
      </c>
      <c r="O44" s="42"/>
      <c r="P44" s="41" t="str">
        <f t="shared" si="6"/>
        <v>--</v>
      </c>
      <c r="Q44" s="42"/>
      <c r="R44" s="41" t="str">
        <f t="shared" si="7"/>
        <v>--</v>
      </c>
      <c r="S44" s="42"/>
      <c r="T44" s="41" t="str">
        <f t="shared" si="8"/>
        <v>--</v>
      </c>
      <c r="U44" s="42"/>
      <c r="V44" s="43">
        <f t="shared" si="9"/>
        <v>1.2544032929699274E-6</v>
      </c>
      <c r="W44" s="42"/>
      <c r="X44" s="41">
        <f t="shared" si="10"/>
        <v>2.2892860096701176E-4</v>
      </c>
      <c r="Y44" s="42"/>
      <c r="Z44" s="43" t="str">
        <f t="shared" si="0"/>
        <v>--</v>
      </c>
      <c r="AA44" s="42"/>
      <c r="AB44" s="41" t="str">
        <f t="shared" si="1"/>
        <v>--</v>
      </c>
      <c r="AC44" s="42"/>
      <c r="AD44" s="43">
        <f t="shared" si="11"/>
        <v>1.7042682070588237E-4</v>
      </c>
      <c r="AE44" s="42"/>
      <c r="AF44" s="41">
        <f t="shared" si="12"/>
        <v>3.1102894778823532E-2</v>
      </c>
      <c r="AG44" s="42"/>
      <c r="AH44" s="41">
        <f t="shared" si="13"/>
        <v>1.7042682070588237E-4</v>
      </c>
      <c r="AI44" s="42"/>
      <c r="AJ44" s="41">
        <f t="shared" si="14"/>
        <v>3.1102894778823532E-2</v>
      </c>
      <c r="AK44" s="42"/>
    </row>
    <row r="45" spans="1:37" s="44" customFormat="1" ht="15" customHeight="1">
      <c r="A45" s="34" t="s">
        <v>92</v>
      </c>
      <c r="B45" s="35"/>
      <c r="C45" s="36">
        <f>_xlfn.XLOOKUP($A45,'Input_Cooling Towers'!$A$7:$A$98,'Input_Cooling Towers'!$H$7:$H$98)</f>
        <v>5.0000000000000001E-4</v>
      </c>
      <c r="D45" s="36">
        <f>_xlfn.XLOOKUP($A45,'Input_Cooling Towers'!$A$7:$A$98,'Input_Cooling Towers'!$F$7:$F$98)</f>
        <v>10722</v>
      </c>
      <c r="E45" s="36">
        <f>_xlfn.XLOOKUP($A45,'Input_Cooling Towers'!$A$7:$A$98,'Input_Cooling Towers'!$G$7:$G$98)</f>
        <v>5361</v>
      </c>
      <c r="F45" s="37">
        <f t="shared" si="2"/>
        <v>643.834656</v>
      </c>
      <c r="G45" s="36">
        <f t="shared" si="15"/>
        <v>117499.82472</v>
      </c>
      <c r="H45" s="38" t="s">
        <v>250</v>
      </c>
      <c r="I45" s="38" t="s">
        <v>250</v>
      </c>
      <c r="J45" s="39">
        <f t="shared" si="16"/>
        <v>1.9483314252812254E-3</v>
      </c>
      <c r="K45" s="38" t="s">
        <v>250</v>
      </c>
      <c r="L45" s="40">
        <f t="shared" si="17"/>
        <v>0.26470588235294118</v>
      </c>
      <c r="M45" s="40">
        <f t="shared" si="17"/>
        <v>0.26470588235294118</v>
      </c>
      <c r="N45" s="41" t="str">
        <f t="shared" si="5"/>
        <v>--</v>
      </c>
      <c r="O45" s="42"/>
      <c r="P45" s="41" t="str">
        <f t="shared" si="6"/>
        <v>--</v>
      </c>
      <c r="Q45" s="42"/>
      <c r="R45" s="41" t="str">
        <f t="shared" si="7"/>
        <v>--</v>
      </c>
      <c r="S45" s="42"/>
      <c r="T45" s="41" t="str">
        <f t="shared" si="8"/>
        <v>--</v>
      </c>
      <c r="U45" s="42"/>
      <c r="V45" s="43">
        <f t="shared" si="9"/>
        <v>1.2544032929699274E-6</v>
      </c>
      <c r="W45" s="42"/>
      <c r="X45" s="41">
        <f t="shared" si="10"/>
        <v>2.2892860096701176E-4</v>
      </c>
      <c r="Y45" s="42"/>
      <c r="Z45" s="43" t="str">
        <f t="shared" si="0"/>
        <v>--</v>
      </c>
      <c r="AA45" s="42"/>
      <c r="AB45" s="41" t="str">
        <f t="shared" si="1"/>
        <v>--</v>
      </c>
      <c r="AC45" s="42"/>
      <c r="AD45" s="43">
        <f t="shared" si="11"/>
        <v>1.7042682070588237E-4</v>
      </c>
      <c r="AE45" s="42"/>
      <c r="AF45" s="41">
        <f t="shared" si="12"/>
        <v>3.1102894778823532E-2</v>
      </c>
      <c r="AG45" s="42"/>
      <c r="AH45" s="41">
        <f t="shared" si="13"/>
        <v>1.7042682070588237E-4</v>
      </c>
      <c r="AI45" s="42"/>
      <c r="AJ45" s="41">
        <f t="shared" si="14"/>
        <v>3.1102894778823532E-2</v>
      </c>
      <c r="AK45" s="42"/>
    </row>
    <row r="46" spans="1:37" s="44" customFormat="1" ht="15" customHeight="1">
      <c r="A46" s="34" t="s">
        <v>70</v>
      </c>
      <c r="B46" s="35"/>
      <c r="C46" s="36">
        <f>_xlfn.XLOOKUP($A46,'Input_Cooling Towers'!$A$7:$A$98,'Input_Cooling Towers'!$H$7:$H$98)</f>
        <v>5.0000000000000001E-4</v>
      </c>
      <c r="D46" s="36">
        <f>_xlfn.XLOOKUP($A46,'Input_Cooling Towers'!$A$7:$A$98,'Input_Cooling Towers'!$F$7:$F$98)</f>
        <v>10722</v>
      </c>
      <c r="E46" s="36">
        <f>_xlfn.XLOOKUP($A46,'Input_Cooling Towers'!$A$7:$A$98,'Input_Cooling Towers'!$G$7:$G$98)</f>
        <v>5361</v>
      </c>
      <c r="F46" s="37">
        <f t="shared" si="2"/>
        <v>643.834656</v>
      </c>
      <c r="G46" s="36">
        <f t="shared" si="15"/>
        <v>117499.82472</v>
      </c>
      <c r="H46" s="38" t="s">
        <v>250</v>
      </c>
      <c r="I46" s="38" t="s">
        <v>250</v>
      </c>
      <c r="J46" s="45">
        <f>0.75*$H$102/$H$103</f>
        <v>3.312163422978083E-2</v>
      </c>
      <c r="K46" s="38" t="s">
        <v>250</v>
      </c>
      <c r="L46" s="40">
        <f>4.5/1</f>
        <v>4.5</v>
      </c>
      <c r="M46" s="40">
        <f>4.5/1</f>
        <v>4.5</v>
      </c>
      <c r="N46" s="41" t="str">
        <f t="shared" si="5"/>
        <v>--</v>
      </c>
      <c r="O46" s="42"/>
      <c r="P46" s="41" t="str">
        <f t="shared" si="6"/>
        <v>--</v>
      </c>
      <c r="Q46" s="42"/>
      <c r="R46" s="41" t="str">
        <f t="shared" si="7"/>
        <v>--</v>
      </c>
      <c r="S46" s="42"/>
      <c r="T46" s="41" t="str">
        <f t="shared" si="8"/>
        <v>--</v>
      </c>
      <c r="U46" s="42"/>
      <c r="V46" s="43">
        <f t="shared" si="9"/>
        <v>2.1324855980488768E-5</v>
      </c>
      <c r="W46" s="42"/>
      <c r="X46" s="41">
        <f t="shared" si="10"/>
        <v>3.8917862164391998E-3</v>
      </c>
      <c r="Y46" s="42"/>
      <c r="Z46" s="43" t="str">
        <f t="shared" si="0"/>
        <v>--</v>
      </c>
      <c r="AA46" s="42"/>
      <c r="AB46" s="41" t="str">
        <f t="shared" si="1"/>
        <v>--</v>
      </c>
      <c r="AC46" s="42"/>
      <c r="AD46" s="43">
        <f t="shared" si="11"/>
        <v>2.8972559520000002E-3</v>
      </c>
      <c r="AE46" s="42"/>
      <c r="AF46" s="41">
        <f t="shared" si="12"/>
        <v>0.52874921123999996</v>
      </c>
      <c r="AG46" s="42"/>
      <c r="AH46" s="41">
        <f t="shared" si="13"/>
        <v>2.8972559520000002E-3</v>
      </c>
      <c r="AI46" s="42"/>
      <c r="AJ46" s="41">
        <f t="shared" si="14"/>
        <v>0.52874921123999996</v>
      </c>
      <c r="AK46" s="42"/>
    </row>
    <row r="47" spans="1:37" s="44" customFormat="1" ht="15" customHeight="1">
      <c r="A47" s="34" t="s">
        <v>73</v>
      </c>
      <c r="B47" s="35"/>
      <c r="C47" s="36">
        <f>_xlfn.XLOOKUP($A47,'Input_Cooling Towers'!$A$7:$A$98,'Input_Cooling Towers'!$H$7:$H$98)</f>
        <v>5.0000000000000001E-4</v>
      </c>
      <c r="D47" s="36">
        <f>_xlfn.XLOOKUP($A47,'Input_Cooling Towers'!$A$7:$A$98,'Input_Cooling Towers'!$F$7:$F$98)</f>
        <v>10722</v>
      </c>
      <c r="E47" s="36">
        <f>_xlfn.XLOOKUP($A47,'Input_Cooling Towers'!$A$7:$A$98,'Input_Cooling Towers'!$G$7:$G$98)</f>
        <v>5361</v>
      </c>
      <c r="F47" s="37">
        <f t="shared" si="2"/>
        <v>643.834656</v>
      </c>
      <c r="G47" s="36">
        <f t="shared" si="15"/>
        <v>117499.82472</v>
      </c>
      <c r="H47" s="38" t="s">
        <v>250</v>
      </c>
      <c r="I47" s="38" t="s">
        <v>250</v>
      </c>
      <c r="J47" s="45">
        <f>0.75*$H$102/$H$103</f>
        <v>3.312163422978083E-2</v>
      </c>
      <c r="K47" s="38" t="s">
        <v>250</v>
      </c>
      <c r="L47" s="40">
        <f>4.5/1</f>
        <v>4.5</v>
      </c>
      <c r="M47" s="40">
        <f>4.5/1</f>
        <v>4.5</v>
      </c>
      <c r="N47" s="41" t="str">
        <f t="shared" si="5"/>
        <v>--</v>
      </c>
      <c r="O47" s="42"/>
      <c r="P47" s="41" t="str">
        <f t="shared" si="6"/>
        <v>--</v>
      </c>
      <c r="Q47" s="42"/>
      <c r="R47" s="41" t="str">
        <f t="shared" si="7"/>
        <v>--</v>
      </c>
      <c r="S47" s="42"/>
      <c r="T47" s="41" t="str">
        <f t="shared" si="8"/>
        <v>--</v>
      </c>
      <c r="U47" s="42"/>
      <c r="V47" s="43">
        <f t="shared" si="9"/>
        <v>2.1324855980488768E-5</v>
      </c>
      <c r="W47" s="42"/>
      <c r="X47" s="41">
        <f t="shared" si="10"/>
        <v>3.8917862164391998E-3</v>
      </c>
      <c r="Y47" s="42"/>
      <c r="Z47" s="43" t="str">
        <f t="shared" si="0"/>
        <v>--</v>
      </c>
      <c r="AA47" s="42"/>
      <c r="AB47" s="41" t="str">
        <f t="shared" si="1"/>
        <v>--</v>
      </c>
      <c r="AC47" s="42"/>
      <c r="AD47" s="43">
        <f t="shared" si="11"/>
        <v>2.8972559520000002E-3</v>
      </c>
      <c r="AE47" s="42"/>
      <c r="AF47" s="41">
        <f t="shared" si="12"/>
        <v>0.52874921123999996</v>
      </c>
      <c r="AG47" s="42"/>
      <c r="AH47" s="41">
        <f t="shared" si="13"/>
        <v>2.8972559520000002E-3</v>
      </c>
      <c r="AI47" s="42"/>
      <c r="AJ47" s="41">
        <f t="shared" si="14"/>
        <v>0.52874921123999996</v>
      </c>
      <c r="AK47" s="42"/>
    </row>
    <row r="48" spans="1:37" s="44" customFormat="1" ht="15" customHeight="1">
      <c r="A48" s="34" t="s">
        <v>94</v>
      </c>
      <c r="B48" s="35"/>
      <c r="C48" s="36">
        <f>_xlfn.XLOOKUP($A48,'Input_Cooling Towers'!$A$7:$A$98,'Input_Cooling Towers'!$H$7:$H$98)</f>
        <v>1E-3</v>
      </c>
      <c r="D48" s="36">
        <f>_xlfn.XLOOKUP($A48,'Input_Cooling Towers'!$A$7:$A$98,'Input_Cooling Towers'!$F$7:$F$98)</f>
        <v>7700</v>
      </c>
      <c r="E48" s="36">
        <f>_xlfn.XLOOKUP($A48,'Input_Cooling Towers'!$A$7:$A$98,'Input_Cooling Towers'!$G$7:$G$98)</f>
        <v>3850</v>
      </c>
      <c r="F48" s="37">
        <f t="shared" si="2"/>
        <v>924.73920000000021</v>
      </c>
      <c r="G48" s="36">
        <f t="shared" si="15"/>
        <v>168764.90400000004</v>
      </c>
      <c r="H48" s="38" t="s">
        <v>250</v>
      </c>
      <c r="I48" s="38" t="s">
        <v>250</v>
      </c>
      <c r="J48" s="39">
        <f>$H$106*$H$102/$H$103</f>
        <v>3.0110576572528022E-3</v>
      </c>
      <c r="K48" s="38" t="s">
        <v>250</v>
      </c>
      <c r="L48" s="40">
        <f>5.0625/11</f>
        <v>0.46022727272727271</v>
      </c>
      <c r="M48" s="40">
        <f>2.36/11</f>
        <v>0.21454545454545454</v>
      </c>
      <c r="N48" s="41" t="str">
        <f t="shared" si="5"/>
        <v>--</v>
      </c>
      <c r="O48" s="42"/>
      <c r="P48" s="41" t="str">
        <f t="shared" si="6"/>
        <v>--</v>
      </c>
      <c r="Q48" s="42"/>
      <c r="R48" s="41" t="str">
        <f t="shared" si="7"/>
        <v>--</v>
      </c>
      <c r="S48" s="42"/>
      <c r="T48" s="41" t="str">
        <f t="shared" si="8"/>
        <v>--</v>
      </c>
      <c r="U48" s="42"/>
      <c r="V48" s="43">
        <f t="shared" si="9"/>
        <v>2.784443049121831E-6</v>
      </c>
      <c r="W48" s="42"/>
      <c r="X48" s="41">
        <f t="shared" si="10"/>
        <v>5.0816085646473422E-4</v>
      </c>
      <c r="Y48" s="42"/>
      <c r="Z48" s="43" t="str">
        <f t="shared" si="0"/>
        <v>--</v>
      </c>
      <c r="AA48" s="42"/>
      <c r="AB48" s="41" t="str">
        <f t="shared" si="1"/>
        <v>--</v>
      </c>
      <c r="AC48" s="42"/>
      <c r="AD48" s="43">
        <f t="shared" si="11"/>
        <v>4.2559020000000012E-4</v>
      </c>
      <c r="AE48" s="42"/>
      <c r="AF48" s="41">
        <f t="shared" si="12"/>
        <v>7.7670211500000017E-2</v>
      </c>
      <c r="AG48" s="42"/>
      <c r="AH48" s="41">
        <f t="shared" si="13"/>
        <v>1.9839859200000004E-4</v>
      </c>
      <c r="AI48" s="42"/>
      <c r="AJ48" s="41">
        <f t="shared" si="14"/>
        <v>3.6207743040000011E-2</v>
      </c>
      <c r="AK48" s="42"/>
    </row>
    <row r="49" spans="1:37" s="44" customFormat="1" ht="15" customHeight="1">
      <c r="A49" s="34" t="s">
        <v>97</v>
      </c>
      <c r="B49" s="35"/>
      <c r="C49" s="36">
        <f>_xlfn.XLOOKUP($A49,'Input_Cooling Towers'!$A$7:$A$98,'Input_Cooling Towers'!$H$7:$H$98)</f>
        <v>1E-3</v>
      </c>
      <c r="D49" s="36">
        <f>_xlfn.XLOOKUP($A49,'Input_Cooling Towers'!$A$7:$A$98,'Input_Cooling Towers'!$F$7:$F$98)</f>
        <v>7700</v>
      </c>
      <c r="E49" s="36">
        <f>_xlfn.XLOOKUP($A49,'Input_Cooling Towers'!$A$7:$A$98,'Input_Cooling Towers'!$G$7:$G$98)</f>
        <v>3850</v>
      </c>
      <c r="F49" s="37">
        <f t="shared" si="2"/>
        <v>924.73920000000021</v>
      </c>
      <c r="G49" s="36">
        <f t="shared" si="15"/>
        <v>168764.90400000004</v>
      </c>
      <c r="H49" s="38" t="s">
        <v>250</v>
      </c>
      <c r="I49" s="38" t="s">
        <v>250</v>
      </c>
      <c r="J49" s="39">
        <f t="shared" ref="J49:J58" si="18">$H$106*$H$102/$H$103</f>
        <v>3.0110576572528022E-3</v>
      </c>
      <c r="K49" s="38" t="s">
        <v>250</v>
      </c>
      <c r="L49" s="40">
        <f t="shared" ref="L49:L58" si="19">5.0625/11</f>
        <v>0.46022727272727271</v>
      </c>
      <c r="M49" s="40">
        <f t="shared" ref="M49:M58" si="20">2.36/11</f>
        <v>0.21454545454545454</v>
      </c>
      <c r="N49" s="41" t="str">
        <f t="shared" si="5"/>
        <v>--</v>
      </c>
      <c r="O49" s="42"/>
      <c r="P49" s="41" t="str">
        <f t="shared" si="6"/>
        <v>--</v>
      </c>
      <c r="Q49" s="42"/>
      <c r="R49" s="41" t="str">
        <f t="shared" si="7"/>
        <v>--</v>
      </c>
      <c r="S49" s="42"/>
      <c r="T49" s="41" t="str">
        <f t="shared" si="8"/>
        <v>--</v>
      </c>
      <c r="U49" s="42"/>
      <c r="V49" s="43">
        <f t="shared" si="9"/>
        <v>2.784443049121831E-6</v>
      </c>
      <c r="W49" s="42"/>
      <c r="X49" s="41">
        <f t="shared" si="10"/>
        <v>5.0816085646473422E-4</v>
      </c>
      <c r="Y49" s="42"/>
      <c r="Z49" s="43" t="str">
        <f t="shared" si="0"/>
        <v>--</v>
      </c>
      <c r="AA49" s="42"/>
      <c r="AB49" s="41" t="str">
        <f t="shared" si="1"/>
        <v>--</v>
      </c>
      <c r="AC49" s="42"/>
      <c r="AD49" s="43">
        <f t="shared" si="11"/>
        <v>4.2559020000000012E-4</v>
      </c>
      <c r="AE49" s="42"/>
      <c r="AF49" s="41">
        <f t="shared" si="12"/>
        <v>7.7670211500000017E-2</v>
      </c>
      <c r="AG49" s="42"/>
      <c r="AH49" s="41">
        <f t="shared" si="13"/>
        <v>1.9839859200000004E-4</v>
      </c>
      <c r="AI49" s="42"/>
      <c r="AJ49" s="41">
        <f t="shared" si="14"/>
        <v>3.6207743040000011E-2</v>
      </c>
      <c r="AK49" s="42"/>
    </row>
    <row r="50" spans="1:37" s="44" customFormat="1" ht="15" customHeight="1">
      <c r="A50" s="34" t="s">
        <v>99</v>
      </c>
      <c r="B50" s="35"/>
      <c r="C50" s="36">
        <f>_xlfn.XLOOKUP($A50,'Input_Cooling Towers'!$A$7:$A$98,'Input_Cooling Towers'!$H$7:$H$98)</f>
        <v>1E-3</v>
      </c>
      <c r="D50" s="36">
        <f>_xlfn.XLOOKUP($A50,'Input_Cooling Towers'!$A$7:$A$98,'Input_Cooling Towers'!$F$7:$F$98)</f>
        <v>7700</v>
      </c>
      <c r="E50" s="36">
        <f>_xlfn.XLOOKUP($A50,'Input_Cooling Towers'!$A$7:$A$98,'Input_Cooling Towers'!$G$7:$G$98)</f>
        <v>3850</v>
      </c>
      <c r="F50" s="37">
        <f t="shared" si="2"/>
        <v>924.73920000000021</v>
      </c>
      <c r="G50" s="36">
        <f t="shared" si="15"/>
        <v>168764.90400000004</v>
      </c>
      <c r="H50" s="38" t="s">
        <v>250</v>
      </c>
      <c r="I50" s="38" t="s">
        <v>250</v>
      </c>
      <c r="J50" s="39">
        <f t="shared" si="18"/>
        <v>3.0110576572528022E-3</v>
      </c>
      <c r="K50" s="38" t="s">
        <v>250</v>
      </c>
      <c r="L50" s="40">
        <f t="shared" si="19"/>
        <v>0.46022727272727271</v>
      </c>
      <c r="M50" s="40">
        <f t="shared" si="20"/>
        <v>0.21454545454545454</v>
      </c>
      <c r="N50" s="41" t="str">
        <f t="shared" si="5"/>
        <v>--</v>
      </c>
      <c r="O50" s="42"/>
      <c r="P50" s="41" t="str">
        <f t="shared" si="6"/>
        <v>--</v>
      </c>
      <c r="Q50" s="42"/>
      <c r="R50" s="41" t="str">
        <f t="shared" si="7"/>
        <v>--</v>
      </c>
      <c r="S50" s="42"/>
      <c r="T50" s="41" t="str">
        <f t="shared" si="8"/>
        <v>--</v>
      </c>
      <c r="U50" s="42"/>
      <c r="V50" s="43">
        <f t="shared" si="9"/>
        <v>2.784443049121831E-6</v>
      </c>
      <c r="W50" s="42"/>
      <c r="X50" s="41">
        <f t="shared" si="10"/>
        <v>5.0816085646473422E-4</v>
      </c>
      <c r="Y50" s="42"/>
      <c r="Z50" s="43" t="str">
        <f t="shared" si="0"/>
        <v>--</v>
      </c>
      <c r="AA50" s="42"/>
      <c r="AB50" s="41" t="str">
        <f t="shared" si="1"/>
        <v>--</v>
      </c>
      <c r="AC50" s="42"/>
      <c r="AD50" s="43">
        <f t="shared" si="11"/>
        <v>4.2559020000000012E-4</v>
      </c>
      <c r="AE50" s="42"/>
      <c r="AF50" s="41">
        <f t="shared" si="12"/>
        <v>7.7670211500000017E-2</v>
      </c>
      <c r="AG50" s="42"/>
      <c r="AH50" s="41">
        <f t="shared" si="13"/>
        <v>1.9839859200000004E-4</v>
      </c>
      <c r="AI50" s="42"/>
      <c r="AJ50" s="41">
        <f t="shared" si="14"/>
        <v>3.6207743040000011E-2</v>
      </c>
      <c r="AK50" s="42"/>
    </row>
    <row r="51" spans="1:37" s="44" customFormat="1" ht="15" customHeight="1">
      <c r="A51" s="34" t="s">
        <v>101</v>
      </c>
      <c r="B51" s="35"/>
      <c r="C51" s="36">
        <f>_xlfn.XLOOKUP($A51,'Input_Cooling Towers'!$A$7:$A$98,'Input_Cooling Towers'!$H$7:$H$98)</f>
        <v>1E-3</v>
      </c>
      <c r="D51" s="36">
        <f>_xlfn.XLOOKUP($A51,'Input_Cooling Towers'!$A$7:$A$98,'Input_Cooling Towers'!$F$7:$F$98)</f>
        <v>7700</v>
      </c>
      <c r="E51" s="36">
        <f>_xlfn.XLOOKUP($A51,'Input_Cooling Towers'!$A$7:$A$98,'Input_Cooling Towers'!$G$7:$G$98)</f>
        <v>3850</v>
      </c>
      <c r="F51" s="37">
        <f t="shared" si="2"/>
        <v>924.73920000000021</v>
      </c>
      <c r="G51" s="36">
        <f t="shared" si="15"/>
        <v>168764.90400000004</v>
      </c>
      <c r="H51" s="38" t="s">
        <v>250</v>
      </c>
      <c r="I51" s="38" t="s">
        <v>250</v>
      </c>
      <c r="J51" s="39">
        <f t="shared" si="18"/>
        <v>3.0110576572528022E-3</v>
      </c>
      <c r="K51" s="38" t="s">
        <v>250</v>
      </c>
      <c r="L51" s="40">
        <f t="shared" si="19"/>
        <v>0.46022727272727271</v>
      </c>
      <c r="M51" s="40">
        <f t="shared" si="20"/>
        <v>0.21454545454545454</v>
      </c>
      <c r="N51" s="41" t="str">
        <f t="shared" si="5"/>
        <v>--</v>
      </c>
      <c r="O51" s="42"/>
      <c r="P51" s="41" t="str">
        <f t="shared" si="6"/>
        <v>--</v>
      </c>
      <c r="Q51" s="42"/>
      <c r="R51" s="41" t="str">
        <f t="shared" si="7"/>
        <v>--</v>
      </c>
      <c r="S51" s="42"/>
      <c r="T51" s="41" t="str">
        <f t="shared" si="8"/>
        <v>--</v>
      </c>
      <c r="U51" s="42"/>
      <c r="V51" s="43">
        <f t="shared" si="9"/>
        <v>2.784443049121831E-6</v>
      </c>
      <c r="W51" s="42"/>
      <c r="X51" s="41">
        <f t="shared" si="10"/>
        <v>5.0816085646473422E-4</v>
      </c>
      <c r="Y51" s="42"/>
      <c r="Z51" s="43" t="str">
        <f t="shared" si="0"/>
        <v>--</v>
      </c>
      <c r="AA51" s="42"/>
      <c r="AB51" s="41" t="str">
        <f t="shared" si="1"/>
        <v>--</v>
      </c>
      <c r="AC51" s="42"/>
      <c r="AD51" s="43">
        <f t="shared" si="11"/>
        <v>4.2559020000000012E-4</v>
      </c>
      <c r="AE51" s="42"/>
      <c r="AF51" s="41">
        <f t="shared" si="12"/>
        <v>7.7670211500000017E-2</v>
      </c>
      <c r="AG51" s="42"/>
      <c r="AH51" s="41">
        <f t="shared" si="13"/>
        <v>1.9839859200000004E-4</v>
      </c>
      <c r="AI51" s="42"/>
      <c r="AJ51" s="41">
        <f t="shared" si="14"/>
        <v>3.6207743040000011E-2</v>
      </c>
      <c r="AK51" s="42"/>
    </row>
    <row r="52" spans="1:37" s="44" customFormat="1" ht="15" customHeight="1">
      <c r="A52" s="34" t="s">
        <v>103</v>
      </c>
      <c r="B52" s="35"/>
      <c r="C52" s="36">
        <f>_xlfn.XLOOKUP($A52,'Input_Cooling Towers'!$A$7:$A$98,'Input_Cooling Towers'!$H$7:$H$98)</f>
        <v>1E-3</v>
      </c>
      <c r="D52" s="36">
        <f>_xlfn.XLOOKUP($A52,'Input_Cooling Towers'!$A$7:$A$98,'Input_Cooling Towers'!$F$7:$F$98)</f>
        <v>7700</v>
      </c>
      <c r="E52" s="36">
        <f>_xlfn.XLOOKUP($A52,'Input_Cooling Towers'!$A$7:$A$98,'Input_Cooling Towers'!$G$7:$G$98)</f>
        <v>3850</v>
      </c>
      <c r="F52" s="37">
        <f t="shared" si="2"/>
        <v>924.73920000000021</v>
      </c>
      <c r="G52" s="36">
        <f t="shared" si="15"/>
        <v>168764.90400000004</v>
      </c>
      <c r="H52" s="38" t="s">
        <v>250</v>
      </c>
      <c r="I52" s="38" t="s">
        <v>250</v>
      </c>
      <c r="J52" s="39">
        <f t="shared" si="18"/>
        <v>3.0110576572528022E-3</v>
      </c>
      <c r="K52" s="38" t="s">
        <v>250</v>
      </c>
      <c r="L52" s="40">
        <f t="shared" si="19"/>
        <v>0.46022727272727271</v>
      </c>
      <c r="M52" s="40">
        <f t="shared" si="20"/>
        <v>0.21454545454545454</v>
      </c>
      <c r="N52" s="41" t="str">
        <f t="shared" si="5"/>
        <v>--</v>
      </c>
      <c r="O52" s="42"/>
      <c r="P52" s="41" t="str">
        <f t="shared" si="6"/>
        <v>--</v>
      </c>
      <c r="Q52" s="42"/>
      <c r="R52" s="41" t="str">
        <f t="shared" si="7"/>
        <v>--</v>
      </c>
      <c r="S52" s="42"/>
      <c r="T52" s="41" t="str">
        <f t="shared" si="8"/>
        <v>--</v>
      </c>
      <c r="U52" s="42"/>
      <c r="V52" s="43">
        <f t="shared" si="9"/>
        <v>2.784443049121831E-6</v>
      </c>
      <c r="W52" s="42"/>
      <c r="X52" s="41">
        <f t="shared" si="10"/>
        <v>5.0816085646473422E-4</v>
      </c>
      <c r="Y52" s="42"/>
      <c r="Z52" s="43" t="str">
        <f t="shared" si="0"/>
        <v>--</v>
      </c>
      <c r="AA52" s="42"/>
      <c r="AB52" s="41" t="str">
        <f t="shared" si="1"/>
        <v>--</v>
      </c>
      <c r="AC52" s="42"/>
      <c r="AD52" s="43">
        <f t="shared" si="11"/>
        <v>4.2559020000000012E-4</v>
      </c>
      <c r="AE52" s="42"/>
      <c r="AF52" s="41">
        <f t="shared" si="12"/>
        <v>7.7670211500000017E-2</v>
      </c>
      <c r="AG52" s="42"/>
      <c r="AH52" s="41">
        <f t="shared" si="13"/>
        <v>1.9839859200000004E-4</v>
      </c>
      <c r="AI52" s="42"/>
      <c r="AJ52" s="41">
        <f t="shared" si="14"/>
        <v>3.6207743040000011E-2</v>
      </c>
      <c r="AK52" s="42"/>
    </row>
    <row r="53" spans="1:37" s="44" customFormat="1" ht="15" customHeight="1">
      <c r="A53" s="34" t="s">
        <v>105</v>
      </c>
      <c r="B53" s="35"/>
      <c r="C53" s="36">
        <f>_xlfn.XLOOKUP($A53,'Input_Cooling Towers'!$A$7:$A$98,'Input_Cooling Towers'!$H$7:$H$98)</f>
        <v>1E-3</v>
      </c>
      <c r="D53" s="36">
        <f>_xlfn.XLOOKUP($A53,'Input_Cooling Towers'!$A$7:$A$98,'Input_Cooling Towers'!$F$7:$F$98)</f>
        <v>7700</v>
      </c>
      <c r="E53" s="36">
        <f>_xlfn.XLOOKUP($A53,'Input_Cooling Towers'!$A$7:$A$98,'Input_Cooling Towers'!$G$7:$G$98)</f>
        <v>3850</v>
      </c>
      <c r="F53" s="37">
        <f t="shared" si="2"/>
        <v>924.73920000000021</v>
      </c>
      <c r="G53" s="36">
        <f t="shared" si="15"/>
        <v>168764.90400000004</v>
      </c>
      <c r="H53" s="38" t="s">
        <v>250</v>
      </c>
      <c r="I53" s="38" t="s">
        <v>250</v>
      </c>
      <c r="J53" s="39">
        <f t="shared" si="18"/>
        <v>3.0110576572528022E-3</v>
      </c>
      <c r="K53" s="38" t="s">
        <v>250</v>
      </c>
      <c r="L53" s="40">
        <f t="shared" si="19"/>
        <v>0.46022727272727271</v>
      </c>
      <c r="M53" s="40">
        <f t="shared" si="20"/>
        <v>0.21454545454545454</v>
      </c>
      <c r="N53" s="41" t="str">
        <f t="shared" si="5"/>
        <v>--</v>
      </c>
      <c r="O53" s="42"/>
      <c r="P53" s="41" t="str">
        <f t="shared" si="6"/>
        <v>--</v>
      </c>
      <c r="Q53" s="42"/>
      <c r="R53" s="41" t="str">
        <f t="shared" si="7"/>
        <v>--</v>
      </c>
      <c r="S53" s="42"/>
      <c r="T53" s="41" t="str">
        <f t="shared" si="8"/>
        <v>--</v>
      </c>
      <c r="U53" s="42"/>
      <c r="V53" s="43">
        <f t="shared" si="9"/>
        <v>2.784443049121831E-6</v>
      </c>
      <c r="W53" s="42"/>
      <c r="X53" s="41">
        <f t="shared" si="10"/>
        <v>5.0816085646473422E-4</v>
      </c>
      <c r="Y53" s="42"/>
      <c r="Z53" s="43" t="str">
        <f t="shared" si="0"/>
        <v>--</v>
      </c>
      <c r="AA53" s="42"/>
      <c r="AB53" s="41" t="str">
        <f t="shared" si="1"/>
        <v>--</v>
      </c>
      <c r="AC53" s="42"/>
      <c r="AD53" s="43">
        <f t="shared" si="11"/>
        <v>4.2559020000000012E-4</v>
      </c>
      <c r="AE53" s="42"/>
      <c r="AF53" s="41">
        <f t="shared" si="12"/>
        <v>7.7670211500000017E-2</v>
      </c>
      <c r="AG53" s="42"/>
      <c r="AH53" s="41">
        <f t="shared" si="13"/>
        <v>1.9839859200000004E-4</v>
      </c>
      <c r="AI53" s="42"/>
      <c r="AJ53" s="41">
        <f t="shared" si="14"/>
        <v>3.6207743040000011E-2</v>
      </c>
      <c r="AK53" s="42"/>
    </row>
    <row r="54" spans="1:37" s="44" customFormat="1" ht="15" customHeight="1">
      <c r="A54" s="34" t="s">
        <v>108</v>
      </c>
      <c r="B54" s="35"/>
      <c r="C54" s="36">
        <f>_xlfn.XLOOKUP($A54,'Input_Cooling Towers'!$A$7:$A$98,'Input_Cooling Towers'!$H$7:$H$98)</f>
        <v>1E-3</v>
      </c>
      <c r="D54" s="36">
        <f>_xlfn.XLOOKUP($A54,'Input_Cooling Towers'!$A$7:$A$98,'Input_Cooling Towers'!$F$7:$F$98)</f>
        <v>7700</v>
      </c>
      <c r="E54" s="36">
        <f>_xlfn.XLOOKUP($A54,'Input_Cooling Towers'!$A$7:$A$98,'Input_Cooling Towers'!$G$7:$G$98)</f>
        <v>3850</v>
      </c>
      <c r="F54" s="37">
        <f t="shared" si="2"/>
        <v>924.73920000000021</v>
      </c>
      <c r="G54" s="36">
        <f t="shared" si="15"/>
        <v>168764.90400000004</v>
      </c>
      <c r="H54" s="38" t="s">
        <v>250</v>
      </c>
      <c r="I54" s="38" t="s">
        <v>250</v>
      </c>
      <c r="J54" s="39">
        <f t="shared" si="18"/>
        <v>3.0110576572528022E-3</v>
      </c>
      <c r="K54" s="38" t="s">
        <v>250</v>
      </c>
      <c r="L54" s="40">
        <f t="shared" si="19"/>
        <v>0.46022727272727271</v>
      </c>
      <c r="M54" s="40">
        <f t="shared" si="20"/>
        <v>0.21454545454545454</v>
      </c>
      <c r="N54" s="41" t="str">
        <f t="shared" si="5"/>
        <v>--</v>
      </c>
      <c r="O54" s="42"/>
      <c r="P54" s="41" t="str">
        <f t="shared" si="6"/>
        <v>--</v>
      </c>
      <c r="Q54" s="42"/>
      <c r="R54" s="41" t="str">
        <f t="shared" si="7"/>
        <v>--</v>
      </c>
      <c r="S54" s="42"/>
      <c r="T54" s="41" t="str">
        <f t="shared" si="8"/>
        <v>--</v>
      </c>
      <c r="U54" s="42"/>
      <c r="V54" s="43">
        <f t="shared" si="9"/>
        <v>2.784443049121831E-6</v>
      </c>
      <c r="W54" s="42"/>
      <c r="X54" s="41">
        <f t="shared" si="10"/>
        <v>5.0816085646473422E-4</v>
      </c>
      <c r="Y54" s="42"/>
      <c r="Z54" s="43" t="str">
        <f t="shared" si="0"/>
        <v>--</v>
      </c>
      <c r="AA54" s="42"/>
      <c r="AB54" s="41" t="str">
        <f t="shared" si="1"/>
        <v>--</v>
      </c>
      <c r="AC54" s="42"/>
      <c r="AD54" s="43">
        <f t="shared" si="11"/>
        <v>4.2559020000000012E-4</v>
      </c>
      <c r="AE54" s="42"/>
      <c r="AF54" s="41">
        <f t="shared" si="12"/>
        <v>7.7670211500000017E-2</v>
      </c>
      <c r="AG54" s="42"/>
      <c r="AH54" s="41">
        <f t="shared" si="13"/>
        <v>1.9839859200000004E-4</v>
      </c>
      <c r="AI54" s="42"/>
      <c r="AJ54" s="41">
        <f t="shared" si="14"/>
        <v>3.6207743040000011E-2</v>
      </c>
      <c r="AK54" s="42"/>
    </row>
    <row r="55" spans="1:37" s="44" customFormat="1" ht="15" customHeight="1">
      <c r="A55" s="34" t="s">
        <v>110</v>
      </c>
      <c r="B55" s="35"/>
      <c r="C55" s="36">
        <f>_xlfn.XLOOKUP($A55,'Input_Cooling Towers'!$A$7:$A$98,'Input_Cooling Towers'!$H$7:$H$98)</f>
        <v>1E-3</v>
      </c>
      <c r="D55" s="36">
        <f>_xlfn.XLOOKUP($A55,'Input_Cooling Towers'!$A$7:$A$98,'Input_Cooling Towers'!$F$7:$F$98)</f>
        <v>7700</v>
      </c>
      <c r="E55" s="36">
        <f>_xlfn.XLOOKUP($A55,'Input_Cooling Towers'!$A$7:$A$98,'Input_Cooling Towers'!$G$7:$G$98)</f>
        <v>3850</v>
      </c>
      <c r="F55" s="37">
        <f t="shared" si="2"/>
        <v>924.73920000000021</v>
      </c>
      <c r="G55" s="36">
        <f t="shared" si="15"/>
        <v>168764.90400000004</v>
      </c>
      <c r="H55" s="38" t="s">
        <v>250</v>
      </c>
      <c r="I55" s="38" t="s">
        <v>250</v>
      </c>
      <c r="J55" s="39">
        <f t="shared" si="18"/>
        <v>3.0110576572528022E-3</v>
      </c>
      <c r="K55" s="38" t="s">
        <v>250</v>
      </c>
      <c r="L55" s="40">
        <f t="shared" si="19"/>
        <v>0.46022727272727271</v>
      </c>
      <c r="M55" s="40">
        <f t="shared" si="20"/>
        <v>0.21454545454545454</v>
      </c>
      <c r="N55" s="41" t="str">
        <f t="shared" si="5"/>
        <v>--</v>
      </c>
      <c r="O55" s="42"/>
      <c r="P55" s="41" t="str">
        <f t="shared" si="6"/>
        <v>--</v>
      </c>
      <c r="Q55" s="42"/>
      <c r="R55" s="41" t="str">
        <f t="shared" si="7"/>
        <v>--</v>
      </c>
      <c r="S55" s="42"/>
      <c r="T55" s="41" t="str">
        <f t="shared" si="8"/>
        <v>--</v>
      </c>
      <c r="U55" s="42"/>
      <c r="V55" s="43">
        <f t="shared" si="9"/>
        <v>2.784443049121831E-6</v>
      </c>
      <c r="W55" s="42"/>
      <c r="X55" s="41">
        <f t="shared" si="10"/>
        <v>5.0816085646473422E-4</v>
      </c>
      <c r="Y55" s="42"/>
      <c r="Z55" s="43" t="str">
        <f t="shared" si="0"/>
        <v>--</v>
      </c>
      <c r="AA55" s="42"/>
      <c r="AB55" s="41" t="str">
        <f t="shared" si="1"/>
        <v>--</v>
      </c>
      <c r="AC55" s="42"/>
      <c r="AD55" s="43">
        <f t="shared" si="11"/>
        <v>4.2559020000000012E-4</v>
      </c>
      <c r="AE55" s="42"/>
      <c r="AF55" s="41">
        <f t="shared" si="12"/>
        <v>7.7670211500000017E-2</v>
      </c>
      <c r="AG55" s="42"/>
      <c r="AH55" s="41">
        <f t="shared" si="13"/>
        <v>1.9839859200000004E-4</v>
      </c>
      <c r="AI55" s="42"/>
      <c r="AJ55" s="41">
        <f t="shared" si="14"/>
        <v>3.6207743040000011E-2</v>
      </c>
      <c r="AK55" s="42"/>
    </row>
    <row r="56" spans="1:37" s="44" customFormat="1" ht="15" customHeight="1">
      <c r="A56" s="34" t="s">
        <v>112</v>
      </c>
      <c r="B56" s="35"/>
      <c r="C56" s="36">
        <f>_xlfn.XLOOKUP($A56,'Input_Cooling Towers'!$A$7:$A$98,'Input_Cooling Towers'!$H$7:$H$98)</f>
        <v>1E-3</v>
      </c>
      <c r="D56" s="36">
        <f>_xlfn.XLOOKUP($A56,'Input_Cooling Towers'!$A$7:$A$98,'Input_Cooling Towers'!$F$7:$F$98)</f>
        <v>7700</v>
      </c>
      <c r="E56" s="36">
        <f>_xlfn.XLOOKUP($A56,'Input_Cooling Towers'!$A$7:$A$98,'Input_Cooling Towers'!$G$7:$G$98)</f>
        <v>3850</v>
      </c>
      <c r="F56" s="37">
        <f t="shared" si="2"/>
        <v>924.73920000000021</v>
      </c>
      <c r="G56" s="36">
        <f t="shared" si="15"/>
        <v>168764.90400000004</v>
      </c>
      <c r="H56" s="38" t="s">
        <v>250</v>
      </c>
      <c r="I56" s="38" t="s">
        <v>250</v>
      </c>
      <c r="J56" s="39">
        <f t="shared" si="18"/>
        <v>3.0110576572528022E-3</v>
      </c>
      <c r="K56" s="38" t="s">
        <v>250</v>
      </c>
      <c r="L56" s="40">
        <f t="shared" si="19"/>
        <v>0.46022727272727271</v>
      </c>
      <c r="M56" s="40">
        <f t="shared" si="20"/>
        <v>0.21454545454545454</v>
      </c>
      <c r="N56" s="41" t="str">
        <f t="shared" si="5"/>
        <v>--</v>
      </c>
      <c r="O56" s="42"/>
      <c r="P56" s="41" t="str">
        <f t="shared" si="6"/>
        <v>--</v>
      </c>
      <c r="Q56" s="42"/>
      <c r="R56" s="41" t="str">
        <f t="shared" si="7"/>
        <v>--</v>
      </c>
      <c r="S56" s="42"/>
      <c r="T56" s="41" t="str">
        <f t="shared" si="8"/>
        <v>--</v>
      </c>
      <c r="U56" s="42"/>
      <c r="V56" s="43">
        <f t="shared" si="9"/>
        <v>2.784443049121831E-6</v>
      </c>
      <c r="W56" s="42"/>
      <c r="X56" s="41">
        <f t="shared" si="10"/>
        <v>5.0816085646473422E-4</v>
      </c>
      <c r="Y56" s="42"/>
      <c r="Z56" s="43" t="str">
        <f t="shared" si="0"/>
        <v>--</v>
      </c>
      <c r="AA56" s="42"/>
      <c r="AB56" s="41" t="str">
        <f t="shared" si="1"/>
        <v>--</v>
      </c>
      <c r="AC56" s="42"/>
      <c r="AD56" s="43">
        <f t="shared" si="11"/>
        <v>4.2559020000000012E-4</v>
      </c>
      <c r="AE56" s="42"/>
      <c r="AF56" s="41">
        <f t="shared" si="12"/>
        <v>7.7670211500000017E-2</v>
      </c>
      <c r="AG56" s="42"/>
      <c r="AH56" s="41">
        <f t="shared" si="13"/>
        <v>1.9839859200000004E-4</v>
      </c>
      <c r="AI56" s="42"/>
      <c r="AJ56" s="41">
        <f t="shared" si="14"/>
        <v>3.6207743040000011E-2</v>
      </c>
      <c r="AK56" s="42"/>
    </row>
    <row r="57" spans="1:37" s="44" customFormat="1" ht="15" customHeight="1">
      <c r="A57" s="34" t="s">
        <v>114</v>
      </c>
      <c r="B57" s="35"/>
      <c r="C57" s="36">
        <f>_xlfn.XLOOKUP($A57,'Input_Cooling Towers'!$A$7:$A$98,'Input_Cooling Towers'!$H$7:$H$98)</f>
        <v>1E-3</v>
      </c>
      <c r="D57" s="36">
        <f>_xlfn.XLOOKUP($A57,'Input_Cooling Towers'!$A$7:$A$98,'Input_Cooling Towers'!$F$7:$F$98)</f>
        <v>7700</v>
      </c>
      <c r="E57" s="36">
        <f>_xlfn.XLOOKUP($A57,'Input_Cooling Towers'!$A$7:$A$98,'Input_Cooling Towers'!$G$7:$G$98)</f>
        <v>3850</v>
      </c>
      <c r="F57" s="37">
        <f t="shared" si="2"/>
        <v>924.73920000000021</v>
      </c>
      <c r="G57" s="36">
        <f t="shared" si="15"/>
        <v>168764.90400000004</v>
      </c>
      <c r="H57" s="38" t="s">
        <v>250</v>
      </c>
      <c r="I57" s="38" t="s">
        <v>250</v>
      </c>
      <c r="J57" s="39">
        <f t="shared" si="18"/>
        <v>3.0110576572528022E-3</v>
      </c>
      <c r="K57" s="38" t="s">
        <v>250</v>
      </c>
      <c r="L57" s="40">
        <f t="shared" si="19"/>
        <v>0.46022727272727271</v>
      </c>
      <c r="M57" s="40">
        <f t="shared" si="20"/>
        <v>0.21454545454545454</v>
      </c>
      <c r="N57" s="41" t="str">
        <f t="shared" si="5"/>
        <v>--</v>
      </c>
      <c r="O57" s="42"/>
      <c r="P57" s="41" t="str">
        <f t="shared" si="6"/>
        <v>--</v>
      </c>
      <c r="Q57" s="42"/>
      <c r="R57" s="41" t="str">
        <f t="shared" si="7"/>
        <v>--</v>
      </c>
      <c r="S57" s="42"/>
      <c r="T57" s="41" t="str">
        <f t="shared" si="8"/>
        <v>--</v>
      </c>
      <c r="U57" s="42"/>
      <c r="V57" s="43">
        <f t="shared" si="9"/>
        <v>2.784443049121831E-6</v>
      </c>
      <c r="W57" s="42"/>
      <c r="X57" s="41">
        <f t="shared" si="10"/>
        <v>5.0816085646473422E-4</v>
      </c>
      <c r="Y57" s="42"/>
      <c r="Z57" s="43" t="str">
        <f t="shared" si="0"/>
        <v>--</v>
      </c>
      <c r="AA57" s="42"/>
      <c r="AB57" s="41" t="str">
        <f t="shared" si="1"/>
        <v>--</v>
      </c>
      <c r="AC57" s="42"/>
      <c r="AD57" s="43">
        <f t="shared" si="11"/>
        <v>4.2559020000000012E-4</v>
      </c>
      <c r="AE57" s="42"/>
      <c r="AF57" s="41">
        <f t="shared" si="12"/>
        <v>7.7670211500000017E-2</v>
      </c>
      <c r="AG57" s="42"/>
      <c r="AH57" s="41">
        <f t="shared" si="13"/>
        <v>1.9839859200000004E-4</v>
      </c>
      <c r="AI57" s="42"/>
      <c r="AJ57" s="41">
        <f t="shared" si="14"/>
        <v>3.6207743040000011E-2</v>
      </c>
      <c r="AK57" s="42"/>
    </row>
    <row r="58" spans="1:37" s="44" customFormat="1" ht="15" customHeight="1">
      <c r="A58" s="34" t="s">
        <v>116</v>
      </c>
      <c r="B58" s="35"/>
      <c r="C58" s="36">
        <f>_xlfn.XLOOKUP($A58,'Input_Cooling Towers'!$A$7:$A$98,'Input_Cooling Towers'!$H$7:$H$98)</f>
        <v>1E-3</v>
      </c>
      <c r="D58" s="36">
        <f>_xlfn.XLOOKUP($A58,'Input_Cooling Towers'!$A$7:$A$98,'Input_Cooling Towers'!$F$7:$F$98)</f>
        <v>7700</v>
      </c>
      <c r="E58" s="36">
        <f>_xlfn.XLOOKUP($A58,'Input_Cooling Towers'!$A$7:$A$98,'Input_Cooling Towers'!$G$7:$G$98)</f>
        <v>3850</v>
      </c>
      <c r="F58" s="37">
        <f t="shared" si="2"/>
        <v>924.73920000000021</v>
      </c>
      <c r="G58" s="36">
        <f t="shared" si="15"/>
        <v>168764.90400000004</v>
      </c>
      <c r="H58" s="38" t="s">
        <v>250</v>
      </c>
      <c r="I58" s="38" t="s">
        <v>250</v>
      </c>
      <c r="J58" s="39">
        <f t="shared" si="18"/>
        <v>3.0110576572528022E-3</v>
      </c>
      <c r="K58" s="38" t="s">
        <v>250</v>
      </c>
      <c r="L58" s="40">
        <f t="shared" si="19"/>
        <v>0.46022727272727271</v>
      </c>
      <c r="M58" s="40">
        <f t="shared" si="20"/>
        <v>0.21454545454545454</v>
      </c>
      <c r="N58" s="41" t="str">
        <f t="shared" si="5"/>
        <v>--</v>
      </c>
      <c r="O58" s="42"/>
      <c r="P58" s="41" t="str">
        <f t="shared" si="6"/>
        <v>--</v>
      </c>
      <c r="Q58" s="42"/>
      <c r="R58" s="41" t="str">
        <f t="shared" si="7"/>
        <v>--</v>
      </c>
      <c r="S58" s="42"/>
      <c r="T58" s="41" t="str">
        <f t="shared" si="8"/>
        <v>--</v>
      </c>
      <c r="U58" s="42"/>
      <c r="V58" s="43">
        <f t="shared" si="9"/>
        <v>2.784443049121831E-6</v>
      </c>
      <c r="W58" s="42"/>
      <c r="X58" s="41">
        <f t="shared" si="10"/>
        <v>5.0816085646473422E-4</v>
      </c>
      <c r="Y58" s="42"/>
      <c r="Z58" s="43" t="str">
        <f t="shared" si="0"/>
        <v>--</v>
      </c>
      <c r="AA58" s="42"/>
      <c r="AB58" s="41" t="str">
        <f t="shared" si="1"/>
        <v>--</v>
      </c>
      <c r="AC58" s="42"/>
      <c r="AD58" s="43">
        <f t="shared" si="11"/>
        <v>4.2559020000000012E-4</v>
      </c>
      <c r="AE58" s="42"/>
      <c r="AF58" s="41">
        <f t="shared" si="12"/>
        <v>7.7670211500000017E-2</v>
      </c>
      <c r="AG58" s="42"/>
      <c r="AH58" s="41">
        <f t="shared" si="13"/>
        <v>1.9839859200000004E-4</v>
      </c>
      <c r="AI58" s="42"/>
      <c r="AJ58" s="41">
        <f t="shared" si="14"/>
        <v>3.6207743040000011E-2</v>
      </c>
      <c r="AK58" s="42"/>
    </row>
    <row r="59" spans="1:37" s="44" customFormat="1" ht="15" customHeight="1">
      <c r="A59" s="34" t="s">
        <v>118</v>
      </c>
      <c r="B59" s="35"/>
      <c r="C59" s="36">
        <f>_xlfn.XLOOKUP($A59,'Input_Cooling Towers'!$A$7:$A$98,'Input_Cooling Towers'!$H$7:$H$98)</f>
        <v>1E-3</v>
      </c>
      <c r="D59" s="36">
        <f>_xlfn.XLOOKUP($A59,'Input_Cooling Towers'!$A$7:$A$98,'Input_Cooling Towers'!$F$7:$F$98)</f>
        <v>3844</v>
      </c>
      <c r="E59" s="36">
        <f>_xlfn.XLOOKUP($A59,'Input_Cooling Towers'!$A$7:$A$98,'Input_Cooling Towers'!$G$7:$G$98)</f>
        <v>1922</v>
      </c>
      <c r="F59" s="37">
        <f t="shared" si="2"/>
        <v>461.64902399999994</v>
      </c>
      <c r="G59" s="36">
        <f t="shared" si="15"/>
        <v>84250.946879999989</v>
      </c>
      <c r="H59" s="46">
        <f>75/3</f>
        <v>25</v>
      </c>
      <c r="I59" s="40">
        <f>0.825/3</f>
        <v>0.27499999999999997</v>
      </c>
      <c r="J59" s="45">
        <f>$H$107*$H$102/$H$103</f>
        <v>1.1040544743260276E-2</v>
      </c>
      <c r="K59" s="38" t="s">
        <v>250</v>
      </c>
      <c r="L59" s="36">
        <f>5.0625/3</f>
        <v>1.6875</v>
      </c>
      <c r="M59" s="36">
        <f>2.3625/3</f>
        <v>0.78749999999999998</v>
      </c>
      <c r="N59" s="41">
        <f t="shared" si="5"/>
        <v>1.1541225599999998E-2</v>
      </c>
      <c r="O59" s="42"/>
      <c r="P59" s="41">
        <f t="shared" si="6"/>
        <v>2.1062736719999999</v>
      </c>
      <c r="Q59" s="42"/>
      <c r="R59" s="41">
        <f t="shared" si="7"/>
        <v>1.2695348159999997E-4</v>
      </c>
      <c r="S59" s="42"/>
      <c r="T59" s="41">
        <f t="shared" si="8"/>
        <v>2.3169010391999992E-2</v>
      </c>
      <c r="U59" s="42"/>
      <c r="V59" s="43">
        <f t="shared" si="9"/>
        <v>5.0968567051544364E-6</v>
      </c>
      <c r="W59" s="42"/>
      <c r="X59" s="41">
        <f t="shared" si="10"/>
        <v>9.3017634869068451E-4</v>
      </c>
      <c r="Y59" s="42"/>
      <c r="Z59" s="43" t="str">
        <f t="shared" si="0"/>
        <v>--</v>
      </c>
      <c r="AA59" s="42"/>
      <c r="AB59" s="41" t="str">
        <f t="shared" si="1"/>
        <v>--</v>
      </c>
      <c r="AC59" s="42"/>
      <c r="AD59" s="43">
        <f t="shared" si="11"/>
        <v>7.7903272799999994E-4</v>
      </c>
      <c r="AE59" s="42"/>
      <c r="AF59" s="41">
        <f t="shared" si="12"/>
        <v>0.14217347285999998</v>
      </c>
      <c r="AG59" s="42"/>
      <c r="AH59" s="41">
        <f t="shared" si="13"/>
        <v>3.6354860639999993E-4</v>
      </c>
      <c r="AI59" s="42"/>
      <c r="AJ59" s="41">
        <f t="shared" si="14"/>
        <v>6.6347620667999985E-2</v>
      </c>
      <c r="AK59" s="42"/>
    </row>
    <row r="60" spans="1:37" s="44" customFormat="1" ht="15" customHeight="1">
      <c r="A60" s="34" t="s">
        <v>121</v>
      </c>
      <c r="B60" s="35"/>
      <c r="C60" s="36">
        <f>_xlfn.XLOOKUP($A60,'Input_Cooling Towers'!$A$7:$A$98,'Input_Cooling Towers'!$H$7:$H$98)</f>
        <v>1E-3</v>
      </c>
      <c r="D60" s="36">
        <f>_xlfn.XLOOKUP($A60,'Input_Cooling Towers'!$A$7:$A$98,'Input_Cooling Towers'!$F$7:$F$98)</f>
        <v>3844</v>
      </c>
      <c r="E60" s="36">
        <f>_xlfn.XLOOKUP($A60,'Input_Cooling Towers'!$A$7:$A$98,'Input_Cooling Towers'!$G$7:$G$98)</f>
        <v>1922</v>
      </c>
      <c r="F60" s="37">
        <f t="shared" si="2"/>
        <v>461.64902399999994</v>
      </c>
      <c r="G60" s="36">
        <f t="shared" si="15"/>
        <v>84250.946879999989</v>
      </c>
      <c r="H60" s="46">
        <f t="shared" ref="H60:H61" si="21">75/3</f>
        <v>25</v>
      </c>
      <c r="I60" s="40">
        <f t="shared" ref="I60:I61" si="22">0.825/3</f>
        <v>0.27499999999999997</v>
      </c>
      <c r="J60" s="45">
        <f>$H$107*$H$102/$H$103</f>
        <v>1.1040544743260276E-2</v>
      </c>
      <c r="K60" s="38" t="s">
        <v>250</v>
      </c>
      <c r="L60" s="36">
        <f t="shared" ref="L60:L61" si="23">5.0625/3</f>
        <v>1.6875</v>
      </c>
      <c r="M60" s="36">
        <f t="shared" ref="M60:M61" si="24">2.3625/3</f>
        <v>0.78749999999999998</v>
      </c>
      <c r="N60" s="41">
        <f t="shared" si="5"/>
        <v>1.1541225599999998E-2</v>
      </c>
      <c r="O60" s="42"/>
      <c r="P60" s="41">
        <f t="shared" si="6"/>
        <v>2.1062736719999999</v>
      </c>
      <c r="Q60" s="42"/>
      <c r="R60" s="41">
        <f t="shared" si="7"/>
        <v>1.2695348159999997E-4</v>
      </c>
      <c r="S60" s="42"/>
      <c r="T60" s="41">
        <f t="shared" si="8"/>
        <v>2.3169010391999992E-2</v>
      </c>
      <c r="U60" s="42"/>
      <c r="V60" s="43">
        <f t="shared" si="9"/>
        <v>5.0968567051544364E-6</v>
      </c>
      <c r="W60" s="42"/>
      <c r="X60" s="41">
        <f t="shared" si="10"/>
        <v>9.3017634869068451E-4</v>
      </c>
      <c r="Y60" s="42"/>
      <c r="Z60" s="43" t="str">
        <f t="shared" si="0"/>
        <v>--</v>
      </c>
      <c r="AA60" s="42"/>
      <c r="AB60" s="41" t="str">
        <f t="shared" si="1"/>
        <v>--</v>
      </c>
      <c r="AC60" s="42"/>
      <c r="AD60" s="43">
        <f t="shared" si="11"/>
        <v>7.7903272799999994E-4</v>
      </c>
      <c r="AE60" s="42"/>
      <c r="AF60" s="41">
        <f t="shared" si="12"/>
        <v>0.14217347285999998</v>
      </c>
      <c r="AG60" s="42"/>
      <c r="AH60" s="41">
        <f t="shared" si="13"/>
        <v>3.6354860639999993E-4</v>
      </c>
      <c r="AI60" s="42"/>
      <c r="AJ60" s="41">
        <f t="shared" si="14"/>
        <v>6.6347620667999985E-2</v>
      </c>
      <c r="AK60" s="42"/>
    </row>
    <row r="61" spans="1:37" s="44" customFormat="1" ht="15" customHeight="1">
      <c r="A61" s="34" t="s">
        <v>123</v>
      </c>
      <c r="B61" s="35"/>
      <c r="C61" s="36">
        <f>_xlfn.XLOOKUP($A61,'Input_Cooling Towers'!$A$7:$A$98,'Input_Cooling Towers'!$H$7:$H$98)</f>
        <v>1E-3</v>
      </c>
      <c r="D61" s="36">
        <f>_xlfn.XLOOKUP($A61,'Input_Cooling Towers'!$A$7:$A$98,'Input_Cooling Towers'!$F$7:$F$98)</f>
        <v>3844</v>
      </c>
      <c r="E61" s="36">
        <f>_xlfn.XLOOKUP($A61,'Input_Cooling Towers'!$A$7:$A$98,'Input_Cooling Towers'!$G$7:$G$98)</f>
        <v>1922</v>
      </c>
      <c r="F61" s="37">
        <f t="shared" si="2"/>
        <v>461.64902399999994</v>
      </c>
      <c r="G61" s="36">
        <f t="shared" si="15"/>
        <v>84250.946879999989</v>
      </c>
      <c r="H61" s="46">
        <f t="shared" si="21"/>
        <v>25</v>
      </c>
      <c r="I61" s="40">
        <f t="shared" si="22"/>
        <v>0.27499999999999997</v>
      </c>
      <c r="J61" s="45">
        <f>$H$107*$H$102/$H$103</f>
        <v>1.1040544743260276E-2</v>
      </c>
      <c r="K61" s="38" t="s">
        <v>250</v>
      </c>
      <c r="L61" s="36">
        <f t="shared" si="23"/>
        <v>1.6875</v>
      </c>
      <c r="M61" s="36">
        <f t="shared" si="24"/>
        <v>0.78749999999999998</v>
      </c>
      <c r="N61" s="41">
        <f t="shared" si="5"/>
        <v>1.1541225599999998E-2</v>
      </c>
      <c r="O61" s="42"/>
      <c r="P61" s="41">
        <f t="shared" si="6"/>
        <v>2.1062736719999999</v>
      </c>
      <c r="Q61" s="42"/>
      <c r="R61" s="41">
        <f t="shared" si="7"/>
        <v>1.2695348159999997E-4</v>
      </c>
      <c r="S61" s="42"/>
      <c r="T61" s="41">
        <f t="shared" si="8"/>
        <v>2.3169010391999992E-2</v>
      </c>
      <c r="U61" s="42"/>
      <c r="V61" s="43">
        <f t="shared" si="9"/>
        <v>5.0968567051544364E-6</v>
      </c>
      <c r="W61" s="42"/>
      <c r="X61" s="41">
        <f t="shared" si="10"/>
        <v>9.3017634869068451E-4</v>
      </c>
      <c r="Y61" s="42"/>
      <c r="Z61" s="43" t="str">
        <f t="shared" si="0"/>
        <v>--</v>
      </c>
      <c r="AA61" s="42"/>
      <c r="AB61" s="41" t="str">
        <f t="shared" si="1"/>
        <v>--</v>
      </c>
      <c r="AC61" s="42"/>
      <c r="AD61" s="43">
        <f t="shared" si="11"/>
        <v>7.7903272799999994E-4</v>
      </c>
      <c r="AE61" s="42"/>
      <c r="AF61" s="41">
        <f t="shared" si="12"/>
        <v>0.14217347285999998</v>
      </c>
      <c r="AG61" s="42"/>
      <c r="AH61" s="41">
        <f t="shared" si="13"/>
        <v>3.6354860639999993E-4</v>
      </c>
      <c r="AI61" s="42"/>
      <c r="AJ61" s="41">
        <f t="shared" si="14"/>
        <v>6.6347620667999985E-2</v>
      </c>
      <c r="AK61" s="42"/>
    </row>
    <row r="62" spans="1:37" s="44" customFormat="1" ht="15" customHeight="1">
      <c r="A62" s="34" t="s">
        <v>125</v>
      </c>
      <c r="B62" s="35"/>
      <c r="C62" s="36">
        <f>_xlfn.XLOOKUP($A62,'Input_Cooling Towers'!$A$7:$A$98,'Input_Cooling Towers'!$H$7:$H$98)</f>
        <v>1E-3</v>
      </c>
      <c r="D62" s="36">
        <f>_xlfn.XLOOKUP($A62,'Input_Cooling Towers'!$A$7:$A$98,'Input_Cooling Towers'!$F$7:$F$98)</f>
        <v>8000</v>
      </c>
      <c r="E62" s="36">
        <f>_xlfn.XLOOKUP($A62,'Input_Cooling Towers'!$A$7:$A$98,'Input_Cooling Towers'!$G$7:$G$98)</f>
        <v>4000</v>
      </c>
      <c r="F62" s="37">
        <f t="shared" si="2"/>
        <v>960.76800000000003</v>
      </c>
      <c r="G62" s="36">
        <f t="shared" si="15"/>
        <v>175340.16</v>
      </c>
      <c r="H62" s="40">
        <f>75/10</f>
        <v>7.5</v>
      </c>
      <c r="I62" s="45">
        <f>0.825/10</f>
        <v>8.249999999999999E-2</v>
      </c>
      <c r="J62" s="39">
        <f>$H$108*$H$102/$H$103</f>
        <v>3.3121634229780826E-3</v>
      </c>
      <c r="K62" s="38" t="s">
        <v>250</v>
      </c>
      <c r="L62" s="40">
        <f>5.0625/10</f>
        <v>0.50624999999999998</v>
      </c>
      <c r="M62" s="40">
        <f>2.3625/10</f>
        <v>0.23624999999999999</v>
      </c>
      <c r="N62" s="41">
        <f t="shared" si="5"/>
        <v>7.2057600000000003E-3</v>
      </c>
      <c r="O62" s="42"/>
      <c r="P62" s="41">
        <f t="shared" si="6"/>
        <v>1.3150511999999999</v>
      </c>
      <c r="Q62" s="42"/>
      <c r="R62" s="41">
        <f t="shared" si="7"/>
        <v>7.9263359999999988E-5</v>
      </c>
      <c r="S62" s="42"/>
      <c r="T62" s="41">
        <f t="shared" si="8"/>
        <v>1.4465563199999998E-2</v>
      </c>
      <c r="U62" s="42"/>
      <c r="V62" s="43">
        <f t="shared" si="9"/>
        <v>3.1822206275678066E-6</v>
      </c>
      <c r="W62" s="42"/>
      <c r="X62" s="41">
        <f t="shared" si="10"/>
        <v>5.8075526453112473E-4</v>
      </c>
      <c r="Y62" s="42"/>
      <c r="Z62" s="43" t="str">
        <f t="shared" si="0"/>
        <v>--</v>
      </c>
      <c r="AA62" s="42"/>
      <c r="AB62" s="41" t="str">
        <f t="shared" si="1"/>
        <v>--</v>
      </c>
      <c r="AC62" s="42"/>
      <c r="AD62" s="43">
        <f t="shared" si="11"/>
        <v>4.8638879999999998E-4</v>
      </c>
      <c r="AE62" s="42"/>
      <c r="AF62" s="41">
        <f t="shared" si="12"/>
        <v>8.8765955999999993E-2</v>
      </c>
      <c r="AG62" s="42"/>
      <c r="AH62" s="41">
        <f t="shared" si="13"/>
        <v>2.2698143999999999E-4</v>
      </c>
      <c r="AI62" s="42"/>
      <c r="AJ62" s="41">
        <f t="shared" si="14"/>
        <v>4.1424112799999996E-2</v>
      </c>
      <c r="AK62" s="42"/>
    </row>
    <row r="63" spans="1:37" s="44" customFormat="1" ht="15" customHeight="1">
      <c r="A63" s="34" t="s">
        <v>128</v>
      </c>
      <c r="B63" s="35"/>
      <c r="C63" s="36">
        <f>_xlfn.XLOOKUP($A63,'Input_Cooling Towers'!$A$7:$A$98,'Input_Cooling Towers'!$H$7:$H$98)</f>
        <v>1E-3</v>
      </c>
      <c r="D63" s="36">
        <f>_xlfn.XLOOKUP($A63,'Input_Cooling Towers'!$A$7:$A$98,'Input_Cooling Towers'!$F$7:$F$98)</f>
        <v>8000</v>
      </c>
      <c r="E63" s="36">
        <f>_xlfn.XLOOKUP($A63,'Input_Cooling Towers'!$A$7:$A$98,'Input_Cooling Towers'!$G$7:$G$98)</f>
        <v>4000</v>
      </c>
      <c r="F63" s="37">
        <f t="shared" si="2"/>
        <v>960.76800000000003</v>
      </c>
      <c r="G63" s="36">
        <f t="shared" si="15"/>
        <v>175340.16</v>
      </c>
      <c r="H63" s="40">
        <f t="shared" ref="H63:H71" si="25">75/10</f>
        <v>7.5</v>
      </c>
      <c r="I63" s="45">
        <f t="shared" ref="I63:I71" si="26">0.825/10</f>
        <v>8.249999999999999E-2</v>
      </c>
      <c r="J63" s="39">
        <f t="shared" ref="J63:J71" si="27">$H$108*$H$102/$H$103</f>
        <v>3.3121634229780826E-3</v>
      </c>
      <c r="K63" s="38" t="s">
        <v>250</v>
      </c>
      <c r="L63" s="40">
        <f t="shared" ref="L63:L71" si="28">5.0625/10</f>
        <v>0.50624999999999998</v>
      </c>
      <c r="M63" s="40">
        <f t="shared" ref="M63:M71" si="29">2.3625/10</f>
        <v>0.23624999999999999</v>
      </c>
      <c r="N63" s="41">
        <f t="shared" si="5"/>
        <v>7.2057600000000003E-3</v>
      </c>
      <c r="O63" s="42"/>
      <c r="P63" s="41">
        <f t="shared" si="6"/>
        <v>1.3150511999999999</v>
      </c>
      <c r="Q63" s="42"/>
      <c r="R63" s="41">
        <f t="shared" si="7"/>
        <v>7.9263359999999988E-5</v>
      </c>
      <c r="S63" s="42"/>
      <c r="T63" s="41">
        <f t="shared" si="8"/>
        <v>1.4465563199999998E-2</v>
      </c>
      <c r="U63" s="42"/>
      <c r="V63" s="43">
        <f t="shared" si="9"/>
        <v>3.1822206275678066E-6</v>
      </c>
      <c r="W63" s="42"/>
      <c r="X63" s="41">
        <f t="shared" si="10"/>
        <v>5.8075526453112473E-4</v>
      </c>
      <c r="Y63" s="42"/>
      <c r="Z63" s="43" t="str">
        <f t="shared" si="0"/>
        <v>--</v>
      </c>
      <c r="AA63" s="42"/>
      <c r="AB63" s="41" t="str">
        <f t="shared" si="1"/>
        <v>--</v>
      </c>
      <c r="AC63" s="42"/>
      <c r="AD63" s="43">
        <f t="shared" si="11"/>
        <v>4.8638879999999998E-4</v>
      </c>
      <c r="AE63" s="42"/>
      <c r="AF63" s="41">
        <f t="shared" si="12"/>
        <v>8.8765955999999993E-2</v>
      </c>
      <c r="AG63" s="42"/>
      <c r="AH63" s="41">
        <f t="shared" si="13"/>
        <v>2.2698143999999999E-4</v>
      </c>
      <c r="AI63" s="42"/>
      <c r="AJ63" s="41">
        <f t="shared" si="14"/>
        <v>4.1424112799999996E-2</v>
      </c>
      <c r="AK63" s="42"/>
    </row>
    <row r="64" spans="1:37" s="44" customFormat="1" ht="15" customHeight="1">
      <c r="A64" s="34" t="s">
        <v>130</v>
      </c>
      <c r="B64" s="35"/>
      <c r="C64" s="36">
        <f>_xlfn.XLOOKUP($A64,'Input_Cooling Towers'!$A$7:$A$98,'Input_Cooling Towers'!$H$7:$H$98)</f>
        <v>1E-3</v>
      </c>
      <c r="D64" s="36">
        <f>_xlfn.XLOOKUP($A64,'Input_Cooling Towers'!$A$7:$A$98,'Input_Cooling Towers'!$F$7:$F$98)</f>
        <v>8000</v>
      </c>
      <c r="E64" s="36">
        <f>_xlfn.XLOOKUP($A64,'Input_Cooling Towers'!$A$7:$A$98,'Input_Cooling Towers'!$G$7:$G$98)</f>
        <v>4000</v>
      </c>
      <c r="F64" s="37">
        <f t="shared" si="2"/>
        <v>960.76800000000003</v>
      </c>
      <c r="G64" s="36">
        <f t="shared" si="15"/>
        <v>175340.16</v>
      </c>
      <c r="H64" s="40">
        <f t="shared" si="25"/>
        <v>7.5</v>
      </c>
      <c r="I64" s="45">
        <f t="shared" si="26"/>
        <v>8.249999999999999E-2</v>
      </c>
      <c r="J64" s="39">
        <f t="shared" si="27"/>
        <v>3.3121634229780826E-3</v>
      </c>
      <c r="K64" s="38" t="s">
        <v>250</v>
      </c>
      <c r="L64" s="40">
        <f t="shared" si="28"/>
        <v>0.50624999999999998</v>
      </c>
      <c r="M64" s="40">
        <f t="shared" si="29"/>
        <v>0.23624999999999999</v>
      </c>
      <c r="N64" s="41">
        <f t="shared" si="5"/>
        <v>7.2057600000000003E-3</v>
      </c>
      <c r="O64" s="42"/>
      <c r="P64" s="41">
        <f t="shared" si="6"/>
        <v>1.3150511999999999</v>
      </c>
      <c r="Q64" s="42"/>
      <c r="R64" s="41">
        <f t="shared" si="7"/>
        <v>7.9263359999999988E-5</v>
      </c>
      <c r="S64" s="42"/>
      <c r="T64" s="41">
        <f t="shared" si="8"/>
        <v>1.4465563199999998E-2</v>
      </c>
      <c r="U64" s="42"/>
      <c r="V64" s="43">
        <f t="shared" si="9"/>
        <v>3.1822206275678066E-6</v>
      </c>
      <c r="W64" s="42"/>
      <c r="X64" s="41">
        <f t="shared" si="10"/>
        <v>5.8075526453112473E-4</v>
      </c>
      <c r="Y64" s="42"/>
      <c r="Z64" s="43" t="str">
        <f t="shared" si="0"/>
        <v>--</v>
      </c>
      <c r="AA64" s="42"/>
      <c r="AB64" s="41" t="str">
        <f t="shared" si="1"/>
        <v>--</v>
      </c>
      <c r="AC64" s="42"/>
      <c r="AD64" s="43">
        <f t="shared" si="11"/>
        <v>4.8638879999999998E-4</v>
      </c>
      <c r="AE64" s="42"/>
      <c r="AF64" s="41">
        <f t="shared" si="12"/>
        <v>8.8765955999999993E-2</v>
      </c>
      <c r="AG64" s="42"/>
      <c r="AH64" s="41">
        <f t="shared" si="13"/>
        <v>2.2698143999999999E-4</v>
      </c>
      <c r="AI64" s="42"/>
      <c r="AJ64" s="41">
        <f t="shared" si="14"/>
        <v>4.1424112799999996E-2</v>
      </c>
      <c r="AK64" s="42"/>
    </row>
    <row r="65" spans="1:37" s="44" customFormat="1" ht="15" customHeight="1">
      <c r="A65" s="34" t="s">
        <v>132</v>
      </c>
      <c r="B65" s="35"/>
      <c r="C65" s="36">
        <f>_xlfn.XLOOKUP($A65,'Input_Cooling Towers'!$A$7:$A$98,'Input_Cooling Towers'!$H$7:$H$98)</f>
        <v>1E-3</v>
      </c>
      <c r="D65" s="36">
        <f>_xlfn.XLOOKUP($A65,'Input_Cooling Towers'!$A$7:$A$98,'Input_Cooling Towers'!$F$7:$F$98)</f>
        <v>8000</v>
      </c>
      <c r="E65" s="36">
        <f>_xlfn.XLOOKUP($A65,'Input_Cooling Towers'!$A$7:$A$98,'Input_Cooling Towers'!$G$7:$G$98)</f>
        <v>4000</v>
      </c>
      <c r="F65" s="37">
        <f t="shared" si="2"/>
        <v>960.76800000000003</v>
      </c>
      <c r="G65" s="36">
        <f t="shared" si="15"/>
        <v>175340.16</v>
      </c>
      <c r="H65" s="40">
        <f t="shared" si="25"/>
        <v>7.5</v>
      </c>
      <c r="I65" s="45">
        <f t="shared" si="26"/>
        <v>8.249999999999999E-2</v>
      </c>
      <c r="J65" s="39">
        <f t="shared" si="27"/>
        <v>3.3121634229780826E-3</v>
      </c>
      <c r="K65" s="38" t="s">
        <v>250</v>
      </c>
      <c r="L65" s="40">
        <f t="shared" si="28"/>
        <v>0.50624999999999998</v>
      </c>
      <c r="M65" s="40">
        <f t="shared" si="29"/>
        <v>0.23624999999999999</v>
      </c>
      <c r="N65" s="41">
        <f t="shared" si="5"/>
        <v>7.2057600000000003E-3</v>
      </c>
      <c r="O65" s="42"/>
      <c r="P65" s="41">
        <f t="shared" si="6"/>
        <v>1.3150511999999999</v>
      </c>
      <c r="Q65" s="42"/>
      <c r="R65" s="41">
        <f t="shared" si="7"/>
        <v>7.9263359999999988E-5</v>
      </c>
      <c r="S65" s="42"/>
      <c r="T65" s="41">
        <f t="shared" si="8"/>
        <v>1.4465563199999998E-2</v>
      </c>
      <c r="U65" s="42"/>
      <c r="V65" s="43">
        <f t="shared" si="9"/>
        <v>3.1822206275678066E-6</v>
      </c>
      <c r="W65" s="42"/>
      <c r="X65" s="41">
        <f t="shared" si="10"/>
        <v>5.8075526453112473E-4</v>
      </c>
      <c r="Y65" s="42"/>
      <c r="Z65" s="43" t="str">
        <f t="shared" si="0"/>
        <v>--</v>
      </c>
      <c r="AA65" s="42"/>
      <c r="AB65" s="41" t="str">
        <f t="shared" si="1"/>
        <v>--</v>
      </c>
      <c r="AC65" s="42"/>
      <c r="AD65" s="43">
        <f t="shared" si="11"/>
        <v>4.8638879999999998E-4</v>
      </c>
      <c r="AE65" s="42"/>
      <c r="AF65" s="41">
        <f t="shared" si="12"/>
        <v>8.8765955999999993E-2</v>
      </c>
      <c r="AG65" s="42"/>
      <c r="AH65" s="41">
        <f t="shared" si="13"/>
        <v>2.2698143999999999E-4</v>
      </c>
      <c r="AI65" s="42"/>
      <c r="AJ65" s="41">
        <f t="shared" si="14"/>
        <v>4.1424112799999996E-2</v>
      </c>
      <c r="AK65" s="42"/>
    </row>
    <row r="66" spans="1:37" s="44" customFormat="1" ht="15" customHeight="1">
      <c r="A66" s="34" t="s">
        <v>134</v>
      </c>
      <c r="B66" s="35"/>
      <c r="C66" s="36">
        <f>_xlfn.XLOOKUP($A66,'Input_Cooling Towers'!$A$7:$A$98,'Input_Cooling Towers'!$H$7:$H$98)</f>
        <v>1E-3</v>
      </c>
      <c r="D66" s="36">
        <f>_xlfn.XLOOKUP($A66,'Input_Cooling Towers'!$A$7:$A$98,'Input_Cooling Towers'!$F$7:$F$98)</f>
        <v>8000</v>
      </c>
      <c r="E66" s="36">
        <f>_xlfn.XLOOKUP($A66,'Input_Cooling Towers'!$A$7:$A$98,'Input_Cooling Towers'!$G$7:$G$98)</f>
        <v>4000</v>
      </c>
      <c r="F66" s="37">
        <f t="shared" si="2"/>
        <v>960.76800000000003</v>
      </c>
      <c r="G66" s="36">
        <f t="shared" si="15"/>
        <v>175340.16</v>
      </c>
      <c r="H66" s="40">
        <f t="shared" si="25"/>
        <v>7.5</v>
      </c>
      <c r="I66" s="45">
        <f t="shared" si="26"/>
        <v>8.249999999999999E-2</v>
      </c>
      <c r="J66" s="39">
        <f t="shared" si="27"/>
        <v>3.3121634229780826E-3</v>
      </c>
      <c r="K66" s="38" t="s">
        <v>250</v>
      </c>
      <c r="L66" s="40">
        <f t="shared" si="28"/>
        <v>0.50624999999999998</v>
      </c>
      <c r="M66" s="40">
        <f t="shared" si="29"/>
        <v>0.23624999999999999</v>
      </c>
      <c r="N66" s="41">
        <f t="shared" si="5"/>
        <v>7.2057600000000003E-3</v>
      </c>
      <c r="O66" s="42"/>
      <c r="P66" s="41">
        <f t="shared" si="6"/>
        <v>1.3150511999999999</v>
      </c>
      <c r="Q66" s="42"/>
      <c r="R66" s="41">
        <f t="shared" si="7"/>
        <v>7.9263359999999988E-5</v>
      </c>
      <c r="S66" s="42"/>
      <c r="T66" s="41">
        <f t="shared" si="8"/>
        <v>1.4465563199999998E-2</v>
      </c>
      <c r="U66" s="42"/>
      <c r="V66" s="43">
        <f t="shared" si="9"/>
        <v>3.1822206275678066E-6</v>
      </c>
      <c r="W66" s="42"/>
      <c r="X66" s="41">
        <f t="shared" si="10"/>
        <v>5.8075526453112473E-4</v>
      </c>
      <c r="Y66" s="42"/>
      <c r="Z66" s="43" t="str">
        <f t="shared" si="0"/>
        <v>--</v>
      </c>
      <c r="AA66" s="42"/>
      <c r="AB66" s="41" t="str">
        <f t="shared" si="1"/>
        <v>--</v>
      </c>
      <c r="AC66" s="42"/>
      <c r="AD66" s="43">
        <f t="shared" si="11"/>
        <v>4.8638879999999998E-4</v>
      </c>
      <c r="AE66" s="42"/>
      <c r="AF66" s="41">
        <f t="shared" si="12"/>
        <v>8.8765955999999993E-2</v>
      </c>
      <c r="AG66" s="42"/>
      <c r="AH66" s="41">
        <f t="shared" si="13"/>
        <v>2.2698143999999999E-4</v>
      </c>
      <c r="AI66" s="42"/>
      <c r="AJ66" s="41">
        <f t="shared" si="14"/>
        <v>4.1424112799999996E-2</v>
      </c>
      <c r="AK66" s="42"/>
    </row>
    <row r="67" spans="1:37" s="44" customFormat="1" ht="15" customHeight="1">
      <c r="A67" s="34" t="s">
        <v>136</v>
      </c>
      <c r="B67" s="35"/>
      <c r="C67" s="36">
        <f>_xlfn.XLOOKUP($A67,'Input_Cooling Towers'!$A$7:$A$98,'Input_Cooling Towers'!$H$7:$H$98)</f>
        <v>1E-3</v>
      </c>
      <c r="D67" s="36">
        <f>_xlfn.XLOOKUP($A67,'Input_Cooling Towers'!$A$7:$A$98,'Input_Cooling Towers'!$F$7:$F$98)</f>
        <v>8000</v>
      </c>
      <c r="E67" s="36">
        <f>_xlfn.XLOOKUP($A67,'Input_Cooling Towers'!$A$7:$A$98,'Input_Cooling Towers'!$G$7:$G$98)</f>
        <v>4000</v>
      </c>
      <c r="F67" s="37">
        <f t="shared" si="2"/>
        <v>960.76800000000003</v>
      </c>
      <c r="G67" s="36">
        <f t="shared" si="15"/>
        <v>175340.16</v>
      </c>
      <c r="H67" s="40">
        <f t="shared" si="25"/>
        <v>7.5</v>
      </c>
      <c r="I67" s="45">
        <f t="shared" si="26"/>
        <v>8.249999999999999E-2</v>
      </c>
      <c r="J67" s="39">
        <f t="shared" si="27"/>
        <v>3.3121634229780826E-3</v>
      </c>
      <c r="K67" s="38" t="s">
        <v>250</v>
      </c>
      <c r="L67" s="40">
        <f t="shared" si="28"/>
        <v>0.50624999999999998</v>
      </c>
      <c r="M67" s="40">
        <f t="shared" si="29"/>
        <v>0.23624999999999999</v>
      </c>
      <c r="N67" s="41">
        <f t="shared" si="5"/>
        <v>7.2057600000000003E-3</v>
      </c>
      <c r="O67" s="42"/>
      <c r="P67" s="41">
        <f t="shared" si="6"/>
        <v>1.3150511999999999</v>
      </c>
      <c r="Q67" s="42"/>
      <c r="R67" s="41">
        <f t="shared" si="7"/>
        <v>7.9263359999999988E-5</v>
      </c>
      <c r="S67" s="42"/>
      <c r="T67" s="41">
        <f t="shared" si="8"/>
        <v>1.4465563199999998E-2</v>
      </c>
      <c r="U67" s="42"/>
      <c r="V67" s="43">
        <f t="shared" si="9"/>
        <v>3.1822206275678066E-6</v>
      </c>
      <c r="W67" s="42"/>
      <c r="X67" s="41">
        <f t="shared" si="10"/>
        <v>5.8075526453112473E-4</v>
      </c>
      <c r="Y67" s="42"/>
      <c r="Z67" s="43" t="str">
        <f t="shared" si="0"/>
        <v>--</v>
      </c>
      <c r="AA67" s="42"/>
      <c r="AB67" s="41" t="str">
        <f t="shared" si="1"/>
        <v>--</v>
      </c>
      <c r="AC67" s="42"/>
      <c r="AD67" s="43">
        <f t="shared" si="11"/>
        <v>4.8638879999999998E-4</v>
      </c>
      <c r="AE67" s="42"/>
      <c r="AF67" s="41">
        <f t="shared" si="12"/>
        <v>8.8765955999999993E-2</v>
      </c>
      <c r="AG67" s="42"/>
      <c r="AH67" s="41">
        <f t="shared" si="13"/>
        <v>2.2698143999999999E-4</v>
      </c>
      <c r="AI67" s="42"/>
      <c r="AJ67" s="41">
        <f t="shared" si="14"/>
        <v>4.1424112799999996E-2</v>
      </c>
      <c r="AK67" s="42"/>
    </row>
    <row r="68" spans="1:37" s="44" customFormat="1" ht="15" customHeight="1">
      <c r="A68" s="34" t="s">
        <v>138</v>
      </c>
      <c r="B68" s="35"/>
      <c r="C68" s="36">
        <f>_xlfn.XLOOKUP($A68,'Input_Cooling Towers'!$A$7:$A$98,'Input_Cooling Towers'!$H$7:$H$98)</f>
        <v>1E-3</v>
      </c>
      <c r="D68" s="36">
        <f>_xlfn.XLOOKUP($A68,'Input_Cooling Towers'!$A$7:$A$98,'Input_Cooling Towers'!$F$7:$F$98)</f>
        <v>8000</v>
      </c>
      <c r="E68" s="36">
        <f>_xlfn.XLOOKUP($A68,'Input_Cooling Towers'!$A$7:$A$98,'Input_Cooling Towers'!$G$7:$G$98)</f>
        <v>4000</v>
      </c>
      <c r="F68" s="37">
        <f t="shared" si="2"/>
        <v>960.76800000000003</v>
      </c>
      <c r="G68" s="36">
        <f t="shared" si="15"/>
        <v>175340.16</v>
      </c>
      <c r="H68" s="40">
        <f t="shared" si="25"/>
        <v>7.5</v>
      </c>
      <c r="I68" s="45">
        <f t="shared" si="26"/>
        <v>8.249999999999999E-2</v>
      </c>
      <c r="J68" s="39">
        <f t="shared" si="27"/>
        <v>3.3121634229780826E-3</v>
      </c>
      <c r="K68" s="38" t="s">
        <v>250</v>
      </c>
      <c r="L68" s="40">
        <f t="shared" si="28"/>
        <v>0.50624999999999998</v>
      </c>
      <c r="M68" s="40">
        <f t="shared" si="29"/>
        <v>0.23624999999999999</v>
      </c>
      <c r="N68" s="41">
        <f t="shared" si="5"/>
        <v>7.2057600000000003E-3</v>
      </c>
      <c r="O68" s="42"/>
      <c r="P68" s="41">
        <f t="shared" si="6"/>
        <v>1.3150511999999999</v>
      </c>
      <c r="Q68" s="42"/>
      <c r="R68" s="41">
        <f t="shared" si="7"/>
        <v>7.9263359999999988E-5</v>
      </c>
      <c r="S68" s="42"/>
      <c r="T68" s="41">
        <f t="shared" si="8"/>
        <v>1.4465563199999998E-2</v>
      </c>
      <c r="U68" s="42"/>
      <c r="V68" s="43">
        <f t="shared" si="9"/>
        <v>3.1822206275678066E-6</v>
      </c>
      <c r="W68" s="42"/>
      <c r="X68" s="41">
        <f t="shared" si="10"/>
        <v>5.8075526453112473E-4</v>
      </c>
      <c r="Y68" s="42"/>
      <c r="Z68" s="43" t="str">
        <f t="shared" si="0"/>
        <v>--</v>
      </c>
      <c r="AA68" s="42"/>
      <c r="AB68" s="41" t="str">
        <f t="shared" si="1"/>
        <v>--</v>
      </c>
      <c r="AC68" s="42"/>
      <c r="AD68" s="43">
        <f t="shared" si="11"/>
        <v>4.8638879999999998E-4</v>
      </c>
      <c r="AE68" s="42"/>
      <c r="AF68" s="41">
        <f t="shared" si="12"/>
        <v>8.8765955999999993E-2</v>
      </c>
      <c r="AG68" s="42"/>
      <c r="AH68" s="41">
        <f t="shared" si="13"/>
        <v>2.2698143999999999E-4</v>
      </c>
      <c r="AI68" s="42"/>
      <c r="AJ68" s="41">
        <f t="shared" si="14"/>
        <v>4.1424112799999996E-2</v>
      </c>
      <c r="AK68" s="42"/>
    </row>
    <row r="69" spans="1:37" s="44" customFormat="1" ht="15" customHeight="1">
      <c r="A69" s="34" t="s">
        <v>140</v>
      </c>
      <c r="B69" s="35"/>
      <c r="C69" s="36">
        <f>_xlfn.XLOOKUP($A69,'Input_Cooling Towers'!$A$7:$A$98,'Input_Cooling Towers'!$H$7:$H$98)</f>
        <v>1E-3</v>
      </c>
      <c r="D69" s="36">
        <f>_xlfn.XLOOKUP($A69,'Input_Cooling Towers'!$A$7:$A$98,'Input_Cooling Towers'!$F$7:$F$98)</f>
        <v>8000</v>
      </c>
      <c r="E69" s="36">
        <f>_xlfn.XLOOKUP($A69,'Input_Cooling Towers'!$A$7:$A$98,'Input_Cooling Towers'!$G$7:$G$98)</f>
        <v>4000</v>
      </c>
      <c r="F69" s="37">
        <f t="shared" si="2"/>
        <v>960.76800000000003</v>
      </c>
      <c r="G69" s="36">
        <f t="shared" si="15"/>
        <v>175340.16</v>
      </c>
      <c r="H69" s="40">
        <f t="shared" si="25"/>
        <v>7.5</v>
      </c>
      <c r="I69" s="45">
        <f t="shared" si="26"/>
        <v>8.249999999999999E-2</v>
      </c>
      <c r="J69" s="39">
        <f t="shared" si="27"/>
        <v>3.3121634229780826E-3</v>
      </c>
      <c r="K69" s="38" t="s">
        <v>250</v>
      </c>
      <c r="L69" s="40">
        <f t="shared" si="28"/>
        <v>0.50624999999999998</v>
      </c>
      <c r="M69" s="40">
        <f t="shared" si="29"/>
        <v>0.23624999999999999</v>
      </c>
      <c r="N69" s="41">
        <f t="shared" si="5"/>
        <v>7.2057600000000003E-3</v>
      </c>
      <c r="O69" s="42"/>
      <c r="P69" s="41">
        <f t="shared" si="6"/>
        <v>1.3150511999999999</v>
      </c>
      <c r="Q69" s="42"/>
      <c r="R69" s="41">
        <f t="shared" si="7"/>
        <v>7.9263359999999988E-5</v>
      </c>
      <c r="S69" s="42"/>
      <c r="T69" s="41">
        <f t="shared" si="8"/>
        <v>1.4465563199999998E-2</v>
      </c>
      <c r="U69" s="42"/>
      <c r="V69" s="43">
        <f t="shared" si="9"/>
        <v>3.1822206275678066E-6</v>
      </c>
      <c r="W69" s="42"/>
      <c r="X69" s="41">
        <f t="shared" si="10"/>
        <v>5.8075526453112473E-4</v>
      </c>
      <c r="Y69" s="42"/>
      <c r="Z69" s="43" t="str">
        <f t="shared" si="0"/>
        <v>--</v>
      </c>
      <c r="AA69" s="42"/>
      <c r="AB69" s="41" t="str">
        <f t="shared" si="1"/>
        <v>--</v>
      </c>
      <c r="AC69" s="42"/>
      <c r="AD69" s="43">
        <f t="shared" si="11"/>
        <v>4.8638879999999998E-4</v>
      </c>
      <c r="AE69" s="42"/>
      <c r="AF69" s="41">
        <f t="shared" si="12"/>
        <v>8.8765955999999993E-2</v>
      </c>
      <c r="AG69" s="42"/>
      <c r="AH69" s="41">
        <f t="shared" si="13"/>
        <v>2.2698143999999999E-4</v>
      </c>
      <c r="AI69" s="42"/>
      <c r="AJ69" s="41">
        <f t="shared" si="14"/>
        <v>4.1424112799999996E-2</v>
      </c>
      <c r="AK69" s="42"/>
    </row>
    <row r="70" spans="1:37" s="44" customFormat="1" ht="15" customHeight="1">
      <c r="A70" s="34" t="s">
        <v>142</v>
      </c>
      <c r="B70" s="35"/>
      <c r="C70" s="36">
        <f>_xlfn.XLOOKUP($A70,'Input_Cooling Towers'!$A$7:$A$98,'Input_Cooling Towers'!$H$7:$H$98)</f>
        <v>1E-3</v>
      </c>
      <c r="D70" s="36">
        <f>_xlfn.XLOOKUP($A70,'Input_Cooling Towers'!$A$7:$A$98,'Input_Cooling Towers'!$F$7:$F$98)</f>
        <v>8000</v>
      </c>
      <c r="E70" s="36">
        <f>_xlfn.XLOOKUP($A70,'Input_Cooling Towers'!$A$7:$A$98,'Input_Cooling Towers'!$G$7:$G$98)</f>
        <v>4000</v>
      </c>
      <c r="F70" s="37">
        <f t="shared" si="2"/>
        <v>960.76800000000003</v>
      </c>
      <c r="G70" s="36">
        <f t="shared" si="15"/>
        <v>175340.16</v>
      </c>
      <c r="H70" s="40">
        <f t="shared" si="25"/>
        <v>7.5</v>
      </c>
      <c r="I70" s="45">
        <f t="shared" si="26"/>
        <v>8.249999999999999E-2</v>
      </c>
      <c r="J70" s="39">
        <f t="shared" si="27"/>
        <v>3.3121634229780826E-3</v>
      </c>
      <c r="K70" s="38" t="s">
        <v>250</v>
      </c>
      <c r="L70" s="40">
        <f t="shared" si="28"/>
        <v>0.50624999999999998</v>
      </c>
      <c r="M70" s="40">
        <f t="shared" si="29"/>
        <v>0.23624999999999999</v>
      </c>
      <c r="N70" s="41">
        <f t="shared" si="5"/>
        <v>7.2057600000000003E-3</v>
      </c>
      <c r="O70" s="42"/>
      <c r="P70" s="41">
        <f t="shared" si="6"/>
        <v>1.3150511999999999</v>
      </c>
      <c r="Q70" s="42"/>
      <c r="R70" s="41">
        <f t="shared" si="7"/>
        <v>7.9263359999999988E-5</v>
      </c>
      <c r="S70" s="42"/>
      <c r="T70" s="41">
        <f t="shared" si="8"/>
        <v>1.4465563199999998E-2</v>
      </c>
      <c r="U70" s="42"/>
      <c r="V70" s="43">
        <f t="shared" si="9"/>
        <v>3.1822206275678066E-6</v>
      </c>
      <c r="W70" s="42"/>
      <c r="X70" s="41">
        <f t="shared" si="10"/>
        <v>5.8075526453112473E-4</v>
      </c>
      <c r="Y70" s="42"/>
      <c r="Z70" s="43" t="str">
        <f t="shared" si="0"/>
        <v>--</v>
      </c>
      <c r="AA70" s="42"/>
      <c r="AB70" s="41" t="str">
        <f t="shared" si="1"/>
        <v>--</v>
      </c>
      <c r="AC70" s="42"/>
      <c r="AD70" s="43">
        <f t="shared" si="11"/>
        <v>4.8638879999999998E-4</v>
      </c>
      <c r="AE70" s="42"/>
      <c r="AF70" s="41">
        <f t="shared" si="12"/>
        <v>8.8765955999999993E-2</v>
      </c>
      <c r="AG70" s="42"/>
      <c r="AH70" s="41">
        <f t="shared" si="13"/>
        <v>2.2698143999999999E-4</v>
      </c>
      <c r="AI70" s="42"/>
      <c r="AJ70" s="41">
        <f t="shared" si="14"/>
        <v>4.1424112799999996E-2</v>
      </c>
      <c r="AK70" s="42"/>
    </row>
    <row r="71" spans="1:37" s="44" customFormat="1" ht="15" customHeight="1">
      <c r="A71" s="34" t="s">
        <v>144</v>
      </c>
      <c r="B71" s="35"/>
      <c r="C71" s="36">
        <f>_xlfn.XLOOKUP($A71,'Input_Cooling Towers'!$A$7:$A$98,'Input_Cooling Towers'!$H$7:$H$98)</f>
        <v>1E-3</v>
      </c>
      <c r="D71" s="36">
        <f>_xlfn.XLOOKUP($A71,'Input_Cooling Towers'!$A$7:$A$98,'Input_Cooling Towers'!$F$7:$F$98)</f>
        <v>8000</v>
      </c>
      <c r="E71" s="36">
        <f>_xlfn.XLOOKUP($A71,'Input_Cooling Towers'!$A$7:$A$98,'Input_Cooling Towers'!$G$7:$G$98)</f>
        <v>4000</v>
      </c>
      <c r="F71" s="37">
        <f t="shared" si="2"/>
        <v>960.76800000000003</v>
      </c>
      <c r="G71" s="36">
        <f t="shared" si="15"/>
        <v>175340.16</v>
      </c>
      <c r="H71" s="40">
        <f t="shared" si="25"/>
        <v>7.5</v>
      </c>
      <c r="I71" s="45">
        <f t="shared" si="26"/>
        <v>8.249999999999999E-2</v>
      </c>
      <c r="J71" s="39">
        <f t="shared" si="27"/>
        <v>3.3121634229780826E-3</v>
      </c>
      <c r="K71" s="38" t="s">
        <v>250</v>
      </c>
      <c r="L71" s="40">
        <f t="shared" si="28"/>
        <v>0.50624999999999998</v>
      </c>
      <c r="M71" s="40">
        <f t="shared" si="29"/>
        <v>0.23624999999999999</v>
      </c>
      <c r="N71" s="41">
        <f t="shared" si="5"/>
        <v>7.2057600000000003E-3</v>
      </c>
      <c r="O71" s="42"/>
      <c r="P71" s="41">
        <f t="shared" si="6"/>
        <v>1.3150511999999999</v>
      </c>
      <c r="Q71" s="42"/>
      <c r="R71" s="41">
        <f t="shared" si="7"/>
        <v>7.9263359999999988E-5</v>
      </c>
      <c r="S71" s="42"/>
      <c r="T71" s="41">
        <f t="shared" si="8"/>
        <v>1.4465563199999998E-2</v>
      </c>
      <c r="U71" s="42"/>
      <c r="V71" s="43">
        <f t="shared" si="9"/>
        <v>3.1822206275678066E-6</v>
      </c>
      <c r="W71" s="42"/>
      <c r="X71" s="41">
        <f t="shared" si="10"/>
        <v>5.8075526453112473E-4</v>
      </c>
      <c r="Y71" s="42"/>
      <c r="Z71" s="43" t="str">
        <f t="shared" si="0"/>
        <v>--</v>
      </c>
      <c r="AA71" s="42"/>
      <c r="AB71" s="41" t="str">
        <f t="shared" si="1"/>
        <v>--</v>
      </c>
      <c r="AC71" s="42"/>
      <c r="AD71" s="43">
        <f t="shared" si="11"/>
        <v>4.8638879999999998E-4</v>
      </c>
      <c r="AE71" s="42"/>
      <c r="AF71" s="41">
        <f t="shared" si="12"/>
        <v>8.8765955999999993E-2</v>
      </c>
      <c r="AG71" s="42"/>
      <c r="AH71" s="41">
        <f t="shared" si="13"/>
        <v>2.2698143999999999E-4</v>
      </c>
      <c r="AI71" s="42"/>
      <c r="AJ71" s="41">
        <f t="shared" si="14"/>
        <v>4.1424112799999996E-2</v>
      </c>
      <c r="AK71" s="42"/>
    </row>
    <row r="72" spans="1:37" s="44" customFormat="1" ht="15" customHeight="1">
      <c r="A72" s="34" t="s">
        <v>146</v>
      </c>
      <c r="B72" s="35"/>
      <c r="C72" s="36">
        <f>_xlfn.XLOOKUP($A72,'Input_Cooling Towers'!$A$7:$A$98,'Input_Cooling Towers'!$H$7:$H$98)</f>
        <v>1E-3</v>
      </c>
      <c r="D72" s="36">
        <f>_xlfn.XLOOKUP($A72,'Input_Cooling Towers'!$A$7:$A$98,'Input_Cooling Towers'!$F$7:$F$98)</f>
        <v>8000</v>
      </c>
      <c r="E72" s="36">
        <f>_xlfn.XLOOKUP($A72,'Input_Cooling Towers'!$A$7:$A$98,'Input_Cooling Towers'!$G$7:$G$98)</f>
        <v>4000</v>
      </c>
      <c r="F72" s="37">
        <f t="shared" si="2"/>
        <v>960.76800000000003</v>
      </c>
      <c r="G72" s="36">
        <f t="shared" si="15"/>
        <v>175340.16</v>
      </c>
      <c r="H72" s="46">
        <f>75/4</f>
        <v>18.75</v>
      </c>
      <c r="I72" s="40">
        <f>0.825/4</f>
        <v>0.20624999999999999</v>
      </c>
      <c r="J72" s="39">
        <f>$H$109*$H$102/$H$103</f>
        <v>8.2804085574452076E-3</v>
      </c>
      <c r="K72" s="38" t="s">
        <v>250</v>
      </c>
      <c r="L72" s="40">
        <f>5.0625/4</f>
        <v>1.265625</v>
      </c>
      <c r="M72" s="40">
        <f>2.3625/4</f>
        <v>0.59062499999999996</v>
      </c>
      <c r="N72" s="41">
        <f t="shared" si="5"/>
        <v>1.80144E-2</v>
      </c>
      <c r="O72" s="42"/>
      <c r="P72" s="41">
        <f t="shared" si="6"/>
        <v>3.2876280000000002</v>
      </c>
      <c r="Q72" s="42"/>
      <c r="R72" s="41">
        <f t="shared" si="7"/>
        <v>1.9815840000000001E-4</v>
      </c>
      <c r="S72" s="42"/>
      <c r="T72" s="41">
        <f t="shared" si="8"/>
        <v>3.6163907999999995E-2</v>
      </c>
      <c r="U72" s="42"/>
      <c r="V72" s="43">
        <f t="shared" si="9"/>
        <v>7.955551568919518E-6</v>
      </c>
      <c r="W72" s="42"/>
      <c r="X72" s="41">
        <f t="shared" si="10"/>
        <v>1.4518881613278119E-3</v>
      </c>
      <c r="Y72" s="42"/>
      <c r="Z72" s="43" t="str">
        <f t="shared" si="0"/>
        <v>--</v>
      </c>
      <c r="AA72" s="42"/>
      <c r="AB72" s="41" t="str">
        <f t="shared" si="1"/>
        <v>--</v>
      </c>
      <c r="AC72" s="42"/>
      <c r="AD72" s="43">
        <f t="shared" si="11"/>
        <v>1.2159720000000001E-3</v>
      </c>
      <c r="AE72" s="42"/>
      <c r="AF72" s="41">
        <f t="shared" si="12"/>
        <v>0.22191489</v>
      </c>
      <c r="AG72" s="42"/>
      <c r="AH72" s="41">
        <f t="shared" si="13"/>
        <v>5.6745359999999998E-4</v>
      </c>
      <c r="AI72" s="42"/>
      <c r="AJ72" s="41">
        <f t="shared" si="14"/>
        <v>0.10356028199999999</v>
      </c>
      <c r="AK72" s="42"/>
    </row>
    <row r="73" spans="1:37" s="44" customFormat="1" ht="15" customHeight="1">
      <c r="A73" s="34" t="s">
        <v>149</v>
      </c>
      <c r="B73" s="35"/>
      <c r="C73" s="36">
        <f>_xlfn.XLOOKUP($A73,'Input_Cooling Towers'!$A$7:$A$98,'Input_Cooling Towers'!$H$7:$H$98)</f>
        <v>1E-3</v>
      </c>
      <c r="D73" s="36">
        <f>_xlfn.XLOOKUP($A73,'Input_Cooling Towers'!$A$7:$A$98,'Input_Cooling Towers'!$F$7:$F$98)</f>
        <v>8000</v>
      </c>
      <c r="E73" s="36">
        <f>_xlfn.XLOOKUP($A73,'Input_Cooling Towers'!$A$7:$A$98,'Input_Cooling Towers'!$G$7:$G$98)</f>
        <v>4000</v>
      </c>
      <c r="F73" s="37">
        <f t="shared" si="2"/>
        <v>960.76800000000003</v>
      </c>
      <c r="G73" s="36">
        <f t="shared" si="15"/>
        <v>175340.16</v>
      </c>
      <c r="H73" s="46">
        <f t="shared" ref="H73:H75" si="30">75/4</f>
        <v>18.75</v>
      </c>
      <c r="I73" s="40">
        <f>0.825/4</f>
        <v>0.20624999999999999</v>
      </c>
      <c r="J73" s="39">
        <f t="shared" ref="J73:J75" si="31">$H$109*$H$102/$H$103</f>
        <v>8.2804085574452076E-3</v>
      </c>
      <c r="K73" s="38" t="s">
        <v>250</v>
      </c>
      <c r="L73" s="40">
        <f t="shared" ref="L73:L75" si="32">5.0625/4</f>
        <v>1.265625</v>
      </c>
      <c r="M73" s="40">
        <f t="shared" ref="M73:M75" si="33">2.3625/4</f>
        <v>0.59062499999999996</v>
      </c>
      <c r="N73" s="41">
        <f t="shared" si="5"/>
        <v>1.80144E-2</v>
      </c>
      <c r="O73" s="42"/>
      <c r="P73" s="41">
        <f t="shared" si="6"/>
        <v>3.2876280000000002</v>
      </c>
      <c r="Q73" s="42"/>
      <c r="R73" s="41">
        <f t="shared" si="7"/>
        <v>1.9815840000000001E-4</v>
      </c>
      <c r="S73" s="42"/>
      <c r="T73" s="41">
        <f t="shared" si="8"/>
        <v>3.6163907999999995E-2</v>
      </c>
      <c r="U73" s="42"/>
      <c r="V73" s="43">
        <f t="shared" si="9"/>
        <v>7.955551568919518E-6</v>
      </c>
      <c r="W73" s="42"/>
      <c r="X73" s="41">
        <f t="shared" si="10"/>
        <v>1.4518881613278119E-3</v>
      </c>
      <c r="Y73" s="42"/>
      <c r="Z73" s="43" t="str">
        <f t="shared" ref="Z73:Z92" si="34">IFERROR($F73*$K73/1000000,"--")</f>
        <v>--</v>
      </c>
      <c r="AA73" s="42"/>
      <c r="AB73" s="41" t="str">
        <f t="shared" ref="AB73:AB92" si="35">IFERROR($G73*$K73/1000000,"--")</f>
        <v>--</v>
      </c>
      <c r="AC73" s="42"/>
      <c r="AD73" s="43">
        <f t="shared" si="11"/>
        <v>1.2159720000000001E-3</v>
      </c>
      <c r="AE73" s="42"/>
      <c r="AF73" s="41">
        <f t="shared" si="12"/>
        <v>0.22191489</v>
      </c>
      <c r="AG73" s="42"/>
      <c r="AH73" s="41">
        <f t="shared" si="13"/>
        <v>5.6745359999999998E-4</v>
      </c>
      <c r="AI73" s="42"/>
      <c r="AJ73" s="41">
        <f t="shared" si="14"/>
        <v>0.10356028199999999</v>
      </c>
      <c r="AK73" s="42"/>
    </row>
    <row r="74" spans="1:37" s="44" customFormat="1" ht="15" customHeight="1">
      <c r="A74" s="34" t="s">
        <v>151</v>
      </c>
      <c r="B74" s="35"/>
      <c r="C74" s="36">
        <f>_xlfn.XLOOKUP($A74,'Input_Cooling Towers'!$A$7:$A$98,'Input_Cooling Towers'!$H$7:$H$98)</f>
        <v>1E-3</v>
      </c>
      <c r="D74" s="36">
        <f>_xlfn.XLOOKUP($A74,'Input_Cooling Towers'!$A$7:$A$98,'Input_Cooling Towers'!$F$7:$F$98)</f>
        <v>8000</v>
      </c>
      <c r="E74" s="36">
        <f>_xlfn.XLOOKUP($A74,'Input_Cooling Towers'!$A$7:$A$98,'Input_Cooling Towers'!$G$7:$G$98)</f>
        <v>4000</v>
      </c>
      <c r="F74" s="37">
        <f t="shared" ref="F74:F92" si="36">$D74*$H$97*$C74/100*60*$H$98</f>
        <v>960.76800000000003</v>
      </c>
      <c r="G74" s="36">
        <f t="shared" si="15"/>
        <v>175340.16</v>
      </c>
      <c r="H74" s="46">
        <f t="shared" si="30"/>
        <v>18.75</v>
      </c>
      <c r="I74" s="40">
        <f>0.825/4</f>
        <v>0.20624999999999999</v>
      </c>
      <c r="J74" s="39">
        <f t="shared" si="31"/>
        <v>8.2804085574452076E-3</v>
      </c>
      <c r="K74" s="38" t="s">
        <v>250</v>
      </c>
      <c r="L74" s="40">
        <f t="shared" si="32"/>
        <v>1.265625</v>
      </c>
      <c r="M74" s="40">
        <f t="shared" si="33"/>
        <v>0.59062499999999996</v>
      </c>
      <c r="N74" s="41">
        <f t="shared" si="5"/>
        <v>1.80144E-2</v>
      </c>
      <c r="O74" s="42"/>
      <c r="P74" s="41">
        <f t="shared" si="6"/>
        <v>3.2876280000000002</v>
      </c>
      <c r="Q74" s="42"/>
      <c r="R74" s="41">
        <f t="shared" si="7"/>
        <v>1.9815840000000001E-4</v>
      </c>
      <c r="S74" s="42"/>
      <c r="T74" s="41">
        <f t="shared" si="8"/>
        <v>3.6163907999999995E-2</v>
      </c>
      <c r="U74" s="42"/>
      <c r="V74" s="43">
        <f t="shared" ref="V74:V92" si="37">IFERROR($F74*$J74/1000000,"--")</f>
        <v>7.955551568919518E-6</v>
      </c>
      <c r="W74" s="42"/>
      <c r="X74" s="41">
        <f t="shared" ref="X74:X92" si="38">IFERROR($G74*$J74/1000000,"--")</f>
        <v>1.4518881613278119E-3</v>
      </c>
      <c r="Y74" s="42"/>
      <c r="Z74" s="43" t="str">
        <f t="shared" si="34"/>
        <v>--</v>
      </c>
      <c r="AA74" s="42"/>
      <c r="AB74" s="41" t="str">
        <f t="shared" si="35"/>
        <v>--</v>
      </c>
      <c r="AC74" s="42"/>
      <c r="AD74" s="43">
        <f t="shared" si="11"/>
        <v>1.2159720000000001E-3</v>
      </c>
      <c r="AE74" s="42"/>
      <c r="AF74" s="41">
        <f t="shared" si="12"/>
        <v>0.22191489</v>
      </c>
      <c r="AG74" s="42"/>
      <c r="AH74" s="41">
        <f t="shared" si="13"/>
        <v>5.6745359999999998E-4</v>
      </c>
      <c r="AI74" s="42"/>
      <c r="AJ74" s="41">
        <f t="shared" si="14"/>
        <v>0.10356028199999999</v>
      </c>
      <c r="AK74" s="42"/>
    </row>
    <row r="75" spans="1:37" s="44" customFormat="1" ht="15" customHeight="1">
      <c r="A75" s="34" t="s">
        <v>153</v>
      </c>
      <c r="B75" s="35"/>
      <c r="C75" s="36">
        <f>_xlfn.XLOOKUP($A75,'Input_Cooling Towers'!$A$7:$A$98,'Input_Cooling Towers'!$H$7:$H$98)</f>
        <v>1E-3</v>
      </c>
      <c r="D75" s="36">
        <f>_xlfn.XLOOKUP($A75,'Input_Cooling Towers'!$A$7:$A$98,'Input_Cooling Towers'!$F$7:$F$98)</f>
        <v>8000</v>
      </c>
      <c r="E75" s="36">
        <f>_xlfn.XLOOKUP($A75,'Input_Cooling Towers'!$A$7:$A$98,'Input_Cooling Towers'!$G$7:$G$98)</f>
        <v>4000</v>
      </c>
      <c r="F75" s="37">
        <f t="shared" si="36"/>
        <v>960.76800000000003</v>
      </c>
      <c r="G75" s="36">
        <f t="shared" ref="G75:G92" si="39">$E75*$H$97*$C75/100*60*$H$98*$H$100</f>
        <v>175340.16</v>
      </c>
      <c r="H75" s="46">
        <f t="shared" si="30"/>
        <v>18.75</v>
      </c>
      <c r="I75" s="40">
        <f>0.825/4</f>
        <v>0.20624999999999999</v>
      </c>
      <c r="J75" s="39">
        <f t="shared" si="31"/>
        <v>8.2804085574452076E-3</v>
      </c>
      <c r="K75" s="38" t="s">
        <v>250</v>
      </c>
      <c r="L75" s="40">
        <f t="shared" si="32"/>
        <v>1.265625</v>
      </c>
      <c r="M75" s="40">
        <f t="shared" si="33"/>
        <v>0.59062499999999996</v>
      </c>
      <c r="N75" s="41">
        <f t="shared" si="5"/>
        <v>1.80144E-2</v>
      </c>
      <c r="O75" s="42"/>
      <c r="P75" s="41">
        <f t="shared" si="6"/>
        <v>3.2876280000000002</v>
      </c>
      <c r="Q75" s="42"/>
      <c r="R75" s="41">
        <f t="shared" si="7"/>
        <v>1.9815840000000001E-4</v>
      </c>
      <c r="S75" s="42"/>
      <c r="T75" s="41">
        <f t="shared" si="8"/>
        <v>3.6163907999999995E-2</v>
      </c>
      <c r="U75" s="42"/>
      <c r="V75" s="43">
        <f t="shared" si="37"/>
        <v>7.955551568919518E-6</v>
      </c>
      <c r="W75" s="42"/>
      <c r="X75" s="41">
        <f t="shared" si="38"/>
        <v>1.4518881613278119E-3</v>
      </c>
      <c r="Y75" s="42"/>
      <c r="Z75" s="43" t="str">
        <f t="shared" si="34"/>
        <v>--</v>
      </c>
      <c r="AA75" s="42"/>
      <c r="AB75" s="41" t="str">
        <f t="shared" si="35"/>
        <v>--</v>
      </c>
      <c r="AC75" s="42"/>
      <c r="AD75" s="43">
        <f t="shared" si="11"/>
        <v>1.2159720000000001E-3</v>
      </c>
      <c r="AE75" s="42"/>
      <c r="AF75" s="41">
        <f t="shared" si="12"/>
        <v>0.22191489</v>
      </c>
      <c r="AG75" s="42"/>
      <c r="AH75" s="41">
        <f t="shared" si="13"/>
        <v>5.6745359999999998E-4</v>
      </c>
      <c r="AI75" s="42"/>
      <c r="AJ75" s="41">
        <f t="shared" si="14"/>
        <v>0.10356028199999999</v>
      </c>
      <c r="AK75" s="42"/>
    </row>
    <row r="76" spans="1:37" s="44" customFormat="1" ht="15" customHeight="1">
      <c r="A76" s="34" t="s">
        <v>155</v>
      </c>
      <c r="B76" s="35"/>
      <c r="C76" s="36">
        <f>_xlfn.XLOOKUP($A76,'Input_Cooling Towers'!$A$7:$A$98,'Input_Cooling Towers'!$H$7:$H$98)</f>
        <v>1E-3</v>
      </c>
      <c r="D76" s="36">
        <f>_xlfn.XLOOKUP($A76,'Input_Cooling Towers'!$A$7:$A$98,'Input_Cooling Towers'!$F$7:$F$98)</f>
        <v>8000</v>
      </c>
      <c r="E76" s="36">
        <f>_xlfn.XLOOKUP($A76,'Input_Cooling Towers'!$A$7:$A$98,'Input_Cooling Towers'!$G$7:$G$98)</f>
        <v>4000</v>
      </c>
      <c r="F76" s="37">
        <f t="shared" si="36"/>
        <v>960.76800000000003</v>
      </c>
      <c r="G76" s="36">
        <f t="shared" si="39"/>
        <v>175340.16</v>
      </c>
      <c r="H76" s="38" t="s">
        <v>250</v>
      </c>
      <c r="I76" s="38" t="s">
        <v>250</v>
      </c>
      <c r="J76" s="39">
        <f>$H$106*$H$102/$H$103</f>
        <v>3.0110576572528022E-3</v>
      </c>
      <c r="K76" s="38" t="s">
        <v>250</v>
      </c>
      <c r="L76" s="40">
        <f>5.0625/11</f>
        <v>0.46022727272727271</v>
      </c>
      <c r="M76" s="40">
        <f>2.3625/11</f>
        <v>0.21477272727272725</v>
      </c>
      <c r="N76" s="41" t="str">
        <f t="shared" ref="N76:N92" si="40">IFERROR($F76*$H76/1000000,"--")</f>
        <v>--</v>
      </c>
      <c r="O76" s="42"/>
      <c r="P76" s="41" t="str">
        <f t="shared" ref="P76:P92" si="41">IFERROR($G76*$H76/1000000,"--")</f>
        <v>--</v>
      </c>
      <c r="Q76" s="42"/>
      <c r="R76" s="41" t="str">
        <f t="shared" ref="R76:R92" si="42">IFERROR($F76*$I76/1000000,"--")</f>
        <v>--</v>
      </c>
      <c r="S76" s="42"/>
      <c r="T76" s="41" t="str">
        <f t="shared" ref="T76:T92" si="43">IFERROR($G76*$I76/1000000,"--")</f>
        <v>--</v>
      </c>
      <c r="U76" s="42"/>
      <c r="V76" s="43">
        <f t="shared" si="37"/>
        <v>2.8929278432434603E-6</v>
      </c>
      <c r="W76" s="42"/>
      <c r="X76" s="41">
        <f t="shared" si="38"/>
        <v>5.2795933139193152E-4</v>
      </c>
      <c r="Y76" s="42"/>
      <c r="Z76" s="43" t="str">
        <f t="shared" si="34"/>
        <v>--</v>
      </c>
      <c r="AA76" s="42"/>
      <c r="AB76" s="41" t="str">
        <f t="shared" si="35"/>
        <v>--</v>
      </c>
      <c r="AC76" s="42"/>
      <c r="AD76" s="43">
        <f t="shared" ref="AD76:AD92" si="44">IFERROR($F76*$L76/1000000,"--")</f>
        <v>4.4217163636363637E-4</v>
      </c>
      <c r="AE76" s="42"/>
      <c r="AF76" s="41">
        <f t="shared" ref="AF76:AF92" si="45">IFERROR($G76*$L76/1000000,"--")</f>
        <v>8.0696323636363643E-2</v>
      </c>
      <c r="AG76" s="42"/>
      <c r="AH76" s="41">
        <f t="shared" ref="AH76:AH92" si="46">IFERROR($F76*$M76/1000000,"--")</f>
        <v>2.0634676363636361E-4</v>
      </c>
      <c r="AI76" s="42"/>
      <c r="AJ76" s="41">
        <f t="shared" ref="AJ76:AJ92" si="47">IFERROR($G76*$M76/1000000,"--")</f>
        <v>3.7658284363636364E-2</v>
      </c>
      <c r="AK76" s="42"/>
    </row>
    <row r="77" spans="1:37" s="44" customFormat="1" ht="15" customHeight="1">
      <c r="A77" s="34" t="s">
        <v>158</v>
      </c>
      <c r="B77" s="35"/>
      <c r="C77" s="36">
        <f>_xlfn.XLOOKUP($A77,'Input_Cooling Towers'!$A$7:$A$98,'Input_Cooling Towers'!$H$7:$H$98)</f>
        <v>1E-3</v>
      </c>
      <c r="D77" s="36">
        <f>_xlfn.XLOOKUP($A77,'Input_Cooling Towers'!$A$7:$A$98,'Input_Cooling Towers'!$F$7:$F$98)</f>
        <v>8000</v>
      </c>
      <c r="E77" s="36">
        <f>_xlfn.XLOOKUP($A77,'Input_Cooling Towers'!$A$7:$A$98,'Input_Cooling Towers'!$G$7:$G$98)</f>
        <v>4000</v>
      </c>
      <c r="F77" s="37">
        <f t="shared" si="36"/>
        <v>960.76800000000003</v>
      </c>
      <c r="G77" s="36">
        <f t="shared" si="39"/>
        <v>175340.16</v>
      </c>
      <c r="H77" s="38" t="s">
        <v>250</v>
      </c>
      <c r="I77" s="38" t="s">
        <v>250</v>
      </c>
      <c r="J77" s="39">
        <f t="shared" ref="J77:J86" si="48">$H$106*$H$102/$H$103</f>
        <v>3.0110576572528022E-3</v>
      </c>
      <c r="K77" s="38" t="s">
        <v>250</v>
      </c>
      <c r="L77" s="40">
        <f t="shared" ref="L77:L86" si="49">5.0625/11</f>
        <v>0.46022727272727271</v>
      </c>
      <c r="M77" s="40">
        <f t="shared" ref="M77:M86" si="50">2.3625/11</f>
        <v>0.21477272727272725</v>
      </c>
      <c r="N77" s="41" t="str">
        <f t="shared" si="40"/>
        <v>--</v>
      </c>
      <c r="O77" s="42"/>
      <c r="P77" s="41" t="str">
        <f t="shared" si="41"/>
        <v>--</v>
      </c>
      <c r="Q77" s="42"/>
      <c r="R77" s="41" t="str">
        <f t="shared" si="42"/>
        <v>--</v>
      </c>
      <c r="S77" s="42"/>
      <c r="T77" s="41" t="str">
        <f t="shared" si="43"/>
        <v>--</v>
      </c>
      <c r="U77" s="42"/>
      <c r="V77" s="43">
        <f t="shared" si="37"/>
        <v>2.8929278432434603E-6</v>
      </c>
      <c r="W77" s="42"/>
      <c r="X77" s="41">
        <f t="shared" si="38"/>
        <v>5.2795933139193152E-4</v>
      </c>
      <c r="Y77" s="42"/>
      <c r="Z77" s="43" t="str">
        <f t="shared" si="34"/>
        <v>--</v>
      </c>
      <c r="AA77" s="42"/>
      <c r="AB77" s="41" t="str">
        <f t="shared" si="35"/>
        <v>--</v>
      </c>
      <c r="AC77" s="42"/>
      <c r="AD77" s="43">
        <f t="shared" si="44"/>
        <v>4.4217163636363637E-4</v>
      </c>
      <c r="AE77" s="42"/>
      <c r="AF77" s="41">
        <f t="shared" si="45"/>
        <v>8.0696323636363643E-2</v>
      </c>
      <c r="AG77" s="42"/>
      <c r="AH77" s="41">
        <f t="shared" si="46"/>
        <v>2.0634676363636361E-4</v>
      </c>
      <c r="AI77" s="42"/>
      <c r="AJ77" s="41">
        <f t="shared" si="47"/>
        <v>3.7658284363636364E-2</v>
      </c>
      <c r="AK77" s="42"/>
    </row>
    <row r="78" spans="1:37" s="44" customFormat="1" ht="15" customHeight="1">
      <c r="A78" s="34" t="s">
        <v>160</v>
      </c>
      <c r="B78" s="35"/>
      <c r="C78" s="36">
        <f>_xlfn.XLOOKUP($A78,'Input_Cooling Towers'!$A$7:$A$98,'Input_Cooling Towers'!$H$7:$H$98)</f>
        <v>1E-3</v>
      </c>
      <c r="D78" s="36">
        <f>_xlfn.XLOOKUP($A78,'Input_Cooling Towers'!$A$7:$A$98,'Input_Cooling Towers'!$F$7:$F$98)</f>
        <v>8000</v>
      </c>
      <c r="E78" s="36">
        <f>_xlfn.XLOOKUP($A78,'Input_Cooling Towers'!$A$7:$A$98,'Input_Cooling Towers'!$G$7:$G$98)</f>
        <v>4000</v>
      </c>
      <c r="F78" s="37">
        <f t="shared" si="36"/>
        <v>960.76800000000003</v>
      </c>
      <c r="G78" s="36">
        <f t="shared" si="39"/>
        <v>175340.16</v>
      </c>
      <c r="H78" s="38" t="s">
        <v>250</v>
      </c>
      <c r="I78" s="38" t="s">
        <v>250</v>
      </c>
      <c r="J78" s="39">
        <f t="shared" si="48"/>
        <v>3.0110576572528022E-3</v>
      </c>
      <c r="K78" s="38" t="s">
        <v>250</v>
      </c>
      <c r="L78" s="40">
        <f t="shared" si="49"/>
        <v>0.46022727272727271</v>
      </c>
      <c r="M78" s="40">
        <f t="shared" si="50"/>
        <v>0.21477272727272725</v>
      </c>
      <c r="N78" s="41" t="str">
        <f t="shared" si="40"/>
        <v>--</v>
      </c>
      <c r="O78" s="42"/>
      <c r="P78" s="41" t="str">
        <f t="shared" si="41"/>
        <v>--</v>
      </c>
      <c r="Q78" s="42"/>
      <c r="R78" s="41" t="str">
        <f t="shared" si="42"/>
        <v>--</v>
      </c>
      <c r="S78" s="42"/>
      <c r="T78" s="41" t="str">
        <f t="shared" si="43"/>
        <v>--</v>
      </c>
      <c r="U78" s="42"/>
      <c r="V78" s="43">
        <f t="shared" si="37"/>
        <v>2.8929278432434603E-6</v>
      </c>
      <c r="W78" s="42"/>
      <c r="X78" s="41">
        <f t="shared" si="38"/>
        <v>5.2795933139193152E-4</v>
      </c>
      <c r="Y78" s="42"/>
      <c r="Z78" s="43" t="str">
        <f t="shared" si="34"/>
        <v>--</v>
      </c>
      <c r="AA78" s="42"/>
      <c r="AB78" s="41" t="str">
        <f t="shared" si="35"/>
        <v>--</v>
      </c>
      <c r="AC78" s="42"/>
      <c r="AD78" s="43">
        <f t="shared" si="44"/>
        <v>4.4217163636363637E-4</v>
      </c>
      <c r="AE78" s="42"/>
      <c r="AF78" s="41">
        <f t="shared" si="45"/>
        <v>8.0696323636363643E-2</v>
      </c>
      <c r="AG78" s="42"/>
      <c r="AH78" s="41">
        <f t="shared" si="46"/>
        <v>2.0634676363636361E-4</v>
      </c>
      <c r="AI78" s="42"/>
      <c r="AJ78" s="41">
        <f t="shared" si="47"/>
        <v>3.7658284363636364E-2</v>
      </c>
      <c r="AK78" s="42"/>
    </row>
    <row r="79" spans="1:37" s="44" customFormat="1" ht="15" customHeight="1">
      <c r="A79" s="34" t="s">
        <v>162</v>
      </c>
      <c r="B79" s="35"/>
      <c r="C79" s="36">
        <f>_xlfn.XLOOKUP($A79,'Input_Cooling Towers'!$A$7:$A$98,'Input_Cooling Towers'!$H$7:$H$98)</f>
        <v>1E-3</v>
      </c>
      <c r="D79" s="36">
        <f>_xlfn.XLOOKUP($A79,'Input_Cooling Towers'!$A$7:$A$98,'Input_Cooling Towers'!$F$7:$F$98)</f>
        <v>8000</v>
      </c>
      <c r="E79" s="36">
        <f>_xlfn.XLOOKUP($A79,'Input_Cooling Towers'!$A$7:$A$98,'Input_Cooling Towers'!$G$7:$G$98)</f>
        <v>4000</v>
      </c>
      <c r="F79" s="37">
        <f t="shared" si="36"/>
        <v>960.76800000000003</v>
      </c>
      <c r="G79" s="36">
        <f t="shared" si="39"/>
        <v>175340.16</v>
      </c>
      <c r="H79" s="38" t="s">
        <v>250</v>
      </c>
      <c r="I79" s="38" t="s">
        <v>250</v>
      </c>
      <c r="J79" s="39">
        <f t="shared" si="48"/>
        <v>3.0110576572528022E-3</v>
      </c>
      <c r="K79" s="38" t="s">
        <v>250</v>
      </c>
      <c r="L79" s="40">
        <f t="shared" si="49"/>
        <v>0.46022727272727271</v>
      </c>
      <c r="M79" s="40">
        <f t="shared" si="50"/>
        <v>0.21477272727272725</v>
      </c>
      <c r="N79" s="41" t="str">
        <f t="shared" si="40"/>
        <v>--</v>
      </c>
      <c r="O79" s="42"/>
      <c r="P79" s="41" t="str">
        <f t="shared" si="41"/>
        <v>--</v>
      </c>
      <c r="Q79" s="42"/>
      <c r="R79" s="41" t="str">
        <f t="shared" si="42"/>
        <v>--</v>
      </c>
      <c r="S79" s="42"/>
      <c r="T79" s="41" t="str">
        <f t="shared" si="43"/>
        <v>--</v>
      </c>
      <c r="U79" s="42"/>
      <c r="V79" s="43">
        <f t="shared" si="37"/>
        <v>2.8929278432434603E-6</v>
      </c>
      <c r="W79" s="42"/>
      <c r="X79" s="41">
        <f t="shared" si="38"/>
        <v>5.2795933139193152E-4</v>
      </c>
      <c r="Y79" s="42"/>
      <c r="Z79" s="43" t="str">
        <f t="shared" si="34"/>
        <v>--</v>
      </c>
      <c r="AA79" s="42"/>
      <c r="AB79" s="41" t="str">
        <f t="shared" si="35"/>
        <v>--</v>
      </c>
      <c r="AC79" s="42"/>
      <c r="AD79" s="43">
        <f t="shared" si="44"/>
        <v>4.4217163636363637E-4</v>
      </c>
      <c r="AE79" s="42"/>
      <c r="AF79" s="41">
        <f t="shared" si="45"/>
        <v>8.0696323636363643E-2</v>
      </c>
      <c r="AG79" s="42"/>
      <c r="AH79" s="41">
        <f t="shared" si="46"/>
        <v>2.0634676363636361E-4</v>
      </c>
      <c r="AI79" s="42"/>
      <c r="AJ79" s="41">
        <f t="shared" si="47"/>
        <v>3.7658284363636364E-2</v>
      </c>
      <c r="AK79" s="42"/>
    </row>
    <row r="80" spans="1:37" s="44" customFormat="1" ht="15" customHeight="1">
      <c r="A80" s="34" t="s">
        <v>164</v>
      </c>
      <c r="B80" s="35"/>
      <c r="C80" s="36">
        <f>_xlfn.XLOOKUP($A80,'Input_Cooling Towers'!$A$7:$A$98,'Input_Cooling Towers'!$H$7:$H$98)</f>
        <v>1E-3</v>
      </c>
      <c r="D80" s="36">
        <f>_xlfn.XLOOKUP($A80,'Input_Cooling Towers'!$A$7:$A$98,'Input_Cooling Towers'!$F$7:$F$98)</f>
        <v>8000</v>
      </c>
      <c r="E80" s="36">
        <f>_xlfn.XLOOKUP($A80,'Input_Cooling Towers'!$A$7:$A$98,'Input_Cooling Towers'!$G$7:$G$98)</f>
        <v>4000</v>
      </c>
      <c r="F80" s="37">
        <f t="shared" si="36"/>
        <v>960.76800000000003</v>
      </c>
      <c r="G80" s="36">
        <f t="shared" si="39"/>
        <v>175340.16</v>
      </c>
      <c r="H80" s="38" t="s">
        <v>250</v>
      </c>
      <c r="I80" s="38" t="s">
        <v>250</v>
      </c>
      <c r="J80" s="39">
        <f t="shared" si="48"/>
        <v>3.0110576572528022E-3</v>
      </c>
      <c r="K80" s="38" t="s">
        <v>250</v>
      </c>
      <c r="L80" s="40">
        <f t="shared" si="49"/>
        <v>0.46022727272727271</v>
      </c>
      <c r="M80" s="40">
        <f t="shared" si="50"/>
        <v>0.21477272727272725</v>
      </c>
      <c r="N80" s="41" t="str">
        <f t="shared" si="40"/>
        <v>--</v>
      </c>
      <c r="O80" s="42"/>
      <c r="P80" s="41" t="str">
        <f t="shared" si="41"/>
        <v>--</v>
      </c>
      <c r="Q80" s="42"/>
      <c r="R80" s="41" t="str">
        <f t="shared" si="42"/>
        <v>--</v>
      </c>
      <c r="S80" s="42"/>
      <c r="T80" s="41" t="str">
        <f t="shared" si="43"/>
        <v>--</v>
      </c>
      <c r="U80" s="42"/>
      <c r="V80" s="43">
        <f t="shared" si="37"/>
        <v>2.8929278432434603E-6</v>
      </c>
      <c r="W80" s="42"/>
      <c r="X80" s="41">
        <f t="shared" si="38"/>
        <v>5.2795933139193152E-4</v>
      </c>
      <c r="Y80" s="42"/>
      <c r="Z80" s="43" t="str">
        <f t="shared" si="34"/>
        <v>--</v>
      </c>
      <c r="AA80" s="42"/>
      <c r="AB80" s="41" t="str">
        <f t="shared" si="35"/>
        <v>--</v>
      </c>
      <c r="AC80" s="42"/>
      <c r="AD80" s="43">
        <f t="shared" si="44"/>
        <v>4.4217163636363637E-4</v>
      </c>
      <c r="AE80" s="42"/>
      <c r="AF80" s="41">
        <f t="shared" si="45"/>
        <v>8.0696323636363643E-2</v>
      </c>
      <c r="AG80" s="42"/>
      <c r="AH80" s="41">
        <f t="shared" si="46"/>
        <v>2.0634676363636361E-4</v>
      </c>
      <c r="AI80" s="42"/>
      <c r="AJ80" s="41">
        <f t="shared" si="47"/>
        <v>3.7658284363636364E-2</v>
      </c>
      <c r="AK80" s="42"/>
    </row>
    <row r="81" spans="1:37" s="44" customFormat="1" ht="15" customHeight="1">
      <c r="A81" s="34" t="s">
        <v>166</v>
      </c>
      <c r="B81" s="35"/>
      <c r="C81" s="36">
        <f>_xlfn.XLOOKUP($A81,'Input_Cooling Towers'!$A$7:$A$98,'Input_Cooling Towers'!$H$7:$H$98)</f>
        <v>1E-3</v>
      </c>
      <c r="D81" s="36">
        <f>_xlfn.XLOOKUP($A81,'Input_Cooling Towers'!$A$7:$A$98,'Input_Cooling Towers'!$F$7:$F$98)</f>
        <v>8000</v>
      </c>
      <c r="E81" s="36">
        <f>_xlfn.XLOOKUP($A81,'Input_Cooling Towers'!$A$7:$A$98,'Input_Cooling Towers'!$G$7:$G$98)</f>
        <v>4000</v>
      </c>
      <c r="F81" s="37">
        <f t="shared" si="36"/>
        <v>960.76800000000003</v>
      </c>
      <c r="G81" s="36">
        <f t="shared" si="39"/>
        <v>175340.16</v>
      </c>
      <c r="H81" s="38" t="s">
        <v>250</v>
      </c>
      <c r="I81" s="38" t="s">
        <v>250</v>
      </c>
      <c r="J81" s="39">
        <f t="shared" si="48"/>
        <v>3.0110576572528022E-3</v>
      </c>
      <c r="K81" s="38" t="s">
        <v>250</v>
      </c>
      <c r="L81" s="40">
        <f t="shared" si="49"/>
        <v>0.46022727272727271</v>
      </c>
      <c r="M81" s="40">
        <f t="shared" si="50"/>
        <v>0.21477272727272725</v>
      </c>
      <c r="N81" s="41" t="str">
        <f t="shared" si="40"/>
        <v>--</v>
      </c>
      <c r="O81" s="42"/>
      <c r="P81" s="41" t="str">
        <f t="shared" si="41"/>
        <v>--</v>
      </c>
      <c r="Q81" s="42"/>
      <c r="R81" s="41" t="str">
        <f t="shared" si="42"/>
        <v>--</v>
      </c>
      <c r="S81" s="42"/>
      <c r="T81" s="41" t="str">
        <f t="shared" si="43"/>
        <v>--</v>
      </c>
      <c r="U81" s="42"/>
      <c r="V81" s="43">
        <f t="shared" si="37"/>
        <v>2.8929278432434603E-6</v>
      </c>
      <c r="W81" s="42"/>
      <c r="X81" s="41">
        <f t="shared" si="38"/>
        <v>5.2795933139193152E-4</v>
      </c>
      <c r="Y81" s="42"/>
      <c r="Z81" s="43" t="str">
        <f t="shared" si="34"/>
        <v>--</v>
      </c>
      <c r="AA81" s="42"/>
      <c r="AB81" s="41" t="str">
        <f t="shared" si="35"/>
        <v>--</v>
      </c>
      <c r="AC81" s="42"/>
      <c r="AD81" s="43">
        <f t="shared" si="44"/>
        <v>4.4217163636363637E-4</v>
      </c>
      <c r="AE81" s="42"/>
      <c r="AF81" s="41">
        <f t="shared" si="45"/>
        <v>8.0696323636363643E-2</v>
      </c>
      <c r="AG81" s="42"/>
      <c r="AH81" s="41">
        <f t="shared" si="46"/>
        <v>2.0634676363636361E-4</v>
      </c>
      <c r="AI81" s="42"/>
      <c r="AJ81" s="41">
        <f t="shared" si="47"/>
        <v>3.7658284363636364E-2</v>
      </c>
      <c r="AK81" s="42"/>
    </row>
    <row r="82" spans="1:37" s="44" customFormat="1" ht="15" customHeight="1">
      <c r="A82" s="34" t="s">
        <v>168</v>
      </c>
      <c r="B82" s="35"/>
      <c r="C82" s="36">
        <f>_xlfn.XLOOKUP($A82,'Input_Cooling Towers'!$A$7:$A$98,'Input_Cooling Towers'!$H$7:$H$98)</f>
        <v>1E-3</v>
      </c>
      <c r="D82" s="36">
        <f>_xlfn.XLOOKUP($A82,'Input_Cooling Towers'!$A$7:$A$98,'Input_Cooling Towers'!$F$7:$F$98)</f>
        <v>8000</v>
      </c>
      <c r="E82" s="36">
        <f>_xlfn.XLOOKUP($A82,'Input_Cooling Towers'!$A$7:$A$98,'Input_Cooling Towers'!$G$7:$G$98)</f>
        <v>4000</v>
      </c>
      <c r="F82" s="37">
        <f t="shared" si="36"/>
        <v>960.76800000000003</v>
      </c>
      <c r="G82" s="36">
        <f t="shared" si="39"/>
        <v>175340.16</v>
      </c>
      <c r="H82" s="38" t="s">
        <v>250</v>
      </c>
      <c r="I82" s="38" t="s">
        <v>250</v>
      </c>
      <c r="J82" s="39">
        <f t="shared" si="48"/>
        <v>3.0110576572528022E-3</v>
      </c>
      <c r="K82" s="38" t="s">
        <v>250</v>
      </c>
      <c r="L82" s="40">
        <f t="shared" si="49"/>
        <v>0.46022727272727271</v>
      </c>
      <c r="M82" s="40">
        <f t="shared" si="50"/>
        <v>0.21477272727272725</v>
      </c>
      <c r="N82" s="41" t="str">
        <f t="shared" si="40"/>
        <v>--</v>
      </c>
      <c r="O82" s="42"/>
      <c r="P82" s="41" t="str">
        <f t="shared" si="41"/>
        <v>--</v>
      </c>
      <c r="Q82" s="42"/>
      <c r="R82" s="41" t="str">
        <f t="shared" si="42"/>
        <v>--</v>
      </c>
      <c r="S82" s="42"/>
      <c r="T82" s="41" t="str">
        <f t="shared" si="43"/>
        <v>--</v>
      </c>
      <c r="U82" s="42"/>
      <c r="V82" s="43">
        <f t="shared" si="37"/>
        <v>2.8929278432434603E-6</v>
      </c>
      <c r="W82" s="42"/>
      <c r="X82" s="41">
        <f t="shared" si="38"/>
        <v>5.2795933139193152E-4</v>
      </c>
      <c r="Y82" s="42"/>
      <c r="Z82" s="43" t="str">
        <f t="shared" si="34"/>
        <v>--</v>
      </c>
      <c r="AA82" s="42"/>
      <c r="AB82" s="41" t="str">
        <f t="shared" si="35"/>
        <v>--</v>
      </c>
      <c r="AC82" s="42"/>
      <c r="AD82" s="43">
        <f t="shared" si="44"/>
        <v>4.4217163636363637E-4</v>
      </c>
      <c r="AE82" s="42"/>
      <c r="AF82" s="41">
        <f t="shared" si="45"/>
        <v>8.0696323636363643E-2</v>
      </c>
      <c r="AG82" s="42"/>
      <c r="AH82" s="41">
        <f t="shared" si="46"/>
        <v>2.0634676363636361E-4</v>
      </c>
      <c r="AI82" s="42"/>
      <c r="AJ82" s="41">
        <f t="shared" si="47"/>
        <v>3.7658284363636364E-2</v>
      </c>
      <c r="AK82" s="42"/>
    </row>
    <row r="83" spans="1:37" s="44" customFormat="1" ht="15" customHeight="1">
      <c r="A83" s="34" t="s">
        <v>170</v>
      </c>
      <c r="B83" s="35"/>
      <c r="C83" s="36">
        <f>_xlfn.XLOOKUP($A83,'Input_Cooling Towers'!$A$7:$A$98,'Input_Cooling Towers'!$H$7:$H$98)</f>
        <v>1E-3</v>
      </c>
      <c r="D83" s="36">
        <f>_xlfn.XLOOKUP($A83,'Input_Cooling Towers'!$A$7:$A$98,'Input_Cooling Towers'!$F$7:$F$98)</f>
        <v>8000</v>
      </c>
      <c r="E83" s="36">
        <f>_xlfn.XLOOKUP($A83,'Input_Cooling Towers'!$A$7:$A$98,'Input_Cooling Towers'!$G$7:$G$98)</f>
        <v>4000</v>
      </c>
      <c r="F83" s="37">
        <f t="shared" si="36"/>
        <v>960.76800000000003</v>
      </c>
      <c r="G83" s="36">
        <f t="shared" si="39"/>
        <v>175340.16</v>
      </c>
      <c r="H83" s="38" t="s">
        <v>250</v>
      </c>
      <c r="I83" s="38" t="s">
        <v>250</v>
      </c>
      <c r="J83" s="39">
        <f t="shared" si="48"/>
        <v>3.0110576572528022E-3</v>
      </c>
      <c r="K83" s="38" t="s">
        <v>250</v>
      </c>
      <c r="L83" s="40">
        <f t="shared" si="49"/>
        <v>0.46022727272727271</v>
      </c>
      <c r="M83" s="40">
        <f t="shared" si="50"/>
        <v>0.21477272727272725</v>
      </c>
      <c r="N83" s="41" t="str">
        <f t="shared" si="40"/>
        <v>--</v>
      </c>
      <c r="O83" s="42"/>
      <c r="P83" s="41" t="str">
        <f t="shared" si="41"/>
        <v>--</v>
      </c>
      <c r="Q83" s="42"/>
      <c r="R83" s="41" t="str">
        <f t="shared" si="42"/>
        <v>--</v>
      </c>
      <c r="S83" s="42"/>
      <c r="T83" s="41" t="str">
        <f t="shared" si="43"/>
        <v>--</v>
      </c>
      <c r="U83" s="42"/>
      <c r="V83" s="43">
        <f t="shared" si="37"/>
        <v>2.8929278432434603E-6</v>
      </c>
      <c r="W83" s="42"/>
      <c r="X83" s="41">
        <f t="shared" si="38"/>
        <v>5.2795933139193152E-4</v>
      </c>
      <c r="Y83" s="42"/>
      <c r="Z83" s="43" t="str">
        <f t="shared" si="34"/>
        <v>--</v>
      </c>
      <c r="AA83" s="42"/>
      <c r="AB83" s="41" t="str">
        <f t="shared" si="35"/>
        <v>--</v>
      </c>
      <c r="AC83" s="42"/>
      <c r="AD83" s="43">
        <f t="shared" si="44"/>
        <v>4.4217163636363637E-4</v>
      </c>
      <c r="AE83" s="42"/>
      <c r="AF83" s="41">
        <f t="shared" si="45"/>
        <v>8.0696323636363643E-2</v>
      </c>
      <c r="AG83" s="42"/>
      <c r="AH83" s="41">
        <f t="shared" si="46"/>
        <v>2.0634676363636361E-4</v>
      </c>
      <c r="AI83" s="42"/>
      <c r="AJ83" s="41">
        <f t="shared" si="47"/>
        <v>3.7658284363636364E-2</v>
      </c>
      <c r="AK83" s="42"/>
    </row>
    <row r="84" spans="1:37" s="44" customFormat="1" ht="15" customHeight="1">
      <c r="A84" s="34" t="s">
        <v>172</v>
      </c>
      <c r="B84" s="35"/>
      <c r="C84" s="36">
        <f>_xlfn.XLOOKUP($A84,'Input_Cooling Towers'!$A$7:$A$98,'Input_Cooling Towers'!$H$7:$H$98)</f>
        <v>1E-3</v>
      </c>
      <c r="D84" s="36">
        <f>_xlfn.XLOOKUP($A84,'Input_Cooling Towers'!$A$7:$A$98,'Input_Cooling Towers'!$F$7:$F$98)</f>
        <v>8000</v>
      </c>
      <c r="E84" s="36">
        <f>_xlfn.XLOOKUP($A84,'Input_Cooling Towers'!$A$7:$A$98,'Input_Cooling Towers'!$G$7:$G$98)</f>
        <v>4000</v>
      </c>
      <c r="F84" s="37">
        <f t="shared" si="36"/>
        <v>960.76800000000003</v>
      </c>
      <c r="G84" s="36">
        <f t="shared" si="39"/>
        <v>175340.16</v>
      </c>
      <c r="H84" s="38" t="s">
        <v>250</v>
      </c>
      <c r="I84" s="38" t="s">
        <v>250</v>
      </c>
      <c r="J84" s="39">
        <f t="shared" si="48"/>
        <v>3.0110576572528022E-3</v>
      </c>
      <c r="K84" s="38" t="s">
        <v>250</v>
      </c>
      <c r="L84" s="40">
        <f t="shared" si="49"/>
        <v>0.46022727272727271</v>
      </c>
      <c r="M84" s="40">
        <f t="shared" si="50"/>
        <v>0.21477272727272725</v>
      </c>
      <c r="N84" s="41" t="str">
        <f t="shared" si="40"/>
        <v>--</v>
      </c>
      <c r="O84" s="42"/>
      <c r="P84" s="41" t="str">
        <f t="shared" si="41"/>
        <v>--</v>
      </c>
      <c r="Q84" s="42"/>
      <c r="R84" s="41" t="str">
        <f t="shared" si="42"/>
        <v>--</v>
      </c>
      <c r="S84" s="42"/>
      <c r="T84" s="41" t="str">
        <f t="shared" si="43"/>
        <v>--</v>
      </c>
      <c r="U84" s="42"/>
      <c r="V84" s="43">
        <f t="shared" si="37"/>
        <v>2.8929278432434603E-6</v>
      </c>
      <c r="W84" s="42"/>
      <c r="X84" s="41">
        <f t="shared" si="38"/>
        <v>5.2795933139193152E-4</v>
      </c>
      <c r="Y84" s="42"/>
      <c r="Z84" s="43" t="str">
        <f t="shared" si="34"/>
        <v>--</v>
      </c>
      <c r="AA84" s="42"/>
      <c r="AB84" s="41" t="str">
        <f t="shared" si="35"/>
        <v>--</v>
      </c>
      <c r="AC84" s="42"/>
      <c r="AD84" s="43">
        <f t="shared" si="44"/>
        <v>4.4217163636363637E-4</v>
      </c>
      <c r="AE84" s="42"/>
      <c r="AF84" s="41">
        <f t="shared" si="45"/>
        <v>8.0696323636363643E-2</v>
      </c>
      <c r="AG84" s="42"/>
      <c r="AH84" s="41">
        <f t="shared" si="46"/>
        <v>2.0634676363636361E-4</v>
      </c>
      <c r="AI84" s="42"/>
      <c r="AJ84" s="41">
        <f t="shared" si="47"/>
        <v>3.7658284363636364E-2</v>
      </c>
      <c r="AK84" s="42"/>
    </row>
    <row r="85" spans="1:37" s="44" customFormat="1" ht="15" customHeight="1">
      <c r="A85" s="34" t="s">
        <v>174</v>
      </c>
      <c r="B85" s="35"/>
      <c r="C85" s="36">
        <f>_xlfn.XLOOKUP($A85,'Input_Cooling Towers'!$A$7:$A$98,'Input_Cooling Towers'!$H$7:$H$98)</f>
        <v>1E-3</v>
      </c>
      <c r="D85" s="36">
        <f>_xlfn.XLOOKUP($A85,'Input_Cooling Towers'!$A$7:$A$98,'Input_Cooling Towers'!$F$7:$F$98)</f>
        <v>8000</v>
      </c>
      <c r="E85" s="36">
        <f>_xlfn.XLOOKUP($A85,'Input_Cooling Towers'!$A$7:$A$98,'Input_Cooling Towers'!$G$7:$G$98)</f>
        <v>4000</v>
      </c>
      <c r="F85" s="37">
        <f t="shared" si="36"/>
        <v>960.76800000000003</v>
      </c>
      <c r="G85" s="36">
        <f t="shared" si="39"/>
        <v>175340.16</v>
      </c>
      <c r="H85" s="38" t="s">
        <v>250</v>
      </c>
      <c r="I85" s="38" t="s">
        <v>250</v>
      </c>
      <c r="J85" s="39">
        <f t="shared" si="48"/>
        <v>3.0110576572528022E-3</v>
      </c>
      <c r="K85" s="38" t="s">
        <v>250</v>
      </c>
      <c r="L85" s="40">
        <f t="shared" si="49"/>
        <v>0.46022727272727271</v>
      </c>
      <c r="M85" s="40">
        <f t="shared" si="50"/>
        <v>0.21477272727272725</v>
      </c>
      <c r="N85" s="41" t="str">
        <f t="shared" si="40"/>
        <v>--</v>
      </c>
      <c r="O85" s="42"/>
      <c r="P85" s="41" t="str">
        <f t="shared" si="41"/>
        <v>--</v>
      </c>
      <c r="Q85" s="42"/>
      <c r="R85" s="41" t="str">
        <f t="shared" si="42"/>
        <v>--</v>
      </c>
      <c r="S85" s="42"/>
      <c r="T85" s="41" t="str">
        <f t="shared" si="43"/>
        <v>--</v>
      </c>
      <c r="U85" s="42"/>
      <c r="V85" s="43">
        <f t="shared" si="37"/>
        <v>2.8929278432434603E-6</v>
      </c>
      <c r="W85" s="42"/>
      <c r="X85" s="41">
        <f t="shared" si="38"/>
        <v>5.2795933139193152E-4</v>
      </c>
      <c r="Y85" s="42"/>
      <c r="Z85" s="43" t="str">
        <f t="shared" si="34"/>
        <v>--</v>
      </c>
      <c r="AA85" s="42"/>
      <c r="AB85" s="41" t="str">
        <f t="shared" si="35"/>
        <v>--</v>
      </c>
      <c r="AC85" s="42"/>
      <c r="AD85" s="43">
        <f t="shared" si="44"/>
        <v>4.4217163636363637E-4</v>
      </c>
      <c r="AE85" s="42"/>
      <c r="AF85" s="41">
        <f t="shared" si="45"/>
        <v>8.0696323636363643E-2</v>
      </c>
      <c r="AG85" s="42"/>
      <c r="AH85" s="41">
        <f t="shared" si="46"/>
        <v>2.0634676363636361E-4</v>
      </c>
      <c r="AI85" s="42"/>
      <c r="AJ85" s="41">
        <f t="shared" si="47"/>
        <v>3.7658284363636364E-2</v>
      </c>
      <c r="AK85" s="42"/>
    </row>
    <row r="86" spans="1:37" s="44" customFormat="1" ht="15" customHeight="1">
      <c r="A86" s="34" t="s">
        <v>176</v>
      </c>
      <c r="B86" s="35"/>
      <c r="C86" s="36">
        <f>_xlfn.XLOOKUP($A86,'Input_Cooling Towers'!$A$7:$A$98,'Input_Cooling Towers'!$H$7:$H$98)</f>
        <v>1E-3</v>
      </c>
      <c r="D86" s="36">
        <f>_xlfn.XLOOKUP($A86,'Input_Cooling Towers'!$A$7:$A$98,'Input_Cooling Towers'!$F$7:$F$98)</f>
        <v>8000</v>
      </c>
      <c r="E86" s="36">
        <f>_xlfn.XLOOKUP($A86,'Input_Cooling Towers'!$A$7:$A$98,'Input_Cooling Towers'!$G$7:$G$98)</f>
        <v>4000</v>
      </c>
      <c r="F86" s="37">
        <f t="shared" si="36"/>
        <v>960.76800000000003</v>
      </c>
      <c r="G86" s="36">
        <f t="shared" si="39"/>
        <v>175340.16</v>
      </c>
      <c r="H86" s="38" t="s">
        <v>250</v>
      </c>
      <c r="I86" s="38" t="s">
        <v>250</v>
      </c>
      <c r="J86" s="39">
        <f t="shared" si="48"/>
        <v>3.0110576572528022E-3</v>
      </c>
      <c r="K86" s="38" t="s">
        <v>250</v>
      </c>
      <c r="L86" s="40">
        <f t="shared" si="49"/>
        <v>0.46022727272727271</v>
      </c>
      <c r="M86" s="40">
        <f t="shared" si="50"/>
        <v>0.21477272727272725</v>
      </c>
      <c r="N86" s="41" t="str">
        <f t="shared" si="40"/>
        <v>--</v>
      </c>
      <c r="O86" s="42"/>
      <c r="P86" s="41" t="str">
        <f t="shared" si="41"/>
        <v>--</v>
      </c>
      <c r="Q86" s="42"/>
      <c r="R86" s="41" t="str">
        <f t="shared" si="42"/>
        <v>--</v>
      </c>
      <c r="S86" s="42"/>
      <c r="T86" s="41" t="str">
        <f t="shared" si="43"/>
        <v>--</v>
      </c>
      <c r="U86" s="42"/>
      <c r="V86" s="43">
        <f t="shared" si="37"/>
        <v>2.8929278432434603E-6</v>
      </c>
      <c r="W86" s="42"/>
      <c r="X86" s="41">
        <f t="shared" si="38"/>
        <v>5.2795933139193152E-4</v>
      </c>
      <c r="Y86" s="42"/>
      <c r="Z86" s="43" t="str">
        <f t="shared" si="34"/>
        <v>--</v>
      </c>
      <c r="AA86" s="42"/>
      <c r="AB86" s="41" t="str">
        <f t="shared" si="35"/>
        <v>--</v>
      </c>
      <c r="AC86" s="42"/>
      <c r="AD86" s="43">
        <f t="shared" si="44"/>
        <v>4.4217163636363637E-4</v>
      </c>
      <c r="AE86" s="42"/>
      <c r="AF86" s="41">
        <f t="shared" si="45"/>
        <v>8.0696323636363643E-2</v>
      </c>
      <c r="AG86" s="42"/>
      <c r="AH86" s="41">
        <f t="shared" si="46"/>
        <v>2.0634676363636361E-4</v>
      </c>
      <c r="AI86" s="42"/>
      <c r="AJ86" s="41">
        <f t="shared" si="47"/>
        <v>3.7658284363636364E-2</v>
      </c>
      <c r="AK86" s="42"/>
    </row>
    <row r="87" spans="1:37" s="44" customFormat="1" ht="15" customHeight="1">
      <c r="A87" s="34" t="s">
        <v>178</v>
      </c>
      <c r="B87" s="35"/>
      <c r="C87" s="36">
        <f>_xlfn.XLOOKUP($A87,'Input_Cooling Towers'!$A$7:$A$98,'Input_Cooling Towers'!$H$7:$H$98)</f>
        <v>1E-3</v>
      </c>
      <c r="D87" s="36">
        <f>_xlfn.XLOOKUP($A87,'Input_Cooling Towers'!$A$7:$A$98,'Input_Cooling Towers'!$F$7:$F$98)</f>
        <v>10722</v>
      </c>
      <c r="E87" s="36">
        <f>_xlfn.XLOOKUP($A87,'Input_Cooling Towers'!$A$7:$A$98,'Input_Cooling Towers'!$G$7:$G$98)</f>
        <v>5361</v>
      </c>
      <c r="F87" s="37">
        <f t="shared" si="36"/>
        <v>1287.669312</v>
      </c>
      <c r="G87" s="36">
        <f t="shared" si="39"/>
        <v>234999.64944000001</v>
      </c>
      <c r="H87" s="38" t="s">
        <v>250</v>
      </c>
      <c r="I87" s="38" t="s">
        <v>250</v>
      </c>
      <c r="J87" s="38" t="s">
        <v>250</v>
      </c>
      <c r="K87" s="38" t="s">
        <v>250</v>
      </c>
      <c r="L87" s="40">
        <f t="shared" ref="L87:M89" si="51">12.15/3</f>
        <v>4.05</v>
      </c>
      <c r="M87" s="40">
        <f t="shared" si="51"/>
        <v>4.05</v>
      </c>
      <c r="N87" s="41" t="str">
        <f t="shared" si="40"/>
        <v>--</v>
      </c>
      <c r="O87" s="42"/>
      <c r="P87" s="41" t="str">
        <f t="shared" si="41"/>
        <v>--</v>
      </c>
      <c r="Q87" s="42"/>
      <c r="R87" s="41" t="str">
        <f t="shared" si="42"/>
        <v>--</v>
      </c>
      <c r="S87" s="42"/>
      <c r="T87" s="41" t="str">
        <f t="shared" si="43"/>
        <v>--</v>
      </c>
      <c r="U87" s="42"/>
      <c r="V87" s="43" t="str">
        <f t="shared" si="37"/>
        <v>--</v>
      </c>
      <c r="W87" s="42"/>
      <c r="X87" s="41" t="str">
        <f t="shared" si="38"/>
        <v>--</v>
      </c>
      <c r="Y87" s="42"/>
      <c r="Z87" s="43" t="str">
        <f t="shared" si="34"/>
        <v>--</v>
      </c>
      <c r="AA87" s="42"/>
      <c r="AB87" s="41" t="str">
        <f t="shared" si="35"/>
        <v>--</v>
      </c>
      <c r="AC87" s="42"/>
      <c r="AD87" s="43">
        <f t="shared" si="44"/>
        <v>5.2150607135999999E-3</v>
      </c>
      <c r="AE87" s="42"/>
      <c r="AF87" s="41">
        <f t="shared" si="45"/>
        <v>0.95174858023199993</v>
      </c>
      <c r="AG87" s="42"/>
      <c r="AH87" s="41">
        <f t="shared" si="46"/>
        <v>5.2150607135999999E-3</v>
      </c>
      <c r="AI87" s="42"/>
      <c r="AJ87" s="41">
        <f t="shared" si="47"/>
        <v>0.95174858023199993</v>
      </c>
      <c r="AK87" s="42"/>
    </row>
    <row r="88" spans="1:37" s="44" customFormat="1" ht="15" customHeight="1">
      <c r="A88" s="34" t="s">
        <v>181</v>
      </c>
      <c r="B88" s="35"/>
      <c r="C88" s="36">
        <f>_xlfn.XLOOKUP($A88,'Input_Cooling Towers'!$A$7:$A$98,'Input_Cooling Towers'!$H$7:$H$98)</f>
        <v>1E-3</v>
      </c>
      <c r="D88" s="36">
        <f>_xlfn.XLOOKUP($A88,'Input_Cooling Towers'!$A$7:$A$98,'Input_Cooling Towers'!$F$7:$F$98)</f>
        <v>10724</v>
      </c>
      <c r="E88" s="36">
        <f>_xlfn.XLOOKUP($A88,'Input_Cooling Towers'!$A$7:$A$98,'Input_Cooling Towers'!$G$7:$G$98)</f>
        <v>5361</v>
      </c>
      <c r="F88" s="37">
        <f t="shared" si="36"/>
        <v>1287.9095040000002</v>
      </c>
      <c r="G88" s="36">
        <f t="shared" si="39"/>
        <v>234999.64944000001</v>
      </c>
      <c r="H88" s="38" t="s">
        <v>250</v>
      </c>
      <c r="I88" s="38" t="s">
        <v>250</v>
      </c>
      <c r="J88" s="38" t="s">
        <v>250</v>
      </c>
      <c r="K88" s="36">
        <v>0.06</v>
      </c>
      <c r="L88" s="40">
        <f t="shared" si="51"/>
        <v>4.05</v>
      </c>
      <c r="M88" s="40">
        <f t="shared" si="51"/>
        <v>4.05</v>
      </c>
      <c r="N88" s="41" t="str">
        <f t="shared" si="40"/>
        <v>--</v>
      </c>
      <c r="O88" s="42"/>
      <c r="P88" s="41" t="str">
        <f t="shared" si="41"/>
        <v>--</v>
      </c>
      <c r="Q88" s="42"/>
      <c r="R88" s="41" t="str">
        <f t="shared" si="42"/>
        <v>--</v>
      </c>
      <c r="S88" s="42"/>
      <c r="T88" s="41" t="str">
        <f t="shared" si="43"/>
        <v>--</v>
      </c>
      <c r="U88" s="42"/>
      <c r="V88" s="43" t="str">
        <f t="shared" si="37"/>
        <v>--</v>
      </c>
      <c r="W88" s="42"/>
      <c r="X88" s="41" t="str">
        <f t="shared" si="38"/>
        <v>--</v>
      </c>
      <c r="Y88" s="42"/>
      <c r="Z88" s="43">
        <f t="shared" si="34"/>
        <v>7.7274570240000001E-5</v>
      </c>
      <c r="AA88" s="42"/>
      <c r="AB88" s="41">
        <f t="shared" si="35"/>
        <v>1.4099978966400001E-2</v>
      </c>
      <c r="AC88" s="42"/>
      <c r="AD88" s="43">
        <f t="shared" si="44"/>
        <v>5.2160334912000009E-3</v>
      </c>
      <c r="AE88" s="42"/>
      <c r="AF88" s="41">
        <f t="shared" si="45"/>
        <v>0.95174858023199993</v>
      </c>
      <c r="AG88" s="42"/>
      <c r="AH88" s="41">
        <f t="shared" si="46"/>
        <v>5.2160334912000009E-3</v>
      </c>
      <c r="AI88" s="42"/>
      <c r="AJ88" s="41">
        <f t="shared" si="47"/>
        <v>0.95174858023199993</v>
      </c>
      <c r="AK88" s="42"/>
    </row>
    <row r="89" spans="1:37" s="44" customFormat="1" ht="15" customHeight="1">
      <c r="A89" s="34" t="s">
        <v>183</v>
      </c>
      <c r="B89" s="35"/>
      <c r="C89" s="36">
        <f>_xlfn.XLOOKUP($A89,'Input_Cooling Towers'!$A$7:$A$98,'Input_Cooling Towers'!$H$7:$H$98)</f>
        <v>1E-3</v>
      </c>
      <c r="D89" s="36">
        <f>_xlfn.XLOOKUP($A89,'Input_Cooling Towers'!$A$7:$A$98,'Input_Cooling Towers'!$F$7:$F$98)</f>
        <v>10724</v>
      </c>
      <c r="E89" s="36">
        <f>_xlfn.XLOOKUP($A89,'Input_Cooling Towers'!$A$7:$A$98,'Input_Cooling Towers'!$G$7:$G$98)</f>
        <v>5361</v>
      </c>
      <c r="F89" s="37">
        <f t="shared" si="36"/>
        <v>1287.9095040000002</v>
      </c>
      <c r="G89" s="36">
        <f t="shared" si="39"/>
        <v>234999.64944000001</v>
      </c>
      <c r="H89" s="38" t="s">
        <v>250</v>
      </c>
      <c r="I89" s="38" t="s">
        <v>250</v>
      </c>
      <c r="J89" s="38" t="s">
        <v>250</v>
      </c>
      <c r="K89" s="36">
        <v>0.06</v>
      </c>
      <c r="L89" s="40">
        <f t="shared" si="51"/>
        <v>4.05</v>
      </c>
      <c r="M89" s="40">
        <f t="shared" si="51"/>
        <v>4.05</v>
      </c>
      <c r="N89" s="41" t="str">
        <f t="shared" si="40"/>
        <v>--</v>
      </c>
      <c r="O89" s="42"/>
      <c r="P89" s="41" t="str">
        <f t="shared" si="41"/>
        <v>--</v>
      </c>
      <c r="Q89" s="42"/>
      <c r="R89" s="41" t="str">
        <f t="shared" si="42"/>
        <v>--</v>
      </c>
      <c r="S89" s="42"/>
      <c r="T89" s="41" t="str">
        <f t="shared" si="43"/>
        <v>--</v>
      </c>
      <c r="U89" s="42"/>
      <c r="V89" s="43" t="str">
        <f t="shared" si="37"/>
        <v>--</v>
      </c>
      <c r="W89" s="42"/>
      <c r="X89" s="41" t="str">
        <f t="shared" si="38"/>
        <v>--</v>
      </c>
      <c r="Y89" s="42"/>
      <c r="Z89" s="43">
        <f t="shared" si="34"/>
        <v>7.7274570240000001E-5</v>
      </c>
      <c r="AA89" s="42"/>
      <c r="AB89" s="41">
        <f t="shared" si="35"/>
        <v>1.4099978966400001E-2</v>
      </c>
      <c r="AC89" s="42"/>
      <c r="AD89" s="43">
        <f>IFERROR($F89*$L89/1000000,"--")</f>
        <v>5.2160334912000009E-3</v>
      </c>
      <c r="AE89" s="42"/>
      <c r="AF89" s="41">
        <f t="shared" si="45"/>
        <v>0.95174858023199993</v>
      </c>
      <c r="AG89" s="42"/>
      <c r="AH89" s="41">
        <f t="shared" si="46"/>
        <v>5.2160334912000009E-3</v>
      </c>
      <c r="AI89" s="42"/>
      <c r="AJ89" s="41">
        <f t="shared" si="47"/>
        <v>0.95174858023199993</v>
      </c>
      <c r="AK89" s="42"/>
    </row>
    <row r="90" spans="1:37" s="44" customFormat="1" ht="15" customHeight="1">
      <c r="A90" s="34" t="s">
        <v>185</v>
      </c>
      <c r="B90" s="35"/>
      <c r="C90" s="36">
        <f>_xlfn.XLOOKUP($A90,'Input_Cooling Towers'!$A$7:$A$98,'Input_Cooling Towers'!$H$7:$H$98)</f>
        <v>1E-3</v>
      </c>
      <c r="D90" s="36">
        <f>_xlfn.XLOOKUP($A90,'Input_Cooling Towers'!$A$7:$A$98,'Input_Cooling Towers'!$F$7:$F$98)</f>
        <v>7700</v>
      </c>
      <c r="E90" s="36">
        <f>_xlfn.XLOOKUP($A90,'Input_Cooling Towers'!$A$7:$A$98,'Input_Cooling Towers'!$G$7:$G$98)</f>
        <v>3850</v>
      </c>
      <c r="F90" s="37">
        <f t="shared" si="36"/>
        <v>924.73920000000021</v>
      </c>
      <c r="G90" s="36">
        <f t="shared" si="39"/>
        <v>168764.90400000004</v>
      </c>
      <c r="H90" s="46">
        <f>75/3</f>
        <v>25</v>
      </c>
      <c r="I90" s="36">
        <f>0.825/3</f>
        <v>0.27499999999999997</v>
      </c>
      <c r="J90" s="45">
        <f>$H$107*$H$102/$H$103</f>
        <v>1.1040544743260276E-2</v>
      </c>
      <c r="K90" s="38" t="s">
        <v>250</v>
      </c>
      <c r="L90" s="36">
        <f>5.0625/3</f>
        <v>1.6875</v>
      </c>
      <c r="M90" s="36">
        <f>2.3625/3</f>
        <v>0.78749999999999998</v>
      </c>
      <c r="N90" s="41">
        <f t="shared" si="40"/>
        <v>2.3118480000000007E-2</v>
      </c>
      <c r="O90" s="42"/>
      <c r="P90" s="41">
        <f t="shared" si="41"/>
        <v>4.2191226000000004</v>
      </c>
      <c r="Q90" s="42"/>
      <c r="R90" s="41">
        <f t="shared" si="42"/>
        <v>2.5430328000000001E-4</v>
      </c>
      <c r="S90" s="42"/>
      <c r="T90" s="41">
        <f t="shared" si="43"/>
        <v>4.6410348600000005E-2</v>
      </c>
      <c r="U90" s="42"/>
      <c r="V90" s="43">
        <f t="shared" si="37"/>
        <v>1.0209624513446714E-5</v>
      </c>
      <c r="W90" s="42"/>
      <c r="X90" s="41">
        <f t="shared" si="38"/>
        <v>1.8632564737040254E-3</v>
      </c>
      <c r="Y90" s="42"/>
      <c r="Z90" s="43" t="str">
        <f t="shared" si="34"/>
        <v>--</v>
      </c>
      <c r="AA90" s="42"/>
      <c r="AB90" s="41" t="str">
        <f t="shared" si="35"/>
        <v>--</v>
      </c>
      <c r="AC90" s="42"/>
      <c r="AD90" s="43">
        <f t="shared" si="44"/>
        <v>1.5604974000000005E-3</v>
      </c>
      <c r="AE90" s="42"/>
      <c r="AF90" s="41">
        <f t="shared" si="45"/>
        <v>0.28479077550000004</v>
      </c>
      <c r="AG90" s="42"/>
      <c r="AH90" s="41">
        <f t="shared" si="46"/>
        <v>7.2823212000000016E-4</v>
      </c>
      <c r="AI90" s="42"/>
      <c r="AJ90" s="41">
        <f t="shared" si="47"/>
        <v>0.13290236190000002</v>
      </c>
      <c r="AK90" s="42"/>
    </row>
    <row r="91" spans="1:37" s="44" customFormat="1" ht="15" customHeight="1">
      <c r="A91" s="34" t="s">
        <v>188</v>
      </c>
      <c r="B91" s="35"/>
      <c r="C91" s="36">
        <f>_xlfn.XLOOKUP($A91,'Input_Cooling Towers'!$A$7:$A$98,'Input_Cooling Towers'!$H$7:$H$98)</f>
        <v>1E-3</v>
      </c>
      <c r="D91" s="36">
        <f>_xlfn.XLOOKUP($A91,'Input_Cooling Towers'!$A$7:$A$98,'Input_Cooling Towers'!$F$7:$F$98)</f>
        <v>7700</v>
      </c>
      <c r="E91" s="36">
        <f>_xlfn.XLOOKUP($A91,'Input_Cooling Towers'!$A$7:$A$98,'Input_Cooling Towers'!$G$7:$G$98)</f>
        <v>3850</v>
      </c>
      <c r="F91" s="37">
        <f t="shared" si="36"/>
        <v>924.73920000000021</v>
      </c>
      <c r="G91" s="36">
        <f t="shared" si="39"/>
        <v>168764.90400000004</v>
      </c>
      <c r="H91" s="46">
        <f t="shared" ref="H91:H92" si="52">75/3</f>
        <v>25</v>
      </c>
      <c r="I91" s="36">
        <f t="shared" ref="I91:I92" si="53">0.825/3</f>
        <v>0.27499999999999997</v>
      </c>
      <c r="J91" s="45">
        <f>$H$107*$H$102/$H$103</f>
        <v>1.1040544743260276E-2</v>
      </c>
      <c r="K91" s="38" t="s">
        <v>250</v>
      </c>
      <c r="L91" s="36">
        <f t="shared" ref="L91:L92" si="54">5.0625/3</f>
        <v>1.6875</v>
      </c>
      <c r="M91" s="36">
        <f t="shared" ref="M91:M92" si="55">2.3625/3</f>
        <v>0.78749999999999998</v>
      </c>
      <c r="N91" s="41">
        <f t="shared" si="40"/>
        <v>2.3118480000000007E-2</v>
      </c>
      <c r="O91" s="42"/>
      <c r="P91" s="41">
        <f t="shared" si="41"/>
        <v>4.2191226000000004</v>
      </c>
      <c r="Q91" s="42"/>
      <c r="R91" s="41">
        <f t="shared" si="42"/>
        <v>2.5430328000000001E-4</v>
      </c>
      <c r="S91" s="42"/>
      <c r="T91" s="41">
        <f t="shared" si="43"/>
        <v>4.6410348600000005E-2</v>
      </c>
      <c r="U91" s="42"/>
      <c r="V91" s="43">
        <f t="shared" si="37"/>
        <v>1.0209624513446714E-5</v>
      </c>
      <c r="W91" s="42"/>
      <c r="X91" s="41">
        <f t="shared" si="38"/>
        <v>1.8632564737040254E-3</v>
      </c>
      <c r="Y91" s="42"/>
      <c r="Z91" s="43" t="str">
        <f t="shared" si="34"/>
        <v>--</v>
      </c>
      <c r="AA91" s="42"/>
      <c r="AB91" s="41" t="str">
        <f t="shared" si="35"/>
        <v>--</v>
      </c>
      <c r="AC91" s="42"/>
      <c r="AD91" s="43">
        <f t="shared" si="44"/>
        <v>1.5604974000000005E-3</v>
      </c>
      <c r="AE91" s="42"/>
      <c r="AF91" s="41">
        <f t="shared" si="45"/>
        <v>0.28479077550000004</v>
      </c>
      <c r="AG91" s="42"/>
      <c r="AH91" s="41">
        <f t="shared" si="46"/>
        <v>7.2823212000000016E-4</v>
      </c>
      <c r="AI91" s="42"/>
      <c r="AJ91" s="41">
        <f t="shared" si="47"/>
        <v>0.13290236190000002</v>
      </c>
      <c r="AK91" s="42"/>
    </row>
    <row r="92" spans="1:37" s="44" customFormat="1" ht="15" customHeight="1">
      <c r="A92" s="34" t="s">
        <v>190</v>
      </c>
      <c r="B92" s="35"/>
      <c r="C92" s="36">
        <f>_xlfn.XLOOKUP($A92,'Input_Cooling Towers'!$A$7:$A$98,'Input_Cooling Towers'!$H$7:$H$98)</f>
        <v>1E-3</v>
      </c>
      <c r="D92" s="36">
        <f>_xlfn.XLOOKUP($A92,'Input_Cooling Towers'!$A$7:$A$98,'Input_Cooling Towers'!$F$7:$F$98)</f>
        <v>7700</v>
      </c>
      <c r="E92" s="36">
        <f>_xlfn.XLOOKUP($A92,'Input_Cooling Towers'!$A$7:$A$98,'Input_Cooling Towers'!$G$7:$G$98)</f>
        <v>3850</v>
      </c>
      <c r="F92" s="37">
        <f t="shared" si="36"/>
        <v>924.73920000000021</v>
      </c>
      <c r="G92" s="36">
        <f t="shared" si="39"/>
        <v>168764.90400000004</v>
      </c>
      <c r="H92" s="46">
        <f t="shared" si="52"/>
        <v>25</v>
      </c>
      <c r="I92" s="36">
        <f t="shared" si="53"/>
        <v>0.27499999999999997</v>
      </c>
      <c r="J92" s="45">
        <f>$H$107*$H$102/$H$103</f>
        <v>1.1040544743260276E-2</v>
      </c>
      <c r="K92" s="38" t="s">
        <v>250</v>
      </c>
      <c r="L92" s="36">
        <f t="shared" si="54"/>
        <v>1.6875</v>
      </c>
      <c r="M92" s="36">
        <f t="shared" si="55"/>
        <v>0.78749999999999998</v>
      </c>
      <c r="N92" s="41">
        <f t="shared" si="40"/>
        <v>2.3118480000000007E-2</v>
      </c>
      <c r="O92" s="42"/>
      <c r="P92" s="41">
        <f t="shared" si="41"/>
        <v>4.2191226000000004</v>
      </c>
      <c r="Q92" s="42"/>
      <c r="R92" s="41">
        <f t="shared" si="42"/>
        <v>2.5430328000000001E-4</v>
      </c>
      <c r="S92" s="42"/>
      <c r="T92" s="41">
        <f t="shared" si="43"/>
        <v>4.6410348600000005E-2</v>
      </c>
      <c r="U92" s="42"/>
      <c r="V92" s="43">
        <f t="shared" si="37"/>
        <v>1.0209624513446714E-5</v>
      </c>
      <c r="W92" s="42"/>
      <c r="X92" s="41">
        <f t="shared" si="38"/>
        <v>1.8632564737040254E-3</v>
      </c>
      <c r="Y92" s="42"/>
      <c r="Z92" s="43" t="str">
        <f t="shared" si="34"/>
        <v>--</v>
      </c>
      <c r="AA92" s="42"/>
      <c r="AB92" s="41" t="str">
        <f t="shared" si="35"/>
        <v>--</v>
      </c>
      <c r="AC92" s="42"/>
      <c r="AD92" s="43">
        <f t="shared" si="44"/>
        <v>1.5604974000000005E-3</v>
      </c>
      <c r="AE92" s="42"/>
      <c r="AF92" s="41">
        <f t="shared" si="45"/>
        <v>0.28479077550000004</v>
      </c>
      <c r="AG92" s="42"/>
      <c r="AH92" s="41">
        <f t="shared" si="46"/>
        <v>7.2823212000000016E-4</v>
      </c>
      <c r="AI92" s="42"/>
      <c r="AJ92" s="41">
        <f t="shared" si="47"/>
        <v>0.13290236190000002</v>
      </c>
      <c r="AK92" s="42"/>
    </row>
    <row r="93" spans="1:37" s="28" customFormat="1" ht="15" customHeight="1">
      <c r="A93" s="47" t="s">
        <v>251</v>
      </c>
      <c r="B93" s="48"/>
      <c r="C93" s="30"/>
      <c r="D93" s="30"/>
      <c r="E93" s="30"/>
      <c r="F93" s="27"/>
      <c r="G93" s="27"/>
      <c r="H93" s="27"/>
      <c r="I93" s="27"/>
      <c r="J93" s="27"/>
      <c r="K93" s="27"/>
      <c r="L93" s="27"/>
      <c r="M93" s="27"/>
      <c r="N93" s="49">
        <f>SUM(N9:N92)</f>
        <v>0.24809431679999999</v>
      </c>
      <c r="O93" s="50"/>
      <c r="P93" s="49">
        <f>SUM(P9:P92)</f>
        <v>45.277212815999995</v>
      </c>
      <c r="Q93" s="50"/>
      <c r="R93" s="49">
        <f>SUM(R9:R92)</f>
        <v>2.7290374848000006E-3</v>
      </c>
      <c r="S93" s="50"/>
      <c r="T93" s="49">
        <f>SUM(T9:T92)</f>
        <v>0.49804934097600001</v>
      </c>
      <c r="U93" s="50"/>
      <c r="V93" s="49">
        <f>SUM(V9:V92)</f>
        <v>2.5731435994513275E-4</v>
      </c>
      <c r="W93" s="50"/>
      <c r="X93" s="49">
        <f>SUM(X9:X92)</f>
        <v>4.6959870689986721E-2</v>
      </c>
      <c r="Y93" s="50"/>
      <c r="Z93" s="49">
        <f>SUM(Z9:Z92)</f>
        <v>1.5454914048E-4</v>
      </c>
      <c r="AA93" s="50"/>
      <c r="AB93" s="49">
        <f>SUM(AB9:AB92)</f>
        <v>2.8199957932800002E-2</v>
      </c>
      <c r="AC93" s="50"/>
      <c r="AD93" s="49">
        <f>SUM(AD9:AD92)</f>
        <v>5.4493650071999987E-2</v>
      </c>
      <c r="AE93" s="50"/>
      <c r="AF93" s="49">
        <f>SUM(AF9:AF92)</f>
        <v>9.9447360743159958</v>
      </c>
      <c r="AG93" s="50"/>
      <c r="AH93" s="49">
        <f>SUM(AH9:AH92)</f>
        <v>4.0469073379199971E-2</v>
      </c>
      <c r="AI93" s="50"/>
      <c r="AJ93" s="49">
        <f>SUM(AJ9:AJ92)</f>
        <v>7.3852508278799975</v>
      </c>
      <c r="AK93" s="51"/>
    </row>
    <row r="94" spans="1:37" s="53" customFormat="1" ht="15" customHeight="1">
      <c r="A94" s="18" t="s">
        <v>252</v>
      </c>
      <c r="B94" s="52"/>
    </row>
    <row r="95" spans="1:37" s="53" customFormat="1" ht="15" customHeight="1">
      <c r="A95" s="54" t="s">
        <v>253</v>
      </c>
      <c r="B95" s="55"/>
      <c r="N95" s="56"/>
      <c r="O95" s="57"/>
      <c r="P95" s="56"/>
      <c r="Q95" s="57"/>
      <c r="R95" s="56"/>
      <c r="S95" s="57"/>
      <c r="T95" s="56"/>
      <c r="U95" s="57"/>
      <c r="V95" s="56"/>
      <c r="W95" s="57"/>
      <c r="X95" s="56"/>
      <c r="Y95" s="57"/>
      <c r="Z95" s="56"/>
      <c r="AA95" s="57"/>
      <c r="AB95" s="56"/>
      <c r="AC95" s="57"/>
      <c r="AD95" s="56"/>
      <c r="AE95" s="57"/>
      <c r="AF95" s="56"/>
      <c r="AG95" s="57"/>
      <c r="AH95" s="56"/>
      <c r="AI95" s="57"/>
      <c r="AJ95" s="56"/>
      <c r="AK95" s="57"/>
    </row>
    <row r="96" spans="1:37" s="53" customFormat="1" ht="15" customHeight="1">
      <c r="A96" s="58" t="s">
        <v>254</v>
      </c>
      <c r="B96" s="19" t="s">
        <v>274</v>
      </c>
      <c r="C96" s="19"/>
      <c r="D96" s="21"/>
      <c r="E96" s="21"/>
      <c r="F96" s="21"/>
      <c r="G96" s="21"/>
      <c r="H96" s="55"/>
      <c r="I96" s="55"/>
      <c r="J96" s="55"/>
      <c r="K96" s="55"/>
      <c r="L96" s="55"/>
      <c r="M96" s="55"/>
      <c r="N96" s="56"/>
      <c r="O96" s="57"/>
      <c r="P96" s="56"/>
      <c r="Q96" s="57"/>
      <c r="R96" s="56"/>
      <c r="S96" s="57"/>
      <c r="T96" s="56"/>
      <c r="U96" s="57"/>
      <c r="V96" s="56"/>
      <c r="W96" s="57"/>
      <c r="X96" s="56"/>
      <c r="Y96" s="57"/>
      <c r="Z96" s="56"/>
      <c r="AA96" s="57"/>
      <c r="AB96" s="56"/>
      <c r="AC96" s="57"/>
      <c r="AD96" s="56"/>
      <c r="AE96" s="57"/>
      <c r="AF96" s="56"/>
      <c r="AG96" s="57"/>
      <c r="AH96" s="56"/>
      <c r="AI96" s="57"/>
      <c r="AJ96" s="56"/>
      <c r="AK96" s="57"/>
    </row>
    <row r="97" spans="1:37" s="53" customFormat="1" ht="15" customHeight="1">
      <c r="A97" s="60"/>
      <c r="B97" s="19"/>
      <c r="C97" s="19"/>
      <c r="D97" s="21"/>
      <c r="E97" s="21"/>
      <c r="F97" s="76"/>
      <c r="G97" s="77" t="s">
        <v>255</v>
      </c>
      <c r="H97" s="75">
        <v>8.34</v>
      </c>
      <c r="I97" s="55"/>
      <c r="N97" s="56"/>
      <c r="O97" s="57"/>
      <c r="P97" s="56"/>
      <c r="Q97" s="57"/>
      <c r="R97" s="56"/>
      <c r="S97" s="57"/>
      <c r="T97" s="56"/>
      <c r="U97" s="57"/>
      <c r="V97" s="56"/>
      <c r="W97" s="57"/>
      <c r="X97" s="56"/>
      <c r="Y97" s="57"/>
      <c r="Z97" s="56"/>
      <c r="AA97" s="57"/>
      <c r="AB97" s="56"/>
      <c r="AC97" s="57"/>
      <c r="AD97" s="56"/>
      <c r="AE97" s="57"/>
      <c r="AF97" s="56"/>
      <c r="AG97" s="57"/>
      <c r="AH97" s="56"/>
      <c r="AI97" s="57"/>
      <c r="AJ97" s="56"/>
      <c r="AK97" s="57"/>
    </row>
    <row r="98" spans="1:37" s="53" customFormat="1" ht="15" customHeight="1">
      <c r="A98" s="60"/>
      <c r="B98" s="19"/>
      <c r="C98" s="19"/>
      <c r="D98" s="19"/>
      <c r="E98" s="19"/>
      <c r="F98" s="76"/>
      <c r="G98" s="77" t="s">
        <v>256</v>
      </c>
      <c r="H98" s="75">
        <v>24</v>
      </c>
      <c r="I98" s="55" t="str">
        <f>$A$115</f>
        <v>(2)</v>
      </c>
      <c r="N98" s="56"/>
      <c r="O98" s="57"/>
      <c r="P98" s="56"/>
      <c r="Q98" s="57"/>
      <c r="R98" s="56"/>
      <c r="S98" s="57"/>
      <c r="T98" s="56"/>
      <c r="U98" s="57"/>
      <c r="V98" s="56"/>
      <c r="W98" s="57"/>
      <c r="X98" s="56"/>
      <c r="Y98" s="57"/>
      <c r="Z98" s="56"/>
      <c r="AA98" s="57"/>
      <c r="AB98" s="56"/>
      <c r="AC98" s="57"/>
      <c r="AD98" s="56"/>
      <c r="AE98" s="57"/>
      <c r="AF98" s="56"/>
      <c r="AG98" s="57"/>
      <c r="AH98" s="56"/>
      <c r="AI98" s="57"/>
      <c r="AJ98" s="56"/>
      <c r="AK98" s="57"/>
    </row>
    <row r="99" spans="1:37" s="53" customFormat="1" ht="15" customHeight="1">
      <c r="A99" s="58" t="s">
        <v>257</v>
      </c>
      <c r="B99" s="19" t="s">
        <v>275</v>
      </c>
      <c r="C99" s="19"/>
      <c r="D99" s="19"/>
      <c r="E99" s="19"/>
      <c r="F99" s="19"/>
      <c r="G99" s="19"/>
      <c r="H99" s="55"/>
      <c r="I99" s="55"/>
      <c r="J99" s="55"/>
      <c r="K99" s="55"/>
      <c r="L99" s="55"/>
      <c r="M99" s="55"/>
      <c r="N99" s="56"/>
      <c r="O99" s="57"/>
      <c r="P99" s="56"/>
      <c r="Q99" s="57"/>
      <c r="R99" s="56"/>
      <c r="S99" s="57"/>
      <c r="T99" s="56"/>
      <c r="U99" s="57"/>
      <c r="V99" s="56"/>
      <c r="W99" s="57"/>
      <c r="X99" s="56"/>
      <c r="Y99" s="57"/>
      <c r="Z99" s="56"/>
      <c r="AA99" s="57"/>
      <c r="AB99" s="56"/>
      <c r="AC99" s="57"/>
      <c r="AD99" s="56"/>
      <c r="AE99" s="57"/>
      <c r="AF99" s="56"/>
      <c r="AG99" s="57"/>
      <c r="AH99" s="56"/>
      <c r="AI99" s="57"/>
      <c r="AJ99" s="56"/>
      <c r="AK99" s="57"/>
    </row>
    <row r="100" spans="1:37" s="53" customFormat="1" ht="15" customHeight="1">
      <c r="A100" s="60"/>
      <c r="B100" s="19"/>
      <c r="C100" s="19"/>
      <c r="D100" s="19"/>
      <c r="E100" s="19"/>
      <c r="F100" s="76"/>
      <c r="G100" s="77" t="s">
        <v>258</v>
      </c>
      <c r="H100" s="75">
        <v>365</v>
      </c>
      <c r="I100" s="55" t="str">
        <f>$A$115</f>
        <v>(2)</v>
      </c>
      <c r="N100" s="56"/>
      <c r="O100" s="57"/>
      <c r="P100" s="56"/>
      <c r="Q100" s="57"/>
      <c r="R100" s="56"/>
      <c r="S100" s="57"/>
      <c r="T100" s="56"/>
      <c r="U100" s="57"/>
      <c r="V100" s="56"/>
      <c r="W100" s="57"/>
      <c r="X100" s="56"/>
      <c r="Y100" s="57"/>
      <c r="Z100" s="56"/>
      <c r="AA100" s="57"/>
      <c r="AB100" s="56"/>
      <c r="AC100" s="57"/>
      <c r="AD100" s="56"/>
      <c r="AE100" s="57"/>
      <c r="AF100" s="56"/>
      <c r="AG100" s="57"/>
      <c r="AH100" s="56"/>
      <c r="AI100" s="57"/>
      <c r="AJ100" s="56"/>
      <c r="AK100" s="57"/>
    </row>
    <row r="101" spans="1:37" s="53" customFormat="1" ht="15" customHeight="1">
      <c r="A101" s="58" t="s">
        <v>259</v>
      </c>
      <c r="B101" s="19" t="s">
        <v>260</v>
      </c>
      <c r="C101" s="19"/>
      <c r="D101" s="21"/>
      <c r="E101" s="21"/>
      <c r="F101" s="21"/>
      <c r="G101" s="21"/>
      <c r="H101" s="55"/>
      <c r="I101" s="55"/>
      <c r="J101" s="55"/>
      <c r="K101" s="55"/>
      <c r="L101" s="55"/>
      <c r="M101" s="59"/>
      <c r="N101" s="56"/>
      <c r="O101" s="57"/>
      <c r="P101" s="56"/>
      <c r="Q101" s="57"/>
      <c r="R101" s="56"/>
      <c r="S101" s="57"/>
      <c r="T101" s="56"/>
      <c r="U101" s="57"/>
      <c r="V101" s="56"/>
      <c r="W101" s="57"/>
      <c r="X101" s="56"/>
      <c r="Y101" s="57"/>
      <c r="Z101" s="56"/>
      <c r="AA101" s="57"/>
      <c r="AB101" s="56"/>
      <c r="AC101" s="57"/>
      <c r="AD101" s="56"/>
      <c r="AE101" s="57"/>
      <c r="AF101" s="56"/>
      <c r="AG101" s="57"/>
      <c r="AH101" s="56"/>
      <c r="AI101" s="57"/>
      <c r="AJ101" s="56"/>
      <c r="AK101" s="57"/>
    </row>
    <row r="102" spans="1:37" s="53" customFormat="1" ht="15" customHeight="1">
      <c r="A102" s="58"/>
      <c r="B102" s="19"/>
      <c r="C102" s="19"/>
      <c r="D102" s="21"/>
      <c r="E102" s="21"/>
      <c r="F102" s="21"/>
      <c r="G102" s="77" t="s">
        <v>261</v>
      </c>
      <c r="H102" s="61">
        <v>26.98</v>
      </c>
      <c r="I102" s="55"/>
      <c r="J102" s="55"/>
      <c r="K102" s="55"/>
      <c r="L102" s="55"/>
      <c r="M102" s="59"/>
      <c r="N102" s="56"/>
      <c r="O102" s="57"/>
      <c r="P102" s="56"/>
      <c r="Q102" s="57"/>
      <c r="R102" s="56"/>
      <c r="S102" s="57"/>
      <c r="T102" s="56"/>
      <c r="U102" s="57"/>
      <c r="V102" s="56"/>
      <c r="W102" s="57"/>
      <c r="X102" s="56"/>
      <c r="Y102" s="57"/>
      <c r="Z102" s="56"/>
      <c r="AA102" s="57"/>
      <c r="AB102" s="56"/>
      <c r="AC102" s="57"/>
      <c r="AD102" s="56"/>
      <c r="AE102" s="57"/>
      <c r="AF102" s="56"/>
      <c r="AG102" s="57"/>
      <c r="AH102" s="56"/>
      <c r="AI102" s="57"/>
      <c r="AJ102" s="56"/>
      <c r="AK102" s="57"/>
    </row>
    <row r="103" spans="1:37" s="53" customFormat="1" ht="15" customHeight="1">
      <c r="A103" s="58"/>
      <c r="B103" s="19"/>
      <c r="C103" s="19"/>
      <c r="D103" s="21"/>
      <c r="E103" s="21"/>
      <c r="F103" s="21"/>
      <c r="G103" s="77" t="s">
        <v>262</v>
      </c>
      <c r="H103" s="61">
        <v>610.92999999999995</v>
      </c>
      <c r="I103" s="55"/>
      <c r="J103" s="55"/>
      <c r="K103" s="55"/>
      <c r="L103" s="55"/>
      <c r="M103" s="59"/>
      <c r="N103" s="56"/>
      <c r="O103" s="57"/>
      <c r="P103" s="56"/>
      <c r="Q103" s="57"/>
      <c r="R103" s="56"/>
      <c r="S103" s="57"/>
      <c r="T103" s="56"/>
      <c r="U103" s="57"/>
      <c r="V103" s="56"/>
      <c r="W103" s="57"/>
      <c r="X103" s="56"/>
      <c r="Y103" s="57"/>
      <c r="Z103" s="56"/>
      <c r="AA103" s="57"/>
      <c r="AB103" s="56"/>
      <c r="AC103" s="57"/>
      <c r="AD103" s="56"/>
      <c r="AE103" s="57"/>
      <c r="AF103" s="56"/>
      <c r="AG103" s="57"/>
      <c r="AH103" s="56"/>
      <c r="AI103" s="57"/>
      <c r="AJ103" s="56"/>
      <c r="AK103" s="57"/>
    </row>
    <row r="104" spans="1:37" s="53" customFormat="1" ht="15" customHeight="1">
      <c r="A104" s="58"/>
      <c r="B104" s="19"/>
      <c r="C104" s="19"/>
      <c r="D104" s="21"/>
      <c r="E104" s="21"/>
      <c r="F104" s="21"/>
      <c r="G104" s="77" t="s">
        <v>276</v>
      </c>
      <c r="H104" s="62">
        <f>0.75/20</f>
        <v>3.7499999999999999E-2</v>
      </c>
      <c r="I104" s="55" t="str">
        <f>$A$117</f>
        <v>(4)</v>
      </c>
      <c r="J104" s="55"/>
      <c r="K104" s="55"/>
      <c r="L104" s="55"/>
      <c r="M104" s="59"/>
      <c r="N104" s="56"/>
      <c r="O104" s="57"/>
      <c r="P104" s="56"/>
      <c r="Q104" s="57"/>
      <c r="R104" s="56"/>
      <c r="S104" s="57"/>
      <c r="T104" s="56"/>
      <c r="U104" s="57"/>
      <c r="V104" s="56"/>
      <c r="W104" s="57"/>
      <c r="X104" s="56"/>
      <c r="Y104" s="57"/>
      <c r="Z104" s="56"/>
      <c r="AA104" s="57"/>
      <c r="AB104" s="56"/>
      <c r="AC104" s="57"/>
      <c r="AD104" s="56"/>
      <c r="AE104" s="57"/>
      <c r="AF104" s="56"/>
      <c r="AG104" s="57"/>
      <c r="AH104" s="56"/>
      <c r="AI104" s="57"/>
      <c r="AJ104" s="56"/>
      <c r="AK104" s="57"/>
    </row>
    <row r="105" spans="1:37" s="53" customFormat="1" ht="15" customHeight="1">
      <c r="A105" s="58"/>
      <c r="B105" s="19"/>
      <c r="C105" s="19"/>
      <c r="D105" s="21"/>
      <c r="E105" s="21"/>
      <c r="F105" s="21"/>
      <c r="G105" s="77" t="s">
        <v>277</v>
      </c>
      <c r="H105" s="62">
        <f>0.75/17</f>
        <v>4.4117647058823532E-2</v>
      </c>
      <c r="I105" s="55" t="str">
        <f t="shared" ref="I105:I109" si="56">$A$117</f>
        <v>(4)</v>
      </c>
      <c r="J105" s="55"/>
      <c r="K105" s="55"/>
      <c r="L105" s="55"/>
      <c r="M105" s="59"/>
      <c r="N105" s="56"/>
      <c r="O105" s="57"/>
      <c r="P105" s="56"/>
      <c r="Q105" s="57"/>
      <c r="R105" s="56"/>
      <c r="S105" s="57"/>
      <c r="T105" s="56"/>
      <c r="U105" s="57"/>
      <c r="V105" s="56"/>
      <c r="W105" s="57"/>
      <c r="X105" s="56"/>
      <c r="Y105" s="57"/>
      <c r="Z105" s="56"/>
      <c r="AA105" s="57"/>
      <c r="AB105" s="56"/>
      <c r="AC105" s="57"/>
      <c r="AD105" s="56"/>
      <c r="AE105" s="57"/>
      <c r="AF105" s="56"/>
      <c r="AG105" s="57"/>
      <c r="AH105" s="56"/>
      <c r="AI105" s="57"/>
      <c r="AJ105" s="56"/>
      <c r="AK105" s="57"/>
    </row>
    <row r="106" spans="1:37" s="53" customFormat="1" ht="15" customHeight="1">
      <c r="A106" s="58"/>
      <c r="B106" s="19"/>
      <c r="C106" s="19"/>
      <c r="D106" s="21"/>
      <c r="E106" s="21"/>
      <c r="F106" s="21"/>
      <c r="G106" s="77" t="s">
        <v>278</v>
      </c>
      <c r="H106" s="62">
        <f>0.75/11</f>
        <v>6.8181818181818177E-2</v>
      </c>
      <c r="I106" s="55" t="str">
        <f t="shared" si="56"/>
        <v>(4)</v>
      </c>
      <c r="J106" s="55"/>
      <c r="K106" s="55"/>
      <c r="L106" s="55"/>
      <c r="M106" s="59"/>
      <c r="N106" s="56"/>
      <c r="O106" s="57"/>
      <c r="P106" s="56"/>
      <c r="Q106" s="57"/>
      <c r="R106" s="56"/>
      <c r="S106" s="57"/>
      <c r="T106" s="56"/>
      <c r="U106" s="57"/>
      <c r="V106" s="56"/>
      <c r="W106" s="57"/>
      <c r="X106" s="56"/>
      <c r="Y106" s="57"/>
      <c r="Z106" s="56"/>
      <c r="AA106" s="57"/>
      <c r="AB106" s="56"/>
      <c r="AC106" s="57"/>
      <c r="AD106" s="56"/>
      <c r="AE106" s="57"/>
      <c r="AF106" s="56"/>
      <c r="AG106" s="57"/>
      <c r="AH106" s="56"/>
      <c r="AI106" s="57"/>
      <c r="AJ106" s="56"/>
      <c r="AK106" s="57"/>
    </row>
    <row r="107" spans="1:37" s="53" customFormat="1" ht="15" customHeight="1">
      <c r="A107" s="58"/>
      <c r="B107" s="19"/>
      <c r="C107" s="19"/>
      <c r="D107" s="21"/>
      <c r="E107" s="21"/>
      <c r="F107" s="21"/>
      <c r="G107" s="77" t="s">
        <v>279</v>
      </c>
      <c r="H107" s="61">
        <f>0.75/3</f>
        <v>0.25</v>
      </c>
      <c r="I107" s="55" t="str">
        <f t="shared" si="56"/>
        <v>(4)</v>
      </c>
      <c r="J107" s="55"/>
      <c r="K107" s="55"/>
      <c r="L107" s="55"/>
      <c r="M107" s="59"/>
      <c r="N107" s="56"/>
      <c r="O107" s="57"/>
      <c r="P107" s="56"/>
      <c r="Q107" s="57"/>
      <c r="R107" s="56"/>
      <c r="S107" s="57"/>
      <c r="T107" s="56"/>
      <c r="U107" s="57"/>
      <c r="V107" s="56"/>
      <c r="W107" s="57"/>
      <c r="X107" s="56"/>
      <c r="Y107" s="57"/>
      <c r="Z107" s="56"/>
      <c r="AA107" s="57"/>
      <c r="AB107" s="56"/>
      <c r="AC107" s="57"/>
      <c r="AD107" s="56"/>
      <c r="AE107" s="57"/>
      <c r="AF107" s="56"/>
      <c r="AG107" s="57"/>
      <c r="AH107" s="56"/>
      <c r="AI107" s="57"/>
      <c r="AJ107" s="56"/>
      <c r="AK107" s="57"/>
    </row>
    <row r="108" spans="1:37" s="53" customFormat="1" ht="15" customHeight="1">
      <c r="A108" s="58"/>
      <c r="B108" s="19"/>
      <c r="C108" s="19"/>
      <c r="D108" s="21"/>
      <c r="E108" s="21"/>
      <c r="F108" s="21"/>
      <c r="G108" s="77" t="s">
        <v>280</v>
      </c>
      <c r="H108" s="62">
        <f>0.75/10</f>
        <v>7.4999999999999997E-2</v>
      </c>
      <c r="I108" s="55" t="str">
        <f t="shared" si="56"/>
        <v>(4)</v>
      </c>
      <c r="J108" s="55"/>
      <c r="K108" s="55"/>
      <c r="L108" s="55"/>
      <c r="M108" s="59"/>
      <c r="N108" s="56"/>
      <c r="O108" s="57"/>
      <c r="P108" s="56"/>
      <c r="Q108" s="57"/>
      <c r="R108" s="56"/>
      <c r="S108" s="57"/>
      <c r="T108" s="56"/>
      <c r="U108" s="57"/>
      <c r="V108" s="56"/>
      <c r="W108" s="57"/>
      <c r="X108" s="56"/>
      <c r="Y108" s="57"/>
      <c r="Z108" s="56"/>
      <c r="AA108" s="57"/>
      <c r="AB108" s="56"/>
      <c r="AC108" s="57"/>
      <c r="AD108" s="56"/>
      <c r="AE108" s="57"/>
      <c r="AF108" s="56"/>
      <c r="AG108" s="57"/>
      <c r="AH108" s="56"/>
      <c r="AI108" s="57"/>
      <c r="AJ108" s="56"/>
      <c r="AK108" s="57"/>
    </row>
    <row r="109" spans="1:37" s="53" customFormat="1" ht="15" customHeight="1">
      <c r="A109" s="58"/>
      <c r="B109" s="19"/>
      <c r="C109" s="19"/>
      <c r="D109" s="21"/>
      <c r="E109" s="21"/>
      <c r="F109" s="21"/>
      <c r="G109" s="77" t="s">
        <v>281</v>
      </c>
      <c r="H109" s="61">
        <f>0.75/4</f>
        <v>0.1875</v>
      </c>
      <c r="I109" s="55" t="str">
        <f t="shared" si="56"/>
        <v>(4)</v>
      </c>
      <c r="J109" s="55"/>
      <c r="K109" s="55"/>
      <c r="L109" s="55"/>
      <c r="M109" s="59"/>
      <c r="N109" s="56"/>
      <c r="O109" s="57"/>
      <c r="P109" s="56"/>
      <c r="Q109" s="57"/>
      <c r="R109" s="56"/>
      <c r="S109" s="57"/>
      <c r="T109" s="56"/>
      <c r="U109" s="57"/>
      <c r="V109" s="56"/>
      <c r="W109" s="57"/>
      <c r="X109" s="56"/>
      <c r="Y109" s="57"/>
      <c r="Z109" s="56"/>
      <c r="AA109" s="57"/>
      <c r="AB109" s="56"/>
      <c r="AC109" s="57"/>
      <c r="AD109" s="56"/>
      <c r="AE109" s="57"/>
      <c r="AF109" s="56"/>
      <c r="AG109" s="57"/>
      <c r="AH109" s="56"/>
      <c r="AI109" s="57"/>
      <c r="AJ109" s="56"/>
      <c r="AK109" s="57"/>
    </row>
    <row r="110" spans="1:37" s="53" customFormat="1" ht="15" customHeight="1">
      <c r="A110" s="58" t="s">
        <v>263</v>
      </c>
      <c r="B110" s="19" t="s">
        <v>264</v>
      </c>
      <c r="C110" s="55"/>
      <c r="D110" s="75"/>
      <c r="E110" s="75"/>
      <c r="F110" s="75"/>
      <c r="G110" s="75"/>
      <c r="H110" s="55"/>
      <c r="I110" s="55" t="str">
        <f>$A$116</f>
        <v>(3)</v>
      </c>
      <c r="J110" s="55"/>
      <c r="K110" s="55"/>
      <c r="L110" s="55"/>
      <c r="M110" s="59"/>
      <c r="N110" s="56"/>
      <c r="O110" s="57"/>
      <c r="P110" s="56"/>
      <c r="Q110" s="57"/>
      <c r="R110" s="56"/>
      <c r="S110" s="57"/>
      <c r="T110" s="56"/>
      <c r="U110" s="57"/>
      <c r="V110" s="56"/>
      <c r="W110" s="57"/>
      <c r="X110" s="56"/>
      <c r="Y110" s="57"/>
      <c r="Z110" s="56"/>
      <c r="AA110" s="57"/>
      <c r="AB110" s="56"/>
      <c r="AC110" s="57"/>
      <c r="AD110" s="56"/>
      <c r="AE110" s="57"/>
      <c r="AF110" s="56"/>
      <c r="AG110" s="57"/>
      <c r="AH110" s="56"/>
      <c r="AI110" s="57"/>
      <c r="AJ110" s="56"/>
      <c r="AK110" s="57"/>
    </row>
    <row r="111" spans="1:37" s="53" customFormat="1" ht="15" customHeight="1">
      <c r="A111" s="58" t="s">
        <v>265</v>
      </c>
      <c r="B111" s="19" t="s">
        <v>266</v>
      </c>
      <c r="C111" s="55"/>
      <c r="D111" s="75"/>
      <c r="E111" s="75"/>
      <c r="F111" s="75"/>
      <c r="G111" s="75"/>
      <c r="H111" s="55"/>
      <c r="I111" s="55" t="str">
        <f>$A$116</f>
        <v>(3)</v>
      </c>
      <c r="J111" s="55"/>
      <c r="K111" s="55"/>
      <c r="L111" s="55"/>
      <c r="M111" s="59"/>
      <c r="N111" s="56"/>
      <c r="O111" s="57"/>
      <c r="P111" s="56"/>
      <c r="Q111" s="57"/>
      <c r="R111" s="56"/>
      <c r="S111" s="57"/>
      <c r="T111" s="56"/>
      <c r="U111" s="57"/>
      <c r="V111" s="56"/>
      <c r="W111" s="57"/>
      <c r="X111" s="56"/>
      <c r="Y111" s="57"/>
      <c r="Z111" s="56"/>
      <c r="AA111" s="57"/>
      <c r="AB111" s="56"/>
      <c r="AC111" s="57"/>
      <c r="AD111" s="56"/>
      <c r="AE111" s="57"/>
      <c r="AF111" s="56"/>
      <c r="AG111" s="57"/>
      <c r="AH111" s="56"/>
      <c r="AI111" s="57"/>
      <c r="AJ111" s="56"/>
      <c r="AK111" s="57"/>
    </row>
    <row r="112" spans="1:37" s="53" customFormat="1" ht="15" customHeight="1">
      <c r="A112" s="63"/>
      <c r="B112" s="52"/>
    </row>
    <row r="113" spans="1:37" s="44" customFormat="1" ht="15" customHeight="1">
      <c r="A113" s="18" t="s">
        <v>211</v>
      </c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R113" s="53"/>
      <c r="S113" s="53"/>
      <c r="T113" s="53"/>
      <c r="V113" s="53"/>
      <c r="W113" s="53"/>
      <c r="X113" s="53"/>
      <c r="Z113" s="53"/>
      <c r="AA113" s="53"/>
      <c r="AB113" s="53"/>
      <c r="AD113" s="53"/>
      <c r="AE113" s="53"/>
      <c r="AF113" s="53"/>
      <c r="AH113" s="53"/>
      <c r="AI113" s="53"/>
      <c r="AJ113" s="53"/>
    </row>
    <row r="114" spans="1:37" s="44" customFormat="1" ht="15" customHeight="1">
      <c r="A114" s="63" t="s">
        <v>212</v>
      </c>
      <c r="B114" s="64" t="str">
        <f>"See "&amp;'Input_Cooling Towers'!$A$1&amp;", "&amp;'Input_Cooling Towers'!$A$2&amp;"."</f>
        <v>See Table 1, Input Cooling Tower Rates and Parameters.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R114" s="53"/>
      <c r="S114" s="53"/>
      <c r="T114" s="53"/>
      <c r="V114" s="53"/>
      <c r="W114" s="53"/>
      <c r="X114" s="53"/>
      <c r="Z114" s="53"/>
      <c r="AA114" s="53"/>
      <c r="AB114" s="53"/>
      <c r="AD114" s="53"/>
      <c r="AE114" s="53"/>
      <c r="AF114" s="53"/>
      <c r="AH114" s="53"/>
      <c r="AI114" s="53"/>
      <c r="AJ114" s="53"/>
    </row>
    <row r="115" spans="1:37" s="44" customFormat="1" ht="15" customHeight="1">
      <c r="A115" s="63" t="s">
        <v>214</v>
      </c>
      <c r="B115" s="64" t="s">
        <v>267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R115" s="53"/>
      <c r="S115" s="53"/>
      <c r="T115" s="53"/>
      <c r="V115" s="53"/>
      <c r="W115" s="53"/>
      <c r="X115" s="53"/>
      <c r="Z115" s="53"/>
      <c r="AA115" s="53"/>
      <c r="AB115" s="53"/>
      <c r="AD115" s="53"/>
      <c r="AE115" s="53"/>
      <c r="AF115" s="53"/>
      <c r="AH115" s="53"/>
      <c r="AI115" s="53"/>
      <c r="AJ115" s="53"/>
    </row>
    <row r="116" spans="1:37" s="44" customFormat="1" ht="15" customHeight="1">
      <c r="A116" s="63" t="s">
        <v>216</v>
      </c>
      <c r="B116" s="55" t="s">
        <v>268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R116" s="53"/>
      <c r="S116" s="53"/>
      <c r="T116" s="53"/>
      <c r="V116" s="53"/>
      <c r="W116" s="53"/>
      <c r="X116" s="53"/>
      <c r="Z116" s="53"/>
      <c r="AA116" s="53"/>
      <c r="AB116" s="53"/>
      <c r="AD116" s="53"/>
      <c r="AE116" s="53"/>
      <c r="AF116" s="53"/>
      <c r="AH116" s="53"/>
      <c r="AI116" s="53"/>
      <c r="AJ116" s="53"/>
    </row>
    <row r="117" spans="1:37" s="44" customFormat="1" ht="15" customHeight="1">
      <c r="A117" s="63" t="s">
        <v>269</v>
      </c>
      <c r="B117" s="64" t="s">
        <v>270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R117" s="53"/>
      <c r="S117" s="53"/>
      <c r="T117" s="53"/>
      <c r="V117" s="53"/>
      <c r="W117" s="53"/>
      <c r="X117" s="53"/>
      <c r="Z117" s="53"/>
      <c r="AA117" s="53"/>
      <c r="AB117" s="53"/>
      <c r="AD117" s="53"/>
      <c r="AE117" s="53"/>
      <c r="AF117" s="53"/>
      <c r="AH117" s="53"/>
      <c r="AI117" s="53"/>
      <c r="AJ117" s="53"/>
    </row>
    <row r="118" spans="1:37"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24"/>
    </row>
    <row r="119" spans="1:37"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</row>
    <row r="120" spans="1:37">
      <c r="N120" s="66"/>
      <c r="O120" s="67"/>
      <c r="P120" s="68"/>
      <c r="Q120" s="67"/>
      <c r="R120" s="66"/>
      <c r="S120" s="67"/>
      <c r="T120" s="68"/>
      <c r="U120" s="67"/>
      <c r="V120" s="66"/>
      <c r="W120" s="67"/>
      <c r="X120" s="68"/>
      <c r="Y120" s="67"/>
      <c r="Z120" s="66"/>
      <c r="AA120" s="67"/>
      <c r="AB120" s="68"/>
      <c r="AC120" s="67"/>
      <c r="AD120" s="66"/>
      <c r="AE120" s="67"/>
      <c r="AF120" s="68"/>
      <c r="AG120" s="67"/>
      <c r="AH120" s="66"/>
      <c r="AI120" s="67"/>
      <c r="AJ120" s="68"/>
      <c r="AK120" s="24"/>
    </row>
  </sheetData>
  <mergeCells count="5">
    <mergeCell ref="A5:B8"/>
    <mergeCell ref="C5:C8"/>
    <mergeCell ref="D5:E7"/>
    <mergeCell ref="F5:G7"/>
    <mergeCell ref="H5:M7"/>
  </mergeCells>
  <conditionalFormatting sqref="D9:E92">
    <cfRule type="cellIs" dxfId="56" priority="7" operator="greaterThanOrEqual">
      <formula>100</formula>
    </cfRule>
  </conditionalFormatting>
  <conditionalFormatting sqref="G9:G92">
    <cfRule type="cellIs" dxfId="55" priority="9" operator="greaterThanOrEqual">
      <formula>100</formula>
    </cfRule>
  </conditionalFormatting>
  <conditionalFormatting sqref="G102:G103">
    <cfRule type="cellIs" dxfId="54" priority="1" operator="equal">
      <formula>0</formula>
    </cfRule>
    <cfRule type="cellIs" dxfId="53" priority="2" operator="greaterThanOrEqual">
      <formula>100</formula>
    </cfRule>
    <cfRule type="cellIs" dxfId="52" priority="3" operator="between">
      <formula>10</formula>
      <formula>100</formula>
    </cfRule>
    <cfRule type="cellIs" dxfId="51" priority="4" operator="between">
      <formula>0.1</formula>
      <formula>10</formula>
    </cfRule>
    <cfRule type="cellIs" dxfId="50" priority="5" operator="between">
      <formula>0.01</formula>
      <formula>0.1</formula>
    </cfRule>
    <cfRule type="cellIs" dxfId="49" priority="6" operator="lessThan">
      <formula>0.01</formula>
    </cfRule>
  </conditionalFormatting>
  <conditionalFormatting sqref="H96 J96:L96 G97:I98 M99 G100:I100 H101:J101 K101:M111 I102:J109 H110:J111">
    <cfRule type="cellIs" dxfId="48" priority="10" operator="equal">
      <formula>0</formula>
    </cfRule>
    <cfRule type="cellIs" dxfId="47" priority="11" operator="greaterThanOrEqual">
      <formula>100</formula>
    </cfRule>
    <cfRule type="cellIs" dxfId="46" priority="12" operator="between">
      <formula>10</formula>
      <formula>100</formula>
    </cfRule>
    <cfRule type="cellIs" dxfId="45" priority="13" operator="between">
      <formula>0.1</formula>
      <formula>10</formula>
    </cfRule>
    <cfRule type="cellIs" dxfId="44" priority="14" operator="between">
      <formula>0.01</formula>
      <formula>0.1</formula>
    </cfRule>
    <cfRule type="cellIs" dxfId="43" priority="15" operator="lessThan">
      <formula>0.01</formula>
    </cfRule>
  </conditionalFormatting>
  <conditionalFormatting sqref="N9:AK93">
    <cfRule type="cellIs" dxfId="42" priority="17" operator="equal">
      <formula>0</formula>
    </cfRule>
    <cfRule type="cellIs" dxfId="41" priority="18" operator="lessThan">
      <formula>0.01</formula>
    </cfRule>
    <cfRule type="cellIs" dxfId="40" priority="19" operator="between">
      <formula>0.01</formula>
      <formula>0.1</formula>
    </cfRule>
    <cfRule type="cellIs" dxfId="39" priority="20" operator="between">
      <formula>0.1</formula>
      <formula>10</formula>
    </cfRule>
    <cfRule type="cellIs" dxfId="38" priority="21" operator="between">
      <formula>10</formula>
      <formula>100</formula>
    </cfRule>
  </conditionalFormatting>
  <conditionalFormatting sqref="N9:AK111">
    <cfRule type="cellIs" dxfId="37" priority="16" operator="greaterThan">
      <formula>100</formula>
    </cfRule>
  </conditionalFormatting>
  <conditionalFormatting sqref="N95:AK111">
    <cfRule type="cellIs" dxfId="36" priority="22" operator="equal">
      <formula>0</formula>
    </cfRule>
    <cfRule type="cellIs" dxfId="35" priority="23" operator="lessThan">
      <formula>0.01</formula>
    </cfRule>
    <cfRule type="cellIs" dxfId="34" priority="24" operator="between">
      <formula>0.01</formula>
      <formula>0.1</formula>
    </cfRule>
    <cfRule type="cellIs" dxfId="33" priority="25" operator="between">
      <formula>0.1</formula>
      <formula>10</formula>
    </cfRule>
    <cfRule type="cellIs" dxfId="32" priority="26" operator="between">
      <formula>10</formula>
      <formula>100</formula>
    </cfRule>
  </conditionalFormatting>
  <pageMargins left="0.7" right="0.7" top="0.75" bottom="0.75" header="0.3" footer="0.3"/>
  <pageSetup paperSize="3" scale="73" orientation="landscape" r:id="rId1"/>
  <headerFooter>
    <oddFooter>&amp;R&amp;"Century Gothic,Regular"&amp;6&amp;P of &amp;N</oddFooter>
  </headerFooter>
  <rowBreaks count="1" manualBreakCount="1">
    <brk id="40" max="25" man="1"/>
  </rowBreaks>
  <ignoredErrors>
    <ignoredError sqref="A114:A1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8020-30EF-4902-9094-0BFE21FFA58E}">
  <dimension ref="A1:W40"/>
  <sheetViews>
    <sheetView zoomScaleNormal="100" zoomScaleSheetLayoutView="145" workbookViewId="0">
      <selection activeCell="M48" sqref="M48"/>
    </sheetView>
  </sheetViews>
  <sheetFormatPr defaultRowHeight="14.5"/>
  <cols>
    <col min="1" max="1" width="3.1796875" customWidth="1"/>
    <col min="2" max="10" width="10.81640625" customWidth="1"/>
    <col min="11" max="11" width="8.81640625" customWidth="1"/>
    <col min="12" max="12" width="3.1796875" customWidth="1"/>
    <col min="13" max="13" width="8.81640625" customWidth="1"/>
    <col min="14" max="14" width="3.1796875" customWidth="1"/>
    <col min="15" max="15" width="8.81640625" customWidth="1"/>
    <col min="16" max="16" width="3.1796875" customWidth="1"/>
    <col min="17" max="17" width="8.81640625" customWidth="1"/>
    <col min="18" max="18" width="3.1796875" customWidth="1"/>
    <col min="19" max="19" width="8.81640625" customWidth="1"/>
    <col min="20" max="20" width="3.1796875" customWidth="1"/>
    <col min="21" max="21" width="8.81640625" customWidth="1"/>
    <col min="22" max="22" width="3.1796875" customWidth="1"/>
  </cols>
  <sheetData>
    <row r="1" spans="1:22" ht="15">
      <c r="A1" s="3" t="s">
        <v>271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5">
      <c r="A2" s="3" t="s">
        <v>272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5">
      <c r="A3" s="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>
      <c r="A4" s="25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s="28" customFormat="1" ht="15" customHeight="1">
      <c r="A5" s="91" t="s">
        <v>220</v>
      </c>
      <c r="B5" s="91"/>
      <c r="C5" s="92" t="s">
        <v>221</v>
      </c>
      <c r="D5" s="95" t="s">
        <v>222</v>
      </c>
      <c r="E5" s="96"/>
      <c r="F5" s="95" t="s">
        <v>223</v>
      </c>
      <c r="G5" s="92"/>
      <c r="H5" s="113" t="s">
        <v>273</v>
      </c>
      <c r="I5" s="113"/>
      <c r="J5" s="102"/>
      <c r="K5" s="26" t="s">
        <v>225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s="28" customFormat="1" ht="15" customHeight="1">
      <c r="A6" s="91"/>
      <c r="B6" s="91"/>
      <c r="C6" s="109"/>
      <c r="D6" s="97"/>
      <c r="E6" s="98"/>
      <c r="F6" s="95"/>
      <c r="G6" s="92"/>
      <c r="H6" s="101"/>
      <c r="I6" s="101"/>
      <c r="J6" s="102"/>
      <c r="K6" s="26" t="s">
        <v>230</v>
      </c>
      <c r="L6" s="27"/>
      <c r="M6" s="27"/>
      <c r="N6" s="27"/>
      <c r="O6" s="27" t="s">
        <v>228</v>
      </c>
      <c r="P6" s="27"/>
      <c r="Q6" s="27"/>
      <c r="R6" s="27"/>
      <c r="S6" s="27" t="s">
        <v>231</v>
      </c>
      <c r="T6" s="27"/>
      <c r="U6" s="27"/>
      <c r="V6" s="27"/>
    </row>
    <row r="7" spans="1:22" s="28" customFormat="1" ht="11.5">
      <c r="A7" s="91"/>
      <c r="B7" s="91"/>
      <c r="C7" s="109"/>
      <c r="D7" s="97"/>
      <c r="E7" s="98"/>
      <c r="F7" s="111"/>
      <c r="G7" s="112"/>
      <c r="H7" s="114"/>
      <c r="I7" s="114"/>
      <c r="J7" s="115"/>
      <c r="K7" s="29" t="s">
        <v>236</v>
      </c>
      <c r="L7" s="27"/>
      <c r="M7" s="27"/>
      <c r="N7" s="27"/>
      <c r="O7" s="30" t="s">
        <v>234</v>
      </c>
      <c r="P7" s="27"/>
      <c r="Q7" s="27"/>
      <c r="R7" s="27"/>
      <c r="S7" s="30" t="s">
        <v>237</v>
      </c>
      <c r="T7" s="27"/>
      <c r="U7" s="27"/>
      <c r="V7" s="27"/>
    </row>
    <row r="8" spans="1:22" s="28" customFormat="1" ht="29.5" customHeight="1">
      <c r="A8" s="91"/>
      <c r="B8" s="91"/>
      <c r="C8" s="110"/>
      <c r="D8" s="31" t="s">
        <v>238</v>
      </c>
      <c r="E8" s="31" t="s">
        <v>239</v>
      </c>
      <c r="F8" s="32" t="s">
        <v>240</v>
      </c>
      <c r="G8" s="33" t="s">
        <v>241</v>
      </c>
      <c r="H8" s="33" t="s">
        <v>246</v>
      </c>
      <c r="I8" s="33" t="s">
        <v>244</v>
      </c>
      <c r="J8" s="33" t="s">
        <v>247</v>
      </c>
      <c r="K8" s="32" t="s">
        <v>248</v>
      </c>
      <c r="L8" s="27"/>
      <c r="M8" s="33" t="s">
        <v>249</v>
      </c>
      <c r="N8" s="27"/>
      <c r="O8" s="32" t="s">
        <v>248</v>
      </c>
      <c r="P8" s="27"/>
      <c r="Q8" s="33" t="s">
        <v>249</v>
      </c>
      <c r="R8" s="27"/>
      <c r="S8" s="32" t="s">
        <v>248</v>
      </c>
      <c r="T8" s="27"/>
      <c r="U8" s="33" t="s">
        <v>249</v>
      </c>
      <c r="V8" s="27"/>
    </row>
    <row r="9" spans="1:22" s="44" customFormat="1" ht="15" customHeight="1">
      <c r="A9" s="34" t="s">
        <v>192</v>
      </c>
      <c r="B9" s="35"/>
      <c r="C9" s="36">
        <f>_xlfn.XLOOKUP($A9,'Input_Cooling Towers'!$A$7:$A$98,'Input_Cooling Towers'!$H$7:$H$98)</f>
        <v>1E-3</v>
      </c>
      <c r="D9" s="36">
        <f>_xlfn.XLOOKUP($A9,'Input_Cooling Towers'!$A$7:$A$98,'Input_Cooling Towers'!$F$7:$F$98)</f>
        <v>1500</v>
      </c>
      <c r="E9" s="36">
        <f>_xlfn.XLOOKUP($A9,'Input_Cooling Towers'!$A$7:$A$98,'Input_Cooling Towers'!$G$7:$G$98)</f>
        <v>750</v>
      </c>
      <c r="F9" s="37">
        <f t="shared" ref="F9:F16" si="0">$D9*$G$21*$C9/100*60*$G$22</f>
        <v>180.14399999999998</v>
      </c>
      <c r="G9" s="36">
        <f t="shared" ref="G9:G16" si="1">$E9*$G$21*$C9/100*60*$G$22*$G$24</f>
        <v>32876.28</v>
      </c>
      <c r="H9" s="40">
        <f>5.0625/2</f>
        <v>2.53125</v>
      </c>
      <c r="I9" s="45">
        <f>$G$29*$G$27/$G$28</f>
        <v>1.6560817114890415E-2</v>
      </c>
      <c r="J9" s="40">
        <f>2.3625/2</f>
        <v>1.1812499999999999</v>
      </c>
      <c r="K9" s="41">
        <f t="shared" ref="K9:K16" si="2">IFERROR($F9*$H9/1000000,"--")</f>
        <v>4.5598949999999997E-4</v>
      </c>
      <c r="L9" s="42"/>
      <c r="M9" s="41">
        <f t="shared" ref="M9:M16" si="3">IFERROR($G9*$H9/1000000,"--")</f>
        <v>8.3218083749999991E-2</v>
      </c>
      <c r="N9" s="42"/>
      <c r="O9" s="41">
        <f>IFERROR($F9*$I9/1000000,"--")</f>
        <v>2.9833318383448186E-6</v>
      </c>
      <c r="P9" s="42"/>
      <c r="Q9" s="41">
        <f>IFERROR($G9*$I9/1000000,"--")</f>
        <v>5.4445806049792942E-4</v>
      </c>
      <c r="R9" s="42"/>
      <c r="S9" s="41">
        <f t="shared" ref="S9:S16" si="4">IFERROR($F9*$J9/1000000,"--")</f>
        <v>2.1279509999999995E-4</v>
      </c>
      <c r="T9" s="42"/>
      <c r="U9" s="41">
        <f t="shared" ref="U9:U16" si="5">IFERROR($G9*$J9/1000000,"--")</f>
        <v>3.8835105749999994E-2</v>
      </c>
      <c r="V9" s="42"/>
    </row>
    <row r="10" spans="1:22" s="44" customFormat="1" ht="15" customHeight="1">
      <c r="A10" s="34" t="s">
        <v>196</v>
      </c>
      <c r="B10" s="35"/>
      <c r="C10" s="36">
        <f>_xlfn.XLOOKUP($A10,'Input_Cooling Towers'!$A$7:$A$98,'Input_Cooling Towers'!$H$7:$H$98)</f>
        <v>1E-3</v>
      </c>
      <c r="D10" s="36">
        <f>_xlfn.XLOOKUP($A10,'Input_Cooling Towers'!$A$7:$A$98,'Input_Cooling Towers'!$F$7:$F$98)</f>
        <v>1500</v>
      </c>
      <c r="E10" s="36">
        <f>_xlfn.XLOOKUP($A10,'Input_Cooling Towers'!$A$7:$A$98,'Input_Cooling Towers'!$G$7:$G$98)</f>
        <v>750</v>
      </c>
      <c r="F10" s="37">
        <f t="shared" si="0"/>
        <v>180.14399999999998</v>
      </c>
      <c r="G10" s="36">
        <f t="shared" si="1"/>
        <v>32876.28</v>
      </c>
      <c r="H10" s="40">
        <f>5.0625/2</f>
        <v>2.53125</v>
      </c>
      <c r="I10" s="45">
        <f>$G$29*$G$27/$G$28</f>
        <v>1.6560817114890415E-2</v>
      </c>
      <c r="J10" s="40">
        <f>2.3625/2</f>
        <v>1.1812499999999999</v>
      </c>
      <c r="K10" s="41">
        <f t="shared" si="2"/>
        <v>4.5598949999999997E-4</v>
      </c>
      <c r="L10" s="42"/>
      <c r="M10" s="41">
        <f t="shared" si="3"/>
        <v>8.3218083749999991E-2</v>
      </c>
      <c r="N10" s="42"/>
      <c r="O10" s="41">
        <f t="shared" ref="O10:O16" si="6">IFERROR($F10*$I10/1000000,"--")</f>
        <v>2.9833318383448186E-6</v>
      </c>
      <c r="P10" s="42"/>
      <c r="Q10" s="41">
        <f t="shared" ref="Q10:Q16" si="7">IFERROR($G10*$I10/1000000,"--")</f>
        <v>5.4445806049792942E-4</v>
      </c>
      <c r="R10" s="42"/>
      <c r="S10" s="41">
        <f t="shared" si="4"/>
        <v>2.1279509999999995E-4</v>
      </c>
      <c r="T10" s="42"/>
      <c r="U10" s="41">
        <f t="shared" si="5"/>
        <v>3.8835105749999994E-2</v>
      </c>
      <c r="V10" s="42"/>
    </row>
    <row r="11" spans="1:22" s="44" customFormat="1" ht="15" customHeight="1">
      <c r="A11" s="34" t="s">
        <v>198</v>
      </c>
      <c r="B11" s="35"/>
      <c r="C11" s="36">
        <f>_xlfn.XLOOKUP($A11,'Input_Cooling Towers'!$A$7:$A$98,'Input_Cooling Towers'!$H$7:$H$98)</f>
        <v>1E-3</v>
      </c>
      <c r="D11" s="36">
        <f>_xlfn.XLOOKUP($A11,'Input_Cooling Towers'!$A$7:$A$98,'Input_Cooling Towers'!$F$7:$F$98)</f>
        <v>4680</v>
      </c>
      <c r="E11" s="36">
        <f>_xlfn.XLOOKUP($A11,'Input_Cooling Towers'!$A$7:$A$98,'Input_Cooling Towers'!$G$7:$G$98)</f>
        <v>2340</v>
      </c>
      <c r="F11" s="37">
        <f t="shared" si="0"/>
        <v>562.04927999999995</v>
      </c>
      <c r="G11" s="36">
        <f t="shared" si="1"/>
        <v>102573.99359999999</v>
      </c>
      <c r="H11" s="40">
        <f>5.0625/5</f>
        <v>1.0125</v>
      </c>
      <c r="I11" s="39">
        <f>$G$30*$G$27/$G$28</f>
        <v>6.6243268459561652E-3</v>
      </c>
      <c r="J11" s="40">
        <f>2.3625/5</f>
        <v>0.47249999999999998</v>
      </c>
      <c r="K11" s="41">
        <f t="shared" si="2"/>
        <v>5.6907489599999992E-4</v>
      </c>
      <c r="L11" s="42"/>
      <c r="M11" s="41">
        <f t="shared" si="3"/>
        <v>0.10385616851999997</v>
      </c>
      <c r="N11" s="42"/>
      <c r="O11" s="41">
        <f t="shared" si="6"/>
        <v>3.7231981342543335E-6</v>
      </c>
      <c r="P11" s="42"/>
      <c r="Q11" s="41">
        <f t="shared" si="7"/>
        <v>6.7948365950141576E-4</v>
      </c>
      <c r="R11" s="42"/>
      <c r="S11" s="41">
        <f t="shared" si="4"/>
        <v>2.6556828479999998E-4</v>
      </c>
      <c r="T11" s="42"/>
      <c r="U11" s="41">
        <f t="shared" si="5"/>
        <v>4.8466211975999991E-2</v>
      </c>
      <c r="V11" s="42"/>
    </row>
    <row r="12" spans="1:22" s="44" customFormat="1" ht="15" customHeight="1">
      <c r="A12" s="34" t="s">
        <v>201</v>
      </c>
      <c r="B12" s="35"/>
      <c r="C12" s="36">
        <f>_xlfn.XLOOKUP($A12,'Input_Cooling Towers'!$A$7:$A$98,'Input_Cooling Towers'!$H$7:$H$98)</f>
        <v>1E-3</v>
      </c>
      <c r="D12" s="36">
        <f>_xlfn.XLOOKUP($A12,'Input_Cooling Towers'!$A$7:$A$98,'Input_Cooling Towers'!$F$7:$F$98)</f>
        <v>4680</v>
      </c>
      <c r="E12" s="36">
        <f>_xlfn.XLOOKUP($A12,'Input_Cooling Towers'!$A$7:$A$98,'Input_Cooling Towers'!$G$7:$G$98)</f>
        <v>2340</v>
      </c>
      <c r="F12" s="37">
        <f t="shared" si="0"/>
        <v>562.04927999999995</v>
      </c>
      <c r="G12" s="36">
        <f t="shared" si="1"/>
        <v>102573.99359999999</v>
      </c>
      <c r="H12" s="40">
        <f t="shared" ref="H12:H15" si="8">5.0625/5</f>
        <v>1.0125</v>
      </c>
      <c r="I12" s="39">
        <f t="shared" ref="I12:I15" si="9">$G$30*$G$27/$G$28</f>
        <v>6.6243268459561652E-3</v>
      </c>
      <c r="J12" s="40">
        <f t="shared" ref="J12:J15" si="10">2.3625/5</f>
        <v>0.47249999999999998</v>
      </c>
      <c r="K12" s="41">
        <f t="shared" si="2"/>
        <v>5.6907489599999992E-4</v>
      </c>
      <c r="L12" s="42"/>
      <c r="M12" s="41">
        <f t="shared" si="3"/>
        <v>0.10385616851999997</v>
      </c>
      <c r="N12" s="42"/>
      <c r="O12" s="41">
        <f t="shared" si="6"/>
        <v>3.7231981342543335E-6</v>
      </c>
      <c r="P12" s="42"/>
      <c r="Q12" s="41">
        <f t="shared" si="7"/>
        <v>6.7948365950141576E-4</v>
      </c>
      <c r="R12" s="42"/>
      <c r="S12" s="41">
        <f t="shared" si="4"/>
        <v>2.6556828479999998E-4</v>
      </c>
      <c r="T12" s="42"/>
      <c r="U12" s="41">
        <f t="shared" si="5"/>
        <v>4.8466211975999991E-2</v>
      </c>
      <c r="V12" s="42"/>
    </row>
    <row r="13" spans="1:22" s="44" customFormat="1" ht="15" customHeight="1">
      <c r="A13" s="34" t="s">
        <v>203</v>
      </c>
      <c r="B13" s="35"/>
      <c r="C13" s="36">
        <f>_xlfn.XLOOKUP($A13,'Input_Cooling Towers'!$A$7:$A$98,'Input_Cooling Towers'!$H$7:$H$98)</f>
        <v>1E-3</v>
      </c>
      <c r="D13" s="36">
        <f>_xlfn.XLOOKUP($A13,'Input_Cooling Towers'!$A$7:$A$98,'Input_Cooling Towers'!$F$7:$F$98)</f>
        <v>4680</v>
      </c>
      <c r="E13" s="36">
        <f>_xlfn.XLOOKUP($A13,'Input_Cooling Towers'!$A$7:$A$98,'Input_Cooling Towers'!$G$7:$G$98)</f>
        <v>2340</v>
      </c>
      <c r="F13" s="37">
        <f t="shared" si="0"/>
        <v>562.04927999999995</v>
      </c>
      <c r="G13" s="36">
        <f t="shared" si="1"/>
        <v>102573.99359999999</v>
      </c>
      <c r="H13" s="40">
        <f t="shared" si="8"/>
        <v>1.0125</v>
      </c>
      <c r="I13" s="39">
        <f t="shared" si="9"/>
        <v>6.6243268459561652E-3</v>
      </c>
      <c r="J13" s="40">
        <f t="shared" si="10"/>
        <v>0.47249999999999998</v>
      </c>
      <c r="K13" s="41">
        <f t="shared" si="2"/>
        <v>5.6907489599999992E-4</v>
      </c>
      <c r="L13" s="42"/>
      <c r="M13" s="41">
        <f t="shared" si="3"/>
        <v>0.10385616851999997</v>
      </c>
      <c r="N13" s="42"/>
      <c r="O13" s="41">
        <f t="shared" si="6"/>
        <v>3.7231981342543335E-6</v>
      </c>
      <c r="P13" s="42"/>
      <c r="Q13" s="41">
        <f t="shared" si="7"/>
        <v>6.7948365950141576E-4</v>
      </c>
      <c r="R13" s="42"/>
      <c r="S13" s="41">
        <f t="shared" si="4"/>
        <v>2.6556828479999998E-4</v>
      </c>
      <c r="T13" s="42"/>
      <c r="U13" s="41">
        <f t="shared" si="5"/>
        <v>4.8466211975999991E-2</v>
      </c>
      <c r="V13" s="42"/>
    </row>
    <row r="14" spans="1:22" s="44" customFormat="1" ht="15" customHeight="1">
      <c r="A14" s="34" t="s">
        <v>205</v>
      </c>
      <c r="B14" s="35"/>
      <c r="C14" s="36">
        <f>_xlfn.XLOOKUP($A14,'Input_Cooling Towers'!$A$7:$A$98,'Input_Cooling Towers'!$H$7:$H$98)</f>
        <v>1E-3</v>
      </c>
      <c r="D14" s="36">
        <f>_xlfn.XLOOKUP($A14,'Input_Cooling Towers'!$A$7:$A$98,'Input_Cooling Towers'!$F$7:$F$98)</f>
        <v>4680</v>
      </c>
      <c r="E14" s="36">
        <f>_xlfn.XLOOKUP($A14,'Input_Cooling Towers'!$A$7:$A$98,'Input_Cooling Towers'!$G$7:$G$98)</f>
        <v>2340</v>
      </c>
      <c r="F14" s="37">
        <f t="shared" si="0"/>
        <v>562.04927999999995</v>
      </c>
      <c r="G14" s="36">
        <f t="shared" si="1"/>
        <v>102573.99359999999</v>
      </c>
      <c r="H14" s="40">
        <f t="shared" si="8"/>
        <v>1.0125</v>
      </c>
      <c r="I14" s="39">
        <f t="shared" si="9"/>
        <v>6.6243268459561652E-3</v>
      </c>
      <c r="J14" s="40">
        <f t="shared" si="10"/>
        <v>0.47249999999999998</v>
      </c>
      <c r="K14" s="41">
        <f t="shared" si="2"/>
        <v>5.6907489599999992E-4</v>
      </c>
      <c r="L14" s="42"/>
      <c r="M14" s="41">
        <f t="shared" si="3"/>
        <v>0.10385616851999997</v>
      </c>
      <c r="N14" s="42"/>
      <c r="O14" s="41">
        <f t="shared" si="6"/>
        <v>3.7231981342543335E-6</v>
      </c>
      <c r="P14" s="42"/>
      <c r="Q14" s="41">
        <f t="shared" si="7"/>
        <v>6.7948365950141576E-4</v>
      </c>
      <c r="R14" s="42"/>
      <c r="S14" s="41">
        <f t="shared" si="4"/>
        <v>2.6556828479999998E-4</v>
      </c>
      <c r="T14" s="42"/>
      <c r="U14" s="41">
        <f t="shared" si="5"/>
        <v>4.8466211975999991E-2</v>
      </c>
      <c r="V14" s="42"/>
    </row>
    <row r="15" spans="1:22" s="44" customFormat="1" ht="15" customHeight="1">
      <c r="A15" s="34" t="s">
        <v>207</v>
      </c>
      <c r="B15" s="35"/>
      <c r="C15" s="36">
        <f>_xlfn.XLOOKUP($A15,'Input_Cooling Towers'!$A$7:$A$98,'Input_Cooling Towers'!$H$7:$H$98)</f>
        <v>1E-3</v>
      </c>
      <c r="D15" s="36">
        <f>_xlfn.XLOOKUP($A15,'Input_Cooling Towers'!$A$7:$A$98,'Input_Cooling Towers'!$F$7:$F$98)</f>
        <v>4680</v>
      </c>
      <c r="E15" s="36">
        <f>_xlfn.XLOOKUP($A15,'Input_Cooling Towers'!$A$7:$A$98,'Input_Cooling Towers'!$G$7:$G$98)</f>
        <v>2340</v>
      </c>
      <c r="F15" s="37">
        <f t="shared" si="0"/>
        <v>562.04927999999995</v>
      </c>
      <c r="G15" s="36">
        <f t="shared" si="1"/>
        <v>102573.99359999999</v>
      </c>
      <c r="H15" s="40">
        <f t="shared" si="8"/>
        <v>1.0125</v>
      </c>
      <c r="I15" s="39">
        <f t="shared" si="9"/>
        <v>6.6243268459561652E-3</v>
      </c>
      <c r="J15" s="40">
        <f t="shared" si="10"/>
        <v>0.47249999999999998</v>
      </c>
      <c r="K15" s="41">
        <f t="shared" si="2"/>
        <v>5.6907489599999992E-4</v>
      </c>
      <c r="L15" s="42"/>
      <c r="M15" s="41">
        <f t="shared" si="3"/>
        <v>0.10385616851999997</v>
      </c>
      <c r="N15" s="42"/>
      <c r="O15" s="41">
        <f t="shared" si="6"/>
        <v>3.7231981342543335E-6</v>
      </c>
      <c r="P15" s="42"/>
      <c r="Q15" s="41">
        <f t="shared" si="7"/>
        <v>6.7948365950141576E-4</v>
      </c>
      <c r="R15" s="42"/>
      <c r="S15" s="41">
        <f t="shared" si="4"/>
        <v>2.6556828479999998E-4</v>
      </c>
      <c r="T15" s="42"/>
      <c r="U15" s="41">
        <f t="shared" si="5"/>
        <v>4.8466211975999991E-2</v>
      </c>
      <c r="V15" s="42"/>
    </row>
    <row r="16" spans="1:22" s="44" customFormat="1" ht="15" customHeight="1">
      <c r="A16" s="34" t="s">
        <v>209</v>
      </c>
      <c r="B16" s="35"/>
      <c r="C16" s="36">
        <f>_xlfn.XLOOKUP($A16,'Input_Cooling Towers'!$A$7:$A$98,'Input_Cooling Towers'!$H$7:$H$98)</f>
        <v>1E-3</v>
      </c>
      <c r="D16" s="36">
        <f>_xlfn.XLOOKUP($A16,'Input_Cooling Towers'!$A$7:$A$98,'Input_Cooling Towers'!$F$7:$F$98)</f>
        <v>1956</v>
      </c>
      <c r="E16" s="36">
        <f>_xlfn.XLOOKUP($A16,'Input_Cooling Towers'!$A$7:$A$98,'Input_Cooling Towers'!$G$7:$G$98)</f>
        <v>978</v>
      </c>
      <c r="F16" s="37">
        <f t="shared" si="0"/>
        <v>234.90777600000001</v>
      </c>
      <c r="G16" s="36">
        <f t="shared" si="1"/>
        <v>42870.669120000006</v>
      </c>
      <c r="H16" s="69">
        <v>5.0625</v>
      </c>
      <c r="I16" s="45">
        <f>0.75*$G$27/$G$28</f>
        <v>3.312163422978083E-2</v>
      </c>
      <c r="J16" s="69">
        <v>2.3624999999999998</v>
      </c>
      <c r="K16" s="41">
        <f t="shared" si="2"/>
        <v>1.1892206160000001E-3</v>
      </c>
      <c r="L16" s="42"/>
      <c r="M16" s="41">
        <f t="shared" si="3"/>
        <v>0.21703276242000005</v>
      </c>
      <c r="N16" s="42"/>
      <c r="O16" s="41">
        <f t="shared" si="6"/>
        <v>7.7805294344032886E-6</v>
      </c>
      <c r="P16" s="42"/>
      <c r="Q16" s="41">
        <f t="shared" si="7"/>
        <v>1.4199466217786002E-3</v>
      </c>
      <c r="R16" s="42"/>
      <c r="S16" s="41">
        <f t="shared" si="4"/>
        <v>5.5496962080000005E-4</v>
      </c>
      <c r="T16" s="42"/>
      <c r="U16" s="41">
        <f t="shared" si="5"/>
        <v>0.10128195579600001</v>
      </c>
      <c r="V16" s="42"/>
    </row>
    <row r="17" spans="1:23" s="28" customFormat="1" ht="15" customHeight="1">
      <c r="A17" s="47" t="s">
        <v>251</v>
      </c>
      <c r="B17" s="48"/>
      <c r="C17" s="30"/>
      <c r="D17" s="30"/>
      <c r="E17" s="30"/>
      <c r="F17" s="27"/>
      <c r="G17" s="27"/>
      <c r="H17" s="27"/>
      <c r="I17" s="27"/>
      <c r="J17" s="27"/>
      <c r="K17" s="49">
        <f>SUM(K9:K16)</f>
        <v>4.9465740960000001E-3</v>
      </c>
      <c r="L17" s="50"/>
      <c r="M17" s="49">
        <f>SUM(M9:M16)</f>
        <v>0.90274977251999988</v>
      </c>
      <c r="N17" s="50"/>
      <c r="O17" s="49">
        <f>SUM(O9:O16)</f>
        <v>3.2363183782364593E-5</v>
      </c>
      <c r="P17" s="50"/>
      <c r="Q17" s="49">
        <f>SUM(Q9:Q16)</f>
        <v>5.9062810402815379E-3</v>
      </c>
      <c r="R17" s="51"/>
      <c r="S17" s="49">
        <f>SUM(S9:S16)</f>
        <v>2.3084012448E-3</v>
      </c>
      <c r="T17" s="50"/>
      <c r="U17" s="49">
        <f>SUM(U9:U16)</f>
        <v>0.42128322717599997</v>
      </c>
      <c r="V17" s="51"/>
    </row>
    <row r="18" spans="1:23" s="53" customFormat="1" ht="15" customHeight="1">
      <c r="A18" s="18" t="s">
        <v>252</v>
      </c>
      <c r="B18" s="52"/>
    </row>
    <row r="19" spans="1:23" s="53" customFormat="1" ht="15" customHeight="1">
      <c r="A19" s="54" t="s">
        <v>253</v>
      </c>
      <c r="B19" s="55"/>
      <c r="K19" s="56"/>
      <c r="L19" s="57"/>
      <c r="M19" s="56"/>
      <c r="N19" s="57"/>
      <c r="O19" s="56"/>
      <c r="P19" s="57"/>
      <c r="Q19" s="56"/>
      <c r="R19" s="57"/>
      <c r="S19" s="56"/>
      <c r="T19" s="57"/>
      <c r="U19" s="56"/>
      <c r="V19" s="57"/>
    </row>
    <row r="20" spans="1:23" s="53" customFormat="1" ht="15" customHeight="1">
      <c r="A20" s="58" t="s">
        <v>254</v>
      </c>
      <c r="B20" s="19" t="s">
        <v>274</v>
      </c>
      <c r="C20" s="19"/>
      <c r="D20" s="78"/>
      <c r="E20" s="78"/>
      <c r="F20" s="78"/>
      <c r="G20" s="78"/>
      <c r="H20" s="55"/>
      <c r="I20" s="55"/>
      <c r="J20" s="55"/>
      <c r="K20" s="56"/>
      <c r="L20" s="57"/>
      <c r="M20" s="56"/>
      <c r="N20" s="57"/>
      <c r="O20" s="56"/>
      <c r="P20" s="57"/>
      <c r="Q20" s="56"/>
      <c r="R20" s="57"/>
      <c r="S20" s="56"/>
      <c r="T20" s="57"/>
      <c r="U20" s="56"/>
      <c r="V20" s="57"/>
    </row>
    <row r="21" spans="1:23" s="53" customFormat="1" ht="15" customHeight="1">
      <c r="A21" s="20"/>
      <c r="B21" s="19"/>
      <c r="C21" s="19"/>
      <c r="D21" s="78"/>
      <c r="E21" s="76"/>
      <c r="F21" s="77" t="s">
        <v>255</v>
      </c>
      <c r="G21" s="78">
        <v>8.34</v>
      </c>
      <c r="H21" s="55"/>
      <c r="K21" s="56"/>
      <c r="L21" s="57"/>
      <c r="M21" s="56"/>
      <c r="N21" s="57"/>
      <c r="O21" s="56"/>
      <c r="P21" s="57"/>
      <c r="Q21" s="56"/>
      <c r="R21" s="57"/>
      <c r="S21" s="56"/>
      <c r="T21" s="57"/>
      <c r="U21" s="56"/>
      <c r="V21" s="57"/>
    </row>
    <row r="22" spans="1:23" s="53" customFormat="1" ht="15" customHeight="1">
      <c r="A22" s="20"/>
      <c r="B22" s="19"/>
      <c r="C22" s="19"/>
      <c r="D22" s="19"/>
      <c r="E22" s="76"/>
      <c r="F22" s="77" t="s">
        <v>256</v>
      </c>
      <c r="G22" s="78">
        <v>24</v>
      </c>
      <c r="H22" s="55" t="str">
        <f>$A$35</f>
        <v>(2)</v>
      </c>
      <c r="K22" s="56"/>
      <c r="L22" s="57"/>
      <c r="M22" s="56"/>
      <c r="N22" s="57"/>
      <c r="O22" s="56"/>
      <c r="P22" s="57"/>
      <c r="Q22" s="56"/>
      <c r="R22" s="57"/>
      <c r="S22" s="56"/>
      <c r="T22" s="57"/>
      <c r="U22" s="56"/>
      <c r="V22" s="57"/>
    </row>
    <row r="23" spans="1:23" s="53" customFormat="1" ht="15" customHeight="1">
      <c r="A23" s="58" t="s">
        <v>257</v>
      </c>
      <c r="B23" s="19" t="s">
        <v>275</v>
      </c>
      <c r="C23" s="19"/>
      <c r="D23" s="19"/>
      <c r="E23" s="76"/>
      <c r="F23" s="19"/>
      <c r="G23" s="19"/>
      <c r="H23" s="55"/>
      <c r="K23" s="56"/>
      <c r="L23" s="57"/>
      <c r="M23" s="56"/>
      <c r="N23" s="57"/>
      <c r="O23" s="56"/>
      <c r="P23" s="57"/>
      <c r="Q23" s="56"/>
      <c r="R23" s="57"/>
      <c r="S23" s="56"/>
      <c r="T23" s="57"/>
      <c r="U23" s="56"/>
      <c r="V23" s="57"/>
    </row>
    <row r="24" spans="1:23" s="53" customFormat="1" ht="15" customHeight="1">
      <c r="A24" s="20"/>
      <c r="B24" s="19"/>
      <c r="C24" s="19"/>
      <c r="D24" s="19"/>
      <c r="E24" s="76"/>
      <c r="F24" s="77" t="s">
        <v>258</v>
      </c>
      <c r="G24" s="78">
        <v>365</v>
      </c>
      <c r="H24" s="55" t="str">
        <f>$A$35</f>
        <v>(2)</v>
      </c>
      <c r="K24" s="56"/>
      <c r="L24" s="57"/>
      <c r="M24" s="56"/>
      <c r="N24" s="57"/>
      <c r="O24" s="56"/>
      <c r="P24" s="57"/>
      <c r="Q24" s="56"/>
      <c r="R24" s="57"/>
      <c r="S24" s="56"/>
      <c r="T24" s="57"/>
      <c r="U24" s="56"/>
      <c r="V24" s="57"/>
    </row>
    <row r="25" spans="1:23" s="53" customFormat="1" ht="15" customHeight="1">
      <c r="A25" s="58" t="s">
        <v>259</v>
      </c>
      <c r="B25" s="19" t="s">
        <v>264</v>
      </c>
      <c r="C25" s="19"/>
      <c r="D25" s="78"/>
      <c r="E25" s="76"/>
      <c r="F25" s="78"/>
      <c r="G25" s="19"/>
      <c r="H25" s="55" t="str">
        <f>$A$36</f>
        <v>(3)</v>
      </c>
      <c r="K25" s="56"/>
      <c r="L25" s="57"/>
      <c r="M25" s="56"/>
      <c r="N25" s="57"/>
      <c r="O25" s="56"/>
      <c r="P25" s="57"/>
      <c r="Q25" s="56"/>
      <c r="R25" s="57"/>
      <c r="S25" s="56"/>
      <c r="T25" s="57"/>
      <c r="U25" s="56"/>
      <c r="V25" s="57"/>
    </row>
    <row r="26" spans="1:23" s="53" customFormat="1" ht="15" customHeight="1">
      <c r="A26" s="58" t="s">
        <v>263</v>
      </c>
      <c r="B26" s="19" t="s">
        <v>260</v>
      </c>
      <c r="C26" s="19"/>
      <c r="D26" s="78"/>
      <c r="E26" s="78"/>
      <c r="F26" s="78"/>
      <c r="G26" s="78"/>
      <c r="H26" s="55"/>
      <c r="I26" s="55"/>
      <c r="J26" s="55"/>
      <c r="K26" s="55"/>
      <c r="L26" s="59"/>
      <c r="M26" s="56"/>
      <c r="N26" s="57"/>
      <c r="O26" s="56"/>
      <c r="P26" s="57"/>
      <c r="Q26" s="56"/>
      <c r="R26" s="57"/>
      <c r="S26" s="56"/>
      <c r="T26" s="57"/>
      <c r="U26" s="56"/>
      <c r="V26" s="57"/>
      <c r="W26" s="56"/>
    </row>
    <row r="27" spans="1:23" s="53" customFormat="1" ht="15" customHeight="1">
      <c r="A27" s="58"/>
      <c r="B27" s="19"/>
      <c r="C27" s="19"/>
      <c r="D27" s="78"/>
      <c r="E27" s="78"/>
      <c r="F27" s="77" t="s">
        <v>261</v>
      </c>
      <c r="G27" s="79">
        <v>26.98</v>
      </c>
      <c r="H27" s="55"/>
      <c r="J27" s="55"/>
      <c r="K27" s="55"/>
      <c r="L27" s="59"/>
      <c r="M27" s="56"/>
      <c r="N27" s="57"/>
      <c r="O27" s="56"/>
      <c r="P27" s="57"/>
      <c r="Q27" s="56"/>
      <c r="R27" s="57"/>
      <c r="S27" s="56"/>
      <c r="T27" s="57"/>
      <c r="U27" s="56"/>
      <c r="V27" s="57"/>
      <c r="W27" s="56"/>
    </row>
    <row r="28" spans="1:23" s="53" customFormat="1" ht="15" customHeight="1">
      <c r="A28" s="58"/>
      <c r="B28" s="19"/>
      <c r="C28" s="19"/>
      <c r="D28" s="78"/>
      <c r="E28" s="78"/>
      <c r="F28" s="77" t="s">
        <v>262</v>
      </c>
      <c r="G28" s="79">
        <v>610.92999999999995</v>
      </c>
      <c r="H28" s="55"/>
      <c r="J28" s="55"/>
      <c r="K28" s="55"/>
      <c r="L28" s="59"/>
      <c r="M28" s="56"/>
      <c r="N28" s="57"/>
      <c r="O28" s="56"/>
      <c r="P28" s="57"/>
      <c r="Q28" s="56"/>
      <c r="R28" s="57"/>
      <c r="S28" s="56"/>
      <c r="T28" s="57"/>
      <c r="U28" s="56"/>
      <c r="V28" s="57"/>
      <c r="W28" s="56"/>
    </row>
    <row r="29" spans="1:23" s="53" customFormat="1" ht="15" customHeight="1">
      <c r="A29" s="58"/>
      <c r="B29" s="19"/>
      <c r="C29" s="19"/>
      <c r="D29" s="78"/>
      <c r="E29" s="78"/>
      <c r="F29" s="77" t="s">
        <v>282</v>
      </c>
      <c r="G29" s="79">
        <f>0.75/2</f>
        <v>0.375</v>
      </c>
      <c r="H29" s="55" t="str">
        <f>$A$37</f>
        <v>(4)</v>
      </c>
      <c r="J29" s="55"/>
      <c r="K29" s="55"/>
      <c r="L29" s="59"/>
      <c r="M29" s="56"/>
      <c r="N29" s="57"/>
      <c r="O29" s="56"/>
      <c r="P29" s="57"/>
      <c r="Q29" s="56"/>
      <c r="R29" s="57"/>
      <c r="S29" s="56"/>
      <c r="T29" s="57"/>
      <c r="U29" s="56"/>
      <c r="V29" s="57"/>
      <c r="W29" s="56"/>
    </row>
    <row r="30" spans="1:23" s="53" customFormat="1" ht="15" customHeight="1">
      <c r="A30" s="58"/>
      <c r="B30" s="19"/>
      <c r="C30" s="19"/>
      <c r="D30" s="78"/>
      <c r="E30" s="78"/>
      <c r="F30" s="77" t="s">
        <v>283</v>
      </c>
      <c r="G30" s="79">
        <f>0.75/5</f>
        <v>0.15</v>
      </c>
      <c r="H30" s="55" t="str">
        <f>$A$37</f>
        <v>(4)</v>
      </c>
      <c r="J30" s="55"/>
      <c r="K30" s="55"/>
      <c r="L30" s="59"/>
      <c r="M30" s="56"/>
      <c r="N30" s="57"/>
      <c r="O30" s="56"/>
      <c r="P30" s="57"/>
      <c r="Q30" s="56"/>
      <c r="R30" s="57"/>
      <c r="S30" s="56"/>
      <c r="T30" s="57"/>
      <c r="U30" s="56"/>
      <c r="V30" s="57"/>
      <c r="W30" s="56"/>
    </row>
    <row r="31" spans="1:23" s="53" customFormat="1" ht="15" customHeight="1">
      <c r="A31" s="58" t="s">
        <v>265</v>
      </c>
      <c r="B31" s="19" t="s">
        <v>266</v>
      </c>
      <c r="C31" s="19"/>
      <c r="D31" s="78"/>
      <c r="E31" s="76"/>
      <c r="F31" s="78"/>
      <c r="G31" s="19"/>
      <c r="H31" s="55" t="str">
        <f>$A$36</f>
        <v>(3)</v>
      </c>
      <c r="K31" s="56"/>
      <c r="L31" s="57"/>
      <c r="M31" s="56"/>
      <c r="N31" s="57"/>
      <c r="O31" s="56"/>
      <c r="P31" s="57"/>
      <c r="Q31" s="56"/>
      <c r="R31" s="57"/>
      <c r="S31" s="56"/>
      <c r="T31" s="57"/>
      <c r="U31" s="56"/>
      <c r="V31" s="57"/>
    </row>
    <row r="32" spans="1:23" s="53" customFormat="1" ht="15" customHeight="1">
      <c r="A32" s="63"/>
      <c r="B32" s="52"/>
    </row>
    <row r="33" spans="1:23" s="44" customFormat="1" ht="15" customHeight="1">
      <c r="A33" s="18" t="s">
        <v>211</v>
      </c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O33" s="53"/>
      <c r="P33" s="53"/>
      <c r="Q33" s="53"/>
      <c r="S33" s="53"/>
      <c r="T33" s="53"/>
      <c r="U33" s="53"/>
    </row>
    <row r="34" spans="1:23" s="44" customFormat="1" ht="15" customHeight="1">
      <c r="A34" s="63" t="s">
        <v>212</v>
      </c>
      <c r="B34" s="64" t="str">
        <f>"See "&amp;'Input_Cooling Towers'!$A$1&amp;", "&amp;'Input_Cooling Towers'!$A$2&amp;"."</f>
        <v>See Table 1, Input Cooling Tower Rates and Parameters.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O34" s="53"/>
      <c r="P34" s="53"/>
      <c r="Q34" s="53"/>
      <c r="S34" s="53"/>
      <c r="T34" s="53"/>
      <c r="U34" s="53"/>
    </row>
    <row r="35" spans="1:23" s="44" customFormat="1" ht="15" customHeight="1">
      <c r="A35" s="63" t="s">
        <v>214</v>
      </c>
      <c r="B35" s="64" t="s">
        <v>267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O35" s="53"/>
      <c r="P35" s="53"/>
      <c r="Q35" s="53"/>
      <c r="S35" s="53"/>
      <c r="T35" s="53"/>
      <c r="U35" s="53"/>
    </row>
    <row r="36" spans="1:23" s="44" customFormat="1" ht="15" customHeight="1">
      <c r="A36" s="63" t="s">
        <v>216</v>
      </c>
      <c r="B36" s="55" t="s">
        <v>268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O36" s="53"/>
      <c r="P36" s="53"/>
      <c r="Q36" s="53"/>
      <c r="S36" s="53"/>
      <c r="T36" s="53"/>
      <c r="U36" s="53"/>
    </row>
    <row r="37" spans="1:23" s="44" customFormat="1" ht="15" customHeight="1">
      <c r="A37" s="63" t="s">
        <v>269</v>
      </c>
      <c r="B37" s="64" t="s">
        <v>270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Q37" s="53"/>
      <c r="R37" s="53"/>
      <c r="S37" s="53"/>
      <c r="U37" s="53"/>
      <c r="V37" s="53"/>
      <c r="W37" s="53"/>
    </row>
    <row r="38" spans="1:23">
      <c r="K38" s="70"/>
      <c r="L38" s="70"/>
      <c r="M38" s="70"/>
      <c r="N38" s="70"/>
      <c r="O38" s="70"/>
      <c r="P38" s="70"/>
      <c r="Q38" s="70"/>
      <c r="S38" s="70"/>
      <c r="T38" s="70"/>
      <c r="U38" s="70"/>
    </row>
    <row r="40" spans="1:23">
      <c r="K40" s="71"/>
      <c r="L40" s="72"/>
      <c r="M40" s="73"/>
      <c r="N40" s="72"/>
      <c r="O40" s="71"/>
      <c r="P40" s="72"/>
      <c r="Q40" s="73"/>
      <c r="S40" s="71"/>
      <c r="T40" s="72"/>
      <c r="U40" s="73"/>
    </row>
  </sheetData>
  <mergeCells count="5">
    <mergeCell ref="A5:B8"/>
    <mergeCell ref="C5:C8"/>
    <mergeCell ref="D5:E7"/>
    <mergeCell ref="F5:G7"/>
    <mergeCell ref="H5:J7"/>
  </mergeCells>
  <conditionalFormatting sqref="D9:E16">
    <cfRule type="cellIs" dxfId="31" priority="20" operator="greaterThanOrEqual">
      <formula>100</formula>
    </cfRule>
  </conditionalFormatting>
  <conditionalFormatting sqref="F27:F28">
    <cfRule type="cellIs" dxfId="30" priority="1" operator="equal">
      <formula>0</formula>
    </cfRule>
    <cfRule type="cellIs" dxfId="29" priority="2" operator="greaterThanOrEqual">
      <formula>100</formula>
    </cfRule>
    <cfRule type="cellIs" dxfId="28" priority="3" operator="between">
      <formula>10</formula>
      <formula>100</formula>
    </cfRule>
    <cfRule type="cellIs" dxfId="27" priority="4" operator="between">
      <formula>0.1</formula>
      <formula>10</formula>
    </cfRule>
    <cfRule type="cellIs" dxfId="26" priority="5" operator="between">
      <formula>0.01</formula>
      <formula>0.1</formula>
    </cfRule>
    <cfRule type="cellIs" dxfId="25" priority="6" operator="lessThan">
      <formula>0.01</formula>
    </cfRule>
  </conditionalFormatting>
  <conditionalFormatting sqref="G9:G16">
    <cfRule type="cellIs" dxfId="24" priority="19" operator="greaterThanOrEqual">
      <formula>100</formula>
    </cfRule>
  </conditionalFormatting>
  <conditionalFormatting sqref="H20 F21:H22 F24 G24:H25 H27:H30 J27:L30 G31:H31">
    <cfRule type="cellIs" dxfId="23" priority="22" operator="equal">
      <formula>0</formula>
    </cfRule>
    <cfRule type="cellIs" dxfId="22" priority="23" operator="greaterThanOrEqual">
      <formula>100</formula>
    </cfRule>
    <cfRule type="cellIs" dxfId="21" priority="24" operator="between">
      <formula>10</formula>
      <formula>100</formula>
    </cfRule>
    <cfRule type="cellIs" dxfId="20" priority="25" operator="between">
      <formula>0.1</formula>
      <formula>10</formula>
    </cfRule>
    <cfRule type="cellIs" dxfId="19" priority="26" operator="between">
      <formula>0.01</formula>
      <formula>0.1</formula>
    </cfRule>
    <cfRule type="cellIs" dxfId="18" priority="27" operator="lessThan">
      <formula>0.01</formula>
    </cfRule>
  </conditionalFormatting>
  <conditionalFormatting sqref="H26:L26">
    <cfRule type="cellIs" dxfId="17" priority="7" operator="equal">
      <formula>0</formula>
    </cfRule>
    <cfRule type="cellIs" dxfId="16" priority="8" operator="greaterThanOrEqual">
      <formula>100</formula>
    </cfRule>
    <cfRule type="cellIs" dxfId="15" priority="9" operator="between">
      <formula>10</formula>
      <formula>100</formula>
    </cfRule>
    <cfRule type="cellIs" dxfId="14" priority="10" operator="between">
      <formula>0.1</formula>
      <formula>10</formula>
    </cfRule>
    <cfRule type="cellIs" dxfId="13" priority="11" operator="between">
      <formula>0.01</formula>
      <formula>0.1</formula>
    </cfRule>
    <cfRule type="cellIs" dxfId="12" priority="12" operator="lessThan">
      <formula>0.01</formula>
    </cfRule>
  </conditionalFormatting>
  <conditionalFormatting sqref="K9:V17 K19:V25 K31:V31">
    <cfRule type="cellIs" dxfId="11" priority="29" operator="equal">
      <formula>0</formula>
    </cfRule>
    <cfRule type="cellIs" dxfId="10" priority="30" operator="lessThan">
      <formula>0.01</formula>
    </cfRule>
    <cfRule type="cellIs" dxfId="9" priority="31" operator="between">
      <formula>0.01</formula>
      <formula>0.1</formula>
    </cfRule>
    <cfRule type="cellIs" dxfId="8" priority="32" operator="between">
      <formula>0.1</formula>
      <formula>10</formula>
    </cfRule>
    <cfRule type="cellIs" dxfId="7" priority="33" operator="between">
      <formula>10</formula>
      <formula>100</formula>
    </cfRule>
  </conditionalFormatting>
  <conditionalFormatting sqref="K9:V25 K31:V31">
    <cfRule type="cellIs" dxfId="6" priority="28" operator="greaterThan">
      <formula>100</formula>
    </cfRule>
  </conditionalFormatting>
  <conditionalFormatting sqref="M26:W30">
    <cfRule type="cellIs" dxfId="5" priority="13" operator="greaterThan">
      <formula>100</formula>
    </cfRule>
    <cfRule type="cellIs" dxfId="4" priority="14" operator="equal">
      <formula>0</formula>
    </cfRule>
    <cfRule type="cellIs" dxfId="3" priority="15" operator="lessThan">
      <formula>0.01</formula>
    </cfRule>
    <cfRule type="cellIs" dxfId="2" priority="16" operator="between">
      <formula>0.01</formula>
      <formula>0.1</formula>
    </cfRule>
    <cfRule type="cellIs" dxfId="1" priority="17" operator="between">
      <formula>0.1</formula>
      <formula>10</formula>
    </cfRule>
    <cfRule type="cellIs" dxfId="0" priority="18" operator="between">
      <formula>10</formula>
      <formula>100</formula>
    </cfRule>
  </conditionalFormatting>
  <printOptions horizontalCentered="1"/>
  <pageMargins left="0.7" right="0.7" top="0.75" bottom="0.75" header="0.3" footer="0.3"/>
  <pageSetup paperSize="3" orientation="landscape" r:id="rId1"/>
  <headerFooter>
    <oddFooter>&amp;R&amp;"Century Gothic,Regular"&amp;6&amp;P of &amp;N</oddFooter>
  </headerFooter>
  <ignoredErrors>
    <ignoredError sqref="A34:A3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OProjectManager xmlns="6076d197-b432-4a89-8b9d-b97676e775aa">
      <UserInfo>
        <DisplayName/>
        <AccountId xsi:nil="true"/>
        <AccountType/>
      </UserInfo>
    </CAOProjectManager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65FA40-B3F4-4C59-B0DA-E1125D2A6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4314E0-8BEC-4D61-B4C9-51FD7E774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76d197-b432-4a89-8b9d-b97676e775aa"/>
    <ds:schemaRef ds:uri="3f71e46e-dbdb-4936-a808-49fb891fc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860E8C-C4CD-4C25-856D-90BEB5E6F8E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864fcd12-b8b5-4d06-98e9-aee517b6ddd3"/>
    <ds:schemaRef ds:uri="http://purl.org/dc/dcmitype/"/>
    <ds:schemaRef ds:uri="6076d197-b432-4a89-8b9d-b97676e775aa"/>
    <ds:schemaRef ds:uri="3f71e46e-dbdb-4936-a808-49fb891fc3e2"/>
  </ds:schemaRefs>
</ds:datastoreItem>
</file>

<file path=docMetadata/LabelInfo.xml><?xml version="1.0" encoding="utf-8"?>
<clbl:labelList xmlns:clbl="http://schemas.microsoft.com/office/2020/mipLabelMetadata">
  <clbl:label id="{46c98d88-e344-4ed4-8496-4ed7712e255d}" enabled="0" method="" siteId="{46c98d88-e344-4ed4-8496-4ed7712e255d}" removed="1"/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Input_Cooling Towers</vt:lpstr>
      <vt:lpstr>COOL_Ronler</vt:lpstr>
      <vt:lpstr>COOL_Aloha</vt:lpstr>
      <vt:lpstr>COOL_Aloha!Print_Area</vt:lpstr>
      <vt:lpstr>COOL_Ronler!Print_Area</vt:lpstr>
      <vt:lpstr>'Input_Cooling Towers'!Print_Area</vt:lpstr>
      <vt:lpstr>COOL_Ronler!Print_Titles</vt:lpstr>
      <vt:lpstr>'Input_Cooling Towers'!Print_Titles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 Riley</dc:creator>
  <cp:keywords/>
  <dc:description/>
  <cp:lastModifiedBy>DEGAGNE Julia * DEQ</cp:lastModifiedBy>
  <cp:revision/>
  <dcterms:created xsi:type="dcterms:W3CDTF">2026-05-23T00:27:05Z</dcterms:created>
  <dcterms:modified xsi:type="dcterms:W3CDTF">2026-06-02T15:23:11Z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MediaServiceImageTags">
    <vt:lpwstr/>
  </property>
</Properties>
</file>