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2" Type="http://schemas.openxmlformats.org/package/2006/relationships/metadata/thumbnail" Target="docProps/thumbnail.emf" /><Relationship Id="rId1" Type="http://schemas.openxmlformats.org/officeDocument/2006/relationships/officeDocument" Target="xl/workbook.xml" /><Relationship Id="rId5" Type="http://schemas.openxmlformats.org/officeDocument/2006/relationships/custom-properties" Target="docProps/custom.xml" /><Relationship Id="rId4" Type="http://schemas.openxmlformats.org/officeDocument/2006/relationships/extended-properties" Target="docProps/app.xml" /><Relationship Id="rId6"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tciusa.sharepoint.com/sites/Imerys/Shared Documents/OR Lakeview/All Projects/253801.0017  CAO Call-In Support/02  Deliverables/2026-0408 CAO Response Letter Updates to Imerys/"/>
    </mc:Choice>
  </mc:AlternateContent>
  <xr:revisionPtr revIDLastSave="27" documentId="8_{08BF3E4C-1285-4B7B-8161-2A2F3355296B}" xr6:coauthVersionLast="47" xr6:coauthVersionMax="47" xr10:uidLastSave="{A07A94B6-E030-4116-91BE-A95846954F96}"/>
  <bookViews>
    <workbookView xWindow="-120" yWindow="-120" windowWidth="29040" windowHeight="15720" firstSheet="17" activeTab="25" xr2:uid="{8941911D-E28D-4FE1-A513-A955AAF4B385}"/>
  </bookViews>
  <sheets>
    <sheet name="Throughputs" sheetId="1" r:id="rId1"/>
    <sheet name="Test Data --&gt;" sheetId="24" r:id="rId2"/>
    <sheet name="Perlite Concentrations" sheetId="16" r:id="rId3"/>
    <sheet name="SDS Emissions --&gt;" sheetId="22" r:id="rId4"/>
    <sheet name="Maintenance Activities SDS" sheetId="3" r:id="rId5"/>
    <sheet name="Welding SDS Review" sheetId="4" r:id="rId6"/>
    <sheet name="Welding Emission Factors" sheetId="11" r:id="rId7"/>
    <sheet name="EU Emissions --&gt;" sheetId="23" r:id="rId8"/>
    <sheet name="Drop points" sheetId="5" r:id="rId9"/>
    <sheet name="Baghouses" sheetId="6" r:id="rId10"/>
    <sheet name="Dryer" sheetId="9" r:id="rId11"/>
    <sheet name="Stockpiles" sheetId="30" r:id="rId12"/>
    <sheet name="Crusher" sheetId="33" r:id="rId13"/>
    <sheet name="Unpaved Roads" sheetId="31" r:id="rId14"/>
    <sheet name="Storage Tanks" sheetId="32" r:id="rId15"/>
    <sheet name="ESP--&gt;" sheetId="35" r:id="rId16"/>
    <sheet name="ESP Input" sheetId="37" r:id="rId17"/>
    <sheet name="ESP Output" sheetId="38" r:id="rId18"/>
    <sheet name="Tank Sample Calc - 1" sheetId="41" r:id="rId19"/>
    <sheet name="Tank Sample Calc - 2" sheetId="42" r:id="rId20"/>
    <sheet name="Tank Sample Calc - 3" sheetId="43" r:id="rId21"/>
    <sheet name="Mock AQ520--&gt;" sheetId="17" r:id="rId22"/>
    <sheet name="2. Emissions Units &amp; Activities" sheetId="28" r:id="rId23"/>
    <sheet name="3. Pollutant Emissions - EF" sheetId="29" r:id="rId24"/>
    <sheet name="4. Material Balance Activities" sheetId="20" r:id="rId25"/>
    <sheet name="5. Pollutant Emissions - MB" sheetId="21" r:id="rId26"/>
    <sheet name="REF--&gt;" sheetId="8" r:id="rId27"/>
    <sheet name="DEQ Pollutant List" sheetId="7" r:id="rId28"/>
  </sheets>
  <definedNames>
    <definedName name="\P">#REF!</definedName>
    <definedName name="__________________PG9">#REF!</definedName>
    <definedName name="_________________PG9">#REF!</definedName>
    <definedName name="________________PG10">#REF!</definedName>
    <definedName name="________________PG2">#REF!</definedName>
    <definedName name="________________PG5">#REF!</definedName>
    <definedName name="________________PG8">#REF!</definedName>
    <definedName name="________________PG9">#REF!</definedName>
    <definedName name="_______________PG10">#REF!</definedName>
    <definedName name="_______________PG2">#REF!</definedName>
    <definedName name="_______________PG5">#REF!</definedName>
    <definedName name="_______________PG8">#REF!</definedName>
    <definedName name="_______________PG9">#REF!</definedName>
    <definedName name="_______________so2">#REF!</definedName>
    <definedName name="______________PG10">#REF!</definedName>
    <definedName name="______________PG2">#REF!</definedName>
    <definedName name="______________PG5">#REF!</definedName>
    <definedName name="______________PG8">#REF!</definedName>
    <definedName name="______________PG9">#REF!</definedName>
    <definedName name="______________so2">#REF!</definedName>
    <definedName name="_____________PG10">#REF!</definedName>
    <definedName name="_____________PG2">#REF!</definedName>
    <definedName name="_____________PG5">#REF!</definedName>
    <definedName name="_____________PG8">#REF!</definedName>
    <definedName name="_____________PG9">#REF!</definedName>
    <definedName name="_____________so2">#REF!</definedName>
    <definedName name="____________OP1">#REF!</definedName>
    <definedName name="____________OP10">#REF!</definedName>
    <definedName name="____________OP11">#REF!</definedName>
    <definedName name="____________OP12">#REF!</definedName>
    <definedName name="____________OP13">#REF!</definedName>
    <definedName name="____________OP14">#REF!</definedName>
    <definedName name="____________OP15">#REF!</definedName>
    <definedName name="____________OP2">#REF!</definedName>
    <definedName name="____________OP3">#REF!</definedName>
    <definedName name="____________OP4">#REF!</definedName>
    <definedName name="____________OP5">#REF!</definedName>
    <definedName name="____________OP6">#REF!</definedName>
    <definedName name="____________OP7">#REF!</definedName>
    <definedName name="____________OP8">#REF!</definedName>
    <definedName name="____________OP9">#REF!</definedName>
    <definedName name="____________PG10">#REF!</definedName>
    <definedName name="____________PG2">#REF!</definedName>
    <definedName name="____________PG5">#REF!</definedName>
    <definedName name="____________PG8">#REF!</definedName>
    <definedName name="____________PG9">#REF!</definedName>
    <definedName name="____________so2">#REF!</definedName>
    <definedName name="___________OP1">#REF!</definedName>
    <definedName name="___________OP10">#REF!</definedName>
    <definedName name="___________OP11">#REF!</definedName>
    <definedName name="___________OP12">#REF!</definedName>
    <definedName name="___________OP13">#REF!</definedName>
    <definedName name="___________OP14">#REF!</definedName>
    <definedName name="___________OP15">#REF!</definedName>
    <definedName name="___________OP2">#REF!</definedName>
    <definedName name="___________OP3">#REF!</definedName>
    <definedName name="___________OP4">#REF!</definedName>
    <definedName name="___________OP5">#REF!</definedName>
    <definedName name="___________OP6">#REF!</definedName>
    <definedName name="___________OP7">#REF!</definedName>
    <definedName name="___________OP8">#REF!</definedName>
    <definedName name="___________OP9">#REF!</definedName>
    <definedName name="___________PG10">#REF!</definedName>
    <definedName name="___________PG2">#REF!</definedName>
    <definedName name="___________PG5">#REF!</definedName>
    <definedName name="___________PG8">#REF!</definedName>
    <definedName name="___________PG9">#REF!</definedName>
    <definedName name="___________so2">#REF!</definedName>
    <definedName name="__________OP1">#REF!</definedName>
    <definedName name="__________OP10">#REF!</definedName>
    <definedName name="__________OP11">#REF!</definedName>
    <definedName name="__________OP12">#REF!</definedName>
    <definedName name="__________OP13">#REF!</definedName>
    <definedName name="__________OP14">#REF!</definedName>
    <definedName name="__________OP15">#REF!</definedName>
    <definedName name="__________OP2">#REF!</definedName>
    <definedName name="__________OP3">#REF!</definedName>
    <definedName name="__________OP4">#REF!</definedName>
    <definedName name="__________OP5">#REF!</definedName>
    <definedName name="__________OP6">#REF!</definedName>
    <definedName name="__________OP7">#REF!</definedName>
    <definedName name="__________OP8">#REF!</definedName>
    <definedName name="__________OP9">#REF!</definedName>
    <definedName name="__________PG10">#REF!</definedName>
    <definedName name="__________PG2">#REF!</definedName>
    <definedName name="__________PG5">#REF!</definedName>
    <definedName name="__________PG8">#REF!</definedName>
    <definedName name="__________PG9">#REF!</definedName>
    <definedName name="__________so2">#REF!</definedName>
    <definedName name="_________OP1">#REF!</definedName>
    <definedName name="_________OP10">#REF!</definedName>
    <definedName name="_________OP11">#REF!</definedName>
    <definedName name="_________OP12">#REF!</definedName>
    <definedName name="_________OP13">#REF!</definedName>
    <definedName name="_________OP14">#REF!</definedName>
    <definedName name="_________OP15">#REF!</definedName>
    <definedName name="_________OP2">#REF!</definedName>
    <definedName name="_________OP3">#REF!</definedName>
    <definedName name="_________OP4">#REF!</definedName>
    <definedName name="_________OP5">#REF!</definedName>
    <definedName name="_________OP6">#REF!</definedName>
    <definedName name="_________OP7">#REF!</definedName>
    <definedName name="_________OP8">#REF!</definedName>
    <definedName name="_________OP9">#REF!</definedName>
    <definedName name="_________PG10">#REF!</definedName>
    <definedName name="_________PG2">#REF!</definedName>
    <definedName name="_________PG5">#REF!</definedName>
    <definedName name="_________PG8">#REF!</definedName>
    <definedName name="_________PG9">#REF!</definedName>
    <definedName name="_________so2">#REF!</definedName>
    <definedName name="________OP1">#REF!</definedName>
    <definedName name="________OP10">#REF!</definedName>
    <definedName name="________OP11">#REF!</definedName>
    <definedName name="________OP12">#REF!</definedName>
    <definedName name="________OP13">#REF!</definedName>
    <definedName name="________OP14">#REF!</definedName>
    <definedName name="________OP15">#REF!</definedName>
    <definedName name="________OP2">#REF!</definedName>
    <definedName name="________OP3">#REF!</definedName>
    <definedName name="________OP4">#REF!</definedName>
    <definedName name="________OP5">#REF!</definedName>
    <definedName name="________OP6">#REF!</definedName>
    <definedName name="________OP7">#REF!</definedName>
    <definedName name="________OP8">#REF!</definedName>
    <definedName name="________OP9">#REF!</definedName>
    <definedName name="________PG10">#REF!</definedName>
    <definedName name="________PG2">#REF!</definedName>
    <definedName name="________PG5">#REF!</definedName>
    <definedName name="________PG8">#REF!</definedName>
    <definedName name="________PG9">#REF!</definedName>
    <definedName name="________so2">#REF!</definedName>
    <definedName name="_______key2" hidden="1">#REF!</definedName>
    <definedName name="_______OP1">#REF!</definedName>
    <definedName name="_______OP10">#REF!</definedName>
    <definedName name="_______OP11">#REF!</definedName>
    <definedName name="_______OP12">#REF!</definedName>
    <definedName name="_______OP13">#REF!</definedName>
    <definedName name="_______OP14">#REF!</definedName>
    <definedName name="_______OP15">#REF!</definedName>
    <definedName name="_______OP2">#REF!</definedName>
    <definedName name="_______OP3">#REF!</definedName>
    <definedName name="_______OP4">#REF!</definedName>
    <definedName name="_______OP5">#REF!</definedName>
    <definedName name="_______OP6">#REF!</definedName>
    <definedName name="_______OP7">#REF!</definedName>
    <definedName name="_______OP8">#REF!</definedName>
    <definedName name="_______OP9">#REF!</definedName>
    <definedName name="_______PG10">#REF!</definedName>
    <definedName name="_______PG2">#REF!</definedName>
    <definedName name="_______PG5">#REF!</definedName>
    <definedName name="_______PG8">#REF!</definedName>
    <definedName name="_______PG9">#REF!</definedName>
    <definedName name="_______so2">#REF!</definedName>
    <definedName name="______key2" hidden="1">#REF!</definedName>
    <definedName name="______OP1">#REF!</definedName>
    <definedName name="______OP10">#REF!</definedName>
    <definedName name="______OP11">#REF!</definedName>
    <definedName name="______OP12">#REF!</definedName>
    <definedName name="______OP13">#REF!</definedName>
    <definedName name="______OP14">#REF!</definedName>
    <definedName name="______OP15">#REF!</definedName>
    <definedName name="______OP2">#REF!</definedName>
    <definedName name="______OP3">#REF!</definedName>
    <definedName name="______OP4">#REF!</definedName>
    <definedName name="______OP5">#REF!</definedName>
    <definedName name="______OP6">#REF!</definedName>
    <definedName name="______OP7">#REF!</definedName>
    <definedName name="______OP8">#REF!</definedName>
    <definedName name="______OP9">#REF!</definedName>
    <definedName name="______PG10">#REF!</definedName>
    <definedName name="______PG2">#REF!</definedName>
    <definedName name="______PG5">#REF!</definedName>
    <definedName name="______PG8">#REF!</definedName>
    <definedName name="______PG9">#REF!</definedName>
    <definedName name="______so2">#REF!</definedName>
    <definedName name="_____DAT1">#REF!</definedName>
    <definedName name="_____DAT13">#REF!</definedName>
    <definedName name="_____DAT16">#REF!</definedName>
    <definedName name="_____DAT17">#REF!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key2" hidden="1">#REF!</definedName>
    <definedName name="_____OP1">#REF!</definedName>
    <definedName name="_____OP10">#REF!</definedName>
    <definedName name="_____OP11">#REF!</definedName>
    <definedName name="_____OP12">#REF!</definedName>
    <definedName name="_____OP13">#REF!</definedName>
    <definedName name="_____OP14">#REF!</definedName>
    <definedName name="_____OP15">#REF!</definedName>
    <definedName name="_____OP2">#REF!</definedName>
    <definedName name="_____OP3">#REF!</definedName>
    <definedName name="_____OP4">#REF!</definedName>
    <definedName name="_____OP5">#REF!</definedName>
    <definedName name="_____OP6">#REF!</definedName>
    <definedName name="_____OP7">#REF!</definedName>
    <definedName name="_____OP8">#REF!</definedName>
    <definedName name="_____OP9">#REF!</definedName>
    <definedName name="_____PG10">#REF!</definedName>
    <definedName name="_____PG2">#REF!</definedName>
    <definedName name="_____PG5">#REF!</definedName>
    <definedName name="_____PG8">#REF!</definedName>
    <definedName name="_____PG9">#REF!</definedName>
    <definedName name="_____so2">#REF!</definedName>
    <definedName name="____DAT1">#REF!</definedName>
    <definedName name="____DAT13">#REF!</definedName>
    <definedName name="____DAT16">#REF!</definedName>
    <definedName name="____DAT17">#REF!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key2" hidden="1">#REF!</definedName>
    <definedName name="____OP1">#REF!</definedName>
    <definedName name="____OP10">#REF!</definedName>
    <definedName name="____OP11">#REF!</definedName>
    <definedName name="____OP12">#REF!</definedName>
    <definedName name="____OP13">#REF!</definedName>
    <definedName name="____OP14">#REF!</definedName>
    <definedName name="____OP15">#REF!</definedName>
    <definedName name="____OP2">#REF!</definedName>
    <definedName name="____OP3">#REF!</definedName>
    <definedName name="____OP4">#REF!</definedName>
    <definedName name="____OP5">#REF!</definedName>
    <definedName name="____OP6">#REF!</definedName>
    <definedName name="____OP7">#REF!</definedName>
    <definedName name="____OP8">#REF!</definedName>
    <definedName name="____OP9">#REF!</definedName>
    <definedName name="____PG10">#REF!</definedName>
    <definedName name="____PG2">#REF!</definedName>
    <definedName name="____PG5">#REF!</definedName>
    <definedName name="____PG8">#REF!</definedName>
    <definedName name="____PG9">#REF!</definedName>
    <definedName name="____so2">#REF!</definedName>
    <definedName name="___DAT1">#REF!</definedName>
    <definedName name="___DAT13">#REF!</definedName>
    <definedName name="___DAT16">#REF!</definedName>
    <definedName name="___DAT17">#REF!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key2" hidden="1">#REF!</definedName>
    <definedName name="___OP1">#REF!</definedName>
    <definedName name="___OP10">#REF!</definedName>
    <definedName name="___OP11">#REF!</definedName>
    <definedName name="___OP12">#REF!</definedName>
    <definedName name="___OP13">#REF!</definedName>
    <definedName name="___OP14">#REF!</definedName>
    <definedName name="___OP15">#REF!</definedName>
    <definedName name="___OP2">#REF!</definedName>
    <definedName name="___OP3">#REF!</definedName>
    <definedName name="___OP4">#REF!</definedName>
    <definedName name="___OP5">#REF!</definedName>
    <definedName name="___OP6">#REF!</definedName>
    <definedName name="___OP7">#REF!</definedName>
    <definedName name="___OP8">#REF!</definedName>
    <definedName name="___OP9">#REF!</definedName>
    <definedName name="___PG10">#REF!</definedName>
    <definedName name="___PG2">#REF!</definedName>
    <definedName name="___PG5">#REF!</definedName>
    <definedName name="___PG8">#REF!</definedName>
    <definedName name="___PG9">#REF!</definedName>
    <definedName name="___so2">#REF!</definedName>
    <definedName name="__123Graph_X" hidden="1">#REF!</definedName>
    <definedName name="__1S" hidden="1">#REF!</definedName>
    <definedName name="__261_3000TV">#REF!</definedName>
    <definedName name="__261_5100TV">#REF!</definedName>
    <definedName name="__DAT1">#REF!</definedName>
    <definedName name="__DAT13">#REF!</definedName>
    <definedName name="__DAT16">#REF!</definedName>
    <definedName name="__DAT17">#REF!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key2" hidden="1">#REF!</definedName>
    <definedName name="__OP1">#REF!</definedName>
    <definedName name="__OP10">#REF!</definedName>
    <definedName name="__OP11">#REF!</definedName>
    <definedName name="__OP12">#REF!</definedName>
    <definedName name="__OP13">#REF!</definedName>
    <definedName name="__OP14">#REF!</definedName>
    <definedName name="__OP15">#REF!</definedName>
    <definedName name="__OP2">#REF!</definedName>
    <definedName name="__OP3">#REF!</definedName>
    <definedName name="__OP4">#REF!</definedName>
    <definedName name="__OP5">#REF!</definedName>
    <definedName name="__OP6">#REF!</definedName>
    <definedName name="__OP7">#REF!</definedName>
    <definedName name="__OP8">#REF!</definedName>
    <definedName name="__OP9">#REF!</definedName>
    <definedName name="__PG10">#REF!</definedName>
    <definedName name="__PG2">#REF!</definedName>
    <definedName name="__PG5">#REF!</definedName>
    <definedName name="__PG8">#REF!</definedName>
    <definedName name="__PG9">#REF!</definedName>
    <definedName name="__so2">#REF!</definedName>
    <definedName name="_1__123Graph_AHC_COMP" hidden="1">#REF!</definedName>
    <definedName name="_1_0_S" hidden="1">#REF!</definedName>
    <definedName name="_12_0_S" hidden="1">#REF!</definedName>
    <definedName name="_1S" hidden="1">#REF!</definedName>
    <definedName name="_2__123Graph_AHEAT_VALUE" hidden="1">#REF!</definedName>
    <definedName name="_2_0_S" hidden="1">#REF!</definedName>
    <definedName name="_24hrEF">#REF!</definedName>
    <definedName name="_261_3000TV">#REF!</definedName>
    <definedName name="_261_5100TV">#REF!</definedName>
    <definedName name="_3__123Graph_ALBS_DAY" hidden="1">#REF!</definedName>
    <definedName name="_3_0_S" hidden="1">#REF!</definedName>
    <definedName name="_3S" hidden="1">#REF!</definedName>
    <definedName name="_4__123Graph_BLBS_DAY" hidden="1">#REF!</definedName>
    <definedName name="_4S" hidden="1">#REF!</definedName>
    <definedName name="_5__123Graph_CLBS_DAY" hidden="1">#REF!</definedName>
    <definedName name="_6__123Graph_XCOMP_COST" hidden="1">#REF!</definedName>
    <definedName name="_6_0_S" hidden="1">#REF!</definedName>
    <definedName name="_6_9_94">#REF!</definedName>
    <definedName name="_7__123Graph_XHC_COMP" hidden="1">#REF!</definedName>
    <definedName name="_8__123Graph_XHEAT_VALUE" hidden="1">#REF!</definedName>
    <definedName name="_9__123Graph_XLBS_DAY" hidden="1">#REF!</definedName>
    <definedName name="_DAT10">#REF!</definedName>
    <definedName name="_DAT11">#REF!</definedName>
    <definedName name="_DAT12">#REF!</definedName>
    <definedName name="_DAT15">#REF!</definedName>
    <definedName name="_DAT16">#REF!</definedName>
    <definedName name="_DAT17">#REF!</definedName>
    <definedName name="_DAT18">#REF!</definedName>
    <definedName name="_DAT19">#REF!</definedName>
    <definedName name="_DAT9">#REF!</definedName>
    <definedName name="_Fill" hidden="1">#REF!</definedName>
    <definedName name="_xlnm._FilterDatabase" localSheetId="2" hidden="1">'Perlite Concentrations'!$B$3:$L$35</definedName>
    <definedName name="_Key1" hidden="1">#REF!</definedName>
    <definedName name="_Key2" hidden="1">#REF!</definedName>
    <definedName name="_OP1">#REF!</definedName>
    <definedName name="_OP10">#REF!</definedName>
    <definedName name="_OP11">#REF!</definedName>
    <definedName name="_OP12">#REF!</definedName>
    <definedName name="_OP13">#REF!</definedName>
    <definedName name="_OP14">#REF!</definedName>
    <definedName name="_OP15">#REF!</definedName>
    <definedName name="_OP2">#REF!</definedName>
    <definedName name="_OP3">#REF!</definedName>
    <definedName name="_OP4">#REF!</definedName>
    <definedName name="_OP5">#REF!</definedName>
    <definedName name="_OP6">#REF!</definedName>
    <definedName name="_OP7">#REF!</definedName>
    <definedName name="_OP8">#REF!</definedName>
    <definedName name="_OP9">#REF!</definedName>
    <definedName name="_Order1" localSheetId="22" hidden="1">255</definedName>
    <definedName name="_Order1" localSheetId="23" hidden="1">255</definedName>
    <definedName name="_Order1" localSheetId="24" hidden="1">255</definedName>
    <definedName name="_Order1" localSheetId="25" hidden="1">255</definedName>
    <definedName name="_Order1" hidden="1">0</definedName>
    <definedName name="_Order2" localSheetId="22" hidden="1">255</definedName>
    <definedName name="_Order2" localSheetId="23" hidden="1">255</definedName>
    <definedName name="_Order2" localSheetId="24" hidden="1">255</definedName>
    <definedName name="_Order2" localSheetId="25" hidden="1">255</definedName>
    <definedName name="_Order2" hidden="1">0</definedName>
    <definedName name="_PG10">#REF!</definedName>
    <definedName name="_PG2">#REF!</definedName>
    <definedName name="_PG5">#REF!</definedName>
    <definedName name="_PG8">#REF!</definedName>
    <definedName name="_PG9">#REF!</definedName>
    <definedName name="_Regression_Int" hidden="1">1</definedName>
    <definedName name="_Regression_Out" hidden="1">#REF!</definedName>
    <definedName name="_Regression_X" hidden="1">#REF!</definedName>
    <definedName name="_Regression_Y" hidden="1">#REF!</definedName>
    <definedName name="_so2">#REF!</definedName>
    <definedName name="_Sort" hidden="1">#REF!</definedName>
    <definedName name="_SP_GR_">#REF!</definedName>
    <definedName name="_SRC1">#REF!</definedName>
    <definedName name="_SRC10">#REF!</definedName>
    <definedName name="_SRC11">#REF!</definedName>
    <definedName name="_SRC12">#REF!</definedName>
    <definedName name="_SRC13">#REF!</definedName>
    <definedName name="_SRC17">#REF!</definedName>
    <definedName name="_SRC19">#REF!</definedName>
    <definedName name="_SRC2">#REF!</definedName>
    <definedName name="_SRC21">#REF!</definedName>
    <definedName name="_SRC24">#REF!</definedName>
    <definedName name="_SRC25">#REF!</definedName>
    <definedName name="_SRC26">#REF!</definedName>
    <definedName name="_SRC27">#REF!</definedName>
    <definedName name="_SRC28">#REF!</definedName>
    <definedName name="_SRC3">#REF!</definedName>
    <definedName name="_SRC31">#REF!</definedName>
    <definedName name="_SRC32">#REF!</definedName>
    <definedName name="_SRC33">#REF!</definedName>
    <definedName name="_SRC37">#REF!</definedName>
    <definedName name="_SRC38">#REF!</definedName>
    <definedName name="_SRC4">#REF!</definedName>
    <definedName name="_SRC44">#REF!</definedName>
    <definedName name="_SRC46">#REF!</definedName>
    <definedName name="_SRC47">#REF!</definedName>
    <definedName name="_SRC48">#REF!</definedName>
    <definedName name="_SRC49">#REF!</definedName>
    <definedName name="_SRC5">#REF!</definedName>
    <definedName name="_SRC50">#REF!</definedName>
    <definedName name="_SRC55">#REF!</definedName>
    <definedName name="_SRC56">#REF!</definedName>
    <definedName name="_SRC57">#REF!</definedName>
    <definedName name="_SRC58">#REF!</definedName>
    <definedName name="_SRC6">#REF!</definedName>
    <definedName name="_SRC60">#REF!</definedName>
    <definedName name="_SRC61">#REF!</definedName>
    <definedName name="_SRC62">#REF!</definedName>
    <definedName name="_SRC63">#REF!</definedName>
    <definedName name="_SRC64">#REF!</definedName>
    <definedName name="_SRC65">#REF!</definedName>
    <definedName name="_SRC67">#REF!</definedName>
    <definedName name="_SRC68">#REF!</definedName>
    <definedName name="_SRC69">#REF!</definedName>
    <definedName name="_SRC7">#REF!</definedName>
    <definedName name="_SRC70">#REF!</definedName>
    <definedName name="_SRC71">#REF!</definedName>
    <definedName name="_SRC72">#REF!</definedName>
    <definedName name="_SRC73">#REF!</definedName>
    <definedName name="_SRC74">#REF!</definedName>
    <definedName name="_SRC75">#REF!</definedName>
    <definedName name="_SRC76">#REF!</definedName>
    <definedName name="_SRC77">#REF!</definedName>
    <definedName name="_SRC78">#REF!</definedName>
    <definedName name="_SRC8">#REF!</definedName>
    <definedName name="_SRC81">#REF!</definedName>
    <definedName name="_SRC82">#REF!</definedName>
    <definedName name="_SRC83">#REF!</definedName>
    <definedName name="_SRC9">#REF!</definedName>
    <definedName name="_SRC90">#REF!</definedName>
    <definedName name="a" localSheetId="16" hidden="1">{#N/A,#N/A,FALSE,"Annual Summary";#N/A,#N/A,FALSE,"Hourly Summary";#N/A,#N/A,FALSE,"Flare Combustion";#N/A,#N/A,FALSE,"Shipping";#N/A,#N/A,FALSE,"Process Turnaround";#N/A,#N/A,FALSE,"Lab Samples";#N/A,#N/A,FALSE,"Product Cycles 5-4";#N/A,#N/A,FALSE,"5-4.1";#N/A,#N/A,FALSE,"5-4.2";#N/A,#N/A,FALSE,"Physical Prop Data"}</definedName>
    <definedName name="a" localSheetId="17" hidden="1">{#N/A,#N/A,FALSE,"Annual Summary";#N/A,#N/A,FALSE,"Hourly Summary";#N/A,#N/A,FALSE,"Flare Combustion";#N/A,#N/A,FALSE,"Shipping";#N/A,#N/A,FALSE,"Process Turnaround";#N/A,#N/A,FALSE,"Lab Samples";#N/A,#N/A,FALSE,"Product Cycles 5-4";#N/A,#N/A,FALSE,"5-4.1";#N/A,#N/A,FALSE,"5-4.2";#N/A,#N/A,FALSE,"Physical Prop Data"}</definedName>
    <definedName name="a" localSheetId="2" hidden="1">{#N/A,#N/A,FALSE,"Annual Summary";#N/A,#N/A,FALSE,"Hourly Summary";#N/A,#N/A,FALSE,"Flare Combustion";#N/A,#N/A,FALSE,"Shipping";#N/A,#N/A,FALSE,"Process Turnaround";#N/A,#N/A,FALSE,"Lab Samples";#N/A,#N/A,FALSE,"Product Cycles 5-4";#N/A,#N/A,FALSE,"5-4.1";#N/A,#N/A,FALSE,"5-4.2";#N/A,#N/A,FALSE,"Physical Prop Data"}</definedName>
    <definedName name="a" hidden="1">{#N/A,#N/A,FALSE,"Annual Summary";#N/A,#N/A,FALSE,"Hourly Summary";#N/A,#N/A,FALSE,"Flare Combustion";#N/A,#N/A,FALSE,"Shipping";#N/A,#N/A,FALSE,"Process Turnaround";#N/A,#N/A,FALSE,"Lab Samples";#N/A,#N/A,FALSE,"Product Cycles 5-4";#N/A,#N/A,FALSE,"5-4.1";#N/A,#N/A,FALSE,"5-4.2";#N/A,#N/A,FALSE,"Physical Prop Data"}</definedName>
    <definedName name="A16BLA3Ar" localSheetId="16"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A16BLA3Ar" localSheetId="17"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A16BLA3Ar" localSheetId="2"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A16BLA3Ar"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Aa">#REF!</definedName>
    <definedName name="aabbcc" localSheetId="16" hidden="1">{#N/A,#N/A,FALSE,"Annual Summary";#N/A,#N/A,FALSE,"Hourly Summary";#N/A,#N/A,FALSE,"Flare Combustion";#N/A,#N/A,FALSE,"Shipping";#N/A,#N/A,FALSE,"Process Turnaround";#N/A,#N/A,FALSE,"Lab Samples";#N/A,#N/A,FALSE,"Product Cycles 5-4";#N/A,#N/A,FALSE,"5-4.1";#N/A,#N/A,FALSE,"5-4.2";#N/A,#N/A,FALSE,"Physical Prop Data"}</definedName>
    <definedName name="aabbcc" localSheetId="17" hidden="1">{#N/A,#N/A,FALSE,"Annual Summary";#N/A,#N/A,FALSE,"Hourly Summary";#N/A,#N/A,FALSE,"Flare Combustion";#N/A,#N/A,FALSE,"Shipping";#N/A,#N/A,FALSE,"Process Turnaround";#N/A,#N/A,FALSE,"Lab Samples";#N/A,#N/A,FALSE,"Product Cycles 5-4";#N/A,#N/A,FALSE,"5-4.1";#N/A,#N/A,FALSE,"5-4.2";#N/A,#N/A,FALSE,"Physical Prop Data"}</definedName>
    <definedName name="aabbcc" localSheetId="2" hidden="1">{#N/A,#N/A,FALSE,"Annual Summary";#N/A,#N/A,FALSE,"Hourly Summary";#N/A,#N/A,FALSE,"Flare Combustion";#N/A,#N/A,FALSE,"Shipping";#N/A,#N/A,FALSE,"Process Turnaround";#N/A,#N/A,FALSE,"Lab Samples";#N/A,#N/A,FALSE,"Product Cycles 5-4";#N/A,#N/A,FALSE,"5-4.1";#N/A,#N/A,FALSE,"5-4.2";#N/A,#N/A,FALSE,"Physical Prop Data"}</definedName>
    <definedName name="aabbcc" hidden="1">{#N/A,#N/A,FALSE,"Annual Summary";#N/A,#N/A,FALSE,"Hourly Summary";#N/A,#N/A,FALSE,"Flare Combustion";#N/A,#N/A,FALSE,"Shipping";#N/A,#N/A,FALSE,"Process Turnaround";#N/A,#N/A,FALSE,"Lab Samples";#N/A,#N/A,FALSE,"Product Cycles 5-4";#N/A,#N/A,FALSE,"5-4.1";#N/A,#N/A,FALSE,"5-4.2";#N/A,#N/A,FALSE,"Physical Prop Data"}</definedName>
    <definedName name="aappii" localSheetId="16" hidden="1">{#N/A,#N/A,FALSE,"Annual Summary";#N/A,#N/A,FALSE,"Hourly Summary";#N/A,#N/A,FALSE,"Flare Combustion";#N/A,#N/A,FALSE,"Shipping";#N/A,#N/A,FALSE,"Process Turnaround";#N/A,#N/A,FALSE,"Lab Samples";#N/A,#N/A,FALSE,"Product Cycles 5-4";#N/A,#N/A,FALSE,"5-4.1";#N/A,#N/A,FALSE,"5-4.2";#N/A,#N/A,FALSE,"Physical Prop Data"}</definedName>
    <definedName name="aappii" localSheetId="17" hidden="1">{#N/A,#N/A,FALSE,"Annual Summary";#N/A,#N/A,FALSE,"Hourly Summary";#N/A,#N/A,FALSE,"Flare Combustion";#N/A,#N/A,FALSE,"Shipping";#N/A,#N/A,FALSE,"Process Turnaround";#N/A,#N/A,FALSE,"Lab Samples";#N/A,#N/A,FALSE,"Product Cycles 5-4";#N/A,#N/A,FALSE,"5-4.1";#N/A,#N/A,FALSE,"5-4.2";#N/A,#N/A,FALSE,"Physical Prop Data"}</definedName>
    <definedName name="aappii" localSheetId="2" hidden="1">{#N/A,#N/A,FALSE,"Annual Summary";#N/A,#N/A,FALSE,"Hourly Summary";#N/A,#N/A,FALSE,"Flare Combustion";#N/A,#N/A,FALSE,"Shipping";#N/A,#N/A,FALSE,"Process Turnaround";#N/A,#N/A,FALSE,"Lab Samples";#N/A,#N/A,FALSE,"Product Cycles 5-4";#N/A,#N/A,FALSE,"5-4.1";#N/A,#N/A,FALSE,"5-4.2";#N/A,#N/A,FALSE,"Physical Prop Data"}</definedName>
    <definedName name="aappii" hidden="1">{#N/A,#N/A,FALSE,"Annual Summary";#N/A,#N/A,FALSE,"Hourly Summary";#N/A,#N/A,FALSE,"Flare Combustion";#N/A,#N/A,FALSE,"Shipping";#N/A,#N/A,FALSE,"Process Turnaround";#N/A,#N/A,FALSE,"Lab Samples";#N/A,#N/A,FALSE,"Product Cycles 5-4";#N/A,#N/A,FALSE,"5-4.1";#N/A,#N/A,FALSE,"5-4.2";#N/A,#N/A,FALSE,"Physical Prop Data"}</definedName>
    <definedName name="Ab">#REF!</definedName>
    <definedName name="abc" localSheetId="16" hidden="1">{#N/A,#N/A,FALSE,"Annual Summary";#N/A,#N/A,FALSE,"Hourly Summary";#N/A,#N/A,FALSE,"Flare Combustion";#N/A,#N/A,FALSE,"Shipping";#N/A,#N/A,FALSE,"Process Turnaround";#N/A,#N/A,FALSE,"Lab Samples";#N/A,#N/A,FALSE,"Product Cycles 5-4";#N/A,#N/A,FALSE,"5-4.1";#N/A,#N/A,FALSE,"5-4.2";#N/A,#N/A,FALSE,"Physical Prop Data"}</definedName>
    <definedName name="abc" localSheetId="17" hidden="1">{#N/A,#N/A,FALSE,"Annual Summary";#N/A,#N/A,FALSE,"Hourly Summary";#N/A,#N/A,FALSE,"Flare Combustion";#N/A,#N/A,FALSE,"Shipping";#N/A,#N/A,FALSE,"Process Turnaround";#N/A,#N/A,FALSE,"Lab Samples";#N/A,#N/A,FALSE,"Product Cycles 5-4";#N/A,#N/A,FALSE,"5-4.1";#N/A,#N/A,FALSE,"5-4.2";#N/A,#N/A,FALSE,"Physical Prop Data"}</definedName>
    <definedName name="abc" localSheetId="2" hidden="1">{#N/A,#N/A,FALSE,"Annual Summary";#N/A,#N/A,FALSE,"Hourly Summary";#N/A,#N/A,FALSE,"Flare Combustion";#N/A,#N/A,FALSE,"Shipping";#N/A,#N/A,FALSE,"Process Turnaround";#N/A,#N/A,FALSE,"Lab Samples";#N/A,#N/A,FALSE,"Product Cycles 5-4";#N/A,#N/A,FALSE,"5-4.1";#N/A,#N/A,FALSE,"5-4.2";#N/A,#N/A,FALSE,"Physical Prop Data"}</definedName>
    <definedName name="abc" hidden="1">{#N/A,#N/A,FALSE,"Annual Summary";#N/A,#N/A,FALSE,"Hourly Summary";#N/A,#N/A,FALSE,"Flare Combustion";#N/A,#N/A,FALSE,"Shipping";#N/A,#N/A,FALSE,"Process Turnaround";#N/A,#N/A,FALSE,"Lab Samples";#N/A,#N/A,FALSE,"Product Cycles 5-4";#N/A,#N/A,FALSE,"5-4.1";#N/A,#N/A,FALSE,"5-4.2";#N/A,#N/A,FALSE,"Physical Prop Data"}</definedName>
    <definedName name="Ac">#REF!</definedName>
    <definedName name="Accurate">#REF!</definedName>
    <definedName name="ACT_FUEL_USE">#REF!</definedName>
    <definedName name="ActualAnnualPlywoodProduction">#REF!</definedName>
    <definedName name="ActualDryerProduction">#REF!</definedName>
    <definedName name="ACwvu.Detailed." hidden="1">#REF!</definedName>
    <definedName name="ACwvu.Detailed._.and._.Summary." hidden="1">#REF!</definedName>
    <definedName name="ACwvu.Summary." hidden="1">#REF!</definedName>
    <definedName name="ad" localSheetId="16" hidden="1">{#N/A,#N/A,FALSE,"Annual Summary";#N/A,#N/A,FALSE,"Hourly Summary";#N/A,#N/A,FALSE,"Flare Combustion";#N/A,#N/A,FALSE,"Shipping";#N/A,#N/A,FALSE,"Process Turnaround";#N/A,#N/A,FALSE,"Lab Samples";#N/A,#N/A,FALSE,"Product Cycles 5-4";#N/A,#N/A,FALSE,"5-4.1";#N/A,#N/A,FALSE,"5-4.2";#N/A,#N/A,FALSE,"Physical Prop Data"}</definedName>
    <definedName name="ad" localSheetId="17" hidden="1">{#N/A,#N/A,FALSE,"Annual Summary";#N/A,#N/A,FALSE,"Hourly Summary";#N/A,#N/A,FALSE,"Flare Combustion";#N/A,#N/A,FALSE,"Shipping";#N/A,#N/A,FALSE,"Process Turnaround";#N/A,#N/A,FALSE,"Lab Samples";#N/A,#N/A,FALSE,"Product Cycles 5-4";#N/A,#N/A,FALSE,"5-4.1";#N/A,#N/A,FALSE,"5-4.2";#N/A,#N/A,FALSE,"Physical Prop Data"}</definedName>
    <definedName name="ad" localSheetId="2" hidden="1">{#N/A,#N/A,FALSE,"Annual Summary";#N/A,#N/A,FALSE,"Hourly Summary";#N/A,#N/A,FALSE,"Flare Combustion";#N/A,#N/A,FALSE,"Shipping";#N/A,#N/A,FALSE,"Process Turnaround";#N/A,#N/A,FALSE,"Lab Samples";#N/A,#N/A,FALSE,"Product Cycles 5-4";#N/A,#N/A,FALSE,"5-4.1";#N/A,#N/A,FALSE,"5-4.2";#N/A,#N/A,FALSE,"Physical Prop Data"}</definedName>
    <definedName name="ad" hidden="1">{#N/A,#N/A,FALSE,"Annual Summary";#N/A,#N/A,FALSE,"Hourly Summary";#N/A,#N/A,FALSE,"Flare Combustion";#N/A,#N/A,FALSE,"Shipping";#N/A,#N/A,FALSE,"Process Turnaround";#N/A,#N/A,FALSE,"Lab Samples";#N/A,#N/A,FALSE,"Product Cycles 5-4";#N/A,#N/A,FALSE,"5-4.1";#N/A,#N/A,FALSE,"5-4.2";#N/A,#N/A,FALSE,"Physical Prop Data"}</definedName>
    <definedName name="adad">#REF!</definedName>
    <definedName name="Additional1">"Edit Box 20"</definedName>
    <definedName name="Additional2">"Edit Box 22"</definedName>
    <definedName name="Additional3">"Edit Box 24"</definedName>
    <definedName name="All_PM10">#REF!</definedName>
    <definedName name="All_PM10_and_TSPbl">#REF!</definedName>
    <definedName name="alpha">#REF!</definedName>
    <definedName name="AnnEF">#REF!</definedName>
    <definedName name="Annual_Spec">#REF!</definedName>
    <definedName name="AnnualSummary" localSheetId="16" hidden="1">{#N/A,#N/A,FALSE,"Annual Summary";#N/A,#N/A,FALSE,"Hourly Summary";#N/A,#N/A,FALSE,"Flare Combustion";#N/A,#N/A,FALSE,"Shipping";#N/A,#N/A,FALSE,"Process Turnaround";#N/A,#N/A,FALSE,"Lab Samples";#N/A,#N/A,FALSE,"Product Cycles 5-4";#N/A,#N/A,FALSE,"5-4.1";#N/A,#N/A,FALSE,"5-4.2";#N/A,#N/A,FALSE,"Physical Prop Data"}</definedName>
    <definedName name="AnnualSummary" localSheetId="17" hidden="1">{#N/A,#N/A,FALSE,"Annual Summary";#N/A,#N/A,FALSE,"Hourly Summary";#N/A,#N/A,FALSE,"Flare Combustion";#N/A,#N/A,FALSE,"Shipping";#N/A,#N/A,FALSE,"Process Turnaround";#N/A,#N/A,FALSE,"Lab Samples";#N/A,#N/A,FALSE,"Product Cycles 5-4";#N/A,#N/A,FALSE,"5-4.1";#N/A,#N/A,FALSE,"5-4.2";#N/A,#N/A,FALSE,"Physical Prop Data"}</definedName>
    <definedName name="AnnualSummary" localSheetId="2" hidden="1">{#N/A,#N/A,FALSE,"Annual Summary";#N/A,#N/A,FALSE,"Hourly Summary";#N/A,#N/A,FALSE,"Flare Combustion";#N/A,#N/A,FALSE,"Shipping";#N/A,#N/A,FALSE,"Process Turnaround";#N/A,#N/A,FALSE,"Lab Samples";#N/A,#N/A,FALSE,"Product Cycles 5-4";#N/A,#N/A,FALSE,"5-4.1";#N/A,#N/A,FALSE,"5-4.2";#N/A,#N/A,FALSE,"Physical Prop Data"}</definedName>
    <definedName name="AnnualSummary" hidden="1">{#N/A,#N/A,FALSE,"Annual Summary";#N/A,#N/A,FALSE,"Hourly Summary";#N/A,#N/A,FALSE,"Flare Combustion";#N/A,#N/A,FALSE,"Shipping";#N/A,#N/A,FALSE,"Process Turnaround";#N/A,#N/A,FALSE,"Lab Samples";#N/A,#N/A,FALSE,"Product Cycles 5-4";#N/A,#N/A,FALSE,"5-4.1";#N/A,#N/A,FALSE,"5-4.2";#N/A,#N/A,FALSE,"Physical Prop Data"}</definedName>
    <definedName name="anscount" hidden="1">2</definedName>
    <definedName name="api" localSheetId="16" hidden="1">{#N/A,#N/A,FALSE,"Annual Summary";#N/A,#N/A,FALSE,"Hourly Summary";#N/A,#N/A,FALSE,"Flare Combustion";#N/A,#N/A,FALSE,"Shipping";#N/A,#N/A,FALSE,"Process Turnaround";#N/A,#N/A,FALSE,"Lab Samples";#N/A,#N/A,FALSE,"Product Cycles 5-4";#N/A,#N/A,FALSE,"5-4.1";#N/A,#N/A,FALSE,"5-4.2";#N/A,#N/A,FALSE,"Physical Prop Data"}</definedName>
    <definedName name="api" localSheetId="17" hidden="1">{#N/A,#N/A,FALSE,"Annual Summary";#N/A,#N/A,FALSE,"Hourly Summary";#N/A,#N/A,FALSE,"Flare Combustion";#N/A,#N/A,FALSE,"Shipping";#N/A,#N/A,FALSE,"Process Turnaround";#N/A,#N/A,FALSE,"Lab Samples";#N/A,#N/A,FALSE,"Product Cycles 5-4";#N/A,#N/A,FALSE,"5-4.1";#N/A,#N/A,FALSE,"5-4.2";#N/A,#N/A,FALSE,"Physical Prop Data"}</definedName>
    <definedName name="api" localSheetId="2" hidden="1">{#N/A,#N/A,FALSE,"Annual Summary";#N/A,#N/A,FALSE,"Hourly Summary";#N/A,#N/A,FALSE,"Flare Combustion";#N/A,#N/A,FALSE,"Shipping";#N/A,#N/A,FALSE,"Process Turnaround";#N/A,#N/A,FALSE,"Lab Samples";#N/A,#N/A,FALSE,"Product Cycles 5-4";#N/A,#N/A,FALSE,"5-4.1";#N/A,#N/A,FALSE,"5-4.2";#N/A,#N/A,FALSE,"Physical Prop Data"}</definedName>
    <definedName name="api" hidden="1">{#N/A,#N/A,FALSE,"Annual Summary";#N/A,#N/A,FALSE,"Hourly Summary";#N/A,#N/A,FALSE,"Flare Combustion";#N/A,#N/A,FALSE,"Shipping";#N/A,#N/A,FALSE,"Process Turnaround";#N/A,#N/A,FALSE,"Lab Samples";#N/A,#N/A,FALSE,"Product Cycles 5-4";#N/A,#N/A,FALSE,"5-4.1";#N/A,#N/A,FALSE,"5-4.2";#N/A,#N/A,FALSE,"Physical Prop Data"}</definedName>
    <definedName name="asd" hidden="1">#REF!</definedName>
    <definedName name="asdf" localSheetId="16" hidden="1">{#N/A,#N/A,FALSE,"Annual Summary";#N/A,#N/A,FALSE,"Hourly Summary";#N/A,#N/A,FALSE,"Flare Combustion";#N/A,#N/A,FALSE,"Shipping";#N/A,#N/A,FALSE,"Process Turnaround";#N/A,#N/A,FALSE,"Lab Samples";#N/A,#N/A,FALSE,"Product Cycles 5-4";#N/A,#N/A,FALSE,"5-4.1";#N/A,#N/A,FALSE,"5-4.2";#N/A,#N/A,FALSE,"Physical Prop Data"}</definedName>
    <definedName name="asdf" localSheetId="17" hidden="1">{#N/A,#N/A,FALSE,"Annual Summary";#N/A,#N/A,FALSE,"Hourly Summary";#N/A,#N/A,FALSE,"Flare Combustion";#N/A,#N/A,FALSE,"Shipping";#N/A,#N/A,FALSE,"Process Turnaround";#N/A,#N/A,FALSE,"Lab Samples";#N/A,#N/A,FALSE,"Product Cycles 5-4";#N/A,#N/A,FALSE,"5-4.1";#N/A,#N/A,FALSE,"5-4.2";#N/A,#N/A,FALSE,"Physical Prop Data"}</definedName>
    <definedName name="asdf" localSheetId="2" hidden="1">{#N/A,#N/A,FALSE,"Annual Summary";#N/A,#N/A,FALSE,"Hourly Summary";#N/A,#N/A,FALSE,"Flare Combustion";#N/A,#N/A,FALSE,"Shipping";#N/A,#N/A,FALSE,"Process Turnaround";#N/A,#N/A,FALSE,"Lab Samples";#N/A,#N/A,FALSE,"Product Cycles 5-4";#N/A,#N/A,FALSE,"5-4.1";#N/A,#N/A,FALSE,"5-4.2";#N/A,#N/A,FALSE,"Physical Prop Data"}</definedName>
    <definedName name="asdf" hidden="1">{#N/A,#N/A,FALSE,"Annual Summary";#N/A,#N/A,FALSE,"Hourly Summary";#N/A,#N/A,FALSE,"Flare Combustion";#N/A,#N/A,FALSE,"Shipping";#N/A,#N/A,FALSE,"Process Turnaround";#N/A,#N/A,FALSE,"Lab Samples";#N/A,#N/A,FALSE,"Product Cycles 5-4";#N/A,#N/A,FALSE,"5-4.1";#N/A,#N/A,FALSE,"5-4.2";#N/A,#N/A,FALSE,"Physical Prop Data"}</definedName>
    <definedName name="Average_CO">#REF!</definedName>
    <definedName name="Average_NOx">#REF!</definedName>
    <definedName name="Average_SOx">#REF!</definedName>
    <definedName name="avgdpw">#REF!</definedName>
    <definedName name="avgfuel">#REF!</definedName>
    <definedName name="avghour">#REF!</definedName>
    <definedName name="avghpd">#REF!</definedName>
    <definedName name="avgrate">#REF!</definedName>
    <definedName name="avgwpy">#REF!</definedName>
    <definedName name="B" localSheetId="16" hidden="1">{#N/A,#N/A,FALSE,"Annual Summary";#N/A,#N/A,FALSE,"Hourly Summary";#N/A,#N/A,FALSE,"Flare Combustion";#N/A,#N/A,FALSE,"Shipping";#N/A,#N/A,FALSE,"Process Turnaround";#N/A,#N/A,FALSE,"Lab Samples";#N/A,#N/A,FALSE,"Product Cycles 5-4";#N/A,#N/A,FALSE,"5-4.1";#N/A,#N/A,FALSE,"5-4.2";#N/A,#N/A,FALSE,"Physical Prop Data"}</definedName>
    <definedName name="B" localSheetId="17" hidden="1">{#N/A,#N/A,FALSE,"Annual Summary";#N/A,#N/A,FALSE,"Hourly Summary";#N/A,#N/A,FALSE,"Flare Combustion";#N/A,#N/A,FALSE,"Shipping";#N/A,#N/A,FALSE,"Process Turnaround";#N/A,#N/A,FALSE,"Lab Samples";#N/A,#N/A,FALSE,"Product Cycles 5-4";#N/A,#N/A,FALSE,"5-4.1";#N/A,#N/A,FALSE,"5-4.2";#N/A,#N/A,FALSE,"Physical Prop Data"}</definedName>
    <definedName name="B" localSheetId="2" hidden="1">{#N/A,#N/A,FALSE,"Annual Summary";#N/A,#N/A,FALSE,"Hourly Summary";#N/A,#N/A,FALSE,"Flare Combustion";#N/A,#N/A,FALSE,"Shipping";#N/A,#N/A,FALSE,"Process Turnaround";#N/A,#N/A,FALSE,"Lab Samples";#N/A,#N/A,FALSE,"Product Cycles 5-4";#N/A,#N/A,FALSE,"5-4.1";#N/A,#N/A,FALSE,"5-4.2";#N/A,#N/A,FALSE,"Physical Prop Data"}</definedName>
    <definedName name="B" hidden="1">{#N/A,#N/A,FALSE,"Annual Summary";#N/A,#N/A,FALSE,"Hourly Summary";#N/A,#N/A,FALSE,"Flare Combustion";#N/A,#N/A,FALSE,"Shipping";#N/A,#N/A,FALSE,"Process Turnaround";#N/A,#N/A,FALSE,"Lab Samples";#N/A,#N/A,FALSE,"Product Cycles 5-4";#N/A,#N/A,FALSE,"5-4.1";#N/A,#N/A,FALSE,"5-4.2";#N/A,#N/A,FALSE,"Physical Prop Data"}</definedName>
    <definedName name="B1001btu">#REF!</definedName>
    <definedName name="B1010btu">#REF!</definedName>
    <definedName name="B1011btu">#REF!</definedName>
    <definedName name="B1btu">#REF!</definedName>
    <definedName name="B3btu">#REF!</definedName>
    <definedName name="Bad_Signal">#REF!</definedName>
    <definedName name="Bank">#REF!</definedName>
    <definedName name="base_avg">#REF!</definedName>
    <definedName name="base_peak">#REF!</definedName>
    <definedName name="BLC">#REF!</definedName>
    <definedName name="BLD">#REF!</definedName>
    <definedName name="BOIL_SIZE_TYPE">#REF!</definedName>
    <definedName name="BoilerHAPs">#REF!</definedName>
    <definedName name="CABANA1">#REF!</definedName>
    <definedName name="CABANA2">#REF!</definedName>
    <definedName name="CABANA3">#REF!</definedName>
    <definedName name="CABANA4">#REF!</definedName>
    <definedName name="CALC_FUEL_USE">#REF!</definedName>
    <definedName name="Carbons">#REF!</definedName>
    <definedName name="CAS_numbers">#REF!</definedName>
    <definedName name="CD">#REF!</definedName>
    <definedName name="CE1H1">#REF!</definedName>
    <definedName name="CE1H10">#REF!</definedName>
    <definedName name="CE1H11">#REF!</definedName>
    <definedName name="CE1H12">#REF!</definedName>
    <definedName name="CE1H13">#REF!</definedName>
    <definedName name="CE1H14">#REF!</definedName>
    <definedName name="CE1H15">#REF!</definedName>
    <definedName name="CE1H2">#REF!</definedName>
    <definedName name="CE1H3">#REF!</definedName>
    <definedName name="CE1H4">#REF!</definedName>
    <definedName name="CE1H5">#REF!</definedName>
    <definedName name="CE1H6">#REF!</definedName>
    <definedName name="CE1H7">#REF!</definedName>
    <definedName name="CE1H8">#REF!</definedName>
    <definedName name="CE1H9">#REF!</definedName>
    <definedName name="CE1IH1">#REF!</definedName>
    <definedName name="CE1IH2">#REF!</definedName>
    <definedName name="CE1IH3">#REF!</definedName>
    <definedName name="CE1IH4">#REF!</definedName>
    <definedName name="CE1IH5">#REF!</definedName>
    <definedName name="CE2H1">#REF!</definedName>
    <definedName name="CE2H10">#REF!</definedName>
    <definedName name="CE2H11">#REF!</definedName>
    <definedName name="CE2H12">#REF!</definedName>
    <definedName name="CE2H13">#REF!</definedName>
    <definedName name="CE2H14">#REF!</definedName>
    <definedName name="CE2H15">#REF!</definedName>
    <definedName name="CE2H2">#REF!</definedName>
    <definedName name="CE2H3">#REF!</definedName>
    <definedName name="CE2H4">#REF!</definedName>
    <definedName name="CE2H5">#REF!</definedName>
    <definedName name="CE2H6">#REF!</definedName>
    <definedName name="CE2H7">#REF!</definedName>
    <definedName name="CE2H8">#REF!</definedName>
    <definedName name="CE2H9">#REF!</definedName>
    <definedName name="CE2IH1">#REF!</definedName>
    <definedName name="CE2IH2">#REF!</definedName>
    <definedName name="CE2IH3">#REF!</definedName>
    <definedName name="CE2IH4">#REF!</definedName>
    <definedName name="CE2IH5">#REF!</definedName>
    <definedName name="CEM_Downtime">#REF!</definedName>
    <definedName name="Cg">#REF!</definedName>
    <definedName name="ChemData">#REF!</definedName>
    <definedName name="chemical_names">#REF!</definedName>
    <definedName name="chems">#REF!</definedName>
    <definedName name="childNRAFc">#REF!</definedName>
    <definedName name="childNRAFnc">#REF!</definedName>
    <definedName name="Clay_max">#REF!</definedName>
    <definedName name="Clay_percent">#REF!</definedName>
    <definedName name="cleanup">#REF!</definedName>
    <definedName name="Clinker_Limit">#REF!</definedName>
    <definedName name="Cn">#REF!</definedName>
    <definedName name="co">#REF!</definedName>
    <definedName name="CO_Downtime">#REF!</definedName>
    <definedName name="CO_EPA_K_Factor">#REF!</definedName>
    <definedName name="CO_Molecular_Weight">#REF!</definedName>
    <definedName name="CO_ppm_Range_Max">#REF!</definedName>
    <definedName name="CO_ppm_Range_Min">#REF!</definedName>
    <definedName name="CO_ppm_Table">#REF!</definedName>
    <definedName name="CO_ResultTable">#REF!</definedName>
    <definedName name="CO_Tons">#REF!</definedName>
    <definedName name="Coal">#REF!</definedName>
    <definedName name="CoalMax">#REF!</definedName>
    <definedName name="COBbtu">#REF!</definedName>
    <definedName name="coce">#REF!</definedName>
    <definedName name="Code" hidden="1">#REF!</definedName>
    <definedName name="COEF">#REF!</definedName>
    <definedName name="COfactor">#REF!</definedName>
    <definedName name="Combined" localSheetId="16">SUMMARY,Detailed</definedName>
    <definedName name="Combined" localSheetId="17">SUMMARY,Detailed</definedName>
    <definedName name="Combined" localSheetId="2">SUMMARY,Detailed</definedName>
    <definedName name="Combined" localSheetId="11">[0]!SUMMARY,Detailed</definedName>
    <definedName name="Combined">SUMMARY,Detailed</definedName>
    <definedName name="CompName">#REF!</definedName>
    <definedName name="Contam">#REF!</definedName>
    <definedName name="corate">#REF!</definedName>
    <definedName name="CostofGoodsMfg">#REF!</definedName>
    <definedName name="CPLEXOP1">#REF!</definedName>
    <definedName name="CPLEXOP2">#REF!</definedName>
    <definedName name="CPLOP1">#REF!</definedName>
    <definedName name="CPLOP10">#REF!</definedName>
    <definedName name="CPLOP11">#REF!</definedName>
    <definedName name="CPLOP12">#REF!</definedName>
    <definedName name="CPLOP13">#REF!</definedName>
    <definedName name="CPLOP14">#REF!</definedName>
    <definedName name="CPLOP15">#REF!</definedName>
    <definedName name="CPLOP2">#REF!</definedName>
    <definedName name="CPLOP3">#REF!</definedName>
    <definedName name="CPLOP4">#REF!</definedName>
    <definedName name="CPLOP5">#REF!</definedName>
    <definedName name="CPLOP6">#REF!</definedName>
    <definedName name="CPLOP7">#REF!</definedName>
    <definedName name="CPLOP8">#REF!</definedName>
    <definedName name="CPLOP9">#REF!</definedName>
    <definedName name="CPSEXOP1">#REF!</definedName>
    <definedName name="CPSEXOP2">#REF!</definedName>
    <definedName name="CPSOP1">#REF!</definedName>
    <definedName name="CPSOP10">#REF!</definedName>
    <definedName name="CPSOP11">#REF!</definedName>
    <definedName name="CPSOP12">#REF!</definedName>
    <definedName name="CPSOP13">#REF!</definedName>
    <definedName name="CPSOP14">#REF!</definedName>
    <definedName name="CPSOP15">#REF!</definedName>
    <definedName name="CPSOP2">#REF!</definedName>
    <definedName name="CPSOP3">#REF!</definedName>
    <definedName name="CPSOP4">#REF!</definedName>
    <definedName name="CPSOP5">#REF!</definedName>
    <definedName name="CPSOP6">#REF!</definedName>
    <definedName name="CPSOP7">#REF!</definedName>
    <definedName name="CPSOP8">#REF!</definedName>
    <definedName name="CPSOP9">#REF!</definedName>
    <definedName name="Cpsteam">#REF!</definedName>
    <definedName name="CpSVG">#REF!</definedName>
    <definedName name="_xlnm.Criteria">#REF!</definedName>
    <definedName name="CrushHrs">#REF!</definedName>
    <definedName name="csr" localSheetId="16"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csr" localSheetId="17"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csr" localSheetId="2"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csr"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CT_EF">#REF!</definedName>
    <definedName name="CT_ER">#REF!</definedName>
    <definedName name="CVDEXOP1">#REF!</definedName>
    <definedName name="CVDEXOP2">#REF!</definedName>
    <definedName name="CVLEXOP1">#REF!</definedName>
    <definedName name="CVLEXOP2">#REF!</definedName>
    <definedName name="CVLOP1">#REF!</definedName>
    <definedName name="CVLOP10">#REF!</definedName>
    <definedName name="CVLOP11">#REF!</definedName>
    <definedName name="CVLOP12">#REF!</definedName>
    <definedName name="CVLOP13">#REF!</definedName>
    <definedName name="CVLOP14">#REF!</definedName>
    <definedName name="CVLOP15">#REF!</definedName>
    <definedName name="CVLOP2">#REF!</definedName>
    <definedName name="CVLOP3">#REF!</definedName>
    <definedName name="CVLOP4">#REF!</definedName>
    <definedName name="CVLOP5">#REF!</definedName>
    <definedName name="CVLOP6">#REF!</definedName>
    <definedName name="CVLOP7">#REF!</definedName>
    <definedName name="CVLOP8">#REF!</definedName>
    <definedName name="CVLOP9">#REF!</definedName>
    <definedName name="CVSEXOP1">#REF!</definedName>
    <definedName name="CVSEXOP2">#REF!</definedName>
    <definedName name="CVSOP1">#REF!</definedName>
    <definedName name="CVSOP10">#REF!</definedName>
    <definedName name="CVSOP11">#REF!</definedName>
    <definedName name="CVSOP12">#REF!</definedName>
    <definedName name="CVSOP13">#REF!</definedName>
    <definedName name="CVSOP14">#REF!</definedName>
    <definedName name="CVSOP15">#REF!</definedName>
    <definedName name="CVSOP2">#REF!</definedName>
    <definedName name="CVSOP3">#REF!</definedName>
    <definedName name="CVSOP4">#REF!</definedName>
    <definedName name="CVSOP5">#REF!</definedName>
    <definedName name="CVSOP6">#REF!</definedName>
    <definedName name="CVSOP7">#REF!</definedName>
    <definedName name="CVSOP8">#REF!</definedName>
    <definedName name="CVSOP9">#REF!</definedName>
    <definedName name="D">#REF!</definedName>
    <definedName name="data1" hidden="1">#REF!</definedName>
    <definedName name="data2" hidden="1">#REF!</definedName>
    <definedName name="data3" hidden="1">#REF!</definedName>
    <definedName name="_xlnm.Database">#N/A</definedName>
    <definedName name="Days">#REF!</definedName>
    <definedName name="Days_in_Report">#REF!</definedName>
    <definedName name="dd" localSheetId="16" hidden="1">{#N/A,#N/A,FALSE,"Rates";#N/A,#N/A,FALSE,"Summary";#N/A,#N/A,FALSE,"Boilers";#N/A,#N/A,FALSE,"Cyclones";#N/A,#N/A,FALSE,"Saws";#N/A,#N/A,FALSE,"Drops";#N/A,#N/A,FALSE,"Piles";#N/A,#N/A,FALSE,"Roads";#N/A,#N/A,FALSE,"Tanks";#N/A,#N/A,FALSE,"Kilns";#N/A,#N/A,FALSE,"Model"}</definedName>
    <definedName name="dd" localSheetId="17" hidden="1">{#N/A,#N/A,FALSE,"Rates";#N/A,#N/A,FALSE,"Summary";#N/A,#N/A,FALSE,"Boilers";#N/A,#N/A,FALSE,"Cyclones";#N/A,#N/A,FALSE,"Saws";#N/A,#N/A,FALSE,"Drops";#N/A,#N/A,FALSE,"Piles";#N/A,#N/A,FALSE,"Roads";#N/A,#N/A,FALSE,"Tanks";#N/A,#N/A,FALSE,"Kilns";#N/A,#N/A,FALSE,"Model"}</definedName>
    <definedName name="dd" localSheetId="2" hidden="1">{#N/A,#N/A,FALSE,"Rates";#N/A,#N/A,FALSE,"Summary";#N/A,#N/A,FALSE,"Boilers";#N/A,#N/A,FALSE,"Cyclones";#N/A,#N/A,FALSE,"Saws";#N/A,#N/A,FALSE,"Drops";#N/A,#N/A,FALSE,"Piles";#N/A,#N/A,FALSE,"Roads";#N/A,#N/A,FALSE,"Tanks";#N/A,#N/A,FALSE,"Kilns";#N/A,#N/A,FALSE,"Model"}</definedName>
    <definedName name="dd" hidden="1">{#N/A,#N/A,FALSE,"Rates";#N/A,#N/A,FALSE,"Summary";#N/A,#N/A,FALSE,"Boilers";#N/A,#N/A,FALSE,"Cyclones";#N/A,#N/A,FALSE,"Saws";#N/A,#N/A,FALSE,"Drops";#N/A,#N/A,FALSE,"Piles";#N/A,#N/A,FALSE,"Roads";#N/A,#N/A,FALSE,"Tanks";#N/A,#N/A,FALSE,"Kilns";#N/A,#N/A,FALSE,"Model"}</definedName>
    <definedName name="ddd" localSheetId="16" hidden="1">{#N/A,#N/A,FALSE,"Rates";#N/A,#N/A,FALSE,"Summary";#N/A,#N/A,FALSE,"Boilers";#N/A,#N/A,FALSE,"Cyclones";#N/A,#N/A,FALSE,"Saws";#N/A,#N/A,FALSE,"Drops";#N/A,#N/A,FALSE,"Piles";#N/A,#N/A,FALSE,"Roads";#N/A,#N/A,FALSE,"Tanks";#N/A,#N/A,FALSE,"Kilns";#N/A,#N/A,FALSE,"Model"}</definedName>
    <definedName name="ddd" localSheetId="17" hidden="1">{#N/A,#N/A,FALSE,"Rates";#N/A,#N/A,FALSE,"Summary";#N/A,#N/A,FALSE,"Boilers";#N/A,#N/A,FALSE,"Cyclones";#N/A,#N/A,FALSE,"Saws";#N/A,#N/A,FALSE,"Drops";#N/A,#N/A,FALSE,"Piles";#N/A,#N/A,FALSE,"Roads";#N/A,#N/A,FALSE,"Tanks";#N/A,#N/A,FALSE,"Kilns";#N/A,#N/A,FALSE,"Model"}</definedName>
    <definedName name="ddd" localSheetId="2" hidden="1">{#N/A,#N/A,FALSE,"Rates";#N/A,#N/A,FALSE,"Summary";#N/A,#N/A,FALSE,"Boilers";#N/A,#N/A,FALSE,"Cyclones";#N/A,#N/A,FALSE,"Saws";#N/A,#N/A,FALSE,"Drops";#N/A,#N/A,FALSE,"Piles";#N/A,#N/A,FALSE,"Roads";#N/A,#N/A,FALSE,"Tanks";#N/A,#N/A,FALSE,"Kilns";#N/A,#N/A,FALSE,"Model"}</definedName>
    <definedName name="ddd" hidden="1">{#N/A,#N/A,FALSE,"Rates";#N/A,#N/A,FALSE,"Summary";#N/A,#N/A,FALSE,"Boilers";#N/A,#N/A,FALSE,"Cyclones";#N/A,#N/A,FALSE,"Saws";#N/A,#N/A,FALSE,"Drops";#N/A,#N/A,FALSE,"Piles";#N/A,#N/A,FALSE,"Roads";#N/A,#N/A,FALSE,"Tanks";#N/A,#N/A,FALSE,"Kilns";#N/A,#N/A,FALSE,"Model"}</definedName>
    <definedName name="De">#REF!</definedName>
    <definedName name="Decrepitation_Kiln">#REF!</definedName>
    <definedName name="Density">#REF!</definedName>
    <definedName name="df" localSheetId="16"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df" localSheetId="17"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df" localSheetId="2"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df"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dfa" localSheetId="16"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dfa" localSheetId="17"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dfa" localSheetId="2"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dfa"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Di">#REF!</definedName>
    <definedName name="Diesel">#REF!</definedName>
    <definedName name="Discount" hidden="1">#REF!</definedName>
    <definedName name="display_area_2" hidden="1">#REF!</definedName>
    <definedName name="Dist_Units">#REF!</definedName>
    <definedName name="DISTILLATE">#REF!</definedName>
    <definedName name="Dome">#REF!</definedName>
    <definedName name="DPb">#REF!</definedName>
    <definedName name="DPv">#REF!</definedName>
    <definedName name="DTv">#REF!</definedName>
    <definedName name="E">#REF!</definedName>
    <definedName name="e147\">#REF!</definedName>
    <definedName name="ee" localSheetId="16" hidden="1">{#N/A,#N/A,FALSE,"Rates";#N/A,#N/A,FALSE,"Summary";#N/A,#N/A,FALSE,"Boilers";#N/A,#N/A,FALSE,"Cyclones";#N/A,#N/A,FALSE,"Saws";#N/A,#N/A,FALSE,"Drops";#N/A,#N/A,FALSE,"Piles";#N/A,#N/A,FALSE,"Roads";#N/A,#N/A,FALSE,"Tanks";#N/A,#N/A,FALSE,"Kilns";#N/A,#N/A,FALSE,"Model"}</definedName>
    <definedName name="ee" localSheetId="17" hidden="1">{#N/A,#N/A,FALSE,"Rates";#N/A,#N/A,FALSE,"Summary";#N/A,#N/A,FALSE,"Boilers";#N/A,#N/A,FALSE,"Cyclones";#N/A,#N/A,FALSE,"Saws";#N/A,#N/A,FALSE,"Drops";#N/A,#N/A,FALSE,"Piles";#N/A,#N/A,FALSE,"Roads";#N/A,#N/A,FALSE,"Tanks";#N/A,#N/A,FALSE,"Kilns";#N/A,#N/A,FALSE,"Model"}</definedName>
    <definedName name="ee" localSheetId="2" hidden="1">{#N/A,#N/A,FALSE,"Rates";#N/A,#N/A,FALSE,"Summary";#N/A,#N/A,FALSE,"Boilers";#N/A,#N/A,FALSE,"Cyclones";#N/A,#N/A,FALSE,"Saws";#N/A,#N/A,FALSE,"Drops";#N/A,#N/A,FALSE,"Piles";#N/A,#N/A,FALSE,"Roads";#N/A,#N/A,FALSE,"Tanks";#N/A,#N/A,FALSE,"Kilns";#N/A,#N/A,FALSE,"Model"}</definedName>
    <definedName name="ee" hidden="1">{#N/A,#N/A,FALSE,"Rates";#N/A,#N/A,FALSE,"Summary";#N/A,#N/A,FALSE,"Boilers";#N/A,#N/A,FALSE,"Cyclones";#N/A,#N/A,FALSE,"Saws";#N/A,#N/A,FALSE,"Drops";#N/A,#N/A,FALSE,"Piles";#N/A,#N/A,FALSE,"Roads";#N/A,#N/A,FALSE,"Tanks";#N/A,#N/A,FALSE,"Kilns";#N/A,#N/A,FALSE,"Model"}</definedName>
    <definedName name="Eff">#REF!</definedName>
    <definedName name="EHSData1">#REF!</definedName>
    <definedName name="EHSData13">#REF!</definedName>
    <definedName name="EHSTitle1">#REF!</definedName>
    <definedName name="EHSTitle13">#REF!</definedName>
    <definedName name="EHSTitle5">#REF!</definedName>
    <definedName name="EIyear">#REF!</definedName>
    <definedName name="ELAFnr">#REF!</definedName>
    <definedName name="ELAFr">#REF!</definedName>
    <definedName name="Emiss_Info">#REF!</definedName>
    <definedName name="emission">#REF!</definedName>
    <definedName name="Emissions_by_OPN_Freeport">#REF!</definedName>
    <definedName name="End_Date">#REF!</definedName>
    <definedName name="End_of_Month">#REF!</definedName>
    <definedName name="ENGINE_CALCULATIONS__Unspecified_Engine">#REF!,#REF!,#REF!,#REF!</definedName>
    <definedName name="Enter_Start_Date">#REF!</definedName>
    <definedName name="EPA">#REF!</definedName>
    <definedName name="Equipment">#REF!</definedName>
    <definedName name="ESL_LT">#REF!</definedName>
    <definedName name="ESL_ST">#REF!</definedName>
    <definedName name="EU_SCC">#REF!</definedName>
    <definedName name="EUIndex">#REF!</definedName>
    <definedName name="EUIndexColumns">#REF!</definedName>
    <definedName name="EXOP1">#REF!</definedName>
    <definedName name="EXOP2">#REF!</definedName>
    <definedName name="EXOPNM1">#REF!</definedName>
    <definedName name="EXOPNM2">#REF!</definedName>
    <definedName name="_xlnm.Extract">#REF!</definedName>
    <definedName name="f" localSheetId="16"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f" localSheetId="17"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f" localSheetId="2"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f"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F1602btu">#REF!</definedName>
    <definedName name="F2201btu">#REF!</definedName>
    <definedName name="F3804btu">#REF!</definedName>
    <definedName name="F3901btu">#REF!</definedName>
    <definedName name="F4131btu">#REF!</definedName>
    <definedName name="F4150btu">#REF!</definedName>
    <definedName name="F4160btu">#REF!</definedName>
    <definedName name="F4170btu">#REF!</definedName>
    <definedName name="F4180btu">#REF!</definedName>
    <definedName name="FCCUFeedbtu">#REF!</definedName>
    <definedName name="FCode" hidden="1">#REF!</definedName>
    <definedName name="FinHrs">#REF!</definedName>
    <definedName name="FinMax">#REF!</definedName>
    <definedName name="FIRING_METHOD">#REF!</definedName>
    <definedName name="five">#REF!</definedName>
    <definedName name="Flare_Chem_List">#REF!</definedName>
    <definedName name="Flare_Emission_Sum">#REF!</definedName>
    <definedName name="Flare_General">#REF!</definedName>
    <definedName name="Flare_Strm_01">#REF!</definedName>
    <definedName name="Flare_Strm_02">#REF!</definedName>
    <definedName name="Flare_Strm_03">#REF!</definedName>
    <definedName name="Flare_Strm_04">#REF!</definedName>
    <definedName name="Flare_Strm_05">#REF!</definedName>
    <definedName name="Flare_Strm_06">#REF!</definedName>
    <definedName name="Flare_Strm_07">#REF!</definedName>
    <definedName name="Flare_Strm_08">#REF!</definedName>
    <definedName name="Flare_Strm_09">#REF!</definedName>
    <definedName name="Flare_Strm_10">#REF!</definedName>
    <definedName name="Flare_Strm_11">#REF!</definedName>
    <definedName name="Flare_Strm_12">#REF!</definedName>
    <definedName name="Flare_Strm_13">#REF!</definedName>
    <definedName name="Flare_Strm_14">#REF!</definedName>
    <definedName name="Flare_Strm_15">#REF!</definedName>
    <definedName name="Flare_Strm_16">#REF!</definedName>
    <definedName name="Flare_Strm_17">#REF!</definedName>
    <definedName name="Flare_Strm_18">#REF!</definedName>
    <definedName name="Flare_Strm_19">#REF!</definedName>
    <definedName name="Flare_Strm_20">#REF!</definedName>
    <definedName name="Flare_Strm_List_Bottom">#REF!</definedName>
    <definedName name="Flare_Strm_List_Top">#REF!</definedName>
    <definedName name="Flare_top">#REF!</definedName>
    <definedName name="Flow_Range_Max">#REF!</definedName>
    <definedName name="Flow_Range_Min">#REF!</definedName>
    <definedName name="flowsheet_rate">#REF!</definedName>
    <definedName name="flowsheet_vent">#REF!</definedName>
    <definedName name="fndSigFig" localSheetId="11">#REF!</definedName>
    <definedName name="fndSigFig">#REF!</definedName>
    <definedName name="fnsSigFig" localSheetId="11">#REF!</definedName>
    <definedName name="fnsSigFig">#REF!</definedName>
    <definedName name="four">#REF!</definedName>
    <definedName name="FourCLB">#REF!</definedName>
    <definedName name="FourCRB">#REF!</definedName>
    <definedName name="FUEL">#REF!</definedName>
    <definedName name="FUEL_OIL_TYPE">#REF!</definedName>
    <definedName name="Fuel_Type">#REF!</definedName>
    <definedName name="Fuel_Usage">#REF!</definedName>
    <definedName name="Fugitive_Emission_Sum">#REF!</definedName>
    <definedName name="Fugitive_Strm_01">#REF!</definedName>
    <definedName name="Fugitive_Strm_01_Emissions">#REF!</definedName>
    <definedName name="Fugitive_Strm_02">#REF!</definedName>
    <definedName name="Fugitive_Strm_02_Emissions">#REF!</definedName>
    <definedName name="Fugitive_Strm_03">#REF!</definedName>
    <definedName name="Fugitive_Strm_03_Emissions">#REF!</definedName>
    <definedName name="Fugitive_Strm_04">#REF!</definedName>
    <definedName name="Fugitive_Strm_04_Emissions">#REF!</definedName>
    <definedName name="Fugitive_Strm_05">#REF!</definedName>
    <definedName name="Fugitive_Strm_05_Emissions">#REF!</definedName>
    <definedName name="Fugitive_Strm_06">#REF!</definedName>
    <definedName name="Fugitive_Strm_06_Emissions">#REF!</definedName>
    <definedName name="Fugitive_Strm_07">#REF!</definedName>
    <definedName name="Fugitive_Strm_07_Emissions">#REF!</definedName>
    <definedName name="Fugitive_Strm_08">#REF!</definedName>
    <definedName name="Fugitive_Strm_08_Emissions">#REF!</definedName>
    <definedName name="Fugitive_Strm_09">#REF!</definedName>
    <definedName name="Fugitive_Strm_09_Emissions">#REF!</definedName>
    <definedName name="Fugitive_Strm_10">#REF!</definedName>
    <definedName name="Fugitive_Strm_10_Emissions">#REF!</definedName>
    <definedName name="Fugitive_Strm_11">#REF!</definedName>
    <definedName name="Fugitive_Strm_11_Emissions">#REF!</definedName>
    <definedName name="Fugitive_Strm_12">#REF!</definedName>
    <definedName name="Fugitive_Strm_12_Emissions">#REF!</definedName>
    <definedName name="Fugitive_Strm_13">#REF!</definedName>
    <definedName name="Fugitive_Strm_13_Emissions">#REF!</definedName>
    <definedName name="Fugitive_Strm_14">#REF!</definedName>
    <definedName name="Fugitive_Strm_14_Emissions">#REF!</definedName>
    <definedName name="Fugitive_Strm_15">#REF!</definedName>
    <definedName name="Fugitive_Strm_15_Emissions">#REF!</definedName>
    <definedName name="Fugitive_Strm_16">#REF!</definedName>
    <definedName name="Fugitive_Strm_16_Emissions">#REF!</definedName>
    <definedName name="Fugitive_Strm_17">#REF!</definedName>
    <definedName name="Fugitive_Strm_17_Emissions">#REF!</definedName>
    <definedName name="Fugitive_Strm_18">#REF!</definedName>
    <definedName name="Fugitive_Strm_18_Emissions">#REF!</definedName>
    <definedName name="Fugitive_Strm_19">#REF!</definedName>
    <definedName name="Fugitive_Strm_19_Emissions">#REF!</definedName>
    <definedName name="Fugitive_Strm_20">#REF!</definedName>
    <definedName name="Fugitive_Strm_20_Emissions">#REF!</definedName>
    <definedName name="Fugitive_Strm_List">#REF!</definedName>
    <definedName name="Fugitive_Top">#REF!</definedName>
    <definedName name="future_avg">#REF!</definedName>
    <definedName name="future_peak">#REF!</definedName>
    <definedName name="FWPbtu">#REF!</definedName>
    <definedName name="Gals">#REF!</definedName>
    <definedName name="gas">#REF!</definedName>
    <definedName name="gh" localSheetId="16"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gh" localSheetId="17"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gh" localSheetId="2"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gh"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ghg" localSheetId="16">SUMMARY,Detailed</definedName>
    <definedName name="ghg" localSheetId="17">SUMMARY,Detailed</definedName>
    <definedName name="ghg" localSheetId="2">SUMMARY,Detailed</definedName>
    <definedName name="ghg" localSheetId="11">[0]!SUMMARY,Detailed</definedName>
    <definedName name="ghg">SUMMARY,Detailed</definedName>
    <definedName name="GO_T0_18">#REF!</definedName>
    <definedName name="GO_TO_1">#REF!</definedName>
    <definedName name="GO_TO_10">#REF!</definedName>
    <definedName name="GO_TO_11">#REF!</definedName>
    <definedName name="GO_TO_12">#REF!</definedName>
    <definedName name="GO_TO_13">#REF!</definedName>
    <definedName name="GO_TO_14">#REF!</definedName>
    <definedName name="GO_TO_15">#REF!</definedName>
    <definedName name="GO_TO_16">#REF!</definedName>
    <definedName name="GO_TO_17">#REF!</definedName>
    <definedName name="GO_TO_19">#REF!</definedName>
    <definedName name="GO_TO_2">#REF!</definedName>
    <definedName name="GO_TO_20">#REF!</definedName>
    <definedName name="GO_TO_3">#REF!</definedName>
    <definedName name="GO_TO_4">#REF!</definedName>
    <definedName name="GO_TO_5">#REF!</definedName>
    <definedName name="GO_TO_6">#REF!</definedName>
    <definedName name="GO_TO_7">#REF!</definedName>
    <definedName name="GO_TO_8">#REF!</definedName>
    <definedName name="GO_TO_9">#REF!</definedName>
    <definedName name="GOTO1">#REF!</definedName>
    <definedName name="GotoMainMenu" localSheetId="16">'ESP Input'!GotoMainMenu</definedName>
    <definedName name="GotoMainMenu" localSheetId="17">'ESP Output'!GotoMainMenu</definedName>
    <definedName name="GotoMainMenu" localSheetId="2">'Perlite Concentrations'!GotoMainMenu</definedName>
    <definedName name="GotoMainMenu">[0]!GotoMainMenu</definedName>
    <definedName name="GotoPrintMenu" localSheetId="16">'ESP Input'!GotoPrintMenu</definedName>
    <definedName name="GotoPrintMenu" localSheetId="17">'ESP Output'!GotoPrintMenu</definedName>
    <definedName name="GotoPrintMenu" localSheetId="2">'Perlite Concentrations'!GotoPrintMenu</definedName>
    <definedName name="GotoPrintMenu">[0]!GotoPrintMenu</definedName>
    <definedName name="GotoPrintViewMenu" localSheetId="16">'ESP Input'!GotoPrintViewMenu</definedName>
    <definedName name="GotoPrintViewMenu" localSheetId="17">'ESP Output'!GotoPrintViewMenu</definedName>
    <definedName name="GotoPrintViewMenu" localSheetId="2">'Perlite Concentrations'!GotoPrintViewMenu</definedName>
    <definedName name="GotoPrintViewMenu">[0]!GotoPrintViewMenu</definedName>
    <definedName name="GotoUtilityMenu" localSheetId="16">'ESP Input'!GotoUtilityMenu</definedName>
    <definedName name="GotoUtilityMenu" localSheetId="17">'ESP Output'!GotoUtilityMenu</definedName>
    <definedName name="GotoUtilityMenu" localSheetId="2">'Perlite Concentrations'!GotoUtilityMenu</definedName>
    <definedName name="GotoUtilityMenu">[0]!GotoUtilityMenu</definedName>
    <definedName name="GRAVIMETRIC">#REF!</definedName>
    <definedName name="Gyp_percent">#REF!</definedName>
    <definedName name="H101Ebtu">#REF!</definedName>
    <definedName name="H102btu">#REF!</definedName>
    <definedName name="H10C1">#REF!</definedName>
    <definedName name="H10C10">#REF!</definedName>
    <definedName name="H10C11">#REF!</definedName>
    <definedName name="H10C12">#REF!</definedName>
    <definedName name="H10C13">#REF!</definedName>
    <definedName name="H10C14">#REF!</definedName>
    <definedName name="H10C15">#REF!</definedName>
    <definedName name="H10C2">#REF!</definedName>
    <definedName name="H10C3">#REF!</definedName>
    <definedName name="H10C4">#REF!</definedName>
    <definedName name="H10C5">#REF!</definedName>
    <definedName name="H10C6">#REF!</definedName>
    <definedName name="H10C7">#REF!</definedName>
    <definedName name="H10C8">#REF!</definedName>
    <definedName name="H10C9">#REF!</definedName>
    <definedName name="H1101btu">#REF!</definedName>
    <definedName name="H11C1">#REF!</definedName>
    <definedName name="H11C10">#REF!</definedName>
    <definedName name="H11C11">#REF!</definedName>
    <definedName name="H11C12">#REF!</definedName>
    <definedName name="H11C13">#REF!</definedName>
    <definedName name="H11C14">#REF!</definedName>
    <definedName name="H11C15">#REF!</definedName>
    <definedName name="H11C2">#REF!</definedName>
    <definedName name="H11C3">#REF!</definedName>
    <definedName name="H11C4">#REF!</definedName>
    <definedName name="H11C5">#REF!</definedName>
    <definedName name="H11C6">#REF!</definedName>
    <definedName name="H11C7">#REF!</definedName>
    <definedName name="H11C8">#REF!</definedName>
    <definedName name="H11C9">#REF!</definedName>
    <definedName name="H12C1">#REF!</definedName>
    <definedName name="H12C10">#REF!</definedName>
    <definedName name="H12C11">#REF!</definedName>
    <definedName name="H12C12">#REF!</definedName>
    <definedName name="H12C13">#REF!</definedName>
    <definedName name="H12C14">#REF!</definedName>
    <definedName name="H12C15">#REF!</definedName>
    <definedName name="H12C2">#REF!</definedName>
    <definedName name="H12C3">#REF!</definedName>
    <definedName name="H12C4">#REF!</definedName>
    <definedName name="H12C5">#REF!</definedName>
    <definedName name="H12C6">#REF!</definedName>
    <definedName name="H12C7">#REF!</definedName>
    <definedName name="H12C8">#REF!</definedName>
    <definedName name="H12C9">#REF!</definedName>
    <definedName name="H13C1">#REF!</definedName>
    <definedName name="H13C10">#REF!</definedName>
    <definedName name="H13C11">#REF!</definedName>
    <definedName name="H13C12">#REF!</definedName>
    <definedName name="H13C13">#REF!</definedName>
    <definedName name="H13C14">#REF!</definedName>
    <definedName name="H13C15">#REF!</definedName>
    <definedName name="H13C2">#REF!</definedName>
    <definedName name="H13C3">#REF!</definedName>
    <definedName name="H13C4">#REF!</definedName>
    <definedName name="H13C5">#REF!</definedName>
    <definedName name="H13C6">#REF!</definedName>
    <definedName name="H13C7">#REF!</definedName>
    <definedName name="H13C8">#REF!</definedName>
    <definedName name="H13C9">#REF!</definedName>
    <definedName name="H14C1">#REF!</definedName>
    <definedName name="H14C10">#REF!</definedName>
    <definedName name="H14C11">#REF!</definedName>
    <definedName name="H14C12">#REF!</definedName>
    <definedName name="H14C13">#REF!</definedName>
    <definedName name="H14C14">#REF!</definedName>
    <definedName name="H14C15">#REF!</definedName>
    <definedName name="H14C2">#REF!</definedName>
    <definedName name="H14C3">#REF!</definedName>
    <definedName name="H14C4">#REF!</definedName>
    <definedName name="H14C5">#REF!</definedName>
    <definedName name="H14C6">#REF!</definedName>
    <definedName name="H14C7">#REF!</definedName>
    <definedName name="H14C8">#REF!</definedName>
    <definedName name="H14C9">#REF!</definedName>
    <definedName name="H15C1">#REF!</definedName>
    <definedName name="H15C10">#REF!</definedName>
    <definedName name="H15C11">#REF!</definedName>
    <definedName name="H15C12">#REF!</definedName>
    <definedName name="H15C13">#REF!</definedName>
    <definedName name="H15C14">#REF!</definedName>
    <definedName name="H15C15">#REF!</definedName>
    <definedName name="H15C2">#REF!</definedName>
    <definedName name="H15C3">#REF!</definedName>
    <definedName name="H15C4">#REF!</definedName>
    <definedName name="H15C5">#REF!</definedName>
    <definedName name="H15C6">#REF!</definedName>
    <definedName name="H15C7">#REF!</definedName>
    <definedName name="H15C8">#REF!</definedName>
    <definedName name="H15C9">#REF!</definedName>
    <definedName name="H1601btu">#REF!</definedName>
    <definedName name="H1C1">#REF!</definedName>
    <definedName name="H1C10">#REF!</definedName>
    <definedName name="H1C11">#REF!</definedName>
    <definedName name="H1C12">#REF!</definedName>
    <definedName name="H1C13">#REF!</definedName>
    <definedName name="H1C14">#REF!</definedName>
    <definedName name="H1C15">#REF!</definedName>
    <definedName name="H1C2">#REF!</definedName>
    <definedName name="H1C3">#REF!</definedName>
    <definedName name="H1C4">#REF!</definedName>
    <definedName name="H1C5">#REF!</definedName>
    <definedName name="H1C6">#REF!</definedName>
    <definedName name="H1C7">#REF!</definedName>
    <definedName name="H1C8">#REF!</definedName>
    <definedName name="H1C9">#REF!</definedName>
    <definedName name="H2C1">#REF!</definedName>
    <definedName name="H2C10">#REF!</definedName>
    <definedName name="H2C11">#REF!</definedName>
    <definedName name="H2C12">#REF!</definedName>
    <definedName name="H2C13">#REF!</definedName>
    <definedName name="H2C14">#REF!</definedName>
    <definedName name="H2C15">#REF!</definedName>
    <definedName name="H2C2">#REF!</definedName>
    <definedName name="H2C3">#REF!</definedName>
    <definedName name="H2C4">#REF!</definedName>
    <definedName name="H2C5">#REF!</definedName>
    <definedName name="H2C6">#REF!</definedName>
    <definedName name="H2C7">#REF!</definedName>
    <definedName name="H2C8">#REF!</definedName>
    <definedName name="H2C9">#REF!</definedName>
    <definedName name="h2olbgal">#REF!</definedName>
    <definedName name="H2ventedoutFlare">#REF!</definedName>
    <definedName name="H3505btu">#REF!</definedName>
    <definedName name="H3C1">#REF!</definedName>
    <definedName name="H3C10">#REF!</definedName>
    <definedName name="H3C11">#REF!</definedName>
    <definedName name="H3C12">#REF!</definedName>
    <definedName name="H3C13">#REF!</definedName>
    <definedName name="H3C14">#REF!</definedName>
    <definedName name="H3C15">#REF!</definedName>
    <definedName name="H3C2">#REF!</definedName>
    <definedName name="H3C3">#REF!</definedName>
    <definedName name="H3C4">#REF!</definedName>
    <definedName name="H3C5">#REF!</definedName>
    <definedName name="H3C6">#REF!</definedName>
    <definedName name="H3C7">#REF!</definedName>
    <definedName name="H3C8">#REF!</definedName>
    <definedName name="H3C9">#REF!</definedName>
    <definedName name="H401btu">#REF!</definedName>
    <definedName name="H402btu">#REF!</definedName>
    <definedName name="H4C1">#REF!</definedName>
    <definedName name="H4C10">#REF!</definedName>
    <definedName name="H4C11">#REF!</definedName>
    <definedName name="H4C12">#REF!</definedName>
    <definedName name="H4C13">#REF!</definedName>
    <definedName name="H4C14">#REF!</definedName>
    <definedName name="H4C15">#REF!</definedName>
    <definedName name="H4C2">#REF!</definedName>
    <definedName name="H4C3">#REF!</definedName>
    <definedName name="H4C4">#REF!</definedName>
    <definedName name="H4C5">#REF!</definedName>
    <definedName name="H4C6">#REF!</definedName>
    <definedName name="H4C7">#REF!</definedName>
    <definedName name="H4C8">#REF!</definedName>
    <definedName name="H4C9">#REF!</definedName>
    <definedName name="H5C1">#REF!</definedName>
    <definedName name="H5C10">#REF!</definedName>
    <definedName name="H5C11">#REF!</definedName>
    <definedName name="H5C12">#REF!</definedName>
    <definedName name="H5C13">#REF!</definedName>
    <definedName name="H5C14">#REF!</definedName>
    <definedName name="H5C15">#REF!</definedName>
    <definedName name="H5C2">#REF!</definedName>
    <definedName name="H5C3">#REF!</definedName>
    <definedName name="H5C4">#REF!</definedName>
    <definedName name="H5C5">#REF!</definedName>
    <definedName name="H5C6">#REF!</definedName>
    <definedName name="H5C7">#REF!</definedName>
    <definedName name="H5C8">#REF!</definedName>
    <definedName name="H5C9">#REF!</definedName>
    <definedName name="H6C1">#REF!</definedName>
    <definedName name="H6C10">#REF!</definedName>
    <definedName name="H6C11">#REF!</definedName>
    <definedName name="H6C12">#REF!</definedName>
    <definedName name="H6C13">#REF!</definedName>
    <definedName name="H6C14">#REF!</definedName>
    <definedName name="H6C15">#REF!</definedName>
    <definedName name="H6C2">#REF!</definedName>
    <definedName name="H6C3">#REF!</definedName>
    <definedName name="H6C4">#REF!</definedName>
    <definedName name="H6C5">#REF!</definedName>
    <definedName name="H6C6">#REF!</definedName>
    <definedName name="H6C7">#REF!</definedName>
    <definedName name="H6C8">#REF!</definedName>
    <definedName name="H6C9">#REF!</definedName>
    <definedName name="H7C1">#REF!</definedName>
    <definedName name="H7C10">#REF!</definedName>
    <definedName name="H7C11">#REF!</definedName>
    <definedName name="H7C12">#REF!</definedName>
    <definedName name="H7C13">#REF!</definedName>
    <definedName name="H7C14">#REF!</definedName>
    <definedName name="H7C15">#REF!</definedName>
    <definedName name="H7C2">#REF!</definedName>
    <definedName name="H7C3">#REF!</definedName>
    <definedName name="H7C4">#REF!</definedName>
    <definedName name="H7C5">#REF!</definedName>
    <definedName name="H7C6">#REF!</definedName>
    <definedName name="H7C7">#REF!</definedName>
    <definedName name="H7C8">#REF!</definedName>
    <definedName name="H7C9">#REF!</definedName>
    <definedName name="H8C1">#REF!</definedName>
    <definedName name="H8C10">#REF!</definedName>
    <definedName name="H8C11">#REF!</definedName>
    <definedName name="H8C12">#REF!</definedName>
    <definedName name="H8C13">#REF!</definedName>
    <definedName name="H8C14">#REF!</definedName>
    <definedName name="H8C15">#REF!</definedName>
    <definedName name="H8C2">#REF!</definedName>
    <definedName name="H8C3">#REF!</definedName>
    <definedName name="H8C4">#REF!</definedName>
    <definedName name="H8C5">#REF!</definedName>
    <definedName name="H8C6">#REF!</definedName>
    <definedName name="H8C7">#REF!</definedName>
    <definedName name="H8C8">#REF!</definedName>
    <definedName name="H8C9">#REF!</definedName>
    <definedName name="H9C1">#REF!</definedName>
    <definedName name="H9C10">#REF!</definedName>
    <definedName name="H9C11">#REF!</definedName>
    <definedName name="H9C12">#REF!</definedName>
    <definedName name="H9C13">#REF!</definedName>
    <definedName name="H9C14">#REF!</definedName>
    <definedName name="H9C15">#REF!</definedName>
    <definedName name="H9C2">#REF!</definedName>
    <definedName name="H9C3">#REF!</definedName>
    <definedName name="H9C4">#REF!</definedName>
    <definedName name="H9C5">#REF!</definedName>
    <definedName name="H9C6">#REF!</definedName>
    <definedName name="H9C7">#REF!</definedName>
    <definedName name="H9C8">#REF!</definedName>
    <definedName name="H9C9">#REF!</definedName>
    <definedName name="HAPs">#REF!</definedName>
    <definedName name="HC_soil_HC_content">#REF!</definedName>
    <definedName name="HDC_Attribute">#REF!</definedName>
    <definedName name="HDC_attributes">#REF!</definedName>
    <definedName name="HDC_chart1.def">#REF!</definedName>
    <definedName name="HDC_chart2.def">#REF!</definedName>
    <definedName name="HDC_chart3.def">#REF!</definedName>
    <definedName name="HDC_chart4.def">#REF!</definedName>
    <definedName name="HDC_chartn.NoSeries">#REF!</definedName>
    <definedName name="HDC_Chartn.TagList">#REF!</definedName>
    <definedName name="HDC_Connect">#REF!</definedName>
    <definedName name="HDC_data.out">#REF!</definedName>
    <definedName name="HDC_def.float">4</definedName>
    <definedName name="HDC_def.option">1</definedName>
    <definedName name="HDC_desc">#REF!</definedName>
    <definedName name="HDC_GetData.Time">34708.5716782407</definedName>
    <definedName name="HDC_HeadFootDef">#REF!</definedName>
    <definedName name="HDC_inp.end">#REF!</definedName>
    <definedName name="HDC_inp.interval">#REF!</definedName>
    <definedName name="HDC_inp.nopnts">#REF!</definedName>
    <definedName name="HDC_inp.start">#REF!</definedName>
    <definedName name="HDC_N.Columns">#REF!</definedName>
    <definedName name="HDC_N.Rows">#REF!</definedName>
    <definedName name="HDC_NoofCharts">#REF!</definedName>
    <definedName name="HDC_nopnts">#REF!</definedName>
    <definedName name="HDC_out1">#REF!</definedName>
    <definedName name="HDC_Paper.Size">#REF!</definedName>
    <definedName name="HDC_Portrait">#REF!</definedName>
    <definedName name="HDC_PrintDef">#REF!</definedName>
    <definedName name="HDC_res.end">#REF!</definedName>
    <definedName name="HDC_res.interval">#REF!</definedName>
    <definedName name="HDC_res.nopnts">#REF!</definedName>
    <definedName name="HDC_res.start">#REF!</definedName>
    <definedName name="HDC_server.name">#REF!</definedName>
    <definedName name="HDC_tag.attr">#REF!</definedName>
    <definedName name="HDC_tag.end">#REF!</definedName>
    <definedName name="HDC_tag.names">#REF!</definedName>
    <definedName name="HDC_tag.number">8</definedName>
    <definedName name="HDC_tag.start">#REF!</definedName>
    <definedName name="HDC_time.stamp">#REF!</definedName>
    <definedName name="HDC_unit.desc">#REF!</definedName>
    <definedName name="HDC_ViewOption">#REF!</definedName>
    <definedName name="HEAD">#REF!</definedName>
    <definedName name="Header">#REF!</definedName>
    <definedName name="HEAT_VALUE">#REF!</definedName>
    <definedName name="Heater">#REF!</definedName>
    <definedName name="help2" localSheetId="16" hidden="1">{#N/A,#N/A,FALSE,"21164";#N/A,#N/A,FALSE,"21166";#N/A,#N/A,FALSE,"25539";#N/A,#N/A,FALSE,"25540";#N/A,#N/A,FALSE,"25541";#N/A,#N/A,FALSE,"25542";#N/A,#N/A,FALSE,"25564";#N/A,#N/A,FALSE,"25565";#N/A,#N/A,FALSE,"25566";#N/A,#N/A,FALSE,"25567";#N/A,#N/A,FALSE,"25635";#N/A,#N/A,FALSE,"31514";#N/A,#N/A,FALSE,"31899";#N/A,#N/A,FALSE,"boiler";#N/A,#N/A,FALSE,"loadrack";#N/A,#N/A,FALSE,"25536";#N/A,#N/A,FALSE,"TOTALS"}</definedName>
    <definedName name="help2" localSheetId="17" hidden="1">{#N/A,#N/A,FALSE,"21164";#N/A,#N/A,FALSE,"21166";#N/A,#N/A,FALSE,"25539";#N/A,#N/A,FALSE,"25540";#N/A,#N/A,FALSE,"25541";#N/A,#N/A,FALSE,"25542";#N/A,#N/A,FALSE,"25564";#N/A,#N/A,FALSE,"25565";#N/A,#N/A,FALSE,"25566";#N/A,#N/A,FALSE,"25567";#N/A,#N/A,FALSE,"25635";#N/A,#N/A,FALSE,"31514";#N/A,#N/A,FALSE,"31899";#N/A,#N/A,FALSE,"boiler";#N/A,#N/A,FALSE,"loadrack";#N/A,#N/A,FALSE,"25536";#N/A,#N/A,FALSE,"TOTALS"}</definedName>
    <definedName name="help2" localSheetId="2" hidden="1">{#N/A,#N/A,FALSE,"21164";#N/A,#N/A,FALSE,"21166";#N/A,#N/A,FALSE,"25539";#N/A,#N/A,FALSE,"25540";#N/A,#N/A,FALSE,"25541";#N/A,#N/A,FALSE,"25542";#N/A,#N/A,FALSE,"25564";#N/A,#N/A,FALSE,"25565";#N/A,#N/A,FALSE,"25566";#N/A,#N/A,FALSE,"25567";#N/A,#N/A,FALSE,"25635";#N/A,#N/A,FALSE,"31514";#N/A,#N/A,FALSE,"31899";#N/A,#N/A,FALSE,"boiler";#N/A,#N/A,FALSE,"loadrack";#N/A,#N/A,FALSE,"25536";#N/A,#N/A,FALSE,"TOTALS"}</definedName>
    <definedName name="help2" hidden="1">{#N/A,#N/A,FALSE,"21164";#N/A,#N/A,FALSE,"21166";#N/A,#N/A,FALSE,"25539";#N/A,#N/A,FALSE,"25540";#N/A,#N/A,FALSE,"25541";#N/A,#N/A,FALSE,"25542";#N/A,#N/A,FALSE,"25564";#N/A,#N/A,FALSE,"25565";#N/A,#N/A,FALSE,"25566";#N/A,#N/A,FALSE,"25567";#N/A,#N/A,FALSE,"25635";#N/A,#N/A,FALSE,"31514";#N/A,#N/A,FALSE,"31899";#N/A,#N/A,FALSE,"boiler";#N/A,#N/A,FALSE,"loadrack";#N/A,#N/A,FALSE,"25536";#N/A,#N/A,FALSE,"TOTALS"}</definedName>
    <definedName name="HiddenRows" hidden="1">#REF!</definedName>
    <definedName name="Hl">#REF!</definedName>
    <definedName name="Hlx">#REF!</definedName>
    <definedName name="HOC">#REF!</definedName>
    <definedName name="Home">#REF!</definedName>
    <definedName name="HomeChemList">#REF!</definedName>
    <definedName name="HOT_OIL_HEATER">#REF!</definedName>
    <definedName name="HOUR_PER_YEAR">#REF!</definedName>
    <definedName name="Hourly_Spec">#REF!</definedName>
    <definedName name="Hours">#REF!</definedName>
    <definedName name="Hrd">#REF!</definedName>
    <definedName name="Hro">#REF!</definedName>
    <definedName name="Hroc">#REF!</definedName>
    <definedName name="Hrod">#REF!</definedName>
    <definedName name="Hs">#REF!</definedName>
    <definedName name="Hvo">#REF!</definedName>
    <definedName name="I">#REF!</definedName>
    <definedName name="IH1C1">#REF!</definedName>
    <definedName name="IH1C10">#REF!</definedName>
    <definedName name="IH1C11">#REF!</definedName>
    <definedName name="IH1C12">#REF!</definedName>
    <definedName name="IH1C13">#REF!</definedName>
    <definedName name="IH1C14">#REF!</definedName>
    <definedName name="IH1C15">#REF!</definedName>
    <definedName name="IH1C2">#REF!</definedName>
    <definedName name="IH1C3">#REF!</definedName>
    <definedName name="IH1C4">#REF!</definedName>
    <definedName name="IH1C5">#REF!</definedName>
    <definedName name="IH1C6">#REF!</definedName>
    <definedName name="IH1C7">#REF!</definedName>
    <definedName name="IH1C8">#REF!</definedName>
    <definedName name="IH1C9">#REF!</definedName>
    <definedName name="IH2C1">#REF!</definedName>
    <definedName name="IH2C10">#REF!</definedName>
    <definedName name="IH2C11">#REF!</definedName>
    <definedName name="IH2C12">#REF!</definedName>
    <definedName name="IH2C13">#REF!</definedName>
    <definedName name="IH2C14">#REF!</definedName>
    <definedName name="IH2C15">#REF!</definedName>
    <definedName name="IH2C2">#REF!</definedName>
    <definedName name="IH2C3">#REF!</definedName>
    <definedName name="IH2C4">#REF!</definedName>
    <definedName name="IH2C5">#REF!</definedName>
    <definedName name="IH2C6">#REF!</definedName>
    <definedName name="IH2C7">#REF!</definedName>
    <definedName name="IH2C8">#REF!</definedName>
    <definedName name="IH2C9">#REF!</definedName>
    <definedName name="IH3C1">#REF!</definedName>
    <definedName name="IH3C10">#REF!</definedName>
    <definedName name="IH3C11">#REF!</definedName>
    <definedName name="IH3C12">#REF!</definedName>
    <definedName name="IH3C13">#REF!</definedName>
    <definedName name="IH3C14">#REF!</definedName>
    <definedName name="IH3C15">#REF!</definedName>
    <definedName name="IH3C2">#REF!</definedName>
    <definedName name="IH3C3">#REF!</definedName>
    <definedName name="IH3C4">#REF!</definedName>
    <definedName name="IH3C5">#REF!</definedName>
    <definedName name="IH3C6">#REF!</definedName>
    <definedName name="IH3C7">#REF!</definedName>
    <definedName name="IH3C8">#REF!</definedName>
    <definedName name="IH3C9">#REF!</definedName>
    <definedName name="IH4C1">#REF!</definedName>
    <definedName name="IH4C10">#REF!</definedName>
    <definedName name="IH4C11">#REF!</definedName>
    <definedName name="IH4C12">#REF!</definedName>
    <definedName name="IH4C13">#REF!</definedName>
    <definedName name="IH4C14">#REF!</definedName>
    <definedName name="IH4C15">#REF!</definedName>
    <definedName name="IH4C2">#REF!</definedName>
    <definedName name="IH4C3">#REF!</definedName>
    <definedName name="IH4C4">#REF!</definedName>
    <definedName name="IH4C5">#REF!</definedName>
    <definedName name="IH4C6">#REF!</definedName>
    <definedName name="IH4C7">#REF!</definedName>
    <definedName name="IH4C8">#REF!</definedName>
    <definedName name="IH4C9">#REF!</definedName>
    <definedName name="IH5C1">#REF!</definedName>
    <definedName name="IH5C10">#REF!</definedName>
    <definedName name="IH5C11">#REF!</definedName>
    <definedName name="IH5C12">#REF!</definedName>
    <definedName name="IH5C13">#REF!</definedName>
    <definedName name="IH5C14">#REF!</definedName>
    <definedName name="IH5C15">#REF!</definedName>
    <definedName name="IH5C2">#REF!</definedName>
    <definedName name="IH5C3">#REF!</definedName>
    <definedName name="IH5C4">#REF!</definedName>
    <definedName name="IH5C5">#REF!</definedName>
    <definedName name="IH5C6">#REF!</definedName>
    <definedName name="IH5C7">#REF!</definedName>
    <definedName name="IH5C8">#REF!</definedName>
    <definedName name="IH5C9">#REF!</definedName>
    <definedName name="Input">#REF!</definedName>
    <definedName name="Input1">#REF!</definedName>
    <definedName name="InputData">#REF!</definedName>
    <definedName name="Inputs_are_shaded_gray_throughout">#REF!</definedName>
    <definedName name="Int">#REF!</definedName>
    <definedName name="inter1">#REF!</definedName>
    <definedName name="inter2">#REF!</definedName>
    <definedName name="inter3">#REF!</definedName>
    <definedName name="inter4">#REF!</definedName>
    <definedName name="inter5">#REF!</definedName>
    <definedName name="interest">#REF!</definedName>
    <definedName name="Isobutyl">#REF!</definedName>
    <definedName name="isopropyl">#REF!</definedName>
    <definedName name="jj" hidden="1">#REF!</definedName>
    <definedName name="jk" hidden="1">#REF!</definedName>
    <definedName name="Ke">#REF!</definedName>
    <definedName name="Kerosene">#REF!</definedName>
    <definedName name="Kiln_Down_Display">#REF!</definedName>
    <definedName name="Kiln_Feed_Tag">#REF!</definedName>
    <definedName name="Kiln_O2">#REF!</definedName>
    <definedName name="KilnHrs">#REF!</definedName>
    <definedName name="KilnMinFeed">#REF!</definedName>
    <definedName name="KilnText">#REF!</definedName>
    <definedName name="kk" localSheetId="16" hidden="1">{#N/A,#N/A,FALSE,"Annual Summary";#N/A,#N/A,FALSE,"Hourly Summary";#N/A,#N/A,FALSE,"Flare Combustion";#N/A,#N/A,FALSE,"Shipping";#N/A,#N/A,FALSE,"Process Turnaround";#N/A,#N/A,FALSE,"Lab Samples";#N/A,#N/A,FALSE,"Product Cycles 5-4";#N/A,#N/A,FALSE,"5-4.1";#N/A,#N/A,FALSE,"5-4.2";#N/A,#N/A,FALSE,"Physical Prop Data"}</definedName>
    <definedName name="kk" localSheetId="17" hidden="1">{#N/A,#N/A,FALSE,"Annual Summary";#N/A,#N/A,FALSE,"Hourly Summary";#N/A,#N/A,FALSE,"Flare Combustion";#N/A,#N/A,FALSE,"Shipping";#N/A,#N/A,FALSE,"Process Turnaround";#N/A,#N/A,FALSE,"Lab Samples";#N/A,#N/A,FALSE,"Product Cycles 5-4";#N/A,#N/A,FALSE,"5-4.1";#N/A,#N/A,FALSE,"5-4.2";#N/A,#N/A,FALSE,"Physical Prop Data"}</definedName>
    <definedName name="kk" localSheetId="2" hidden="1">{#N/A,#N/A,FALSE,"Annual Summary";#N/A,#N/A,FALSE,"Hourly Summary";#N/A,#N/A,FALSE,"Flare Combustion";#N/A,#N/A,FALSE,"Shipping";#N/A,#N/A,FALSE,"Process Turnaround";#N/A,#N/A,FALSE,"Lab Samples";#N/A,#N/A,FALSE,"Product Cycles 5-4";#N/A,#N/A,FALSE,"5-4.1";#N/A,#N/A,FALSE,"5-4.2";#N/A,#N/A,FALSE,"Physical Prop Data"}</definedName>
    <definedName name="kk" hidden="1">{#N/A,#N/A,FALSE,"Annual Summary";#N/A,#N/A,FALSE,"Hourly Summary";#N/A,#N/A,FALSE,"Flare Combustion";#N/A,#N/A,FALSE,"Shipping";#N/A,#N/A,FALSE,"Process Turnaround";#N/A,#N/A,FALSE,"Lab Samples";#N/A,#N/A,FALSE,"Product Cycles 5-4";#N/A,#N/A,FALSE,"5-4.1";#N/A,#N/A,FALSE,"5-4.2";#N/A,#N/A,FALSE,"Physical Prop Data"}</definedName>
    <definedName name="KKmax">#REF!</definedName>
    <definedName name="Kn">#REF!</definedName>
    <definedName name="Kp">#REF!</definedName>
    <definedName name="Ks">#REF!</definedName>
    <definedName name="L1_CO_Downtime">#REF!</definedName>
    <definedName name="L1_NOx_Downtime">#REF!</definedName>
    <definedName name="L1_Opacity_Downtime">#REF!</definedName>
    <definedName name="L1_SOx_Downtime">#REF!</definedName>
    <definedName name="L1_SOx_Prior_Downtime">#REF!</definedName>
    <definedName name="L2_KF_Recirculation_Gate">#REF!</definedName>
    <definedName name="lbhr2gs">#REF!</definedName>
    <definedName name="Lbs_Hr_EPA_conversion_factor">#REF!</definedName>
    <definedName name="LD_data">#REF!</definedName>
    <definedName name="LDA_Dry_Annual">#REF!</definedName>
    <definedName name="LDA_Dry_Aug">#REF!</definedName>
    <definedName name="LDA_Dry_Jul">#REF!</definedName>
    <definedName name="LDA_Dry_Jun">#REF!</definedName>
    <definedName name="leah" localSheetId="16" hidden="1">{#N/A,#N/A,FALSE,"Annual Summary";#N/A,#N/A,FALSE,"Hourly Summary";#N/A,#N/A,FALSE,"Flare Combustion";#N/A,#N/A,FALSE,"Shipping";#N/A,#N/A,FALSE,"Process Turnaround";#N/A,#N/A,FALSE,"Lab Samples";#N/A,#N/A,FALSE,"Product Cycles 5-4";#N/A,#N/A,FALSE,"5-4.1";#N/A,#N/A,FALSE,"5-4.2";#N/A,#N/A,FALSE,"Physical Prop Data"}</definedName>
    <definedName name="leah" localSheetId="17" hidden="1">{#N/A,#N/A,FALSE,"Annual Summary";#N/A,#N/A,FALSE,"Hourly Summary";#N/A,#N/A,FALSE,"Flare Combustion";#N/A,#N/A,FALSE,"Shipping";#N/A,#N/A,FALSE,"Process Turnaround";#N/A,#N/A,FALSE,"Lab Samples";#N/A,#N/A,FALSE,"Product Cycles 5-4";#N/A,#N/A,FALSE,"5-4.1";#N/A,#N/A,FALSE,"5-4.2";#N/A,#N/A,FALSE,"Physical Prop Data"}</definedName>
    <definedName name="leah" localSheetId="2" hidden="1">{#N/A,#N/A,FALSE,"Annual Summary";#N/A,#N/A,FALSE,"Hourly Summary";#N/A,#N/A,FALSE,"Flare Combustion";#N/A,#N/A,FALSE,"Shipping";#N/A,#N/A,FALSE,"Process Turnaround";#N/A,#N/A,FALSE,"Lab Samples";#N/A,#N/A,FALSE,"Product Cycles 5-4";#N/A,#N/A,FALSE,"5-4.1";#N/A,#N/A,FALSE,"5-4.2";#N/A,#N/A,FALSE,"Physical Prop Data"}</definedName>
    <definedName name="leah" hidden="1">{#N/A,#N/A,FALSE,"Annual Summary";#N/A,#N/A,FALSE,"Hourly Summary";#N/A,#N/A,FALSE,"Flare Combustion";#N/A,#N/A,FALSE,"Shipping";#N/A,#N/A,FALSE,"Process Turnaround";#N/A,#N/A,FALSE,"Lab Samples";#N/A,#N/A,FALSE,"Product Cycles 5-4";#N/A,#N/A,FALSE,"5-4.1";#N/A,#N/A,FALSE,"5-4.2";#N/A,#N/A,FALSE,"Physical Prop Data"}</definedName>
    <definedName name="liqheight">#REF!</definedName>
    <definedName name="Literal_Month">#REF!</definedName>
    <definedName name="Load_Emission_btm">#REF!</definedName>
    <definedName name="Load_HomeChemList">#REF!</definedName>
    <definedName name="LOAD_LOSS_">#REF!</definedName>
    <definedName name="Load_Strm_01">#REF!</definedName>
    <definedName name="Load_Strm_01_Comp">#REF!</definedName>
    <definedName name="Load_Strm_01_Emissions">#REF!</definedName>
    <definedName name="Load_Strm_02">#REF!</definedName>
    <definedName name="Load_Strm_02_Comp">#REF!</definedName>
    <definedName name="Load_Strm_02_Emissions">#REF!</definedName>
    <definedName name="Load_Strm_03">#REF!</definedName>
    <definedName name="Load_Strm_03_Comp">#REF!</definedName>
    <definedName name="Load_Strm_03_Emissions">#REF!</definedName>
    <definedName name="Load_Strm_04">#REF!</definedName>
    <definedName name="Load_Strm_04_Comp">#REF!</definedName>
    <definedName name="Load_Strm_04_Emissions">#REF!</definedName>
    <definedName name="Load_Strm_05">#REF!</definedName>
    <definedName name="Load_Strm_05_Comp">#REF!</definedName>
    <definedName name="Load_Strm_05_Emissions">#REF!</definedName>
    <definedName name="Load_Strm_06">#REF!</definedName>
    <definedName name="Load_Strm_06_Comp">#REF!</definedName>
    <definedName name="Load_Strm_06_Emissions">#REF!</definedName>
    <definedName name="Load_Strm_07">#REF!</definedName>
    <definedName name="Load_Strm_07_Comp">#REF!</definedName>
    <definedName name="Load_Strm_07_Emissions">#REF!</definedName>
    <definedName name="Load_Strm_08">#REF!</definedName>
    <definedName name="Load_Strm_08_Comp">#REF!</definedName>
    <definedName name="Load_Strm_08_Emissions">#REF!</definedName>
    <definedName name="Load_Strm_09">#REF!</definedName>
    <definedName name="Load_Strm_09_Comp">#REF!</definedName>
    <definedName name="Load_Strm_09_Emissions">#REF!</definedName>
    <definedName name="Load_Strm_10">#REF!</definedName>
    <definedName name="Load_Strm_10_Comp">#REF!</definedName>
    <definedName name="Load_Strm_10_Emissions">#REF!</definedName>
    <definedName name="Load_Strm_11">#REF!</definedName>
    <definedName name="Load_Strm_11_Comp">#REF!</definedName>
    <definedName name="Load_Strm_11_Emissions">#REF!</definedName>
    <definedName name="Load_Strm_12">#REF!</definedName>
    <definedName name="Load_Strm_12_Comp">#REF!</definedName>
    <definedName name="Load_Strm_12_Emissions">#REF!</definedName>
    <definedName name="Load_Strm_13">#REF!</definedName>
    <definedName name="Load_Strm_13_Comp">#REF!</definedName>
    <definedName name="Load_Strm_13_Emissions">#REF!</definedName>
    <definedName name="Load_Strm_14">#REF!</definedName>
    <definedName name="Load_Strm_14_Comp">#REF!</definedName>
    <definedName name="Load_Strm_14_Emissions">#REF!</definedName>
    <definedName name="Load_Strm_15">#REF!</definedName>
    <definedName name="Load_Strm_15_Comp">#REF!</definedName>
    <definedName name="Load_Strm_15_Emissions">#REF!</definedName>
    <definedName name="Load_Strm_16">#REF!</definedName>
    <definedName name="Load_Strm_16_Comp">#REF!</definedName>
    <definedName name="Load_Strm_16_Emissions">#REF!</definedName>
    <definedName name="Load_Strm_17">#REF!</definedName>
    <definedName name="Load_Strm_17_Comp">#REF!</definedName>
    <definedName name="Load_Strm_17_Emissions">#REF!</definedName>
    <definedName name="Load_Strm_18">#REF!</definedName>
    <definedName name="Load_Strm_18_Comp">#REF!</definedName>
    <definedName name="Load_Strm_18_Emissions">#REF!</definedName>
    <definedName name="Load_Strm_19">#REF!</definedName>
    <definedName name="Load_Strm_19_Comp">#REF!</definedName>
    <definedName name="Load_Strm_19_Emissions">#REF!</definedName>
    <definedName name="Load_Strm_20">#REF!</definedName>
    <definedName name="Load_Strm_20_Comp">#REF!</definedName>
    <definedName name="Load_Strm_20_Emissions">#REF!</definedName>
    <definedName name="Load_Strm_Lis_Btm">#REF!</definedName>
    <definedName name="Load_Strm_List">#REF!</definedName>
    <definedName name="Load_Top">#REF!</definedName>
    <definedName name="location">#REF!</definedName>
    <definedName name="Ls">#REF!</definedName>
    <definedName name="LTAP_Standards">#REF!</definedName>
    <definedName name="Lw">#REF!</definedName>
    <definedName name="m">#REF!</definedName>
    <definedName name="ManualXAxis">"Check Box 12"</definedName>
    <definedName name="ManualYAxis">"Check Box 17"</definedName>
    <definedName name="match">#REF!</definedName>
    <definedName name="Max">#REF!</definedName>
    <definedName name="Max_Ann_Avg_FG">#REF!</definedName>
    <definedName name="Max_HC_soil_HC_content">#REF!</definedName>
    <definedName name="MAX_HEAT_INPUT">#REF!</definedName>
    <definedName name="MaxAnnHrs">#REF!</definedName>
    <definedName name="MAXCOLBHOUR">#REF!</definedName>
    <definedName name="maxdpw">#REF!</definedName>
    <definedName name="maxfuel">#REF!</definedName>
    <definedName name="maxhour">#REF!</definedName>
    <definedName name="maxhpd">#REF!</definedName>
    <definedName name="MaximumDryerProduction">#REF!</definedName>
    <definedName name="MAXNOXLBHOUR">#REF!</definedName>
    <definedName name="maxrate">#REF!</definedName>
    <definedName name="maxwpy">#REF!</definedName>
    <definedName name="MaxXAxis">"Edit Box 14"</definedName>
    <definedName name="MaxYAxis">"Edit Box 19"</definedName>
    <definedName name="MethaneUse">#REF!</definedName>
    <definedName name="Mineral_Oil">#REF!</definedName>
    <definedName name="MinXAxis">"Edit Box 13"</definedName>
    <definedName name="MinYAxis">"Edit Box 18"</definedName>
    <definedName name="MITI" localSheetId="16">'ESP Input'!MITI</definedName>
    <definedName name="MITI" localSheetId="17">'ESP Output'!MITI</definedName>
    <definedName name="MITI" localSheetId="2">'Perlite Concentrations'!MITI</definedName>
    <definedName name="MITI">[0]!MITI</definedName>
    <definedName name="MODINPUT_H2SO4" localSheetId="16" hidden="1">{"Detailed",#N/A,FALSE,"GAS-COMB";"Summary",#N/A,FALSE,"GAS-COMB"}</definedName>
    <definedName name="MODINPUT_H2SO4" localSheetId="17" hidden="1">{"Detailed",#N/A,FALSE,"GAS-COMB";"Summary",#N/A,FALSE,"GAS-COMB"}</definedName>
    <definedName name="MODINPUT_H2SO4" localSheetId="2" hidden="1">{"Detailed",#N/A,FALSE,"GAS-COMB";"Summary",#N/A,FALSE,"GAS-COMB"}</definedName>
    <definedName name="MODINPUT_H2SO4" hidden="1">{"Detailed",#N/A,FALSE,"GAS-COMB";"Summary",#N/A,FALSE,"GAS-COMB"}</definedName>
    <definedName name="Moisture">#REF!</definedName>
    <definedName name="Month">"SRU"</definedName>
    <definedName name="Month_Has_29?">#REF!</definedName>
    <definedName name="Month_Has_30?">#REF!</definedName>
    <definedName name="Month_Has_31?">#REF!</definedName>
    <definedName name="Month_of_Interest">#REF!</definedName>
    <definedName name="msw" localSheetId="16" hidden="1">{#N/A,#N/A,FALSE,"Rates";#N/A,#N/A,FALSE,"Summary";#N/A,#N/A,FALSE,"Boilers";#N/A,#N/A,FALSE,"Cyclones";#N/A,#N/A,FALSE,"Saws";#N/A,#N/A,FALSE,"Drops";#N/A,#N/A,FALSE,"Piles";#N/A,#N/A,FALSE,"Roads";#N/A,#N/A,FALSE,"Tanks";#N/A,#N/A,FALSE,"Kilns";#N/A,#N/A,FALSE,"Model"}</definedName>
    <definedName name="msw" localSheetId="17" hidden="1">{#N/A,#N/A,FALSE,"Rates";#N/A,#N/A,FALSE,"Summary";#N/A,#N/A,FALSE,"Boilers";#N/A,#N/A,FALSE,"Cyclones";#N/A,#N/A,FALSE,"Saws";#N/A,#N/A,FALSE,"Drops";#N/A,#N/A,FALSE,"Piles";#N/A,#N/A,FALSE,"Roads";#N/A,#N/A,FALSE,"Tanks";#N/A,#N/A,FALSE,"Kilns";#N/A,#N/A,FALSE,"Model"}</definedName>
    <definedName name="msw" localSheetId="2" hidden="1">{#N/A,#N/A,FALSE,"Rates";#N/A,#N/A,FALSE,"Summary";#N/A,#N/A,FALSE,"Boilers";#N/A,#N/A,FALSE,"Cyclones";#N/A,#N/A,FALSE,"Saws";#N/A,#N/A,FALSE,"Drops";#N/A,#N/A,FALSE,"Piles";#N/A,#N/A,FALSE,"Roads";#N/A,#N/A,FALSE,"Tanks";#N/A,#N/A,FALSE,"Kilns";#N/A,#N/A,FALSE,"Model"}</definedName>
    <definedName name="msw" hidden="1">{#N/A,#N/A,FALSE,"Rates";#N/A,#N/A,FALSE,"Summary";#N/A,#N/A,FALSE,"Boilers";#N/A,#N/A,FALSE,"Cyclones";#N/A,#N/A,FALSE,"Saws";#N/A,#N/A,FALSE,"Drops";#N/A,#N/A,FALSE,"Piles";#N/A,#N/A,FALSE,"Roads";#N/A,#N/A,FALSE,"Tanks";#N/A,#N/A,FALSE,"Kilns";#N/A,#N/A,FALSE,"Model"}</definedName>
    <definedName name="Mv">#REF!</definedName>
    <definedName name="mw">#REF!</definedName>
    <definedName name="MW_67">#REF!</definedName>
    <definedName name="MW_data">#REF!</definedName>
    <definedName name="MW_HCN">#REF!</definedName>
    <definedName name="mwC">#REF!</definedName>
    <definedName name="MWCO2">#REF!</definedName>
    <definedName name="MWt">#REF!</definedName>
    <definedName name="N">#REF!</definedName>
    <definedName name="Name">"Aromatics and Dienes"</definedName>
    <definedName name="nametable">#REF!</definedName>
    <definedName name="nametable1">#REF!</definedName>
    <definedName name="NATGASSUM">#REF!</definedName>
    <definedName name="Natural_Gas">#REF!</definedName>
    <definedName name="NetHOC">#REF!</definedName>
    <definedName name="New.Allowables">#REF!</definedName>
    <definedName name="NG_HV">#REF!</definedName>
    <definedName name="ngheatcontent">#REF!</definedName>
    <definedName name="NH3_conc">#REF!</definedName>
    <definedName name="No_6">#REF!</definedName>
    <definedName name="NoData">#REF!</definedName>
    <definedName name="NormalPrintRange">#REF!</definedName>
    <definedName name="nox">#REF!</definedName>
    <definedName name="NOx_Downtime">#REF!</definedName>
    <definedName name="NOx_EPA_K_Factor">#REF!</definedName>
    <definedName name="NOx_Molecular_Weight">#REF!</definedName>
    <definedName name="NOx_ppm_Range_Max">#REF!</definedName>
    <definedName name="NOx_ppm_Range_Min">#REF!</definedName>
    <definedName name="NOx_ppm_Table">#REF!</definedName>
    <definedName name="NOx_ResultTable">#REF!</definedName>
    <definedName name="NOx_Tons">#REF!</definedName>
    <definedName name="noxce">#REF!</definedName>
    <definedName name="NOXEF">#REF!</definedName>
    <definedName name="NOxFactor">#REF!</definedName>
    <definedName name="noxrate">#REF!</definedName>
    <definedName name="NSRUIncin">#REF!</definedName>
    <definedName name="NT">#REF!</definedName>
    <definedName name="num">#REF!</definedName>
    <definedName name="O2_Table">#REF!</definedName>
    <definedName name="Old">#REF!</definedName>
    <definedName name="one">#REF!</definedName>
    <definedName name="One_Hour">#REF!</definedName>
    <definedName name="OneHour_CO">#REF!</definedName>
    <definedName name="OneHour_NOx">#REF!</definedName>
    <definedName name="OneHour_SOx">#REF!</definedName>
    <definedName name="Opacity_Downtime">#REF!</definedName>
    <definedName name="Operating_Days">#REF!</definedName>
    <definedName name="OPNM1">#REF!</definedName>
    <definedName name="OPNM10">#REF!</definedName>
    <definedName name="OPNM11">#REF!</definedName>
    <definedName name="OPNM12">#REF!</definedName>
    <definedName name="OPNM13">#REF!</definedName>
    <definedName name="OPNM14">#REF!</definedName>
    <definedName name="OPNM15">#REF!</definedName>
    <definedName name="OPNM2">#REF!</definedName>
    <definedName name="OPNM3">#REF!</definedName>
    <definedName name="OPNM4">#REF!</definedName>
    <definedName name="OPNM5">#REF!</definedName>
    <definedName name="OPNM6">#REF!</definedName>
    <definedName name="OPNM7">#REF!</definedName>
    <definedName name="OPNM8">#REF!</definedName>
    <definedName name="OPNM9">#REF!</definedName>
    <definedName name="OrderTable" hidden="1">#REF!</definedName>
    <definedName name="Ore">#REF!</definedName>
    <definedName name="OUTPUT">#REF!</definedName>
    <definedName name="p">#REF!</definedName>
    <definedName name="Pa">#REF!</definedName>
    <definedName name="Pbp">#REF!</definedName>
    <definedName name="PBR" localSheetId="16"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PBR" localSheetId="17"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PBR" localSheetId="2"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PBR"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Pbv">#REF!</definedName>
    <definedName name="PD_25_hours">#REF!</definedName>
    <definedName name="Phase">#REF!</definedName>
    <definedName name="Physprops">#REF!</definedName>
    <definedName name="pm">#REF!</definedName>
    <definedName name="PM_CONT_EFF">#REF!</definedName>
    <definedName name="PM_EF">#REF!</definedName>
    <definedName name="PM10_CONT_EFF">#REF!</definedName>
    <definedName name="PM2.5_CONT_EFF">#REF!</definedName>
    <definedName name="pmce">#REF!</definedName>
    <definedName name="PMEF">#REF!</definedName>
    <definedName name="pmrate">#REF!</definedName>
    <definedName name="ppyCO">#REF!</definedName>
    <definedName name="ppyCO2">#REF!</definedName>
    <definedName name="ppyEmit">#REF!</definedName>
    <definedName name="ppyNOx">#REF!</definedName>
    <definedName name="Prange">#REF!</definedName>
    <definedName name="_xlnm.Print_Area" localSheetId="10">Dryer!$A$1:$G$56</definedName>
    <definedName name="_xlnm.Print_Area" localSheetId="20">'Tank Sample Calc - 3'!$A$1:$M$76</definedName>
    <definedName name="_xlnm.Print_Area" localSheetId="13">'Unpaved Roads'!$A$1:$I$75</definedName>
    <definedName name="_xlnm.Print_Area" localSheetId="6">'Welding Emission Factors'!$A$1:$O$34</definedName>
    <definedName name="PRINT_AREA_MI">#REF!</definedName>
    <definedName name="_xlnm.Print_Titles">#N/A</definedName>
    <definedName name="PRINTSUMMARY">#REF!</definedName>
    <definedName name="PROD">#REF!</definedName>
    <definedName name="PRODEF">#REF!</definedName>
    <definedName name="ProdForm" hidden="1">#REF!</definedName>
    <definedName name="Product" hidden="1">#REF!</definedName>
    <definedName name="Propane">#REF!</definedName>
    <definedName name="PT_SOURCE">#REF!</definedName>
    <definedName name="PT_SOURCE_Columns">#REF!</definedName>
    <definedName name="PT_SRC">#REF!</definedName>
    <definedName name="Ptitle_Fugi_1">#REF!,#REF!</definedName>
    <definedName name="Ptitle_Fugi_2">#REF!,#REF!</definedName>
    <definedName name="PUMP">#REF!</definedName>
    <definedName name="Pva">#REF!</definedName>
    <definedName name="Pvap">#REF!</definedName>
    <definedName name="Pvn">#REF!</definedName>
    <definedName name="Pvx">#REF!</definedName>
    <definedName name="Q">#REF!</definedName>
    <definedName name="Qg">#REF!</definedName>
    <definedName name="Query1">#REF!</definedName>
    <definedName name="rated">#REF!</definedName>
    <definedName name="Ratio">#REF!</definedName>
    <definedName name="RawActual">#REF!</definedName>
    <definedName name="RawHrs">#REF!</definedName>
    <definedName name="Rawmax">#REF!</definedName>
    <definedName name="RCArea" hidden="1">#REF!</definedName>
    <definedName name="RCO_capture">#REF!</definedName>
    <definedName name="RCO_CO_control">#REF!</definedName>
    <definedName name="RCO_NOx_control">#REF!</definedName>
    <definedName name="RCO_PM_control">#REF!</definedName>
    <definedName name="RCO_SO2_control">#REF!</definedName>
    <definedName name="RCO_VOC_control">#REF!</definedName>
    <definedName name="_xlnm.Recorder">#REF!</definedName>
    <definedName name="References">#REF!</definedName>
    <definedName name="Reg_No">#N/A</definedName>
    <definedName name="repeat">#REF!</definedName>
    <definedName name="ReportingYear">#REF!</definedName>
    <definedName name="RESIDUAL">#REF!</definedName>
    <definedName name="ResultsSummary">#REF!</definedName>
    <definedName name="Rr">#REF!</definedName>
    <definedName name="Run1Input">#REF!</definedName>
    <definedName name="Run2Input">#REF!</definedName>
    <definedName name="Run3Input">#REF!</definedName>
    <definedName name="RunTime_days">#REF!</definedName>
    <definedName name="sand_only">#REF!,#REF!,#REF!,#REF!</definedName>
    <definedName name="SAPBEXrevision" hidden="1">10</definedName>
    <definedName name="SAPBEXsysID" hidden="1">"BWP"</definedName>
    <definedName name="SAPBEXwbID" hidden="1">"6BE1CVLWKVY9BYDN5RVHT5N3P"</definedName>
    <definedName name="SAT_FAC">#REF!</definedName>
    <definedName name="scc">#REF!</definedName>
    <definedName name="Select1">#REF!</definedName>
    <definedName name="silt">#REF!</definedName>
    <definedName name="SixMinuteOpacity">#REF!</definedName>
    <definedName name="slope1">#REF!</definedName>
    <definedName name="slope2">#REF!</definedName>
    <definedName name="slope3">#REF!</definedName>
    <definedName name="slope4">#REF!</definedName>
    <definedName name="slope5">#REF!</definedName>
    <definedName name="so2ce">#REF!</definedName>
    <definedName name="SO2EF">#REF!</definedName>
    <definedName name="so2rate">#REF!</definedName>
    <definedName name="SOx_Downtime">#REF!</definedName>
    <definedName name="SOx_EPA_K_Factor">#REF!</definedName>
    <definedName name="SOx_Molecular_Weight">#REF!</definedName>
    <definedName name="SOx_ppm_Range_Max">#REF!</definedName>
    <definedName name="SOx_ppm_Range_Min">#REF!</definedName>
    <definedName name="SOx_ppm_Table">#REF!</definedName>
    <definedName name="SOx_Prior_Downtime">#REF!</definedName>
    <definedName name="SOx_ResultTable">#REF!</definedName>
    <definedName name="SOx_Tons">#REF!</definedName>
    <definedName name="spec">#REF!</definedName>
    <definedName name="SpecialPrice" hidden="1">#REF!</definedName>
    <definedName name="specm">#REF!</definedName>
    <definedName name="SPLASHC">#REF!</definedName>
    <definedName name="SPLASHD">#REF!</definedName>
    <definedName name="SPLASHD_5">#REF!</definedName>
    <definedName name="Sr">#REF!</definedName>
    <definedName name="SRUIbtu">#REF!</definedName>
    <definedName name="St">#REF!</definedName>
    <definedName name="Stack_CO_Tag">#REF!</definedName>
    <definedName name="Stack_Flow_Tag">#REF!</definedName>
    <definedName name="Stack_NOx_Tag">#REF!</definedName>
    <definedName name="Stack_SOx_Tag">#REF!</definedName>
    <definedName name="StackFlowTable">#REF!</definedName>
    <definedName name="STACKS">#REF!</definedName>
    <definedName name="Start_Date">#REF!</definedName>
    <definedName name="Start10">#REF!</definedName>
    <definedName name="Start101">#REF!</definedName>
    <definedName name="Start102">#REF!</definedName>
    <definedName name="Start108">#REF!</definedName>
    <definedName name="Start11">#REF!</definedName>
    <definedName name="Start111">#REF!</definedName>
    <definedName name="Start112">#REF!</definedName>
    <definedName name="Start113">#REF!</definedName>
    <definedName name="Start114">#REF!</definedName>
    <definedName name="Start115">#REF!</definedName>
    <definedName name="Start116">#REF!</definedName>
    <definedName name="Start117">#REF!</definedName>
    <definedName name="Start118">#REF!</definedName>
    <definedName name="Start16">#REF!</definedName>
    <definedName name="Start18">#REF!</definedName>
    <definedName name="Start19">#REF!</definedName>
    <definedName name="Start2">#REF!</definedName>
    <definedName name="Start20">#REF!</definedName>
    <definedName name="Start21">#REF!</definedName>
    <definedName name="Start22">#REF!</definedName>
    <definedName name="Start23">#REF!</definedName>
    <definedName name="Start24">#REF!</definedName>
    <definedName name="Start26">#REF!</definedName>
    <definedName name="Start27">#REF!</definedName>
    <definedName name="Start29">#REF!</definedName>
    <definedName name="Start3">#REF!</definedName>
    <definedName name="Start31">#REF!</definedName>
    <definedName name="Start37">#REF!</definedName>
    <definedName name="Start38">#REF!</definedName>
    <definedName name="Start39">#REF!</definedName>
    <definedName name="Start40">#REF!</definedName>
    <definedName name="Start41">#REF!</definedName>
    <definedName name="Start42">#REF!</definedName>
    <definedName name="Start5">#REF!</definedName>
    <definedName name="Start54">#REF!</definedName>
    <definedName name="Start56">#REF!</definedName>
    <definedName name="Start63">#REF!</definedName>
    <definedName name="Start64">#REF!</definedName>
    <definedName name="Start7">#REF!</definedName>
    <definedName name="Start87">#REF!</definedName>
    <definedName name="Start88">#REF!</definedName>
    <definedName name="Start89">#REF!</definedName>
    <definedName name="Start91">#REF!</definedName>
    <definedName name="status">#REF!</definedName>
    <definedName name="Step">#REF!</definedName>
    <definedName name="Step_Name">#REF!</definedName>
    <definedName name="SU">#REF!</definedName>
    <definedName name="SUBC">#REF!</definedName>
    <definedName name="SUBD">#REF!</definedName>
    <definedName name="SUBD_5">#REF!</definedName>
    <definedName name="sulfur">#REF!</definedName>
    <definedName name="SULFUR_CONTENT">#REF!</definedName>
    <definedName name="SUMMARY">#REF!</definedName>
    <definedName name="SVGCp">#REF!</definedName>
    <definedName name="Swvu.Detailed." hidden="1">#REF!</definedName>
    <definedName name="Swvu.Detailed._.and._.Summary." hidden="1">#REF!</definedName>
    <definedName name="Swvu.Summary." hidden="1">#REF!</definedName>
    <definedName name="T">#REF!</definedName>
    <definedName name="T10H2545Max">#REF!</definedName>
    <definedName name="T250_3003">#REF!</definedName>
    <definedName name="T250_3003_O3_Season">#REF!</definedName>
    <definedName name="T260_3013">#REF!</definedName>
    <definedName name="T260_3013_O3_Season">#REF!</definedName>
    <definedName name="T260_3014">#REF!</definedName>
    <definedName name="T260_3014_O3_Season">#REF!</definedName>
    <definedName name="T261_5100_O3_Season">#REF!</definedName>
    <definedName name="T450_3007_VP02">#REF!</definedName>
    <definedName name="T450_3008_VP02">#REF!</definedName>
    <definedName name="T450_3008_VP03_O3_Season">#REF!</definedName>
    <definedName name="T450_3008_VP12_">#REF!</definedName>
    <definedName name="T450_307_VP12">#REF!</definedName>
    <definedName name="T454_3000">#REF!</definedName>
    <definedName name="T4543000_O3_Season">#REF!</definedName>
    <definedName name="Taa">#REF!</definedName>
    <definedName name="TABLE">#REF!</definedName>
    <definedName name="Table_1_a">#REF!</definedName>
    <definedName name="Table1a">#REF!</definedName>
    <definedName name="Table2">#REF!</definedName>
    <definedName name="Tan">#REF!</definedName>
    <definedName name="tank">#REF!</definedName>
    <definedName name="Tank_Emis">#REF!</definedName>
    <definedName name="Tank_Emis_Summary">#REF!</definedName>
    <definedName name="Tank_Emission">#REF!</definedName>
    <definedName name="Tax">#REF!</definedName>
    <definedName name="Tb">#REF!</definedName>
    <definedName name="tbl_ProdInfo" hidden="1">#REF!</definedName>
    <definedName name="TEMP">#REF!</definedName>
    <definedName name="TEMP_67">#REF!</definedName>
    <definedName name="test">#REF!</definedName>
    <definedName name="TEST0">#REF!</definedName>
    <definedName name="test1" localSheetId="16"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1" localSheetId="17"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1" localSheetId="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1"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2" localSheetId="16"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2" localSheetId="17"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2" localSheetId="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Averages">#REF!</definedName>
    <definedName name="TESTHKEY">#REF!</definedName>
    <definedName name="testing" localSheetId="16" hidden="1">{"Detailed",#N/A,FALSE,"GAS-COMB";"Summary",#N/A,FALSE,"GAS-COMB"}</definedName>
    <definedName name="testing" localSheetId="17" hidden="1">{"Detailed",#N/A,FALSE,"GAS-COMB";"Summary",#N/A,FALSE,"GAS-COMB"}</definedName>
    <definedName name="testing" localSheetId="2" hidden="1">{"Detailed",#N/A,FALSE,"GAS-COMB";"Summary",#N/A,FALSE,"GAS-COMB"}</definedName>
    <definedName name="testing" hidden="1">{"Detailed",#N/A,FALSE,"GAS-COMB";"Summary",#N/A,FALSE,"GAS-COMB"}</definedName>
    <definedName name="TESTKEYS">#REF!</definedName>
    <definedName name="tests2" hidden="1">#REF!</definedName>
    <definedName name="TESTVKEY">#REF!</definedName>
    <definedName name="Tf">#REF!</definedName>
    <definedName name="three">#REF!</definedName>
    <definedName name="ThreeHour_SOx">#REF!</definedName>
    <definedName name="Title">#REF!</definedName>
    <definedName name="TITLE1">#REF!</definedName>
    <definedName name="TITLE2">#REF!</definedName>
    <definedName name="Tla">#REF!</definedName>
    <definedName name="Tln">#REF!</definedName>
    <definedName name="Tlx">#REF!</definedName>
    <definedName name="ton_lb">#REF!</definedName>
    <definedName name="TOT_P_">#REF!</definedName>
    <definedName name="TOT_P_67">#REF!</definedName>
    <definedName name="TOT_P2_">#REF!</definedName>
    <definedName name="Total">#REF!</definedName>
    <definedName name="TotalCO_ppy">#REF!</definedName>
    <definedName name="TotalCO2_ppy">#REF!</definedName>
    <definedName name="tote2" localSheetId="16"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ote2" localSheetId="17"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ote2" localSheetId="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ote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otFlow">#REF!</definedName>
    <definedName name="TOXICS">#REF!</definedName>
    <definedName name="TP">#REF!</definedName>
    <definedName name="TPH_Range_Max">#REF!</definedName>
    <definedName name="TPH_Range_Min">#REF!</definedName>
    <definedName name="TPH_Table">#REF!</definedName>
    <definedName name="TPYFeed">#REF!</definedName>
    <definedName name="TPYFlow">#REF!</definedName>
    <definedName name="Tr">#REF!</definedName>
    <definedName name="Trange">#REF!</definedName>
    <definedName name="Ts">#REF!</definedName>
    <definedName name="Tsteam">#REF!</definedName>
    <definedName name="Tsvg">#REF!</definedName>
    <definedName name="ttttt" localSheetId="16">'ESP Input'!ttttt</definedName>
    <definedName name="ttttt" localSheetId="17">'ESP Output'!ttttt</definedName>
    <definedName name="ttttt" localSheetId="2">'Perlite Concentrations'!ttttt</definedName>
    <definedName name="ttttt">[0]!ttttt</definedName>
    <definedName name="Turbine">#REF!</definedName>
    <definedName name="TwentyFourHour_SOx">#REF!</definedName>
    <definedName name="two">#REF!</definedName>
    <definedName name="TwoCLB">#REF!</definedName>
    <definedName name="Type">#REF!</definedName>
    <definedName name="U10H1">#REF!</definedName>
    <definedName name="U10H10">#REF!</definedName>
    <definedName name="U10H11">#REF!</definedName>
    <definedName name="U10H12">#REF!</definedName>
    <definedName name="U10H13">#REF!</definedName>
    <definedName name="U10H14">#REF!</definedName>
    <definedName name="U10H15">#REF!</definedName>
    <definedName name="U10H2">#REF!</definedName>
    <definedName name="U10H3">#REF!</definedName>
    <definedName name="U10H4">#REF!</definedName>
    <definedName name="U10H5">#REF!</definedName>
    <definedName name="U10H6">#REF!</definedName>
    <definedName name="U10H7">#REF!</definedName>
    <definedName name="U10H8">#REF!</definedName>
    <definedName name="U10H9">#REF!</definedName>
    <definedName name="U10IH1">#REF!</definedName>
    <definedName name="U10IH2">#REF!</definedName>
    <definedName name="U10IH3">#REF!</definedName>
    <definedName name="U10IH4">#REF!</definedName>
    <definedName name="U10IH5">#REF!</definedName>
    <definedName name="U11H1">#REF!</definedName>
    <definedName name="U11H10">#REF!</definedName>
    <definedName name="U11H11">#REF!</definedName>
    <definedName name="U11H12">#REF!</definedName>
    <definedName name="U11H13">#REF!</definedName>
    <definedName name="U11H14">#REF!</definedName>
    <definedName name="U11H15">#REF!</definedName>
    <definedName name="U11H2">#REF!</definedName>
    <definedName name="U11H3">#REF!</definedName>
    <definedName name="U11H4">#REF!</definedName>
    <definedName name="U11H5">#REF!</definedName>
    <definedName name="U11H6">#REF!</definedName>
    <definedName name="U11H7">#REF!</definedName>
    <definedName name="U11H8">#REF!</definedName>
    <definedName name="U11H9">#REF!</definedName>
    <definedName name="U11IH1">#REF!</definedName>
    <definedName name="U11IH2">#REF!</definedName>
    <definedName name="U11IH3">#REF!</definedName>
    <definedName name="U11IH4">#REF!</definedName>
    <definedName name="U11IH5">#REF!</definedName>
    <definedName name="U12H1">#REF!</definedName>
    <definedName name="U12H10">#REF!</definedName>
    <definedName name="U12H11">#REF!</definedName>
    <definedName name="U12H12">#REF!</definedName>
    <definedName name="U12H13">#REF!</definedName>
    <definedName name="U12H14">#REF!</definedName>
    <definedName name="U12H15">#REF!</definedName>
    <definedName name="U12H2">#REF!</definedName>
    <definedName name="U12H3">#REF!</definedName>
    <definedName name="U12H4">#REF!</definedName>
    <definedName name="U12H5">#REF!</definedName>
    <definedName name="U12H6">#REF!</definedName>
    <definedName name="U12H7">#REF!</definedName>
    <definedName name="U12H8">#REF!</definedName>
    <definedName name="U12H9">#REF!</definedName>
    <definedName name="U12IH1">#REF!</definedName>
    <definedName name="U12IH2">#REF!</definedName>
    <definedName name="U12IH3">#REF!</definedName>
    <definedName name="U12IH4">#REF!</definedName>
    <definedName name="U12IH5">#REF!</definedName>
    <definedName name="U13H1">#REF!</definedName>
    <definedName name="U13H10">#REF!</definedName>
    <definedName name="U13H11">#REF!</definedName>
    <definedName name="U13H12">#REF!</definedName>
    <definedName name="U13H13">#REF!</definedName>
    <definedName name="U13H14">#REF!</definedName>
    <definedName name="U13H15">#REF!</definedName>
    <definedName name="U13H2">#REF!</definedName>
    <definedName name="U13H3">#REF!</definedName>
    <definedName name="U13H4">#REF!</definedName>
    <definedName name="U13H5">#REF!</definedName>
    <definedName name="U13H6">#REF!</definedName>
    <definedName name="U13H7">#REF!</definedName>
    <definedName name="U13H8">#REF!</definedName>
    <definedName name="U13H9">#REF!</definedName>
    <definedName name="U13IH1">#REF!</definedName>
    <definedName name="U13IH2">#REF!</definedName>
    <definedName name="U13IH3">#REF!</definedName>
    <definedName name="U13IH4">#REF!</definedName>
    <definedName name="U13IH5">#REF!</definedName>
    <definedName name="U14H1">#REF!</definedName>
    <definedName name="U14H10">#REF!</definedName>
    <definedName name="U14H11">#REF!</definedName>
    <definedName name="U14H12">#REF!</definedName>
    <definedName name="U14H13">#REF!</definedName>
    <definedName name="U14H14">#REF!</definedName>
    <definedName name="U14H15">#REF!</definedName>
    <definedName name="U14H2">#REF!</definedName>
    <definedName name="U14H3">#REF!</definedName>
    <definedName name="U14H4">#REF!</definedName>
    <definedName name="U14H5">#REF!</definedName>
    <definedName name="U14H6">#REF!</definedName>
    <definedName name="U14H7">#REF!</definedName>
    <definedName name="U14H8">#REF!</definedName>
    <definedName name="U14H9">#REF!</definedName>
    <definedName name="U14IH1">#REF!</definedName>
    <definedName name="U14IH2">#REF!</definedName>
    <definedName name="U14IH3">#REF!</definedName>
    <definedName name="U14IH4">#REF!</definedName>
    <definedName name="U14IH5">#REF!</definedName>
    <definedName name="U15H1">#REF!</definedName>
    <definedName name="U15H10">#REF!</definedName>
    <definedName name="U15H11">#REF!</definedName>
    <definedName name="U15H12">#REF!</definedName>
    <definedName name="U15H13">#REF!</definedName>
    <definedName name="U15H14">#REF!</definedName>
    <definedName name="U15H15">#REF!</definedName>
    <definedName name="U15H2">#REF!</definedName>
    <definedName name="U15H3">#REF!</definedName>
    <definedName name="U15H4">#REF!</definedName>
    <definedName name="U15H5">#REF!</definedName>
    <definedName name="U15H6">#REF!</definedName>
    <definedName name="U15H7">#REF!</definedName>
    <definedName name="U15H8">#REF!</definedName>
    <definedName name="U15H9">#REF!</definedName>
    <definedName name="U15IH1">#REF!</definedName>
    <definedName name="U15IH2">#REF!</definedName>
    <definedName name="U15IH3">#REF!</definedName>
    <definedName name="U15IH4">#REF!</definedName>
    <definedName name="U15IH5">#REF!</definedName>
    <definedName name="U1H1">#REF!</definedName>
    <definedName name="U1H10">#REF!</definedName>
    <definedName name="U1H11">#REF!</definedName>
    <definedName name="U1H12">#REF!</definedName>
    <definedName name="U1H13">#REF!</definedName>
    <definedName name="U1H14">#REF!</definedName>
    <definedName name="U1H15">#REF!</definedName>
    <definedName name="U1H2">#REF!</definedName>
    <definedName name="U1H3">#REF!</definedName>
    <definedName name="U1H4">#REF!</definedName>
    <definedName name="U1H5">#REF!</definedName>
    <definedName name="U1H6">#REF!</definedName>
    <definedName name="U1H7">#REF!</definedName>
    <definedName name="U1H8">#REF!</definedName>
    <definedName name="U1H9">#REF!</definedName>
    <definedName name="U1IH1">#REF!</definedName>
    <definedName name="U1IH2">#REF!</definedName>
    <definedName name="U1IH3">#REF!</definedName>
    <definedName name="U1IH4">#REF!</definedName>
    <definedName name="U1IH5">#REF!</definedName>
    <definedName name="U2H1">#REF!</definedName>
    <definedName name="U2H10">#REF!</definedName>
    <definedName name="U2H11">#REF!</definedName>
    <definedName name="U2H12">#REF!</definedName>
    <definedName name="U2H13">#REF!</definedName>
    <definedName name="U2H14">#REF!</definedName>
    <definedName name="U2H15">#REF!</definedName>
    <definedName name="U2H2">#REF!</definedName>
    <definedName name="U2H3">#REF!</definedName>
    <definedName name="U2H4">#REF!</definedName>
    <definedName name="U2H5">#REF!</definedName>
    <definedName name="U2H6">#REF!</definedName>
    <definedName name="U2H7">#REF!</definedName>
    <definedName name="U2H8">#REF!</definedName>
    <definedName name="U2H9">#REF!</definedName>
    <definedName name="U2IH1">#REF!</definedName>
    <definedName name="U2IH2">#REF!</definedName>
    <definedName name="U2IH3">#REF!</definedName>
    <definedName name="U2IH4">#REF!</definedName>
    <definedName name="U2IH5">#REF!</definedName>
    <definedName name="U3H1">#REF!</definedName>
    <definedName name="U3H10">#REF!</definedName>
    <definedName name="U3H11">#REF!</definedName>
    <definedName name="U3H12">#REF!</definedName>
    <definedName name="U3H13">#REF!</definedName>
    <definedName name="U3H14">#REF!</definedName>
    <definedName name="U3H15">#REF!</definedName>
    <definedName name="U3H2">#REF!</definedName>
    <definedName name="U3H3">#REF!</definedName>
    <definedName name="U3H4">#REF!</definedName>
    <definedName name="U3H5">#REF!</definedName>
    <definedName name="U3H6">#REF!</definedName>
    <definedName name="U3H7">#REF!</definedName>
    <definedName name="U3H8">#REF!</definedName>
    <definedName name="U3H9">#REF!</definedName>
    <definedName name="U3IH1">#REF!</definedName>
    <definedName name="U3IH2">#REF!</definedName>
    <definedName name="U3IH3">#REF!</definedName>
    <definedName name="U3IH4">#REF!</definedName>
    <definedName name="U3IH5">#REF!</definedName>
    <definedName name="U4H1">#REF!</definedName>
    <definedName name="U4H10">#REF!</definedName>
    <definedName name="U4H11">#REF!</definedName>
    <definedName name="U4H12">#REF!</definedName>
    <definedName name="U4H13">#REF!</definedName>
    <definedName name="U4H14">#REF!</definedName>
    <definedName name="U4H15">#REF!</definedName>
    <definedName name="U4H2">#REF!</definedName>
    <definedName name="U4H3">#REF!</definedName>
    <definedName name="U4H4">#REF!</definedName>
    <definedName name="U4H5">#REF!</definedName>
    <definedName name="U4H6">#REF!</definedName>
    <definedName name="U4H7">#REF!</definedName>
    <definedName name="U4H8">#REF!</definedName>
    <definedName name="U4H9">#REF!</definedName>
    <definedName name="U4IH1">#REF!</definedName>
    <definedName name="U4IH2">#REF!</definedName>
    <definedName name="U4IH3">#REF!</definedName>
    <definedName name="U4IH4">#REF!</definedName>
    <definedName name="U4IH5">#REF!</definedName>
    <definedName name="U5H1">#REF!</definedName>
    <definedName name="U5H10">#REF!</definedName>
    <definedName name="U5H11">#REF!</definedName>
    <definedName name="U5H12">#REF!</definedName>
    <definedName name="U5H13">#REF!</definedName>
    <definedName name="U5H14">#REF!</definedName>
    <definedName name="U5H15">#REF!</definedName>
    <definedName name="U5H2">#REF!</definedName>
    <definedName name="U5H3">#REF!</definedName>
    <definedName name="U5H4">#REF!</definedName>
    <definedName name="U5H5">#REF!</definedName>
    <definedName name="U5H6">#REF!</definedName>
    <definedName name="U5H7">#REF!</definedName>
    <definedName name="U5H8">#REF!</definedName>
    <definedName name="U5H9">#REF!</definedName>
    <definedName name="U5IH1">#REF!</definedName>
    <definedName name="U5IH2">#REF!</definedName>
    <definedName name="U5IH3">#REF!</definedName>
    <definedName name="U5IH4">#REF!</definedName>
    <definedName name="U5IH5">#REF!</definedName>
    <definedName name="U6H1">#REF!</definedName>
    <definedName name="U6H10">#REF!</definedName>
    <definedName name="U6H11">#REF!</definedName>
    <definedName name="U6H12">#REF!</definedName>
    <definedName name="U6H13">#REF!</definedName>
    <definedName name="U6H14">#REF!</definedName>
    <definedName name="U6H15">#REF!</definedName>
    <definedName name="U6H2">#REF!</definedName>
    <definedName name="U6H3">#REF!</definedName>
    <definedName name="U6H4">#REF!</definedName>
    <definedName name="U6H5">#REF!</definedName>
    <definedName name="U6H6">#REF!</definedName>
    <definedName name="U6H7">#REF!</definedName>
    <definedName name="U6H8">#REF!</definedName>
    <definedName name="U6H9">#REF!</definedName>
    <definedName name="U6IH1">#REF!</definedName>
    <definedName name="U6IH2">#REF!</definedName>
    <definedName name="U6IH3">#REF!</definedName>
    <definedName name="U6IH4">#REF!</definedName>
    <definedName name="U6IH5">#REF!</definedName>
    <definedName name="U7H1">#REF!</definedName>
    <definedName name="U7H10">#REF!</definedName>
    <definedName name="U7H11">#REF!</definedName>
    <definedName name="U7H12">#REF!</definedName>
    <definedName name="U7H13">#REF!</definedName>
    <definedName name="U7H14">#REF!</definedName>
    <definedName name="U7H15">#REF!</definedName>
    <definedName name="U7H2">#REF!</definedName>
    <definedName name="U7H3">#REF!</definedName>
    <definedName name="U7H4">#REF!</definedName>
    <definedName name="U7H5">#REF!</definedName>
    <definedName name="U7H6">#REF!</definedName>
    <definedName name="U7H7">#REF!</definedName>
    <definedName name="U7H8">#REF!</definedName>
    <definedName name="U7H9">#REF!</definedName>
    <definedName name="U7IH1">#REF!</definedName>
    <definedName name="U7IH2">#REF!</definedName>
    <definedName name="U7IH3">#REF!</definedName>
    <definedName name="U7IH4">#REF!</definedName>
    <definedName name="U7IH5">#REF!</definedName>
    <definedName name="U8H1">#REF!</definedName>
    <definedName name="U8H10">#REF!</definedName>
    <definedName name="U8H11">#REF!</definedName>
    <definedName name="U8H12">#REF!</definedName>
    <definedName name="U8H13">#REF!</definedName>
    <definedName name="U8H14">#REF!</definedName>
    <definedName name="U8H15">#REF!</definedName>
    <definedName name="U8H2">#REF!</definedName>
    <definedName name="U8H3">#REF!</definedName>
    <definedName name="U8H4">#REF!</definedName>
    <definedName name="U8H5">#REF!</definedName>
    <definedName name="U8H6">#REF!</definedName>
    <definedName name="U8H7">#REF!</definedName>
    <definedName name="U8H8">#REF!</definedName>
    <definedName name="U8H9">#REF!</definedName>
    <definedName name="U8IH1">#REF!</definedName>
    <definedName name="U8IH2">#REF!</definedName>
    <definedName name="U8IH3">#REF!</definedName>
    <definedName name="U8IH4">#REF!</definedName>
    <definedName name="U8IH5">#REF!</definedName>
    <definedName name="U9H1">#REF!</definedName>
    <definedName name="U9H10">#REF!</definedName>
    <definedName name="U9H11">#REF!</definedName>
    <definedName name="U9H12">#REF!</definedName>
    <definedName name="U9H13">#REF!</definedName>
    <definedName name="U9H14">#REF!</definedName>
    <definedName name="U9H15">#REF!</definedName>
    <definedName name="U9H2">#REF!</definedName>
    <definedName name="U9H3">#REF!</definedName>
    <definedName name="U9H4">#REF!</definedName>
    <definedName name="U9H5">#REF!</definedName>
    <definedName name="U9H6">#REF!</definedName>
    <definedName name="U9H7">#REF!</definedName>
    <definedName name="U9H8">#REF!</definedName>
    <definedName name="U9H9">#REF!</definedName>
    <definedName name="U9IH1">#REF!</definedName>
    <definedName name="U9IH2">#REF!</definedName>
    <definedName name="U9IH3">#REF!</definedName>
    <definedName name="U9IH4">#REF!</definedName>
    <definedName name="U9IH5">#REF!</definedName>
    <definedName name="UE1H1">#REF!</definedName>
    <definedName name="UE1H10">#REF!</definedName>
    <definedName name="UE1H11">#REF!</definedName>
    <definedName name="UE1H12">#REF!</definedName>
    <definedName name="UE1H13">#REF!</definedName>
    <definedName name="UE1H14">#REF!</definedName>
    <definedName name="UE1H15">#REF!</definedName>
    <definedName name="UE1H2">#REF!</definedName>
    <definedName name="UE1H3">#REF!</definedName>
    <definedName name="UE1H4">#REF!</definedName>
    <definedName name="UE1H5">#REF!</definedName>
    <definedName name="UE1H6">#REF!</definedName>
    <definedName name="UE1H7">#REF!</definedName>
    <definedName name="UE1H8">#REF!</definedName>
    <definedName name="UE1H9">#REF!</definedName>
    <definedName name="UE1IH1">#REF!</definedName>
    <definedName name="UE1IH2">#REF!</definedName>
    <definedName name="UE1IH3">#REF!</definedName>
    <definedName name="UE1IH4">#REF!</definedName>
    <definedName name="UE1IH5">#REF!</definedName>
    <definedName name="UE2H1">#REF!</definedName>
    <definedName name="UE2H10">#REF!</definedName>
    <definedName name="UE2H11">#REF!</definedName>
    <definedName name="UE2H12">#REF!</definedName>
    <definedName name="UE2H13">#REF!</definedName>
    <definedName name="UE2H14">#REF!</definedName>
    <definedName name="UE2H15">#REF!</definedName>
    <definedName name="UE2H2">#REF!</definedName>
    <definedName name="UE2H3">#REF!</definedName>
    <definedName name="UE2H4">#REF!</definedName>
    <definedName name="UE2H5">#REF!</definedName>
    <definedName name="UE2H6">#REF!</definedName>
    <definedName name="UE2H7">#REF!</definedName>
    <definedName name="UE2H8">#REF!</definedName>
    <definedName name="UE2H9">#REF!</definedName>
    <definedName name="UE2IH1">#REF!</definedName>
    <definedName name="UE2IH2">#REF!</definedName>
    <definedName name="UE2IH3">#REF!</definedName>
    <definedName name="UE2IH4">#REF!</definedName>
    <definedName name="UE2IH5">#REF!</definedName>
    <definedName name="UNI_AA_VERSION" hidden="1">"150.2.0"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R7C1" hidden="1">#REF!</definedName>
    <definedName name="UNIFORMANCES1R7C13" hidden="1">#REF!</definedName>
    <definedName name="UNIFORMANCES1R7C17" hidden="1">#REF!</definedName>
    <definedName name="UNIFORMANCES1R7C21" hidden="1">#REF!</definedName>
    <definedName name="UNIFORMANCES1R7C25" hidden="1">#REF!</definedName>
    <definedName name="UNIFORMANCES1R7C29" hidden="1">#REF!</definedName>
    <definedName name="UNIFORMANCES1R7C33" hidden="1">#REF!</definedName>
    <definedName name="UNIFORMANCES1R7C37" hidden="1">#REF!</definedName>
    <definedName name="UNIFORMANCES1R7C41" hidden="1">#REF!</definedName>
    <definedName name="UNIFORMANCES1R7C45" hidden="1">#REF!</definedName>
    <definedName name="UNIFORMANCES1R7C5" hidden="1">#REF!</definedName>
    <definedName name="UNIFORMANCES1R7C9" hidden="1">#REF!</definedName>
    <definedName name="UNIFORMANCES2R7C1" hidden="1">#REF!</definedName>
    <definedName name="UNIFORMANCES2R7C13" hidden="1">#REF!</definedName>
    <definedName name="UNIFORMANCES2R7C17" hidden="1">#REF!</definedName>
    <definedName name="UNIFORMANCES2R7C21" hidden="1">#REF!</definedName>
    <definedName name="UNIFORMANCES2R7C25" hidden="1">#REF!</definedName>
    <definedName name="UNIFORMANCES2R7C29" hidden="1">#REF!</definedName>
    <definedName name="UNIFORMANCES2R7C33" hidden="1">#REF!</definedName>
    <definedName name="UNIFORMANCES2R7C37" hidden="1">#REF!</definedName>
    <definedName name="UNIFORMANCES2R7C41" hidden="1">#REF!</definedName>
    <definedName name="UNIFORMANCES2R7C45" hidden="1">#REF!</definedName>
    <definedName name="UNIFORMANCES2R7C5" hidden="1">#REF!</definedName>
    <definedName name="UNIFORMANCES2R7C9" hidden="1">#REF!</definedName>
    <definedName name="UNIFORMANCES3R15C10" hidden="1">#REF!</definedName>
    <definedName name="UNIFORMANCES3R15C11" hidden="1">#REF!</definedName>
    <definedName name="UNIFORMANCES3R15C12" hidden="1">#REF!</definedName>
    <definedName name="UNIFORMANCES3R15C13" hidden="1">#REF!</definedName>
    <definedName name="UNIFORMANCES3R15C14" hidden="1">#REF!</definedName>
    <definedName name="UNIFORMANCES3R15C15" hidden="1">#REF!</definedName>
    <definedName name="UNIFORMANCES3R15C16" hidden="1">#REF!</definedName>
    <definedName name="UNIFORMANCES3R15C17" hidden="1">#REF!</definedName>
    <definedName name="UNIFORMANCES3R15C18" hidden="1">#REF!</definedName>
    <definedName name="UNIFORMANCES3R15C19" hidden="1">#REF!</definedName>
    <definedName name="UNIFORMANCES3R15C2" hidden="1">#REF!</definedName>
    <definedName name="UNIFORMANCES3R15C20" hidden="1">#REF!</definedName>
    <definedName name="UNIFORMANCES3R15C21" hidden="1">#REF!</definedName>
    <definedName name="UNIFORMANCES3R15C22" hidden="1">#REF!</definedName>
    <definedName name="UNIFORMANCES3R15C23" hidden="1">#REF!</definedName>
    <definedName name="UNIFORMANCES3R15C24" hidden="1">#REF!</definedName>
    <definedName name="UNIFORMANCES3R15C25" hidden="1">#REF!</definedName>
    <definedName name="UNIFORMANCES3R15C26" hidden="1">#REF!</definedName>
    <definedName name="UNIFORMANCES3R15C27" hidden="1">#REF!</definedName>
    <definedName name="UNIFORMANCES3R15C28" hidden="1">#REF!</definedName>
    <definedName name="UNIFORMANCES3R15C29" hidden="1">#REF!</definedName>
    <definedName name="UNIFORMANCES3R15C30" hidden="1">#REF!</definedName>
    <definedName name="UNIFORMANCES3R15C31" hidden="1">#REF!</definedName>
    <definedName name="UNIFORMANCES3R15C32" hidden="1">#REF!</definedName>
    <definedName name="UNIFORMANCES3R15C33" hidden="1">#REF!</definedName>
    <definedName name="UNIFORMANCES3R15C34" hidden="1">#REF!</definedName>
    <definedName name="UNIFORMANCES3R15C35" hidden="1">#REF!</definedName>
    <definedName name="UNIFORMANCES3R15C36" hidden="1">#REF!</definedName>
    <definedName name="UNIFORMANCES3R15C37" hidden="1">#REF!</definedName>
    <definedName name="UNIFORMANCES3R15C38" hidden="1">#REF!</definedName>
    <definedName name="UNIFORMANCES3R15C39" hidden="1">#REF!</definedName>
    <definedName name="UNIFORMANCES3R15C4" hidden="1">#REF!</definedName>
    <definedName name="UNIFORMANCES3R15C40" hidden="1">#REF!</definedName>
    <definedName name="UNIFORMANCES3R15C41" hidden="1">#REF!</definedName>
    <definedName name="UNIFORMANCES3R15C42" hidden="1">#REF!</definedName>
    <definedName name="UNIFORMANCES3R15C43" hidden="1">#REF!</definedName>
    <definedName name="UNIFORMANCES3R15C44" hidden="1">#REF!</definedName>
    <definedName name="UNIFORMANCES3R15C45" hidden="1">#REF!</definedName>
    <definedName name="UNIFORMANCES3R15C46" hidden="1">#REF!</definedName>
    <definedName name="UNIFORMANCES3R15C47" hidden="1">#REF!</definedName>
    <definedName name="UNIFORMANCES3R15C48" hidden="1">#REF!</definedName>
    <definedName name="UNIFORMANCES3R15C49" hidden="1">#REF!</definedName>
    <definedName name="UNIFORMANCES3R15C5" hidden="1">#REF!</definedName>
    <definedName name="UNIFORMANCES3R15C52" hidden="1">#REF!</definedName>
    <definedName name="UNIFORMANCES3R15C53" hidden="1">#REF!</definedName>
    <definedName name="UNIFORMANCES3R15C54" hidden="1">#REF!</definedName>
    <definedName name="UNIFORMANCES3R15C55" hidden="1">#REF!</definedName>
    <definedName name="UNIFORMANCES3R15C56" hidden="1">#REF!</definedName>
    <definedName name="UNIFORMANCES3R15C57" hidden="1">#REF!</definedName>
    <definedName name="UNIFORMANCES3R15C58" hidden="1">#REF!</definedName>
    <definedName name="UNIFORMANCES3R15C59" hidden="1">#REF!</definedName>
    <definedName name="UNIFORMANCES3R15C6" hidden="1">#REF!</definedName>
    <definedName name="UNIFORMANCES3R15C60" hidden="1">#REF!</definedName>
    <definedName name="UNIFORMANCES3R15C61" hidden="1">#REF!</definedName>
    <definedName name="UNIFORMANCES3R15C62" hidden="1">#REF!</definedName>
    <definedName name="UNIFORMANCES3R15C63" hidden="1">#REF!</definedName>
    <definedName name="UNIFORMANCES3R15C64" hidden="1">#REF!</definedName>
    <definedName name="UNIFORMANCES3R15C65" hidden="1">#REF!</definedName>
    <definedName name="UNIFORMANCES3R15C66" hidden="1">#REF!</definedName>
    <definedName name="UNIFORMANCES3R15C67" hidden="1">#REF!</definedName>
    <definedName name="UNIFORMANCES3R15C68" hidden="1">#REF!</definedName>
    <definedName name="UNIFORMANCES3R15C69" hidden="1">#REF!</definedName>
    <definedName name="UNIFORMANCES3R15C7" hidden="1">#REF!</definedName>
    <definedName name="UNIFORMANCES3R15C70" hidden="1">#REF!</definedName>
    <definedName name="UNIFORMANCES3R15C8" hidden="1">#REF!</definedName>
    <definedName name="UNIFORMANCES3R15C9" hidden="1">#REF!</definedName>
    <definedName name="UNIFORMANCES4R5C11" hidden="1">#REF!</definedName>
    <definedName name="UNIFORMANCES4R5C22" hidden="1">#REF!</definedName>
    <definedName name="UNIT_LBHR">"(lb/hr)"</definedName>
    <definedName name="UNIT_LBTON">"(lb/ton)"</definedName>
    <definedName name="UPLEXOP1">#REF!</definedName>
    <definedName name="UPLEXOP2">#REF!</definedName>
    <definedName name="UPLOP1">#REF!</definedName>
    <definedName name="UPLOP10">#REF!</definedName>
    <definedName name="UPLOP11">#REF!</definedName>
    <definedName name="UPLOP12">#REF!</definedName>
    <definedName name="UPLOP13">#REF!</definedName>
    <definedName name="UPLOP14">#REF!</definedName>
    <definedName name="UPLOP15">#REF!</definedName>
    <definedName name="UPLOP2">#REF!</definedName>
    <definedName name="UPLOP3">#REF!</definedName>
    <definedName name="UPLOP4">#REF!</definedName>
    <definedName name="UPLOP5">#REF!</definedName>
    <definedName name="UPLOP6">#REF!</definedName>
    <definedName name="UPLOP7">#REF!</definedName>
    <definedName name="UPLOP8">#REF!</definedName>
    <definedName name="UPLOP9">#REF!</definedName>
    <definedName name="UPSEXOP1">#REF!</definedName>
    <definedName name="UPSEXOP2">#REF!</definedName>
    <definedName name="UPSOP1">#REF!</definedName>
    <definedName name="UPSOP10">#REF!</definedName>
    <definedName name="UPSOP11">#REF!</definedName>
    <definedName name="UPSOP12">#REF!</definedName>
    <definedName name="UPSOP13">#REF!</definedName>
    <definedName name="UPSOP14">#REF!</definedName>
    <definedName name="UPSOP15">#REF!</definedName>
    <definedName name="UPSOP2">#REF!</definedName>
    <definedName name="UPSOP3">#REF!</definedName>
    <definedName name="UPSOP4">#REF!</definedName>
    <definedName name="UPSOP5">#REF!</definedName>
    <definedName name="UPSOP6">#REF!</definedName>
    <definedName name="UPSOP7">#REF!</definedName>
    <definedName name="UPSOP8">#REF!</definedName>
    <definedName name="UPSOP9">#REF!</definedName>
    <definedName name="Uptime">#REF!</definedName>
    <definedName name="UVDEXOP1">#REF!</definedName>
    <definedName name="UVDEXOP2">#REF!</definedName>
    <definedName name="UVLEXOP1">#REF!</definedName>
    <definedName name="UVLEXOP2">#REF!</definedName>
    <definedName name="UVLOP1">#REF!</definedName>
    <definedName name="UVLOP10">#REF!</definedName>
    <definedName name="UVLOP11">#REF!</definedName>
    <definedName name="UVLOP12">#REF!</definedName>
    <definedName name="UVLOP13">#REF!</definedName>
    <definedName name="UVLOP14">#REF!</definedName>
    <definedName name="UVLOP15">#REF!</definedName>
    <definedName name="UVLOP2">#REF!</definedName>
    <definedName name="UVLOP3">#REF!</definedName>
    <definedName name="UVLOP4">#REF!</definedName>
    <definedName name="UVLOP5">#REF!</definedName>
    <definedName name="UVLOP6">#REF!</definedName>
    <definedName name="UVLOP7">#REF!</definedName>
    <definedName name="UVLOP8">#REF!</definedName>
    <definedName name="UVLOP9">#REF!</definedName>
    <definedName name="UVSEXOP1">#REF!</definedName>
    <definedName name="UVSEXOP2">#REF!</definedName>
    <definedName name="UVSOP1">#REF!</definedName>
    <definedName name="UVSOP10">#REF!</definedName>
    <definedName name="UVSOP11">#REF!</definedName>
    <definedName name="UVSOP12">#REF!</definedName>
    <definedName name="UVSOP13">#REF!</definedName>
    <definedName name="UVSOP14">#REF!</definedName>
    <definedName name="UVSOP15">#REF!</definedName>
    <definedName name="UVSOP2">#REF!</definedName>
    <definedName name="UVSOP3">#REF!</definedName>
    <definedName name="UVSOP4">#REF!</definedName>
    <definedName name="UVSOP5">#REF!</definedName>
    <definedName name="UVSOP6">#REF!</definedName>
    <definedName name="UVSOP7">#REF!</definedName>
    <definedName name="UVSOP8">#REF!</definedName>
    <definedName name="UVSOP9">#REF!</definedName>
    <definedName name="V">#REF!</definedName>
    <definedName name="V_MW_">#REF!</definedName>
    <definedName name="V_MW_67">#REF!</definedName>
    <definedName name="V_MW2_">#REF!</definedName>
    <definedName name="valve_ct">#REF!</definedName>
    <definedName name="VAP_P_67">#REF!</definedName>
    <definedName name="VEL">#REF!</definedName>
    <definedName name="Vlx">#REF!</definedName>
    <definedName name="VOC">#REF!</definedName>
    <definedName name="VOCfuel">#REF!</definedName>
    <definedName name="VOLUMES">#REF!</definedName>
    <definedName name="vom">#REF!</definedName>
    <definedName name="vomce">#REF!</definedName>
    <definedName name="VOMEF">#REF!</definedName>
    <definedName name="vomrate">#REF!</definedName>
    <definedName name="VP_data">#REF!</definedName>
    <definedName name="Vv">#REF!</definedName>
    <definedName name="Vvv">#REF!</definedName>
    <definedName name="WhichKiln">#REF!</definedName>
    <definedName name="Without_PM_NH3_HAP">#REF!,#REF!,#REF!,#REF!</definedName>
    <definedName name="workNRAFc">#REF!</definedName>
    <definedName name="workNRAFnc">#REF!</definedName>
    <definedName name="wrn.1995._.TEDI._.Calcs." localSheetId="16" hidden="1">{#N/A,#N/A,TRUE,"TEDI Calc's (Summary)";#N/A,#N/A,TRUE,"TEDI Calc's (Detailed)"}</definedName>
    <definedName name="wrn.1995._.TEDI._.Calcs." localSheetId="17" hidden="1">{#N/A,#N/A,TRUE,"TEDI Calc's (Summary)";#N/A,#N/A,TRUE,"TEDI Calc's (Detailed)"}</definedName>
    <definedName name="wrn.1995._.TEDI._.Calcs." localSheetId="2" hidden="1">{#N/A,#N/A,TRUE,"TEDI Calc's (Summary)";#N/A,#N/A,TRUE,"TEDI Calc's (Detailed)"}</definedName>
    <definedName name="wrn.1995._.TEDI._.Calcs." hidden="1">{#N/A,#N/A,TRUE,"TEDI Calc's (Summary)";#N/A,#N/A,TRUE,"TEDI Calc's (Detailed)"}</definedName>
    <definedName name="wrn.1996._.EIS._.Report." localSheetId="16"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wrn.1996._.EIS._.Report." localSheetId="17"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wrn.1996._.EIS._.Report." localSheetId="2"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wrn.1996._.EIS._.Report."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wrn.1996._.Emission._.Inventory." localSheetId="16"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wrn.1996._.Emission._.Inventory." localSheetId="17"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wrn.1996._.Emission._.Inventory." localSheetId="2"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wrn.1996._.Emission._.Inventory."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wrn.all." localSheetId="16" hidden="1">{#N/A,#N/A,FALSE,"Results";#N/A,#N/A,FALSE,"Composition";#N/A,#N/A,FALSE,"Speciation"}</definedName>
    <definedName name="wrn.all." localSheetId="17" hidden="1">{#N/A,#N/A,FALSE,"Results";#N/A,#N/A,FALSE,"Composition";#N/A,#N/A,FALSE,"Speciation"}</definedName>
    <definedName name="wrn.all." localSheetId="2" hidden="1">{#N/A,#N/A,FALSE,"Results";#N/A,#N/A,FALSE,"Composition";#N/A,#N/A,FALSE,"Speciation"}</definedName>
    <definedName name="wrn.all." hidden="1">{#N/A,#N/A,FALSE,"Results";#N/A,#N/A,FALSE,"Composition";#N/A,#N/A,FALSE,"Speciation"}</definedName>
    <definedName name="wrn.COMPLETEPRINT." localSheetId="16" hidden="1">{#N/A,#N/A,FALSE,"Rates";#N/A,#N/A,FALSE,"Summary";#N/A,#N/A,FALSE,"Boilers";#N/A,#N/A,FALSE,"Cyclones";#N/A,#N/A,FALSE,"Saws";#N/A,#N/A,FALSE,"Drops";#N/A,#N/A,FALSE,"Piles";#N/A,#N/A,FALSE,"Roads";#N/A,#N/A,FALSE,"Tanks";#N/A,#N/A,FALSE,"Kilns";#N/A,#N/A,FALSE,"Model"}</definedName>
    <definedName name="wrn.COMPLETEPRINT." localSheetId="17" hidden="1">{#N/A,#N/A,FALSE,"Rates";#N/A,#N/A,FALSE,"Summary";#N/A,#N/A,FALSE,"Boilers";#N/A,#N/A,FALSE,"Cyclones";#N/A,#N/A,FALSE,"Saws";#N/A,#N/A,FALSE,"Drops";#N/A,#N/A,FALSE,"Piles";#N/A,#N/A,FALSE,"Roads";#N/A,#N/A,FALSE,"Tanks";#N/A,#N/A,FALSE,"Kilns";#N/A,#N/A,FALSE,"Model"}</definedName>
    <definedName name="wrn.COMPLETEPRINT." localSheetId="2" hidden="1">{#N/A,#N/A,FALSE,"Rates";#N/A,#N/A,FALSE,"Summary";#N/A,#N/A,FALSE,"Boilers";#N/A,#N/A,FALSE,"Cyclones";#N/A,#N/A,FALSE,"Saws";#N/A,#N/A,FALSE,"Drops";#N/A,#N/A,FALSE,"Piles";#N/A,#N/A,FALSE,"Roads";#N/A,#N/A,FALSE,"Tanks";#N/A,#N/A,FALSE,"Kilns";#N/A,#N/A,FALSE,"Model"}</definedName>
    <definedName name="wrn.COMPLETEPRINT." hidden="1">{#N/A,#N/A,FALSE,"Rates";#N/A,#N/A,FALSE,"Summary";#N/A,#N/A,FALSE,"Boilers";#N/A,#N/A,FALSE,"Cyclones";#N/A,#N/A,FALSE,"Saws";#N/A,#N/A,FALSE,"Drops";#N/A,#N/A,FALSE,"Piles";#N/A,#N/A,FALSE,"Roads";#N/A,#N/A,FALSE,"Tanks";#N/A,#N/A,FALSE,"Kilns";#N/A,#N/A,FALSE,"Model"}</definedName>
    <definedName name="wrn.Compositions." localSheetId="16" hidden="1">{"Compositions",#N/A,FALSE,"TTU Summary"}</definedName>
    <definedName name="wrn.Compositions." localSheetId="17" hidden="1">{"Compositions",#N/A,FALSE,"TTU Summary"}</definedName>
    <definedName name="wrn.Compositions." localSheetId="2" hidden="1">{"Compositions",#N/A,FALSE,"TTU Summary"}</definedName>
    <definedName name="wrn.Compositions." hidden="1">{"Compositions",#N/A,FALSE,"TTU Summary"}</definedName>
    <definedName name="wrn.Confidential." localSheetId="22"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23"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24"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25"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1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17"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2"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riteria._.Summary." localSheetId="16" hidden="1">{"CO",#N/A,FALSE,"Criteria Summary";"H2S",#N/A,FALSE,"Criteria Summary";"NOx",#N/A,FALSE,"Criteria Summary";"Other TRS",#N/A,FALSE,"Criteria Summary";"PM10",#N/A,FALSE,"Criteria Summary";"SO2",#N/A,FALSE,"Criteria Summary";"VOC",#N/A,FALSE,"Criteria Summary";#N/A,#N/A,FALSE,"VOC Summary";#N/A,#N/A,FALSE,"Other Toxics"}</definedName>
    <definedName name="wrn.Criteria._.Summary." localSheetId="17" hidden="1">{"CO",#N/A,FALSE,"Criteria Summary";"H2S",#N/A,FALSE,"Criteria Summary";"NOx",#N/A,FALSE,"Criteria Summary";"Other TRS",#N/A,FALSE,"Criteria Summary";"PM10",#N/A,FALSE,"Criteria Summary";"SO2",#N/A,FALSE,"Criteria Summary";"VOC",#N/A,FALSE,"Criteria Summary";#N/A,#N/A,FALSE,"VOC Summary";#N/A,#N/A,FALSE,"Other Toxics"}</definedName>
    <definedName name="wrn.Criteria._.Summary." localSheetId="2" hidden="1">{"CO",#N/A,FALSE,"Criteria Summary";"H2S",#N/A,FALSE,"Criteria Summary";"NOx",#N/A,FALSE,"Criteria Summary";"Other TRS",#N/A,FALSE,"Criteria Summary";"PM10",#N/A,FALSE,"Criteria Summary";"SO2",#N/A,FALSE,"Criteria Summary";"VOC",#N/A,FALSE,"Criteria Summary";#N/A,#N/A,FALSE,"VOC Summary";#N/A,#N/A,FALSE,"Other Toxics"}</definedName>
    <definedName name="wrn.Criteria._.Summary." hidden="1">{"CO",#N/A,FALSE,"Criteria Summary";"H2S",#N/A,FALSE,"Criteria Summary";"NOx",#N/A,FALSE,"Criteria Summary";"Other TRS",#N/A,FALSE,"Criteria Summary";"PM10",#N/A,FALSE,"Criteria Summary";"SO2",#N/A,FALSE,"Criteria Summary";"VOC",#N/A,FALSE,"Criteria Summary";#N/A,#N/A,FALSE,"VOC Summary";#N/A,#N/A,FALSE,"Other Toxics"}</definedName>
    <definedName name="wrn.Crosby._.Modeling._.Summary." localSheetId="16" hidden="1">{#N/A,#N/A,FALSE,"Modeled Emissions";#N/A,#N/A,FALSE,"Modeling Results"}</definedName>
    <definedName name="wrn.Crosby._.Modeling._.Summary." localSheetId="17" hidden="1">{#N/A,#N/A,FALSE,"Modeled Emissions";#N/A,#N/A,FALSE,"Modeling Results"}</definedName>
    <definedName name="wrn.Crosby._.Modeling._.Summary." localSheetId="2" hidden="1">{#N/A,#N/A,FALSE,"Modeled Emissions";#N/A,#N/A,FALSE,"Modeling Results"}</definedName>
    <definedName name="wrn.Crosby._.Modeling._.Summary." hidden="1">{#N/A,#N/A,FALSE,"Modeled Emissions";#N/A,#N/A,FALSE,"Modeling Results"}</definedName>
    <definedName name="wrn.Data._.Reduction." localSheetId="16" hidden="1">{"Inputs",#N/A,FALSE,"Data Reduction";"Outputs",#N/A,FALSE,"Data Reduction";"Cycle Deck Comparison",#N/A,FALSE,"Data Reduction"}</definedName>
    <definedName name="wrn.Data._.Reduction." localSheetId="17" hidden="1">{"Inputs",#N/A,FALSE,"Data Reduction";"Outputs",#N/A,FALSE,"Data Reduction";"Cycle Deck Comparison",#N/A,FALSE,"Data Reduction"}</definedName>
    <definedName name="wrn.Data._.Reduction." localSheetId="2" hidden="1">{"Inputs",#N/A,FALSE,"Data Reduction";"Outputs",#N/A,FALSE,"Data Reduction";"Cycle Deck Comparison",#N/A,FALSE,"Data Reduction"}</definedName>
    <definedName name="wrn.Data._.Reduction." hidden="1">{"Inputs",#N/A,FALSE,"Data Reduction";"Outputs",#N/A,FALSE,"Data Reduction";"Cycle Deck Comparison",#N/A,FALSE,"Data Reduction"}</definedName>
    <definedName name="wrn.Detailed._.and._.Summary._.Report." localSheetId="16" hidden="1">{"Detailed",#N/A,FALSE,"GAS-COMB";"Summary",#N/A,FALSE,"GAS-COMB"}</definedName>
    <definedName name="wrn.Detailed._.and._.Summary._.Report." localSheetId="17" hidden="1">{"Detailed",#N/A,FALSE,"GAS-COMB";"Summary",#N/A,FALSE,"GAS-COMB"}</definedName>
    <definedName name="wrn.Detailed._.and._.Summary._.Report." localSheetId="2" hidden="1">{"Detailed",#N/A,FALSE,"GAS-COMB";"Summary",#N/A,FALSE,"GAS-COMB"}</definedName>
    <definedName name="wrn.Detailed._.and._.Summary._.Report." hidden="1">{"Detailed",#N/A,FALSE,"GAS-COMB";"Summary",#N/A,FALSE,"GAS-COMB"}</definedName>
    <definedName name="wrn.Detailed._.Report." localSheetId="16" hidden="1">{"Detailed",#N/A,FALSE,"GAS-COMB"}</definedName>
    <definedName name="wrn.Detailed._.Report." localSheetId="17" hidden="1">{"Detailed",#N/A,FALSE,"GAS-COMB"}</definedName>
    <definedName name="wrn.Detailed._.Report." localSheetId="2" hidden="1">{"Detailed",#N/A,FALSE,"GAS-COMB"}</definedName>
    <definedName name="wrn.Detailed._.Report." hidden="1">{"Detailed",#N/A,FALSE,"GAS-COMB"}</definedName>
    <definedName name="wrn.EPNs." localSheetId="16"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wrn.EPNs." localSheetId="17"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wrn.EPNs." localSheetId="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wrn.EPNs."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wrn.Flare._.Permit._.Tables." localSheetId="16" hidden="1">{#N/A,#N/A,FALSE,"Annual Summary";#N/A,#N/A,FALSE,"Hourly Summary";#N/A,#N/A,FALSE,"Flare Combustion";#N/A,#N/A,FALSE,"Shipping";#N/A,#N/A,FALSE,"Process Turnaround";#N/A,#N/A,FALSE,"Lab Samples";#N/A,#N/A,FALSE,"Product Cycles 5-4";#N/A,#N/A,FALSE,"5-4.1";#N/A,#N/A,FALSE,"5-4.2";#N/A,#N/A,FALSE,"Physical Prop Data"}</definedName>
    <definedName name="wrn.Flare._.Permit._.Tables." localSheetId="17" hidden="1">{#N/A,#N/A,FALSE,"Annual Summary";#N/A,#N/A,FALSE,"Hourly Summary";#N/A,#N/A,FALSE,"Flare Combustion";#N/A,#N/A,FALSE,"Shipping";#N/A,#N/A,FALSE,"Process Turnaround";#N/A,#N/A,FALSE,"Lab Samples";#N/A,#N/A,FALSE,"Product Cycles 5-4";#N/A,#N/A,FALSE,"5-4.1";#N/A,#N/A,FALSE,"5-4.2";#N/A,#N/A,FALSE,"Physical Prop Data"}</definedName>
    <definedName name="wrn.Flare._.Permit._.Tables." localSheetId="2" hidden="1">{#N/A,#N/A,FALSE,"Annual Summary";#N/A,#N/A,FALSE,"Hourly Summary";#N/A,#N/A,FALSE,"Flare Combustion";#N/A,#N/A,FALSE,"Shipping";#N/A,#N/A,FALSE,"Process Turnaround";#N/A,#N/A,FALSE,"Lab Samples";#N/A,#N/A,FALSE,"Product Cycles 5-4";#N/A,#N/A,FALSE,"5-4.1";#N/A,#N/A,FALSE,"5-4.2";#N/A,#N/A,FALSE,"Physical Prop Data"}</definedName>
    <definedName name="wrn.Flare._.Permit._.Tables." hidden="1">{#N/A,#N/A,FALSE,"Annual Summary";#N/A,#N/A,FALSE,"Hourly Summary";#N/A,#N/A,FALSE,"Flare Combustion";#N/A,#N/A,FALSE,"Shipping";#N/A,#N/A,FALSE,"Process Turnaround";#N/A,#N/A,FALSE,"Lab Samples";#N/A,#N/A,FALSE,"Product Cycles 5-4";#N/A,#N/A,FALSE,"5-4.1";#N/A,#N/A,FALSE,"5-4.2";#N/A,#N/A,FALSE,"Physical Prop Data"}</definedName>
    <definedName name="wrn.Input._.Section." localSheetId="16" hidden="1">{"Input Section",#N/A,FALSE,"TTU Summary"}</definedName>
    <definedName name="wrn.Input._.Section." localSheetId="17" hidden="1">{"Input Section",#N/A,FALSE,"TTU Summary"}</definedName>
    <definedName name="wrn.Input._.Section." localSheetId="2" hidden="1">{"Input Section",#N/A,FALSE,"TTU Summary"}</definedName>
    <definedName name="wrn.Input._.Section." hidden="1">{"Input Section",#N/A,FALSE,"TTU Summary"}</definedName>
    <definedName name="wrn.Instructions." localSheetId="16" hidden="1">{"Instructions",#N/A,FALSE,"TTU Summary"}</definedName>
    <definedName name="wrn.Instructions." localSheetId="17" hidden="1">{"Instructions",#N/A,FALSE,"TTU Summary"}</definedName>
    <definedName name="wrn.Instructions." localSheetId="2" hidden="1">{"Instructions",#N/A,FALSE,"TTU Summary"}</definedName>
    <definedName name="wrn.Instructions." hidden="1">{"Instructions",#N/A,FALSE,"TTU Summary"}</definedName>
    <definedName name="wrn.NSR._.Calculations._.Report." localSheetId="16" hidden="1">{#N/A,#N/A,FALSE,"PSD";"boiler criteria",#N/A,FALSE,"Boiler (T5)";"boiler toxic",#N/A,FALSE,"Boiler (T5)";#N/A,#N/A,FALSE,"Boiler (1994)";#N/A,#N/A,FALSE,"Boiler (1995)";#N/A,#N/A,FALSE,"Cyclones";"title v",#N/A,FALSE,"DRYERS1";"actual",#N/A,FALSE,"DRYERS1";"title v",#N/A,FALSE,"DRYERS2";"actual",#N/A,FALSE,"DRYERS2";#N/A,#N/A,FALSE,"Press"}</definedName>
    <definedName name="wrn.NSR._.Calculations._.Report." localSheetId="17" hidden="1">{#N/A,#N/A,FALSE,"PSD";"boiler criteria",#N/A,FALSE,"Boiler (T5)";"boiler toxic",#N/A,FALSE,"Boiler (T5)";#N/A,#N/A,FALSE,"Boiler (1994)";#N/A,#N/A,FALSE,"Boiler (1995)";#N/A,#N/A,FALSE,"Cyclones";"title v",#N/A,FALSE,"DRYERS1";"actual",#N/A,FALSE,"DRYERS1";"title v",#N/A,FALSE,"DRYERS2";"actual",#N/A,FALSE,"DRYERS2";#N/A,#N/A,FALSE,"Press"}</definedName>
    <definedName name="wrn.NSR._.Calculations._.Report." localSheetId="2" hidden="1">{#N/A,#N/A,FALSE,"PSD";"boiler criteria",#N/A,FALSE,"Boiler (T5)";"boiler toxic",#N/A,FALSE,"Boiler (T5)";#N/A,#N/A,FALSE,"Boiler (1994)";#N/A,#N/A,FALSE,"Boiler (1995)";#N/A,#N/A,FALSE,"Cyclones";"title v",#N/A,FALSE,"DRYERS1";"actual",#N/A,FALSE,"DRYERS1";"title v",#N/A,FALSE,"DRYERS2";"actual",#N/A,FALSE,"DRYERS2";#N/A,#N/A,FALSE,"Press"}</definedName>
    <definedName name="wrn.NSR._.Calculations._.Report." hidden="1">{#N/A,#N/A,FALSE,"PSD";"boiler criteria",#N/A,FALSE,"Boiler (T5)";"boiler toxic",#N/A,FALSE,"Boiler (T5)";#N/A,#N/A,FALSE,"Boiler (1994)";#N/A,#N/A,FALSE,"Boiler (1995)";#N/A,#N/A,FALSE,"Cyclones";"title v",#N/A,FALSE,"DRYERS1";"actual",#N/A,FALSE,"DRYERS1";"title v",#N/A,FALSE,"DRYERS2";"actual",#N/A,FALSE,"DRYERS2";#N/A,#N/A,FALSE,"Press"}</definedName>
    <definedName name="wrn.Output._.Reports." localSheetId="16" hidden="1">{"Total TTU Output",#N/A,FALSE,"TTU Summary";"B_68 OPN Output",#N/A,FALSE,"TTU Summary";"B_19 OPN Output",#N/A,FALSE,"TTU Summary"}</definedName>
    <definedName name="wrn.Output._.Reports." localSheetId="17" hidden="1">{"Total TTU Output",#N/A,FALSE,"TTU Summary";"B_68 OPN Output",#N/A,FALSE,"TTU Summary";"B_19 OPN Output",#N/A,FALSE,"TTU Summary"}</definedName>
    <definedName name="wrn.Output._.Reports." localSheetId="2" hidden="1">{"Total TTU Output",#N/A,FALSE,"TTU Summary";"B_68 OPN Output",#N/A,FALSE,"TTU Summary";"B_19 OPN Output",#N/A,FALSE,"TTU Summary"}</definedName>
    <definedName name="wrn.Output._.Reports." hidden="1">{"Total TTU Output",#N/A,FALSE,"TTU Summary";"B_68 OPN Output",#N/A,FALSE,"TTU Summary";"B_19 OPN Output",#N/A,FALSE,"TTU Summary"}</definedName>
    <definedName name="wrn.Permit._.Mod." localSheetId="16" hidden="1">{#N/A,#N/A,TRUE,"Title V Emission Summary";#N/A,#N/A,TRUE,"Title V Toxic Emissions Summary";#N/A,#N/A,TRUE,"Hogged Fuel Boiler (B1)";#N/A,#N/A,TRUE,"Hogged Fuel Boiler Toxics (B1)";#N/A,#N/A,TRUE,"Hogged Fuel Boiler (nat. gas)";#N/A,#N/A,TRUE,"Package Boiler (B2)";#N/A,#N/A,TRUE,"Cyclones (all)";#N/A,#N/A,TRUE,"Dryers (D1-D4)";#N/A,#N/A,TRUE,"Panel Assembly Fugitives (PAF)";#N/A,#N/A,TRUE,"Veneer Composer";#N/A,#N/A,TRUE,"Gasoline Tank";#N/A,#N/A,TRUE,"PA Modifications NSR (94-95)";#N/A,#N/A,TRUE,"Dryers NSR (94-95)";#N/A,#N/A,TRUE,"Cyclones (1994-1995)"}</definedName>
    <definedName name="wrn.Permit._.Mod." localSheetId="17" hidden="1">{#N/A,#N/A,TRUE,"Title V Emission Summary";#N/A,#N/A,TRUE,"Title V Toxic Emissions Summary";#N/A,#N/A,TRUE,"Hogged Fuel Boiler (B1)";#N/A,#N/A,TRUE,"Hogged Fuel Boiler Toxics (B1)";#N/A,#N/A,TRUE,"Hogged Fuel Boiler (nat. gas)";#N/A,#N/A,TRUE,"Package Boiler (B2)";#N/A,#N/A,TRUE,"Cyclones (all)";#N/A,#N/A,TRUE,"Dryers (D1-D4)";#N/A,#N/A,TRUE,"Panel Assembly Fugitives (PAF)";#N/A,#N/A,TRUE,"Veneer Composer";#N/A,#N/A,TRUE,"Gasoline Tank";#N/A,#N/A,TRUE,"PA Modifications NSR (94-95)";#N/A,#N/A,TRUE,"Dryers NSR (94-95)";#N/A,#N/A,TRUE,"Cyclones (1994-1995)"}</definedName>
    <definedName name="wrn.Permit._.Mod." localSheetId="2" hidden="1">{#N/A,#N/A,TRUE,"Title V Emission Summary";#N/A,#N/A,TRUE,"Title V Toxic Emissions Summary";#N/A,#N/A,TRUE,"Hogged Fuel Boiler (B1)";#N/A,#N/A,TRUE,"Hogged Fuel Boiler Toxics (B1)";#N/A,#N/A,TRUE,"Hogged Fuel Boiler (nat. gas)";#N/A,#N/A,TRUE,"Package Boiler (B2)";#N/A,#N/A,TRUE,"Cyclones (all)";#N/A,#N/A,TRUE,"Dryers (D1-D4)";#N/A,#N/A,TRUE,"Panel Assembly Fugitives (PAF)";#N/A,#N/A,TRUE,"Veneer Composer";#N/A,#N/A,TRUE,"Gasoline Tank";#N/A,#N/A,TRUE,"PA Modifications NSR (94-95)";#N/A,#N/A,TRUE,"Dryers NSR (94-95)";#N/A,#N/A,TRUE,"Cyclones (1994-1995)"}</definedName>
    <definedName name="wrn.Permit._.Mod." hidden="1">{#N/A,#N/A,TRUE,"Title V Emission Summary";#N/A,#N/A,TRUE,"Title V Toxic Emissions Summary";#N/A,#N/A,TRUE,"Hogged Fuel Boiler (B1)";#N/A,#N/A,TRUE,"Hogged Fuel Boiler Toxics (B1)";#N/A,#N/A,TRUE,"Hogged Fuel Boiler (nat. gas)";#N/A,#N/A,TRUE,"Package Boiler (B2)";#N/A,#N/A,TRUE,"Cyclones (all)";#N/A,#N/A,TRUE,"Dryers (D1-D4)";#N/A,#N/A,TRUE,"Panel Assembly Fugitives (PAF)";#N/A,#N/A,TRUE,"Veneer Composer";#N/A,#N/A,TRUE,"Gasoline Tank";#N/A,#N/A,TRUE,"PA Modifications NSR (94-95)";#N/A,#N/A,TRUE,"Dryers NSR (94-95)";#N/A,#N/A,TRUE,"Cyclones (1994-1995)"}</definedName>
    <definedName name="wrn.Print._.All." localSheetId="16" hidden="1">{"Instructions",#N/A,FALSE,"TTU Summary";"Reporting Responsibilities",#N/A,FALSE,"TTU Summary";"Input Section",#N/A,FALSE,"TTU Summary";"Compositions",#N/A,FALSE,"TTU Summary";"Total TTU Output",#N/A,FALSE,"TTU Summary";"B_19 OPN Output",#N/A,FALSE,"TTU Summary";"B_68 OPN Output",#N/A,FALSE,"TTU Summary";"MAER Comparision",#N/A,FALSE,"TTU Summary"}</definedName>
    <definedName name="wrn.Print._.All." localSheetId="17" hidden="1">{"Instructions",#N/A,FALSE,"TTU Summary";"Reporting Responsibilities",#N/A,FALSE,"TTU Summary";"Input Section",#N/A,FALSE,"TTU Summary";"Compositions",#N/A,FALSE,"TTU Summary";"Total TTU Output",#N/A,FALSE,"TTU Summary";"B_19 OPN Output",#N/A,FALSE,"TTU Summary";"B_68 OPN Output",#N/A,FALSE,"TTU Summary";"MAER Comparision",#N/A,FALSE,"TTU Summary"}</definedName>
    <definedName name="wrn.Print._.All." localSheetId="2" hidden="1">{"Instructions",#N/A,FALSE,"TTU Summary";"Reporting Responsibilities",#N/A,FALSE,"TTU Summary";"Input Section",#N/A,FALSE,"TTU Summary";"Compositions",#N/A,FALSE,"TTU Summary";"Total TTU Output",#N/A,FALSE,"TTU Summary";"B_19 OPN Output",#N/A,FALSE,"TTU Summary";"B_68 OPN Output",#N/A,FALSE,"TTU Summary";"MAER Comparision",#N/A,FALSE,"TTU Summary"}</definedName>
    <definedName name="wrn.Print._.All." hidden="1">{"Instructions",#N/A,FALSE,"TTU Summary";"Reporting Responsibilities",#N/A,FALSE,"TTU Summary";"Input Section",#N/A,FALSE,"TTU Summary";"Compositions",#N/A,FALSE,"TTU Summary";"Total TTU Output",#N/A,FALSE,"TTU Summary";"B_19 OPN Output",#N/A,FALSE,"TTU Summary";"B_68 OPN Output",#N/A,FALSE,"TTU Summary";"MAER Comparision",#N/A,FALSE,"TTU Summary"}</definedName>
    <definedName name="wrn.Print._.B19._.Detail." localSheetId="16" hidden="1">{"F210 detailed output",#N/A,FALSE,"F-210 TTU";"F11 detailed output",#N/A,FALSE,"F-11 TTU"}</definedName>
    <definedName name="wrn.Print._.B19._.Detail." localSheetId="17" hidden="1">{"F210 detailed output",#N/A,FALSE,"F-210 TTU";"F11 detailed output",#N/A,FALSE,"F-11 TTU"}</definedName>
    <definedName name="wrn.Print._.B19._.Detail." localSheetId="2" hidden="1">{"F210 detailed output",#N/A,FALSE,"F-210 TTU";"F11 detailed output",#N/A,FALSE,"F-11 TTU"}</definedName>
    <definedName name="wrn.Print._.B19._.Detail." hidden="1">{"F210 detailed output",#N/A,FALSE,"F-210 TTU";"F11 detailed output",#N/A,FALSE,"F-11 TTU"}</definedName>
    <definedName name="wrn.Print._.B68._.Details." localSheetId="16" hidden="1">{"f-603 detailed output",#N/A,FALSE,"FTB-603 TTU";"f-2 detailed output",#N/A,FALSE,"F-2 TTU"}</definedName>
    <definedName name="wrn.Print._.B68._.Details." localSheetId="17" hidden="1">{"f-603 detailed output",#N/A,FALSE,"FTB-603 TTU";"f-2 detailed output",#N/A,FALSE,"F-2 TTU"}</definedName>
    <definedName name="wrn.Print._.B68._.Details." localSheetId="2" hidden="1">{"f-603 detailed output",#N/A,FALSE,"FTB-603 TTU";"f-2 detailed output",#N/A,FALSE,"F-2 TTU"}</definedName>
    <definedName name="wrn.Print._.B68._.Details." hidden="1">{"f-603 detailed output",#N/A,FALSE,"FTB-603 TTU";"f-2 detailed output",#N/A,FALSE,"F-2 TTU"}</definedName>
    <definedName name="wrn.r1." localSheetId="16" hidden="1">{"boiler",#N/A,TRUE,"Hogged Fuel Boiler (B1)";"boiltox",#N/A,TRUE,"Hogged Fuel Boiler (B1)";"natgas",#N/A,TRUE,"Nat. Gas Package Boiler (B2)";"cyclones",#N/A,TRUE,"Cyclones";"dryview1",#N/A,TRUE,"Dryers (1-4)";"dryview2",#N/A,TRUE,"Dryers (1-4)";"glue",#N/A,TRUE,"Press Vents (PV)";"vc",#N/A,TRUE,"Press Vents (PV)"}</definedName>
    <definedName name="wrn.r1." localSheetId="17" hidden="1">{"boiler",#N/A,TRUE,"Hogged Fuel Boiler (B1)";"boiltox",#N/A,TRUE,"Hogged Fuel Boiler (B1)";"natgas",#N/A,TRUE,"Nat. Gas Package Boiler (B2)";"cyclones",#N/A,TRUE,"Cyclones";"dryview1",#N/A,TRUE,"Dryers (1-4)";"dryview2",#N/A,TRUE,"Dryers (1-4)";"glue",#N/A,TRUE,"Press Vents (PV)";"vc",#N/A,TRUE,"Press Vents (PV)"}</definedName>
    <definedName name="wrn.r1." localSheetId="2" hidden="1">{"boiler",#N/A,TRUE,"Hogged Fuel Boiler (B1)";"boiltox",#N/A,TRUE,"Hogged Fuel Boiler (B1)";"natgas",#N/A,TRUE,"Nat. Gas Package Boiler (B2)";"cyclones",#N/A,TRUE,"Cyclones";"dryview1",#N/A,TRUE,"Dryers (1-4)";"dryview2",#N/A,TRUE,"Dryers (1-4)";"glue",#N/A,TRUE,"Press Vents (PV)";"vc",#N/A,TRUE,"Press Vents (PV)"}</definedName>
    <definedName name="wrn.r1." hidden="1">{"boiler",#N/A,TRUE,"Hogged Fuel Boiler (B1)";"boiltox",#N/A,TRUE,"Hogged Fuel Boiler (B1)";"natgas",#N/A,TRUE,"Nat. Gas Package Boiler (B2)";"cyclones",#N/A,TRUE,"Cyclones";"dryview1",#N/A,TRUE,"Dryers (1-4)";"dryview2",#N/A,TRUE,"Dryers (1-4)";"glue",#N/A,TRUE,"Press Vents (PV)";"vc",#N/A,TRUE,"Press Vents (PV)"}</definedName>
    <definedName name="wrn.Redacted." localSheetId="22"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23"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24"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25"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1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17"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2"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port" localSheetId="16" hidden="1">{"Page1",#N/A,FALSE,"Flare1"}</definedName>
    <definedName name="wrn.report" localSheetId="17" hidden="1">{"Page1",#N/A,FALSE,"Flare1"}</definedName>
    <definedName name="wrn.report" localSheetId="2" hidden="1">{"Page1",#N/A,FALSE,"Flare1"}</definedName>
    <definedName name="wrn.report" hidden="1">{"Page1",#N/A,FALSE,"Flare1"}</definedName>
    <definedName name="wrn.report." localSheetId="16" hidden="1">{#N/A,#N/A,FALSE,"F1-Currrent";#N/A,#N/A,FALSE,"F2-Current";#N/A,#N/A,FALSE,"F2-Proposed";#N/A,#N/A,FALSE,"F3-Current";#N/A,#N/A,FALSE,"F4-Current";#N/A,#N/A,FALSE,"F4-Proposed";#N/A,#N/A,FALSE,"Controls"}</definedName>
    <definedName name="wrn.report." localSheetId="17" hidden="1">{#N/A,#N/A,FALSE,"F1-Currrent";#N/A,#N/A,FALSE,"F2-Current";#N/A,#N/A,FALSE,"F2-Proposed";#N/A,#N/A,FALSE,"F3-Current";#N/A,#N/A,FALSE,"F4-Current";#N/A,#N/A,FALSE,"F4-Proposed";#N/A,#N/A,FALSE,"Controls"}</definedName>
    <definedName name="wrn.report." localSheetId="2" hidden="1">{#N/A,#N/A,FALSE,"F1-Currrent";#N/A,#N/A,FALSE,"F2-Current";#N/A,#N/A,FALSE,"F2-Proposed";#N/A,#N/A,FALSE,"F3-Current";#N/A,#N/A,FALSE,"F4-Current";#N/A,#N/A,FALSE,"F4-Proposed";#N/A,#N/A,FALSE,"Controls"}</definedName>
    <definedName name="wrn.report." hidden="1">{#N/A,#N/A,FALSE,"F1-Currrent";#N/A,#N/A,FALSE,"F2-Current";#N/A,#N/A,FALSE,"F2-Proposed";#N/A,#N/A,FALSE,"F3-Current";#N/A,#N/A,FALSE,"F4-Current";#N/A,#N/A,FALSE,"F4-Proposed";#N/A,#N/A,FALSE,"Controls"}</definedName>
    <definedName name="wrn.report1." localSheetId="16" hidden="1">{"Page1",#N/A,FALSE,"Flare1"}</definedName>
    <definedName name="wrn.report1." localSheetId="17" hidden="1">{"Page1",#N/A,FALSE,"Flare1"}</definedName>
    <definedName name="wrn.report1." localSheetId="2" hidden="1">{"Page1",#N/A,FALSE,"Flare1"}</definedName>
    <definedName name="wrn.report1." hidden="1">{"Page1",#N/A,FALSE,"Flare1"}</definedName>
    <definedName name="wrn.Report2." localSheetId="16" hidden="1">{"page2",#N/A,FALSE,"Flare1"}</definedName>
    <definedName name="wrn.Report2." localSheetId="17" hidden="1">{"page2",#N/A,FALSE,"Flare1"}</definedName>
    <definedName name="wrn.Report2." localSheetId="2" hidden="1">{"page2",#N/A,FALSE,"Flare1"}</definedName>
    <definedName name="wrn.Report2." hidden="1">{"page2",#N/A,FALSE,"Flare1"}</definedName>
    <definedName name="wrn.Reporting._.Responsibilites." localSheetId="16" hidden="1">{"Reporting Responsibilities",#N/A,FALSE,"TTU Summary"}</definedName>
    <definedName name="wrn.Reporting._.Responsibilites." localSheetId="17" hidden="1">{"Reporting Responsibilities",#N/A,FALSE,"TTU Summary"}</definedName>
    <definedName name="wrn.Reporting._.Responsibilites." localSheetId="2" hidden="1">{"Reporting Responsibilities",#N/A,FALSE,"TTU Summary"}</definedName>
    <definedName name="wrn.Reporting._.Responsibilites." hidden="1">{"Reporting Responsibilities",#N/A,FALSE,"TTU Summary"}</definedName>
    <definedName name="wrn.rp1." localSheetId="16" hidden="1">{"sum1",#N/A,TRUE,"Summary";"boil",#N/A,TRUE,"Boilers";"paints95",#N/A,TRUE,"Paints";"tanks95",#N/A,TRUE,"TANKINBD";"dock1",#N/A,TRUE,"DOCKS";"tcars1",#N/A,TRUE,"TCARS";"trucks1",#N/A,TRUE,"TTRUCKS";"sol1",#N/A,TRUE,"Solvents";"wwt1",#N/A,TRUE,"WWT";"fug",#N/A,TRUE,"Fugitives"}</definedName>
    <definedName name="wrn.rp1." localSheetId="17" hidden="1">{"sum1",#N/A,TRUE,"Summary";"boil",#N/A,TRUE,"Boilers";"paints95",#N/A,TRUE,"Paints";"tanks95",#N/A,TRUE,"TANKINBD";"dock1",#N/A,TRUE,"DOCKS";"tcars1",#N/A,TRUE,"TCARS";"trucks1",#N/A,TRUE,"TTRUCKS";"sol1",#N/A,TRUE,"Solvents";"wwt1",#N/A,TRUE,"WWT";"fug",#N/A,TRUE,"Fugitives"}</definedName>
    <definedName name="wrn.rp1." localSheetId="2" hidden="1">{"sum1",#N/A,TRUE,"Summary";"boil",#N/A,TRUE,"Boilers";"paints95",#N/A,TRUE,"Paints";"tanks95",#N/A,TRUE,"TANKINBD";"dock1",#N/A,TRUE,"DOCKS";"tcars1",#N/A,TRUE,"TCARS";"trucks1",#N/A,TRUE,"TTRUCKS";"sol1",#N/A,TRUE,"Solvents";"wwt1",#N/A,TRUE,"WWT";"fug",#N/A,TRUE,"Fugitives"}</definedName>
    <definedName name="wrn.rp1." hidden="1">{"sum1",#N/A,TRUE,"Summary";"boil",#N/A,TRUE,"Boilers";"paints95",#N/A,TRUE,"Paints";"tanks95",#N/A,TRUE,"TANKINBD";"dock1",#N/A,TRUE,"DOCKS";"tcars1",#N/A,TRUE,"TCARS";"trucks1",#N/A,TRUE,"TTRUCKS";"sol1",#N/A,TRUE,"Solvents";"wwt1",#N/A,TRUE,"WWT";"fug",#N/A,TRUE,"Fugitives"}</definedName>
    <definedName name="wrn.State._.Permit._.Modification." localSheetId="16" hidden="1">{"nsr",#N/A,FALSE,"NSR";"b1prop",#N/A,FALSE,"Boiler (B1) - Proposed";"b1_1994",#N/A,FALSE,"B1 - 1994,95";"b1_1995",#N/A,FALSE,"B1 - 1994,95";"b2_t5",#N/A,FALSE,"B2 - T5";"cyc_t5",#N/A,FALSE,"Cyclones - T5, 1994,95";"cyc_2yr",#N/A,FALSE,"Cyclones - T5, 1994,95";"dry_1",#N/A,FALSE,"Dryers - T5, 1994,95";"dry_1",#N/A,FALSE,"Dryers - 2 yr summary";"dry_2",#N/A,FALSE,"Dryers - 2 yr summary";"press_1",#N/A,FALSE,"Press Vents";"press_3",#N/A,FALSE,"Press Vents";"press_2",#N/A,FALSE,"Press Vents";"veneer",#N/A,FALSE,"Veneer Composers"}</definedName>
    <definedName name="wrn.State._.Permit._.Modification." localSheetId="17" hidden="1">{"nsr",#N/A,FALSE,"NSR";"b1prop",#N/A,FALSE,"Boiler (B1) - Proposed";"b1_1994",#N/A,FALSE,"B1 - 1994,95";"b1_1995",#N/A,FALSE,"B1 - 1994,95";"b2_t5",#N/A,FALSE,"B2 - T5";"cyc_t5",#N/A,FALSE,"Cyclones - T5, 1994,95";"cyc_2yr",#N/A,FALSE,"Cyclones - T5, 1994,95";"dry_1",#N/A,FALSE,"Dryers - T5, 1994,95";"dry_1",#N/A,FALSE,"Dryers - 2 yr summary";"dry_2",#N/A,FALSE,"Dryers - 2 yr summary";"press_1",#N/A,FALSE,"Press Vents";"press_3",#N/A,FALSE,"Press Vents";"press_2",#N/A,FALSE,"Press Vents";"veneer",#N/A,FALSE,"Veneer Composers"}</definedName>
    <definedName name="wrn.State._.Permit._.Modification." localSheetId="2" hidden="1">{"nsr",#N/A,FALSE,"NSR";"b1prop",#N/A,FALSE,"Boiler (B1) - Proposed";"b1_1994",#N/A,FALSE,"B1 - 1994,95";"b1_1995",#N/A,FALSE,"B1 - 1994,95";"b2_t5",#N/A,FALSE,"B2 - T5";"cyc_t5",#N/A,FALSE,"Cyclones - T5, 1994,95";"cyc_2yr",#N/A,FALSE,"Cyclones - T5, 1994,95";"dry_1",#N/A,FALSE,"Dryers - T5, 1994,95";"dry_1",#N/A,FALSE,"Dryers - 2 yr summary";"dry_2",#N/A,FALSE,"Dryers - 2 yr summary";"press_1",#N/A,FALSE,"Press Vents";"press_3",#N/A,FALSE,"Press Vents";"press_2",#N/A,FALSE,"Press Vents";"veneer",#N/A,FALSE,"Veneer Composers"}</definedName>
    <definedName name="wrn.State._.Permit._.Modification." hidden="1">{"nsr",#N/A,FALSE,"NSR";"b1prop",#N/A,FALSE,"Boiler (B1) - Proposed";"b1_1994",#N/A,FALSE,"B1 - 1994,95";"b1_1995",#N/A,FALSE,"B1 - 1994,95";"b2_t5",#N/A,FALSE,"B2 - T5";"cyc_t5",#N/A,FALSE,"Cyclones - T5, 1994,95";"cyc_2yr",#N/A,FALSE,"Cyclones - T5, 1994,95";"dry_1",#N/A,FALSE,"Dryers - T5, 1994,95";"dry_1",#N/A,FALSE,"Dryers - 2 yr summary";"dry_2",#N/A,FALSE,"Dryers - 2 yr summary";"press_1",#N/A,FALSE,"Press Vents";"press_3",#N/A,FALSE,"Press Vents";"press_2",#N/A,FALSE,"Press Vents";"veneer",#N/A,FALSE,"Veneer Composers"}</definedName>
    <definedName name="wrn.SUBMIT." localSheetId="16" hidden="1">{"MODELING",#N/A,TRUE,"BPIP"}</definedName>
    <definedName name="wrn.SUBMIT." localSheetId="17" hidden="1">{"MODELING",#N/A,TRUE,"BPIP"}</definedName>
    <definedName name="wrn.SUBMIT." localSheetId="2" hidden="1">{"MODELING",#N/A,TRUE,"BPIP"}</definedName>
    <definedName name="wrn.SUBMIT." hidden="1">{"MODELING",#N/A,TRUE,"BPIP"}</definedName>
    <definedName name="wrn.Summary." localSheetId="16" hidden="1">{"CO",#N/A,FALSE,"Summary Sheet";"H2S",#N/A,FALSE,"Summary Sheet";"NOx",#N/A,FALSE,"Summary Sheet";"SO2",#N/A,FALSE,"Summary Sheet";"PM",#N/A,FALSE,"Summary Sheet";"TRS",#N/A,FALSE,"Summary Sheet";"VOCs",#N/A,FALSE,"Summary Sheet"}</definedName>
    <definedName name="wrn.Summary." localSheetId="17" hidden="1">{"CO",#N/A,FALSE,"Summary Sheet";"H2S",#N/A,FALSE,"Summary Sheet";"NOx",#N/A,FALSE,"Summary Sheet";"SO2",#N/A,FALSE,"Summary Sheet";"PM",#N/A,FALSE,"Summary Sheet";"TRS",#N/A,FALSE,"Summary Sheet";"VOCs",#N/A,FALSE,"Summary Sheet"}</definedName>
    <definedName name="wrn.Summary." localSheetId="2" hidden="1">{"CO",#N/A,FALSE,"Summary Sheet";"H2S",#N/A,FALSE,"Summary Sheet";"NOx",#N/A,FALSE,"Summary Sheet";"SO2",#N/A,FALSE,"Summary Sheet";"PM",#N/A,FALSE,"Summary Sheet";"TRS",#N/A,FALSE,"Summary Sheet";"VOCs",#N/A,FALSE,"Summary Sheet"}</definedName>
    <definedName name="wrn.Summary." hidden="1">{"CO",#N/A,FALSE,"Summary Sheet";"H2S",#N/A,FALSE,"Summary Sheet";"NOx",#N/A,FALSE,"Summary Sheet";"SO2",#N/A,FALSE,"Summary Sheet";"PM",#N/A,FALSE,"Summary Sheet";"TRS",#N/A,FALSE,"Summary Sheet";"VOCs",#N/A,FALSE,"Summary Sheet"}</definedName>
    <definedName name="wrn.Summary._.Report." localSheetId="16" hidden="1">{"Summary",#N/A,FALSE,"GAS-COMB"}</definedName>
    <definedName name="wrn.Summary._.Report." localSheetId="17" hidden="1">{"Summary",#N/A,FALSE,"GAS-COMB"}</definedName>
    <definedName name="wrn.Summary._.Report." localSheetId="2" hidden="1">{"Summary",#N/A,FALSE,"GAS-COMB"}</definedName>
    <definedName name="wrn.Summary._.Report." hidden="1">{"Summary",#N/A,FALSE,"GAS-COMB"}</definedName>
    <definedName name="wrn.T5COMBO._.Report." localSheetId="16" hidden="1">{#N/A,#N/A,FALSE,"Reconciled Quantified Sources";#N/A,#N/A,FALSE,"Source Group Splitting";#N/A,#N/A,FALSE,"CO";#N/A,#N/A,FALSE,"H2S";#N/A,#N/A,FALSE,"NOx";#N/A,#N/A,FALSE,"Other TRS";#N/A,#N/A,FALSE,"SO2";#N/A,#N/A,FALSE,"PM";#N/A,#N/A,FALSE,"VOC";#N/A,#N/A,FALSE,"Other Toxics"}</definedName>
    <definedName name="wrn.T5COMBO._.Report." localSheetId="17" hidden="1">{#N/A,#N/A,FALSE,"Reconciled Quantified Sources";#N/A,#N/A,FALSE,"Source Group Splitting";#N/A,#N/A,FALSE,"CO";#N/A,#N/A,FALSE,"H2S";#N/A,#N/A,FALSE,"NOx";#N/A,#N/A,FALSE,"Other TRS";#N/A,#N/A,FALSE,"SO2";#N/A,#N/A,FALSE,"PM";#N/A,#N/A,FALSE,"VOC";#N/A,#N/A,FALSE,"Other Toxics"}</definedName>
    <definedName name="wrn.T5COMBO._.Report." localSheetId="2" hidden="1">{#N/A,#N/A,FALSE,"Reconciled Quantified Sources";#N/A,#N/A,FALSE,"Source Group Splitting";#N/A,#N/A,FALSE,"CO";#N/A,#N/A,FALSE,"H2S";#N/A,#N/A,FALSE,"NOx";#N/A,#N/A,FALSE,"Other TRS";#N/A,#N/A,FALSE,"SO2";#N/A,#N/A,FALSE,"PM";#N/A,#N/A,FALSE,"VOC";#N/A,#N/A,FALSE,"Other Toxics"}</definedName>
    <definedName name="wrn.T5COMBO._.Report." hidden="1">{#N/A,#N/A,FALSE,"Reconciled Quantified Sources";#N/A,#N/A,FALSE,"Source Group Splitting";#N/A,#N/A,FALSE,"CO";#N/A,#N/A,FALSE,"H2S";#N/A,#N/A,FALSE,"NOx";#N/A,#N/A,FALSE,"Other TRS";#N/A,#N/A,FALSE,"SO2";#N/A,#N/A,FALSE,"PM";#N/A,#N/A,FALSE,"VOC";#N/A,#N/A,FALSE,"Other Toxics"}</definedName>
    <definedName name="wrn.Tank._.Emissions." localSheetId="16" hidden="1">{#N/A,#N/A,FALSE,"21164";#N/A,#N/A,FALSE,"21166";#N/A,#N/A,FALSE,"25539";#N/A,#N/A,FALSE,"25540";#N/A,#N/A,FALSE,"25541";#N/A,#N/A,FALSE,"25542";#N/A,#N/A,FALSE,"25564";#N/A,#N/A,FALSE,"25565";#N/A,#N/A,FALSE,"25566";#N/A,#N/A,FALSE,"25567";#N/A,#N/A,FALSE,"25635";#N/A,#N/A,FALSE,"31514";#N/A,#N/A,FALSE,"31899";#N/A,#N/A,FALSE,"boiler";#N/A,#N/A,FALSE,"loadrack";#N/A,#N/A,FALSE,"25536";#N/A,#N/A,FALSE,"TOTALS"}</definedName>
    <definedName name="wrn.Tank._.Emissions." localSheetId="17" hidden="1">{#N/A,#N/A,FALSE,"21164";#N/A,#N/A,FALSE,"21166";#N/A,#N/A,FALSE,"25539";#N/A,#N/A,FALSE,"25540";#N/A,#N/A,FALSE,"25541";#N/A,#N/A,FALSE,"25542";#N/A,#N/A,FALSE,"25564";#N/A,#N/A,FALSE,"25565";#N/A,#N/A,FALSE,"25566";#N/A,#N/A,FALSE,"25567";#N/A,#N/A,FALSE,"25635";#N/A,#N/A,FALSE,"31514";#N/A,#N/A,FALSE,"31899";#N/A,#N/A,FALSE,"boiler";#N/A,#N/A,FALSE,"loadrack";#N/A,#N/A,FALSE,"25536";#N/A,#N/A,FALSE,"TOTALS"}</definedName>
    <definedName name="wrn.Tank._.Emissions." localSheetId="2" hidden="1">{#N/A,#N/A,FALSE,"21164";#N/A,#N/A,FALSE,"21166";#N/A,#N/A,FALSE,"25539";#N/A,#N/A,FALSE,"25540";#N/A,#N/A,FALSE,"25541";#N/A,#N/A,FALSE,"25542";#N/A,#N/A,FALSE,"25564";#N/A,#N/A,FALSE,"25565";#N/A,#N/A,FALSE,"25566";#N/A,#N/A,FALSE,"25567";#N/A,#N/A,FALSE,"25635";#N/A,#N/A,FALSE,"31514";#N/A,#N/A,FALSE,"31899";#N/A,#N/A,FALSE,"boiler";#N/A,#N/A,FALSE,"loadrack";#N/A,#N/A,FALSE,"25536";#N/A,#N/A,FALSE,"TOTALS"}</definedName>
    <definedName name="wrn.Tank._.Emissions." hidden="1">{#N/A,#N/A,FALSE,"21164";#N/A,#N/A,FALSE,"21166";#N/A,#N/A,FALSE,"25539";#N/A,#N/A,FALSE,"25540";#N/A,#N/A,FALSE,"25541";#N/A,#N/A,FALSE,"25542";#N/A,#N/A,FALSE,"25564";#N/A,#N/A,FALSE,"25565";#N/A,#N/A,FALSE,"25566";#N/A,#N/A,FALSE,"25567";#N/A,#N/A,FALSE,"25635";#N/A,#N/A,FALSE,"31514";#N/A,#N/A,FALSE,"31899";#N/A,#N/A,FALSE,"boiler";#N/A,#N/A,FALSE,"loadrack";#N/A,#N/A,FALSE,"25536";#N/A,#N/A,FALSE,"TOTALS"}</definedName>
    <definedName name="wrn.Title._.V._.Emissions._.Report." localSheetId="16" hidden="1">{#N/A,#N/A,FALSE,"Reconciled Sources";#N/A,#N/A,FALSE,"Process Rates";#N/A,#N/A,FALSE,"Emission Factors";#N/A,#N/A,FALSE,"Derived Emission Factors";#N/A,#N/A,FALSE,"Emission Summary";#N/A,#N/A,FALSE,"VOC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wrn.Title._.V._.Emissions._.Report." localSheetId="17" hidden="1">{#N/A,#N/A,FALSE,"Reconciled Sources";#N/A,#N/A,FALSE,"Process Rates";#N/A,#N/A,FALSE,"Emission Factors";#N/A,#N/A,FALSE,"Derived Emission Factors";#N/A,#N/A,FALSE,"Emission Summary";#N/A,#N/A,FALSE,"VOC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wrn.Title._.V._.Emissions._.Report." localSheetId="2" hidden="1">{#N/A,#N/A,FALSE,"Reconciled Sources";#N/A,#N/A,FALSE,"Process Rates";#N/A,#N/A,FALSE,"Emission Factors";#N/A,#N/A,FALSE,"Derived Emission Factors";#N/A,#N/A,FALSE,"Emission Summary";#N/A,#N/A,FALSE,"VOC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wrn.Title._.V._.Emissions._.Report." hidden="1">{#N/A,#N/A,FALSE,"Reconciled Sources";#N/A,#N/A,FALSE,"Process Rates";#N/A,#N/A,FALSE,"Emission Factors";#N/A,#N/A,FALSE,"Derived Emission Factors";#N/A,#N/A,FALSE,"Emission Summary";#N/A,#N/A,FALSE,"VOC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wrn.TTU._.Detail." localSheetId="16" hidden="1">{"B68 TTU Detail",#N/A,FALSE,"TTU Summary";"B19 TTU Detail",#N/A,FALSE,"TTU Summary"}</definedName>
    <definedName name="wrn.TTU._.Detail." localSheetId="17" hidden="1">{"B68 TTU Detail",#N/A,FALSE,"TTU Summary";"B19 TTU Detail",#N/A,FALSE,"TTU Summary"}</definedName>
    <definedName name="wrn.TTU._.Detail." localSheetId="2" hidden="1">{"B68 TTU Detail",#N/A,FALSE,"TTU Summary";"B19 TTU Detail",#N/A,FALSE,"TTU Summary"}</definedName>
    <definedName name="wrn.TTU._.Detail." hidden="1">{"B68 TTU Detail",#N/A,FALSE,"TTU Summary";"B19 TTU Detail",#N/A,FALSE,"TTU Summary"}</definedName>
    <definedName name="ws3_EU_ID_blank">#REF!</definedName>
    <definedName name="ws3_matching_error_msg">#REF!</definedName>
    <definedName name="wSheet.Name101">#REF!</definedName>
    <definedName name="wSheet.Name102">#REF!</definedName>
    <definedName name="wSheet.Name108">#REF!</definedName>
    <definedName name="wSheet.Name111">#REF!</definedName>
    <definedName name="wSheet.Name112">#REF!</definedName>
    <definedName name="wSheet.Name113">#REF!</definedName>
    <definedName name="wSheet.Name114">#REF!</definedName>
    <definedName name="wSheet.Name115">#REF!</definedName>
    <definedName name="wSheet.Name116">#REF!</definedName>
    <definedName name="wSheet.Name117">#REF!</definedName>
    <definedName name="wSheet.Name118">#REF!</definedName>
    <definedName name="wSheet.Name25">#REF!</definedName>
    <definedName name="wSheet.Name26">#REF!</definedName>
    <definedName name="wSheet.Name27">#REF!</definedName>
    <definedName name="wSheet.Name28">#REF!</definedName>
    <definedName name="wSheet.Name29">#REF!</definedName>
    <definedName name="wSheet.Name30">#REF!</definedName>
    <definedName name="wSheet.Name32">#REF!</definedName>
    <definedName name="wSheet.Name33">#REF!</definedName>
    <definedName name="wSheet.Name34">#REF!</definedName>
    <definedName name="wSheet.Name35">#REF!</definedName>
    <definedName name="wSheet.Name39">#REF!</definedName>
    <definedName name="wSheet.Name4">#REF!</definedName>
    <definedName name="wSheet.Name42">#REF!</definedName>
    <definedName name="wSheet.Name48">#REF!</definedName>
    <definedName name="wSheet.Name49">#REF!</definedName>
    <definedName name="wSheet.Name50">#REF!</definedName>
    <definedName name="wSheet.Name51">#REF!</definedName>
    <definedName name="wSheet.Name52">#REF!</definedName>
    <definedName name="wSheet.Name53">#REF!</definedName>
    <definedName name="wSheet.Name54">#REF!</definedName>
    <definedName name="wSheet.Name55">#REF!</definedName>
    <definedName name="wSheet.Name56">#REF!</definedName>
    <definedName name="wSheet.Name57">#REF!</definedName>
    <definedName name="wSheet.Name58">#REF!</definedName>
    <definedName name="wSheet.Name59">#REF!</definedName>
    <definedName name="wSheet.Name6">#REF!</definedName>
    <definedName name="wSheet.Name60">#REF!</definedName>
    <definedName name="wSheet.Name61">#REF!</definedName>
    <definedName name="wSheet.Name64">#REF!</definedName>
    <definedName name="wSheet.Name68">#REF!</definedName>
    <definedName name="wSheet.Name7">#REF!</definedName>
    <definedName name="wSheet.Name77">#REF!</definedName>
    <definedName name="wSheet.Name87">#REF!</definedName>
    <definedName name="wSheet.Name88">#REF!</definedName>
    <definedName name="wSheet.Name89">#REF!</definedName>
    <definedName name="wSheet.Name91">#REF!</definedName>
    <definedName name="Wv">#REF!</definedName>
    <definedName name="wvu.Detailed." localSheetId="16" hidden="1">{TRUE,TRUE,-1.25,-15.5,759.75,457.5,FALSE,FALSE,TRUE,TRUE,0,1,#N/A,394,#N/A,26.515625,37.4666666666667,1,FALSE,FALSE,3,TRUE,1,FALSE,100,"Swvu.Detailed.","ACwvu.Detailed.",0,FALSE,FALSE,0.67,0.4,1,0.75,1,"&amp;L&amp;8COMPANY
PROJECT/SITE","&amp;L&amp;8&amp;F![&amp;A]&amp;R&amp;8&amp;D
&amp;T",TRUE,FALSE,FALSE,FALSE,1,100,#N/A,#N/A,"=R55C1:R429C11",FALSE,"Rwvu.Detailed.",#N/A,FALSE,FALSE,TRUE,1,300,300,FALSE,FALSE,TRUE,TRUE,TRUE}</definedName>
    <definedName name="wvu.Detailed." localSheetId="17" hidden="1">{TRUE,TRUE,-1.25,-15.5,759.75,457.5,FALSE,FALSE,TRUE,TRUE,0,1,#N/A,394,#N/A,26.515625,37.4666666666667,1,FALSE,FALSE,3,TRUE,1,FALSE,100,"Swvu.Detailed.","ACwvu.Detailed.",0,FALSE,FALSE,0.67,0.4,1,0.75,1,"&amp;L&amp;8COMPANY
PROJECT/SITE","&amp;L&amp;8&amp;F![&amp;A]&amp;R&amp;8&amp;D
&amp;T",TRUE,FALSE,FALSE,FALSE,1,100,#N/A,#N/A,"=R55C1:R429C11",FALSE,"Rwvu.Detailed.",#N/A,FALSE,FALSE,TRUE,1,300,300,FALSE,FALSE,TRUE,TRUE,TRUE}</definedName>
    <definedName name="wvu.Detailed." localSheetId="2" hidden="1">{TRUE,TRUE,-1.25,-15.5,759.75,457.5,FALSE,FALSE,TRUE,TRUE,0,1,#N/A,394,#N/A,26.515625,37.4666666666667,1,FALSE,FALSE,3,TRUE,1,FALSE,100,"Swvu.Detailed.","ACwvu.Detailed.",0,FALSE,FALSE,0.67,0.4,1,0.75,1,"&amp;L&amp;8COMPANY
PROJECT/SITE","&amp;L&amp;8&amp;F![&amp;A]&amp;R&amp;8&amp;D
&amp;T",TRUE,FALSE,FALSE,FALSE,1,100,#N/A,#N/A,"=R55C1:R429C11",FALSE,"Rwvu.Detailed.",#N/A,FALSE,FALSE,TRUE,1,300,300,FALSE,FALSE,TRUE,TRUE,TRUE}</definedName>
    <definedName name="wvu.Detailed." hidden="1">{TRUE,TRUE,-1.25,-15.5,759.75,457.5,FALSE,FALSE,TRUE,TRUE,0,1,#N/A,394,#N/A,26.515625,37.4666666666667,1,FALSE,FALSE,3,TRUE,1,FALSE,100,"Swvu.Detailed.","ACwvu.Detailed.",0,FALSE,FALSE,0.67,0.4,1,0.75,1,"&amp;L&amp;8COMPANY
PROJECT/SITE","&amp;L&amp;8&amp;F![&amp;A]&amp;R&amp;8&amp;D
&amp;T",TRUE,FALSE,FALSE,FALSE,1,100,#N/A,#N/A,"=R55C1:R429C11",FALSE,"Rwvu.Detailed.",#N/A,FALSE,FALSE,TRUE,1,300,300,FALSE,FALSE,TRUE,TRUE,TRUE}</definedName>
    <definedName name="wvu.Detailed._.and._.Summary." localSheetId="16" hidden="1">{TRUE,TRUE,-1.25,-15.5,759.75,457.5,FALSE,FALSE,TRUE,TRUE,0,1,#N/A,47,#N/A,26.515625,39.6428571428571,1,FALSE,FALSE,3,TRUE,1,FALSE,100,"Swvu.Detailed._.and._.Summary.","ACwvu.Detailed._.and._.Summary.",0,FALSE,FALSE,0.67,0.4,1,0.75,1,"&amp;L&amp;8COMPANY
PROJECT/SITE","&amp;L&amp;8&amp;F![&amp;A]&amp;R&amp;8&amp;D
&amp;T",TRUE,FALSE,FALSE,FALSE,1,100,#N/A,#N/A,"=R55C1:R488C11",FALSE,"Rwvu.Detailed._.and._.Summary.",#N/A,FALSE,FALSE,TRUE,1,300,300,FALSE,FALSE,TRUE,TRUE,TRUE}</definedName>
    <definedName name="wvu.Detailed._.and._.Summary." localSheetId="17" hidden="1">{TRUE,TRUE,-1.25,-15.5,759.75,457.5,FALSE,FALSE,TRUE,TRUE,0,1,#N/A,47,#N/A,26.515625,39.6428571428571,1,FALSE,FALSE,3,TRUE,1,FALSE,100,"Swvu.Detailed._.and._.Summary.","ACwvu.Detailed._.and._.Summary.",0,FALSE,FALSE,0.67,0.4,1,0.75,1,"&amp;L&amp;8COMPANY
PROJECT/SITE","&amp;L&amp;8&amp;F![&amp;A]&amp;R&amp;8&amp;D
&amp;T",TRUE,FALSE,FALSE,FALSE,1,100,#N/A,#N/A,"=R55C1:R488C11",FALSE,"Rwvu.Detailed._.and._.Summary.",#N/A,FALSE,FALSE,TRUE,1,300,300,FALSE,FALSE,TRUE,TRUE,TRUE}</definedName>
    <definedName name="wvu.Detailed._.and._.Summary." localSheetId="2" hidden="1">{TRUE,TRUE,-1.25,-15.5,759.75,457.5,FALSE,FALSE,TRUE,TRUE,0,1,#N/A,47,#N/A,26.515625,39.6428571428571,1,FALSE,FALSE,3,TRUE,1,FALSE,100,"Swvu.Detailed._.and._.Summary.","ACwvu.Detailed._.and._.Summary.",0,FALSE,FALSE,0.67,0.4,1,0.75,1,"&amp;L&amp;8COMPANY
PROJECT/SITE","&amp;L&amp;8&amp;F![&amp;A]&amp;R&amp;8&amp;D
&amp;T",TRUE,FALSE,FALSE,FALSE,1,100,#N/A,#N/A,"=R55C1:R488C11",FALSE,"Rwvu.Detailed._.and._.Summary.",#N/A,FALSE,FALSE,TRUE,1,300,300,FALSE,FALSE,TRUE,TRUE,TRUE}</definedName>
    <definedName name="wvu.Detailed._.and._.Summary." hidden="1">{TRUE,TRUE,-1.25,-15.5,759.75,457.5,FALSE,FALSE,TRUE,TRUE,0,1,#N/A,47,#N/A,26.515625,39.6428571428571,1,FALSE,FALSE,3,TRUE,1,FALSE,100,"Swvu.Detailed._.and._.Summary.","ACwvu.Detailed._.and._.Summary.",0,FALSE,FALSE,0.67,0.4,1,0.75,1,"&amp;L&amp;8COMPANY
PROJECT/SITE","&amp;L&amp;8&amp;F![&amp;A]&amp;R&amp;8&amp;D
&amp;T",TRUE,FALSE,FALSE,FALSE,1,100,#N/A,#N/A,"=R55C1:R488C11",FALSE,"Rwvu.Detailed._.and._.Summary.",#N/A,FALSE,FALSE,TRUE,1,300,300,FALSE,FALSE,TRUE,TRUE,TRUE}</definedName>
    <definedName name="wvu.Summary." localSheetId="16" hidden="1">{TRUE,TRUE,-1.25,-15.5,759.75,457.5,FALSE,FALSE,TRUE,TRUE,0,1,#N/A,461,#N/A,26.515625,36.7857142857143,1,FALSE,FALSE,3,TRUE,1,FALSE,100,"Swvu.Summary.","ACwvu.Summary.",0,FALSE,FALSE,0.67,0.4,1,0.75,1,"&amp;L&amp;8COMPANY
PROJECT/SITE","&amp;L&amp;8&amp;F![&amp;A]&amp;R&amp;8&amp;D
&amp;T",TRUE,FALSE,FALSE,FALSE,1,100,#N/A,#N/A,"=R430C1:R488C11",FALSE,"Rwvu.Summary.",#N/A,FALSE,FALSE,TRUE,1,300,300,FALSE,FALSE,TRUE,TRUE,TRUE}</definedName>
    <definedName name="wvu.Summary." localSheetId="17" hidden="1">{TRUE,TRUE,-1.25,-15.5,759.75,457.5,FALSE,FALSE,TRUE,TRUE,0,1,#N/A,461,#N/A,26.515625,36.7857142857143,1,FALSE,FALSE,3,TRUE,1,FALSE,100,"Swvu.Summary.","ACwvu.Summary.",0,FALSE,FALSE,0.67,0.4,1,0.75,1,"&amp;L&amp;8COMPANY
PROJECT/SITE","&amp;L&amp;8&amp;F![&amp;A]&amp;R&amp;8&amp;D
&amp;T",TRUE,FALSE,FALSE,FALSE,1,100,#N/A,#N/A,"=R430C1:R488C11",FALSE,"Rwvu.Summary.",#N/A,FALSE,FALSE,TRUE,1,300,300,FALSE,FALSE,TRUE,TRUE,TRUE}</definedName>
    <definedName name="wvu.Summary." localSheetId="2" hidden="1">{TRUE,TRUE,-1.25,-15.5,759.75,457.5,FALSE,FALSE,TRUE,TRUE,0,1,#N/A,461,#N/A,26.515625,36.7857142857143,1,FALSE,FALSE,3,TRUE,1,FALSE,100,"Swvu.Summary.","ACwvu.Summary.",0,FALSE,FALSE,0.67,0.4,1,0.75,1,"&amp;L&amp;8COMPANY
PROJECT/SITE","&amp;L&amp;8&amp;F![&amp;A]&amp;R&amp;8&amp;D
&amp;T",TRUE,FALSE,FALSE,FALSE,1,100,#N/A,#N/A,"=R430C1:R488C11",FALSE,"Rwvu.Summary.",#N/A,FALSE,FALSE,TRUE,1,300,300,FALSE,FALSE,TRUE,TRUE,TRUE}</definedName>
    <definedName name="wvu.Summary." hidden="1">{TRUE,TRUE,-1.25,-15.5,759.75,457.5,FALSE,FALSE,TRUE,TRUE,0,1,#N/A,461,#N/A,26.515625,36.7857142857143,1,FALSE,FALSE,3,TRUE,1,FALSE,100,"Swvu.Summary.","ACwvu.Summary.",0,FALSE,FALSE,0.67,0.4,1,0.75,1,"&amp;L&amp;8COMPANY
PROJECT/SITE","&amp;L&amp;8&amp;F![&amp;A]&amp;R&amp;8&amp;D
&amp;T",TRUE,FALSE,FALSE,FALSE,1,100,#N/A,#N/A,"=R430C1:R488C11",FALSE,"Rwvu.Summary.",#N/A,FALSE,FALSE,TRUE,1,300,300,FALSE,FALSE,TRUE,TRUE,TRUE}</definedName>
    <definedName name="WWTP">#REF!</definedName>
    <definedName name="XAxisTitle">"Edit Box 32"</definedName>
    <definedName name="xxx" localSheetId="16" hidden="1">{#N/A,#N/A,FALSE,"Annual Summary";#N/A,#N/A,FALSE,"Hourly Summary";#N/A,#N/A,FALSE,"Flare Combustion";#N/A,#N/A,FALSE,"Shipping";#N/A,#N/A,FALSE,"Process Turnaround";#N/A,#N/A,FALSE,"Lab Samples";#N/A,#N/A,FALSE,"Product Cycles 5-4";#N/A,#N/A,FALSE,"5-4.1";#N/A,#N/A,FALSE,"5-4.2";#N/A,#N/A,FALSE,"Physical Prop Data"}</definedName>
    <definedName name="xxx" localSheetId="17" hidden="1">{#N/A,#N/A,FALSE,"Annual Summary";#N/A,#N/A,FALSE,"Hourly Summary";#N/A,#N/A,FALSE,"Flare Combustion";#N/A,#N/A,FALSE,"Shipping";#N/A,#N/A,FALSE,"Process Turnaround";#N/A,#N/A,FALSE,"Lab Samples";#N/A,#N/A,FALSE,"Product Cycles 5-4";#N/A,#N/A,FALSE,"5-4.1";#N/A,#N/A,FALSE,"5-4.2";#N/A,#N/A,FALSE,"Physical Prop Data"}</definedName>
    <definedName name="xxx" localSheetId="2" hidden="1">{#N/A,#N/A,FALSE,"Annual Summary";#N/A,#N/A,FALSE,"Hourly Summary";#N/A,#N/A,FALSE,"Flare Combustion";#N/A,#N/A,FALSE,"Shipping";#N/A,#N/A,FALSE,"Process Turnaround";#N/A,#N/A,FALSE,"Lab Samples";#N/A,#N/A,FALSE,"Product Cycles 5-4";#N/A,#N/A,FALSE,"5-4.1";#N/A,#N/A,FALSE,"5-4.2";#N/A,#N/A,FALSE,"Physical Prop Data"}</definedName>
    <definedName name="xxx" hidden="1">{#N/A,#N/A,FALSE,"Annual Summary";#N/A,#N/A,FALSE,"Hourly Summary";#N/A,#N/A,FALSE,"Flare Combustion";#N/A,#N/A,FALSE,"Shipping";#N/A,#N/A,FALSE,"Process Turnaround";#N/A,#N/A,FALSE,"Lab Samples";#N/A,#N/A,FALSE,"Product Cycles 5-4";#N/A,#N/A,FALSE,"5-4.1";#N/A,#N/A,FALSE,"5-4.2";#N/A,#N/A,FALSE,"Physical Prop Data"}</definedName>
    <definedName name="xxxx">#REF!</definedName>
    <definedName name="xxxxxx" localSheetId="16" hidden="1">{"Detailed",#N/A,FALSE,"GAS-COMB";"Summary",#N/A,FALSE,"GAS-COMB"}</definedName>
    <definedName name="xxxxxx" localSheetId="17" hidden="1">{"Detailed",#N/A,FALSE,"GAS-COMB";"Summary",#N/A,FALSE,"GAS-COMB"}</definedName>
    <definedName name="xxxxxx" localSheetId="2" hidden="1">{"Detailed",#N/A,FALSE,"GAS-COMB";"Summary",#N/A,FALSE,"GAS-COMB"}</definedName>
    <definedName name="xxxxxx" hidden="1">{"Detailed",#N/A,FALSE,"GAS-COMB";"Summary",#N/A,FALSE,"GAS-COMB"}</definedName>
    <definedName name="YAxisTitle">"Edit Box 33"</definedName>
    <definedName name="yr_hr">#REF!</definedName>
    <definedName name="z" localSheetId="16" hidden="1">{#N/A,#N/A,FALSE,"Annual Summary";#N/A,#N/A,FALSE,"Hourly Summary";#N/A,#N/A,FALSE,"Flare Combustion";#N/A,#N/A,FALSE,"Shipping";#N/A,#N/A,FALSE,"Process Turnaround";#N/A,#N/A,FALSE,"Lab Samples";#N/A,#N/A,FALSE,"Product Cycles 5-4";#N/A,#N/A,FALSE,"5-4.1";#N/A,#N/A,FALSE,"5-4.2";#N/A,#N/A,FALSE,"Physical Prop Data"}</definedName>
    <definedName name="z" localSheetId="17" hidden="1">{#N/A,#N/A,FALSE,"Annual Summary";#N/A,#N/A,FALSE,"Hourly Summary";#N/A,#N/A,FALSE,"Flare Combustion";#N/A,#N/A,FALSE,"Shipping";#N/A,#N/A,FALSE,"Process Turnaround";#N/A,#N/A,FALSE,"Lab Samples";#N/A,#N/A,FALSE,"Product Cycles 5-4";#N/A,#N/A,FALSE,"5-4.1";#N/A,#N/A,FALSE,"5-4.2";#N/A,#N/A,FALSE,"Physical Prop Data"}</definedName>
    <definedName name="z" localSheetId="2" hidden="1">{#N/A,#N/A,FALSE,"Annual Summary";#N/A,#N/A,FALSE,"Hourly Summary";#N/A,#N/A,FALSE,"Flare Combustion";#N/A,#N/A,FALSE,"Shipping";#N/A,#N/A,FALSE,"Process Turnaround";#N/A,#N/A,FALSE,"Lab Samples";#N/A,#N/A,FALSE,"Product Cycles 5-4";#N/A,#N/A,FALSE,"5-4.1";#N/A,#N/A,FALSE,"5-4.2";#N/A,#N/A,FALSE,"Physical Prop Data"}</definedName>
    <definedName name="z" hidden="1">{#N/A,#N/A,FALSE,"Annual Summary";#N/A,#N/A,FALSE,"Hourly Summary";#N/A,#N/A,FALSE,"Flare Combustion";#N/A,#N/A,FALSE,"Shipping";#N/A,#N/A,FALSE,"Process Turnaround";#N/A,#N/A,FALSE,"Lab Samples";#N/A,#N/A,FALSE,"Product Cycles 5-4";#N/A,#N/A,FALSE,"5-4.1";#N/A,#N/A,FALSE,"5-4.2";#N/A,#N/A,FALSE,"Physical Prop Data"}</definedName>
    <definedName name="Zero">#REF!</definedName>
    <definedName name="zzzzz" localSheetId="16">'ESP Input'!zzzzz</definedName>
    <definedName name="zzzzz" localSheetId="17">'ESP Output'!zzzzz</definedName>
    <definedName name="zzzzz" localSheetId="2">'Perlite Concentrations'!zzzzz</definedName>
    <definedName name="zzzzz">[0]!zzzzz</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28" l="1"/>
  <c r="M26" i="16" l="1"/>
  <c r="D24" i="32" l="1"/>
  <c r="D21" i="32" s="1"/>
  <c r="D25" i="32" s="1"/>
  <c r="F31" i="32"/>
  <c r="F30" i="32"/>
  <c r="B32" i="31" l="1"/>
  <c r="B25" i="31"/>
  <c r="G336" i="29"/>
  <c r="G337" i="29"/>
  <c r="G338" i="29"/>
  <c r="G339" i="29"/>
  <c r="G340" i="29"/>
  <c r="G341" i="29"/>
  <c r="G342" i="29"/>
  <c r="G343" i="29"/>
  <c r="G344" i="29"/>
  <c r="G345" i="29"/>
  <c r="G346" i="29"/>
  <c r="G347" i="29"/>
  <c r="G348" i="29"/>
  <c r="G349" i="29"/>
  <c r="G350" i="29"/>
  <c r="G351" i="29"/>
  <c r="G352" i="29"/>
  <c r="G354" i="29"/>
  <c r="G355" i="29"/>
  <c r="G356" i="29"/>
  <c r="G357" i="29"/>
  <c r="G358" i="29"/>
  <c r="G335" i="29"/>
  <c r="F336" i="29"/>
  <c r="F337" i="29"/>
  <c r="F338" i="29"/>
  <c r="F339" i="29"/>
  <c r="F340" i="29"/>
  <c r="F341" i="29"/>
  <c r="F342" i="29"/>
  <c r="F343" i="29"/>
  <c r="F344" i="29"/>
  <c r="F345" i="29"/>
  <c r="F346" i="29"/>
  <c r="F347" i="29"/>
  <c r="F348" i="29"/>
  <c r="F349" i="29"/>
  <c r="F350" i="29"/>
  <c r="F351" i="29"/>
  <c r="F352" i="29"/>
  <c r="F354" i="29"/>
  <c r="F355" i="29"/>
  <c r="F356" i="29"/>
  <c r="F357" i="29"/>
  <c r="F358" i="29"/>
  <c r="F335" i="29"/>
  <c r="C13" i="29" l="1"/>
  <c r="C6" i="32"/>
  <c r="C5" i="32"/>
  <c r="D22" i="32" s="1"/>
  <c r="C17" i="32"/>
  <c r="D20" i="32"/>
  <c r="S34" i="38"/>
  <c r="T34" i="38"/>
  <c r="U34" i="38"/>
  <c r="V34" i="38"/>
  <c r="W34" i="38"/>
  <c r="X34" i="38"/>
  <c r="Y34" i="38"/>
  <c r="Z34" i="38"/>
  <c r="AA34" i="38"/>
  <c r="AB34" i="38"/>
  <c r="AC34" i="38"/>
  <c r="AD34" i="38"/>
  <c r="AE34" i="38"/>
  <c r="AF34" i="38"/>
  <c r="AG34" i="38"/>
  <c r="AH34" i="38"/>
  <c r="AI34" i="38"/>
  <c r="AJ34" i="38"/>
  <c r="AK34" i="38"/>
  <c r="AL34" i="38"/>
  <c r="AM34" i="38"/>
  <c r="AN34" i="38"/>
  <c r="AO34" i="38"/>
  <c r="AP34" i="38"/>
  <c r="AQ34" i="38"/>
  <c r="AR34" i="38"/>
  <c r="AS34" i="38"/>
  <c r="AT34" i="38"/>
  <c r="AU34" i="38"/>
  <c r="AV34" i="38"/>
  <c r="AW34" i="38"/>
  <c r="AX34" i="38"/>
  <c r="AY34" i="38"/>
  <c r="AZ34" i="38"/>
  <c r="BA34" i="38"/>
  <c r="BB34" i="38"/>
  <c r="BC34" i="38"/>
  <c r="BD34" i="38"/>
  <c r="BE34" i="38"/>
  <c r="BF34" i="38"/>
  <c r="BG34" i="38"/>
  <c r="BH34" i="38"/>
  <c r="BI34" i="38"/>
  <c r="BJ34" i="38"/>
  <c r="BK34" i="38"/>
  <c r="P75" i="43"/>
  <c r="P74" i="43"/>
  <c r="P73" i="43"/>
  <c r="P70" i="43"/>
  <c r="P69" i="43"/>
  <c r="P71" i="43" s="1"/>
  <c r="D66" i="43"/>
  <c r="P65" i="43"/>
  <c r="E64" i="43"/>
  <c r="P57" i="43"/>
  <c r="P55" i="43"/>
  <c r="P50" i="43"/>
  <c r="F44" i="43"/>
  <c r="F45" i="43" s="1"/>
  <c r="H43" i="43"/>
  <c r="H76" i="43" s="1"/>
  <c r="E43" i="43"/>
  <c r="F41" i="43"/>
  <c r="F40" i="43"/>
  <c r="F39" i="43"/>
  <c r="P37" i="43"/>
  <c r="P34" i="43"/>
  <c r="F34" i="43"/>
  <c r="F33" i="43"/>
  <c r="P31" i="43"/>
  <c r="L31" i="43"/>
  <c r="F31" i="43"/>
  <c r="L30" i="43"/>
  <c r="F30" i="43"/>
  <c r="L29" i="43"/>
  <c r="F29" i="43"/>
  <c r="F28" i="43"/>
  <c r="P27" i="43"/>
  <c r="F27" i="43"/>
  <c r="F25" i="43"/>
  <c r="P24" i="43"/>
  <c r="F24" i="43"/>
  <c r="D54" i="43" s="1"/>
  <c r="P23" i="43"/>
  <c r="J22" i="43"/>
  <c r="E22" i="43"/>
  <c r="F21" i="43"/>
  <c r="J20" i="43"/>
  <c r="F20" i="43"/>
  <c r="P19" i="43"/>
  <c r="J19" i="43"/>
  <c r="F19" i="43"/>
  <c r="J18" i="43"/>
  <c r="E18" i="43"/>
  <c r="J17" i="43"/>
  <c r="E16" i="43" s="1"/>
  <c r="E17" i="43"/>
  <c r="J16" i="43"/>
  <c r="J15" i="43"/>
  <c r="E15" i="43"/>
  <c r="F13" i="43"/>
  <c r="D10" i="42" s="1"/>
  <c r="B2" i="42" s="1"/>
  <c r="F12" i="43"/>
  <c r="D19" i="42" s="1"/>
  <c r="F11" i="43"/>
  <c r="F10" i="43"/>
  <c r="G6" i="43"/>
  <c r="E6" i="43"/>
  <c r="E5" i="43"/>
  <c r="R3" i="43"/>
  <c r="Q3" i="43"/>
  <c r="I8" i="43" s="1"/>
  <c r="G68" i="43" s="1"/>
  <c r="P3" i="43"/>
  <c r="O3" i="43"/>
  <c r="B7" i="42"/>
  <c r="D15" i="42" s="1"/>
  <c r="B4" i="42" s="1"/>
  <c r="G38" i="43" s="1"/>
  <c r="Q37" i="43" s="1"/>
  <c r="D30" i="32" l="1"/>
  <c r="E30" i="32" s="1"/>
  <c r="D17" i="32"/>
  <c r="D11" i="42"/>
  <c r="F46" i="43"/>
  <c r="F32" i="43"/>
  <c r="Q27" i="43" s="1"/>
  <c r="D14" i="42"/>
  <c r="D13" i="42"/>
  <c r="D16" i="42"/>
  <c r="Q19" i="43"/>
  <c r="H72" i="43"/>
  <c r="D18" i="42"/>
  <c r="B5" i="42" s="1"/>
  <c r="D50" i="43" s="1"/>
  <c r="F23" i="43"/>
  <c r="I38" i="43"/>
  <c r="H73" i="43"/>
  <c r="H75" i="43"/>
  <c r="D17" i="42"/>
  <c r="H70" i="43"/>
  <c r="D12" i="42"/>
  <c r="B3" i="42" s="1"/>
  <c r="F35" i="43" s="1"/>
  <c r="Q31" i="43" s="1"/>
  <c r="I7" i="43"/>
  <c r="F68" i="43" s="1"/>
  <c r="F53" i="43"/>
  <c r="E63" i="43"/>
  <c r="D65" i="43" s="1"/>
  <c r="Q65" i="43" s="1"/>
  <c r="I35" i="43"/>
  <c r="H69" i="43"/>
  <c r="H71" i="43"/>
  <c r="H74" i="43"/>
  <c r="D31" i="32" l="1"/>
  <c r="E31" i="32" s="1"/>
  <c r="D38" i="32"/>
  <c r="E38" i="32" s="1"/>
  <c r="D32" i="32"/>
  <c r="E32" i="32" s="1"/>
  <c r="D37" i="32"/>
  <c r="E37" i="32" s="1"/>
  <c r="D36" i="32"/>
  <c r="E36" i="32" s="1"/>
  <c r="D35" i="32"/>
  <c r="E35" i="32" s="1"/>
  <c r="D34" i="32"/>
  <c r="E34" i="32" s="1"/>
  <c r="D33" i="32"/>
  <c r="E33" i="32" s="1"/>
  <c r="Q50" i="43"/>
  <c r="Q23" i="43"/>
  <c r="J23" i="43"/>
  <c r="F36" i="43"/>
  <c r="E52" i="43"/>
  <c r="H52" i="43" s="1"/>
  <c r="E51" i="43"/>
  <c r="H51" i="43" s="1"/>
  <c r="N363" i="29" l="1"/>
  <c r="M372" i="29"/>
  <c r="M363" i="29"/>
  <c r="N372" i="29"/>
  <c r="N374" i="29"/>
  <c r="M365" i="29"/>
  <c r="M374" i="29"/>
  <c r="N365" i="29"/>
  <c r="N366" i="29"/>
  <c r="N375" i="29"/>
  <c r="M375" i="29"/>
  <c r="M366" i="29"/>
  <c r="M362" i="29"/>
  <c r="N371" i="29"/>
  <c r="M371" i="29"/>
  <c r="N362" i="29"/>
  <c r="M364" i="29"/>
  <c r="M373" i="29"/>
  <c r="N373" i="29"/>
  <c r="N364" i="29"/>
  <c r="N361" i="29"/>
  <c r="N370" i="29"/>
  <c r="M370" i="29"/>
  <c r="M361" i="29"/>
  <c r="N367" i="29"/>
  <c r="M367" i="29"/>
  <c r="N376" i="29"/>
  <c r="M376" i="29"/>
  <c r="N369" i="29"/>
  <c r="N360" i="29"/>
  <c r="M360" i="29"/>
  <c r="M369" i="29"/>
  <c r="N368" i="29"/>
  <c r="M368" i="29"/>
  <c r="N359" i="29"/>
  <c r="M359" i="29"/>
  <c r="D53" i="43"/>
  <c r="D55" i="43" s="1"/>
  <c r="Q55" i="43" s="1"/>
  <c r="Q24" i="43"/>
  <c r="D20" i="42"/>
  <c r="B6" i="42" s="1"/>
  <c r="F37" i="43" s="1"/>
  <c r="D57" i="43"/>
  <c r="Q57" i="43" s="1"/>
  <c r="Q34" i="43" l="1"/>
  <c r="F70" i="43"/>
  <c r="F69" i="43"/>
  <c r="Q69" i="43" l="1"/>
  <c r="F71" i="43"/>
  <c r="F73" i="43"/>
  <c r="Q73" i="43" s="1"/>
  <c r="F74" i="43"/>
  <c r="Q74" i="43" s="1"/>
  <c r="Q70" i="43"/>
  <c r="Q71" i="43" l="1"/>
  <c r="F72" i="43"/>
  <c r="F76" i="43" s="1"/>
  <c r="F75" i="43"/>
  <c r="Q75" i="43" s="1"/>
  <c r="G4" i="1" l="1"/>
  <c r="C4" i="32"/>
  <c r="C381" i="29"/>
  <c r="D381" i="29" s="1"/>
  <c r="C382" i="29"/>
  <c r="D382" i="29" s="1"/>
  <c r="C383" i="29"/>
  <c r="D383" i="29"/>
  <c r="C384" i="29"/>
  <c r="D384" i="29"/>
  <c r="C385" i="29"/>
  <c r="D385" i="29" s="1"/>
  <c r="C386" i="29"/>
  <c r="D386" i="29" s="1"/>
  <c r="C387" i="29"/>
  <c r="D387" i="29"/>
  <c r="C388" i="29"/>
  <c r="D388" i="29"/>
  <c r="C389" i="29"/>
  <c r="D389" i="29" s="1"/>
  <c r="C390" i="29"/>
  <c r="D390" i="29" s="1"/>
  <c r="C391" i="29"/>
  <c r="D391" i="29"/>
  <c r="C392" i="29"/>
  <c r="D392" i="29"/>
  <c r="C393" i="29"/>
  <c r="D393" i="29" s="1"/>
  <c r="C394" i="29"/>
  <c r="D394" i="29" s="1"/>
  <c r="C395" i="29"/>
  <c r="D395" i="29"/>
  <c r="C396" i="29"/>
  <c r="D396" i="29"/>
  <c r="C397" i="29"/>
  <c r="D397" i="29" s="1"/>
  <c r="C398" i="29"/>
  <c r="D398" i="29" s="1"/>
  <c r="C399" i="29"/>
  <c r="D399" i="29"/>
  <c r="C400" i="29"/>
  <c r="D400" i="29"/>
  <c r="C401" i="29"/>
  <c r="D401" i="29" s="1"/>
  <c r="C402" i="29"/>
  <c r="D402" i="29" s="1"/>
  <c r="C403" i="29"/>
  <c r="D403" i="29"/>
  <c r="C404" i="29"/>
  <c r="D404" i="29"/>
  <c r="C405" i="29"/>
  <c r="D405" i="29" s="1"/>
  <c r="C406" i="29"/>
  <c r="D406" i="29" s="1"/>
  <c r="C407" i="29"/>
  <c r="D407" i="29" s="1"/>
  <c r="C408" i="29"/>
  <c r="D408" i="29"/>
  <c r="C409" i="29"/>
  <c r="D409" i="29" s="1"/>
  <c r="C410" i="29"/>
  <c r="D410" i="29" s="1"/>
  <c r="C411" i="29"/>
  <c r="D411" i="29" s="1"/>
  <c r="C412" i="29"/>
  <c r="D412" i="29"/>
  <c r="C413" i="29"/>
  <c r="D413" i="29" s="1"/>
  <c r="C414" i="29"/>
  <c r="D414" i="29" s="1"/>
  <c r="C415" i="29"/>
  <c r="D415" i="29" s="1"/>
  <c r="C416" i="29"/>
  <c r="D416" i="29"/>
  <c r="C417" i="29"/>
  <c r="D417" i="29" s="1"/>
  <c r="C418" i="29"/>
  <c r="D418" i="29" s="1"/>
  <c r="C419" i="29"/>
  <c r="D419" i="29" s="1"/>
  <c r="C420" i="29"/>
  <c r="D420" i="29"/>
  <c r="C421" i="29"/>
  <c r="D421" i="29" s="1"/>
  <c r="C422" i="29"/>
  <c r="D422" i="29" s="1"/>
  <c r="C423" i="29"/>
  <c r="D423" i="29" s="1"/>
  <c r="C424" i="29"/>
  <c r="D424" i="29"/>
  <c r="C425" i="29"/>
  <c r="D425" i="29" s="1"/>
  <c r="C426" i="29"/>
  <c r="D426" i="29" s="1"/>
  <c r="C427" i="29"/>
  <c r="D427" i="29" s="1"/>
  <c r="C428" i="29"/>
  <c r="D428" i="29"/>
  <c r="C429" i="29"/>
  <c r="D429" i="29" s="1"/>
  <c r="C430" i="29"/>
  <c r="D430" i="29" s="1"/>
  <c r="C431" i="29"/>
  <c r="D431" i="29" s="1"/>
  <c r="C432" i="29"/>
  <c r="D432" i="29"/>
  <c r="C433" i="29"/>
  <c r="D433" i="29" s="1"/>
  <c r="C434" i="29"/>
  <c r="D434" i="29" s="1"/>
  <c r="C435" i="29"/>
  <c r="D435" i="29" s="1"/>
  <c r="C436" i="29"/>
  <c r="D436" i="29"/>
  <c r="C437" i="29"/>
  <c r="D437" i="29" s="1"/>
  <c r="C438" i="29"/>
  <c r="D438" i="29" s="1"/>
  <c r="C439" i="29"/>
  <c r="D439" i="29" s="1"/>
  <c r="C440" i="29"/>
  <c r="D440" i="29"/>
  <c r="C441" i="29"/>
  <c r="D441" i="29" s="1"/>
  <c r="C442" i="29"/>
  <c r="D442" i="29" s="1"/>
  <c r="C443" i="29"/>
  <c r="D443" i="29" s="1"/>
  <c r="C444" i="29"/>
  <c r="D444" i="29"/>
  <c r="C445" i="29"/>
  <c r="D445" i="29" s="1"/>
  <c r="C446" i="29"/>
  <c r="D446" i="29" s="1"/>
  <c r="C447" i="29"/>
  <c r="D447" i="29" s="1"/>
  <c r="C448" i="29"/>
  <c r="D448" i="29"/>
  <c r="C449" i="29"/>
  <c r="D449" i="29" s="1"/>
  <c r="C450" i="29"/>
  <c r="D450" i="29" s="1"/>
  <c r="C451" i="29"/>
  <c r="D451" i="29" s="1"/>
  <c r="C452" i="29"/>
  <c r="D452" i="29"/>
  <c r="C453" i="29"/>
  <c r="D453" i="29" s="1"/>
  <c r="C454" i="29"/>
  <c r="D454" i="29" s="1"/>
  <c r="C455" i="29"/>
  <c r="D455" i="29" s="1"/>
  <c r="C456" i="29"/>
  <c r="D456" i="29"/>
  <c r="C457" i="29"/>
  <c r="D457" i="29" s="1"/>
  <c r="C458" i="29"/>
  <c r="D458" i="29" s="1"/>
  <c r="C459" i="29"/>
  <c r="D459" i="29" s="1"/>
  <c r="C460" i="29"/>
  <c r="D460" i="29"/>
  <c r="C461" i="29"/>
  <c r="D461" i="29" s="1"/>
  <c r="C462" i="29"/>
  <c r="D462" i="29" s="1"/>
  <c r="C463" i="29"/>
  <c r="D463" i="29" s="1"/>
  <c r="C464" i="29"/>
  <c r="D464" i="29"/>
  <c r="C465" i="29"/>
  <c r="D465" i="29" s="1"/>
  <c r="C466" i="29"/>
  <c r="D466" i="29" s="1"/>
  <c r="C467" i="29"/>
  <c r="D467" i="29" s="1"/>
  <c r="C468" i="29"/>
  <c r="D468" i="29"/>
  <c r="C469" i="29"/>
  <c r="D469" i="29" s="1"/>
  <c r="C470" i="29"/>
  <c r="D470" i="29" s="1"/>
  <c r="C471" i="29"/>
  <c r="D471" i="29" s="1"/>
  <c r="C472" i="29"/>
  <c r="D472" i="29"/>
  <c r="C473" i="29"/>
  <c r="D473" i="29" s="1"/>
  <c r="C474" i="29"/>
  <c r="D474" i="29" s="1"/>
  <c r="C475" i="29"/>
  <c r="D475" i="29" s="1"/>
  <c r="C476" i="29"/>
  <c r="D476" i="29"/>
  <c r="C477" i="29"/>
  <c r="D477" i="29" s="1"/>
  <c r="C478" i="29"/>
  <c r="D478" i="29" s="1"/>
  <c r="C479" i="29"/>
  <c r="D479" i="29" s="1"/>
  <c r="C480" i="29"/>
  <c r="D480" i="29" s="1"/>
  <c r="C481" i="29"/>
  <c r="D481" i="29" s="1"/>
  <c r="C482" i="29"/>
  <c r="D482" i="29" s="1"/>
  <c r="C483" i="29"/>
  <c r="D483" i="29" s="1"/>
  <c r="C484" i="29"/>
  <c r="D484" i="29"/>
  <c r="C485" i="29"/>
  <c r="D485" i="29" s="1"/>
  <c r="C486" i="29"/>
  <c r="D486" i="29" s="1"/>
  <c r="C487" i="29"/>
  <c r="D487" i="29" s="1"/>
  <c r="C488" i="29"/>
  <c r="D488" i="29"/>
  <c r="C489" i="29"/>
  <c r="D489" i="29" s="1"/>
  <c r="C490" i="29"/>
  <c r="D490" i="29" s="1"/>
  <c r="C491" i="29"/>
  <c r="D491" i="29" s="1"/>
  <c r="C492" i="29"/>
  <c r="D492" i="29"/>
  <c r="C493" i="29"/>
  <c r="D493" i="29" s="1"/>
  <c r="C494" i="29"/>
  <c r="D494" i="29" s="1"/>
  <c r="C495" i="29"/>
  <c r="D495" i="29" s="1"/>
  <c r="C496" i="29"/>
  <c r="D496" i="29"/>
  <c r="C497" i="29"/>
  <c r="D497" i="29" s="1"/>
  <c r="C498" i="29"/>
  <c r="D498" i="29" s="1"/>
  <c r="C499" i="29"/>
  <c r="D499" i="29" s="1"/>
  <c r="C500" i="29"/>
  <c r="D500" i="29"/>
  <c r="C501" i="29"/>
  <c r="D501" i="29" s="1"/>
  <c r="C502" i="29"/>
  <c r="D502" i="29" s="1"/>
  <c r="C503" i="29"/>
  <c r="D503" i="29" s="1"/>
  <c r="C504" i="29"/>
  <c r="D504" i="29"/>
  <c r="C505" i="29"/>
  <c r="D505" i="29" s="1"/>
  <c r="C506" i="29"/>
  <c r="D506" i="29" s="1"/>
  <c r="C507" i="29"/>
  <c r="D507" i="29" s="1"/>
  <c r="C508" i="29"/>
  <c r="D508" i="29" s="1"/>
  <c r="C509" i="29"/>
  <c r="D509" i="29" s="1"/>
  <c r="C510" i="29"/>
  <c r="D510" i="29" s="1"/>
  <c r="C511" i="29"/>
  <c r="D511" i="29" s="1"/>
  <c r="C512" i="29"/>
  <c r="D512" i="29"/>
  <c r="C513" i="29"/>
  <c r="D513" i="29" s="1"/>
  <c r="C514" i="29"/>
  <c r="D514" i="29" s="1"/>
  <c r="C515" i="29"/>
  <c r="D515" i="29" s="1"/>
  <c r="C516" i="29"/>
  <c r="D516" i="29"/>
  <c r="C517" i="29"/>
  <c r="D517" i="29" s="1"/>
  <c r="C518" i="29"/>
  <c r="D518" i="29" s="1"/>
  <c r="C519" i="29"/>
  <c r="D519" i="29" s="1"/>
  <c r="C520" i="29"/>
  <c r="D520" i="29"/>
  <c r="C521" i="29"/>
  <c r="D521" i="29" s="1"/>
  <c r="C522" i="29"/>
  <c r="D522" i="29" s="1"/>
  <c r="C523" i="29"/>
  <c r="D523" i="29" s="1"/>
  <c r="C524" i="29"/>
  <c r="D524" i="29"/>
  <c r="C525" i="29"/>
  <c r="D525" i="29" s="1"/>
  <c r="C526" i="29"/>
  <c r="D526" i="29" s="1"/>
  <c r="C527" i="29"/>
  <c r="D527" i="29" s="1"/>
  <c r="C528" i="29"/>
  <c r="D528" i="29"/>
  <c r="C529" i="29"/>
  <c r="D529" i="29" s="1"/>
  <c r="C530" i="29"/>
  <c r="D530" i="29" s="1"/>
  <c r="C531" i="29"/>
  <c r="D531" i="29" s="1"/>
  <c r="C532" i="29"/>
  <c r="D532" i="29"/>
  <c r="C533" i="29"/>
  <c r="D533" i="29" s="1"/>
  <c r="C534" i="29"/>
  <c r="D534" i="29" s="1"/>
  <c r="C535" i="29"/>
  <c r="D535" i="29" s="1"/>
  <c r="C536" i="29"/>
  <c r="D536" i="29"/>
  <c r="C537" i="29"/>
  <c r="D537" i="29" s="1"/>
  <c r="C538" i="29"/>
  <c r="D538" i="29" s="1"/>
  <c r="C539" i="29"/>
  <c r="D539" i="29" s="1"/>
  <c r="C540" i="29"/>
  <c r="D540" i="29"/>
  <c r="C541" i="29"/>
  <c r="D541" i="29" s="1"/>
  <c r="C542" i="29"/>
  <c r="D542" i="29" s="1"/>
  <c r="C543" i="29"/>
  <c r="D543" i="29" s="1"/>
  <c r="C544" i="29"/>
  <c r="D544" i="29"/>
  <c r="C545" i="29"/>
  <c r="D545" i="29" s="1"/>
  <c r="C546" i="29"/>
  <c r="D546" i="29" s="1"/>
  <c r="C547" i="29"/>
  <c r="D547" i="29" s="1"/>
  <c r="C548" i="29"/>
  <c r="D548" i="29"/>
  <c r="C549" i="29"/>
  <c r="D549" i="29" s="1"/>
  <c r="C550" i="29"/>
  <c r="D550" i="29" s="1"/>
  <c r="C551" i="29"/>
  <c r="D551" i="29" s="1"/>
  <c r="C552" i="29"/>
  <c r="D552" i="29"/>
  <c r="C553" i="29"/>
  <c r="D553" i="29" s="1"/>
  <c r="C554" i="29"/>
  <c r="D554" i="29" s="1"/>
  <c r="C555" i="29"/>
  <c r="D555" i="29" s="1"/>
  <c r="C556" i="29"/>
  <c r="D556" i="29"/>
  <c r="C557" i="29"/>
  <c r="D557" i="29" s="1"/>
  <c r="C558" i="29"/>
  <c r="D558" i="29" s="1"/>
  <c r="C559" i="29"/>
  <c r="D559" i="29" s="1"/>
  <c r="C560" i="29"/>
  <c r="D560" i="29"/>
  <c r="C561" i="29"/>
  <c r="D561" i="29" s="1"/>
  <c r="C562" i="29"/>
  <c r="D562" i="29" s="1"/>
  <c r="C563" i="29"/>
  <c r="D563" i="29" s="1"/>
  <c r="C564" i="29"/>
  <c r="D564" i="29"/>
  <c r="C565" i="29"/>
  <c r="D565" i="29" s="1"/>
  <c r="C566" i="29"/>
  <c r="D566" i="29" s="1"/>
  <c r="C567" i="29"/>
  <c r="D567" i="29" s="1"/>
  <c r="C568" i="29"/>
  <c r="D568" i="29"/>
  <c r="C569" i="29"/>
  <c r="D569" i="29" s="1"/>
  <c r="C570" i="29"/>
  <c r="D570" i="29" s="1"/>
  <c r="C571" i="29"/>
  <c r="D571" i="29" s="1"/>
  <c r="C572" i="29"/>
  <c r="D572" i="29"/>
  <c r="C573" i="29"/>
  <c r="D573" i="29" s="1"/>
  <c r="G45" i="30" l="1"/>
  <c r="G44" i="30"/>
  <c r="G49" i="31"/>
  <c r="E49" i="31"/>
  <c r="F38" i="5"/>
  <c r="E38" i="5"/>
  <c r="D38" i="5"/>
  <c r="G50" i="31"/>
  <c r="G51" i="31"/>
  <c r="G52" i="31"/>
  <c r="G53" i="31"/>
  <c r="G54" i="31"/>
  <c r="G55" i="31"/>
  <c r="G56" i="31"/>
  <c r="G57" i="31"/>
  <c r="G58" i="31"/>
  <c r="G59" i="31"/>
  <c r="G60" i="31"/>
  <c r="G61" i="31"/>
  <c r="G62" i="31"/>
  <c r="G63" i="31"/>
  <c r="G64" i="31"/>
  <c r="G65" i="31"/>
  <c r="G66" i="31"/>
  <c r="G68" i="31"/>
  <c r="G69" i="31"/>
  <c r="G70" i="31"/>
  <c r="G71" i="31"/>
  <c r="G72" i="31"/>
  <c r="E50" i="31"/>
  <c r="E51" i="31"/>
  <c r="E52" i="31"/>
  <c r="E53" i="31"/>
  <c r="E54" i="31"/>
  <c r="E55" i="31"/>
  <c r="E56" i="31"/>
  <c r="E57" i="31"/>
  <c r="E58" i="31"/>
  <c r="E59" i="31"/>
  <c r="E60" i="31"/>
  <c r="E61" i="31"/>
  <c r="E62" i="31"/>
  <c r="E63" i="31"/>
  <c r="E64" i="31"/>
  <c r="E65" i="31"/>
  <c r="E66" i="31"/>
  <c r="E68" i="31"/>
  <c r="E69" i="31"/>
  <c r="E70" i="31"/>
  <c r="E71" i="31"/>
  <c r="E72" i="31"/>
  <c r="C41" i="30"/>
  <c r="H41" i="30" l="1"/>
  <c r="G40" i="30"/>
  <c r="G41" i="30"/>
  <c r="C40" i="30"/>
  <c r="K41" i="30" l="1"/>
  <c r="J41" i="30"/>
  <c r="I41" i="30"/>
  <c r="F41" i="30"/>
  <c r="K40" i="30"/>
  <c r="I40" i="30"/>
  <c r="F40" i="30"/>
  <c r="J40" i="30"/>
  <c r="L41" i="30" l="1"/>
  <c r="L40" i="30"/>
  <c r="C24" i="30"/>
  <c r="C23" i="30"/>
  <c r="C25" i="5"/>
  <c r="C24" i="5"/>
  <c r="C4" i="30"/>
  <c r="D33" i="30" l="1"/>
  <c r="D32" i="30"/>
  <c r="D35" i="30"/>
  <c r="D34" i="30"/>
  <c r="M40" i="30"/>
  <c r="N40" i="30" s="1"/>
  <c r="D54" i="30"/>
  <c r="E54" i="30" s="1"/>
  <c r="G17" i="16"/>
  <c r="J44" i="6"/>
  <c r="J43" i="6"/>
  <c r="E39" i="31"/>
  <c r="F30" i="11"/>
  <c r="I9" i="11" s="1"/>
  <c r="H30" i="11"/>
  <c r="K22" i="4"/>
  <c r="K21" i="4"/>
  <c r="K17" i="4"/>
  <c r="K18" i="4"/>
  <c r="K12" i="4"/>
  <c r="K9" i="4"/>
  <c r="K8" i="4"/>
  <c r="K7" i="4"/>
  <c r="F31" i="11"/>
  <c r="K29" i="4"/>
  <c r="K23" i="4"/>
  <c r="C56" i="30" l="1"/>
  <c r="F56" i="30" s="1"/>
  <c r="C54" i="30"/>
  <c r="F54" i="30" s="1"/>
  <c r="M41" i="30"/>
  <c r="N41" i="30" s="1"/>
  <c r="K11" i="4"/>
  <c r="D56" i="30"/>
  <c r="E56" i="30" s="1"/>
  <c r="D57" i="30"/>
  <c r="E57" i="30" s="1"/>
  <c r="D55" i="30"/>
  <c r="E55" i="30" s="1"/>
  <c r="C57" i="30" l="1"/>
  <c r="F57" i="30" s="1"/>
  <c r="C55" i="30"/>
  <c r="F55" i="30" s="1"/>
  <c r="K29" i="28"/>
  <c r="C15" i="31" l="1"/>
  <c r="I22" i="21"/>
  <c r="B31" i="32" l="1"/>
  <c r="B32" i="32"/>
  <c r="B33" i="32"/>
  <c r="B34" i="32"/>
  <c r="B35" i="32"/>
  <c r="B36" i="32"/>
  <c r="B37" i="32"/>
  <c r="B38" i="32"/>
  <c r="B30" i="32"/>
  <c r="C327" i="29"/>
  <c r="C326" i="29"/>
  <c r="F38" i="32"/>
  <c r="F36" i="32"/>
  <c r="F37" i="32" s="1"/>
  <c r="F35" i="32"/>
  <c r="F34" i="32"/>
  <c r="F33" i="32"/>
  <c r="F32" i="32"/>
  <c r="E17" i="32"/>
  <c r="J17" i="20" l="1"/>
  <c r="K17" i="20"/>
  <c r="L17" i="20"/>
  <c r="J18" i="20"/>
  <c r="K18" i="20"/>
  <c r="L18" i="20"/>
  <c r="J19" i="20"/>
  <c r="K19" i="20"/>
  <c r="L19" i="20"/>
  <c r="J20" i="20"/>
  <c r="K20" i="20"/>
  <c r="L20" i="20"/>
  <c r="J21" i="20"/>
  <c r="K21" i="20"/>
  <c r="L21" i="20"/>
  <c r="L16" i="20"/>
  <c r="K16" i="20"/>
  <c r="J16" i="20"/>
  <c r="O360" i="29"/>
  <c r="O361" i="29"/>
  <c r="O362" i="29"/>
  <c r="O363" i="29"/>
  <c r="O364" i="29"/>
  <c r="O365" i="29"/>
  <c r="O366" i="29"/>
  <c r="O367" i="29"/>
  <c r="O359" i="29"/>
  <c r="O369" i="29"/>
  <c r="O370" i="29"/>
  <c r="O371" i="29"/>
  <c r="O372" i="29"/>
  <c r="O373" i="29"/>
  <c r="O374" i="29"/>
  <c r="O375" i="29"/>
  <c r="O376" i="29"/>
  <c r="K376" i="29"/>
  <c r="L376" i="29" s="1"/>
  <c r="K369" i="29"/>
  <c r="L369" i="29" s="1"/>
  <c r="J370" i="29"/>
  <c r="J371" i="29"/>
  <c r="J372" i="29"/>
  <c r="J373" i="29"/>
  <c r="K374" i="29"/>
  <c r="L374" i="29" s="1"/>
  <c r="K375" i="29"/>
  <c r="L375" i="29" s="1"/>
  <c r="K370" i="29"/>
  <c r="L370" i="29" s="1"/>
  <c r="K362" i="29"/>
  <c r="L362" i="29" s="1"/>
  <c r="J376" i="29"/>
  <c r="K359" i="29"/>
  <c r="L359" i="29" s="1"/>
  <c r="O368" i="29"/>
  <c r="K373" i="29"/>
  <c r="L373" i="29" s="1"/>
  <c r="K363" i="29"/>
  <c r="L363" i="29" s="1"/>
  <c r="K364" i="29"/>
  <c r="L364" i="29" s="1"/>
  <c r="K365" i="29"/>
  <c r="L365" i="29" s="1"/>
  <c r="J369" i="29"/>
  <c r="J364" i="29"/>
  <c r="J365" i="29"/>
  <c r="J367" i="29"/>
  <c r="C369" i="29"/>
  <c r="C370" i="29"/>
  <c r="C371" i="29"/>
  <c r="C372" i="29"/>
  <c r="C373" i="29"/>
  <c r="C374" i="29"/>
  <c r="C375" i="29"/>
  <c r="C376" i="29"/>
  <c r="C359" i="29"/>
  <c r="C360" i="29"/>
  <c r="C361" i="29"/>
  <c r="C362" i="29"/>
  <c r="C363" i="29"/>
  <c r="C364" i="29"/>
  <c r="C365" i="29"/>
  <c r="C366" i="29"/>
  <c r="C367" i="29"/>
  <c r="C368" i="29"/>
  <c r="H10" i="1"/>
  <c r="G10" i="1"/>
  <c r="F10" i="1"/>
  <c r="E10" i="1"/>
  <c r="C10" i="1"/>
  <c r="D10" i="1"/>
  <c r="J366" i="29" l="1"/>
  <c r="K366" i="29"/>
  <c r="L366" i="29" s="1"/>
  <c r="J375" i="29"/>
  <c r="K361" i="29"/>
  <c r="L361" i="29" s="1"/>
  <c r="K360" i="29"/>
  <c r="L360" i="29" s="1"/>
  <c r="J363" i="29"/>
  <c r="K372" i="29"/>
  <c r="L372" i="29" s="1"/>
  <c r="J360" i="29"/>
  <c r="J374" i="29"/>
  <c r="K367" i="29"/>
  <c r="L367" i="29" s="1"/>
  <c r="J362" i="29"/>
  <c r="K371" i="29"/>
  <c r="L371" i="29" s="1"/>
  <c r="J361" i="29"/>
  <c r="J368" i="29"/>
  <c r="J359" i="29"/>
  <c r="K368" i="29"/>
  <c r="L368" i="29" s="1"/>
  <c r="G20" i="20" l="1"/>
  <c r="G16" i="20"/>
  <c r="G21" i="20"/>
  <c r="G17" i="20"/>
  <c r="G18" i="20"/>
  <c r="G19" i="20"/>
  <c r="C335" i="29" l="1"/>
  <c r="C336" i="29"/>
  <c r="C337" i="29"/>
  <c r="C338" i="29"/>
  <c r="C339" i="29"/>
  <c r="C340" i="29"/>
  <c r="C341" i="29"/>
  <c r="C342" i="29"/>
  <c r="C343" i="29"/>
  <c r="C344" i="29"/>
  <c r="C345" i="29"/>
  <c r="C346" i="29"/>
  <c r="C347" i="29"/>
  <c r="C348" i="29"/>
  <c r="C349" i="29"/>
  <c r="C350" i="29"/>
  <c r="C351" i="29"/>
  <c r="C352" i="29"/>
  <c r="C353" i="29"/>
  <c r="C354" i="29"/>
  <c r="C355" i="29"/>
  <c r="C356" i="29"/>
  <c r="C357" i="29"/>
  <c r="C358" i="29"/>
  <c r="C322" i="29"/>
  <c r="C312" i="29"/>
  <c r="C313" i="29"/>
  <c r="C314" i="29"/>
  <c r="C315" i="29"/>
  <c r="C316" i="29"/>
  <c r="C317" i="29"/>
  <c r="C318" i="29"/>
  <c r="C319" i="29"/>
  <c r="C320" i="29"/>
  <c r="C321" i="29"/>
  <c r="C323" i="29"/>
  <c r="C324" i="29"/>
  <c r="C325" i="29"/>
  <c r="C328" i="29"/>
  <c r="C329" i="29"/>
  <c r="C330" i="29"/>
  <c r="C331" i="29"/>
  <c r="C332" i="29"/>
  <c r="C333" i="29"/>
  <c r="C334" i="29"/>
  <c r="C311" i="29"/>
  <c r="L35" i="28"/>
  <c r="M35" i="28" s="1"/>
  <c r="K35" i="28"/>
  <c r="I35" i="28"/>
  <c r="J35" i="28" s="1"/>
  <c r="H35" i="28"/>
  <c r="L24" i="28"/>
  <c r="M24" i="28" s="1"/>
  <c r="K24" i="28"/>
  <c r="L22" i="28"/>
  <c r="K22" i="28"/>
  <c r="I24" i="28"/>
  <c r="J24" i="28" s="1"/>
  <c r="H24" i="28"/>
  <c r="I22" i="28"/>
  <c r="H22" i="28"/>
  <c r="F300" i="29"/>
  <c r="G300" i="29" s="1"/>
  <c r="F299" i="29"/>
  <c r="G299" i="29" s="1"/>
  <c r="F298" i="29"/>
  <c r="G298" i="29" s="1"/>
  <c r="F297" i="29"/>
  <c r="C296" i="29"/>
  <c r="C303" i="29"/>
  <c r="C300" i="29"/>
  <c r="C301" i="29"/>
  <c r="C302" i="29"/>
  <c r="C271" i="29"/>
  <c r="C270" i="29"/>
  <c r="C269" i="29"/>
  <c r="C268" i="29"/>
  <c r="D267" i="29"/>
  <c r="C267" i="29"/>
  <c r="D266" i="29"/>
  <c r="C266" i="29"/>
  <c r="D265" i="29"/>
  <c r="C265" i="29"/>
  <c r="D264" i="29"/>
  <c r="C264" i="29"/>
  <c r="D263" i="29"/>
  <c r="C263" i="29"/>
  <c r="D262" i="29"/>
  <c r="C262" i="29"/>
  <c r="D261" i="29"/>
  <c r="C261" i="29"/>
  <c r="D260" i="29"/>
  <c r="C260" i="29"/>
  <c r="D259" i="29"/>
  <c r="C259" i="29"/>
  <c r="D258" i="29"/>
  <c r="C258" i="29"/>
  <c r="D257" i="29"/>
  <c r="C257" i="29"/>
  <c r="D256" i="29"/>
  <c r="C256" i="29"/>
  <c r="D255" i="29"/>
  <c r="C255" i="29"/>
  <c r="D254" i="29"/>
  <c r="C254" i="29"/>
  <c r="D253" i="29"/>
  <c r="C253" i="29"/>
  <c r="D252" i="29"/>
  <c r="C252" i="29"/>
  <c r="D251" i="29"/>
  <c r="C251" i="29"/>
  <c r="D250" i="29"/>
  <c r="C250" i="29"/>
  <c r="D249" i="29"/>
  <c r="C249" i="29"/>
  <c r="D248" i="29"/>
  <c r="C248" i="29"/>
  <c r="C223" i="29"/>
  <c r="C222" i="29"/>
  <c r="C221" i="29"/>
  <c r="C220" i="29"/>
  <c r="D219" i="29"/>
  <c r="C219" i="29"/>
  <c r="D218" i="29"/>
  <c r="C218" i="29"/>
  <c r="D217" i="29"/>
  <c r="C217" i="29"/>
  <c r="D216" i="29"/>
  <c r="C216" i="29"/>
  <c r="D215" i="29"/>
  <c r="C215" i="29"/>
  <c r="D214" i="29"/>
  <c r="C214" i="29"/>
  <c r="D213" i="29"/>
  <c r="C213" i="29"/>
  <c r="D212" i="29"/>
  <c r="C212" i="29"/>
  <c r="D211" i="29"/>
  <c r="C211" i="29"/>
  <c r="D210" i="29"/>
  <c r="C210" i="29"/>
  <c r="D209" i="29"/>
  <c r="C209" i="29"/>
  <c r="D208" i="29"/>
  <c r="C208" i="29"/>
  <c r="D207" i="29"/>
  <c r="C207" i="29"/>
  <c r="D206" i="29"/>
  <c r="C206" i="29"/>
  <c r="D205" i="29"/>
  <c r="C205" i="29"/>
  <c r="D204" i="29"/>
  <c r="C204" i="29"/>
  <c r="D203" i="29"/>
  <c r="C203" i="29"/>
  <c r="D202" i="29"/>
  <c r="C202" i="29"/>
  <c r="D201" i="29"/>
  <c r="C201" i="29"/>
  <c r="D200" i="29"/>
  <c r="C200" i="29"/>
  <c r="H20" i="28"/>
  <c r="I20" i="28"/>
  <c r="J20" i="28" s="1"/>
  <c r="L20" i="28"/>
  <c r="L19" i="28"/>
  <c r="I19" i="28"/>
  <c r="H19" i="28"/>
  <c r="C175" i="29"/>
  <c r="C174" i="29"/>
  <c r="C173" i="29"/>
  <c r="C172" i="29"/>
  <c r="D171" i="29"/>
  <c r="C171" i="29"/>
  <c r="D170" i="29"/>
  <c r="C170" i="29"/>
  <c r="D169" i="29"/>
  <c r="C169" i="29"/>
  <c r="D168" i="29"/>
  <c r="C168" i="29"/>
  <c r="D167" i="29"/>
  <c r="C167" i="29"/>
  <c r="D166" i="29"/>
  <c r="C166" i="29"/>
  <c r="D165" i="29"/>
  <c r="C165" i="29"/>
  <c r="D164" i="29"/>
  <c r="C164" i="29"/>
  <c r="D163" i="29"/>
  <c r="C163" i="29"/>
  <c r="D162" i="29"/>
  <c r="C162" i="29"/>
  <c r="D161" i="29"/>
  <c r="C161" i="29"/>
  <c r="D160" i="29"/>
  <c r="C160" i="29"/>
  <c r="D159" i="29"/>
  <c r="C159" i="29"/>
  <c r="D158" i="29"/>
  <c r="C158" i="29"/>
  <c r="D157" i="29"/>
  <c r="C157" i="29"/>
  <c r="D156" i="29"/>
  <c r="C156" i="29"/>
  <c r="D155" i="29"/>
  <c r="C155" i="29"/>
  <c r="D154" i="29"/>
  <c r="C154" i="29"/>
  <c r="D153" i="29"/>
  <c r="C153" i="29"/>
  <c r="D152" i="29"/>
  <c r="C152" i="29"/>
  <c r="F17" i="29"/>
  <c r="F18" i="29"/>
  <c r="F19" i="29"/>
  <c r="G19" i="29" s="1"/>
  <c r="F20" i="29"/>
  <c r="F22" i="29"/>
  <c r="F23" i="29"/>
  <c r="G23" i="29" s="1"/>
  <c r="F24" i="29"/>
  <c r="F25" i="29"/>
  <c r="G25" i="29" s="1"/>
  <c r="F26" i="29"/>
  <c r="F27" i="29"/>
  <c r="G27" i="29" s="1"/>
  <c r="F29" i="29"/>
  <c r="F30" i="29"/>
  <c r="F31" i="29"/>
  <c r="F32" i="29"/>
  <c r="F33" i="29"/>
  <c r="F34" i="29"/>
  <c r="G34" i="29" s="1"/>
  <c r="F35" i="29"/>
  <c r="G35" i="29" s="1"/>
  <c r="F36" i="29"/>
  <c r="F37" i="29"/>
  <c r="G37" i="29" s="1"/>
  <c r="F38" i="29"/>
  <c r="G38" i="29" s="1"/>
  <c r="F39" i="29"/>
  <c r="F41" i="29"/>
  <c r="F42" i="29"/>
  <c r="F43" i="29"/>
  <c r="G43" i="29" s="1"/>
  <c r="F44" i="29"/>
  <c r="F45" i="29"/>
  <c r="F46" i="29"/>
  <c r="G46" i="29" s="1"/>
  <c r="F47" i="29"/>
  <c r="G47" i="29" s="1"/>
  <c r="F49" i="29"/>
  <c r="G49" i="29" s="1"/>
  <c r="F50" i="29"/>
  <c r="G50" i="29" s="1"/>
  <c r="F51" i="29"/>
  <c r="F52" i="29"/>
  <c r="F53" i="29"/>
  <c r="F54" i="29"/>
  <c r="F55" i="29"/>
  <c r="G55" i="29" s="1"/>
  <c r="F16" i="29"/>
  <c r="D55" i="29"/>
  <c r="C55" i="29"/>
  <c r="D54" i="29"/>
  <c r="C54" i="29"/>
  <c r="D53" i="29"/>
  <c r="C53" i="29"/>
  <c r="D52" i="29"/>
  <c r="C52" i="29"/>
  <c r="D51" i="29"/>
  <c r="C51" i="29"/>
  <c r="D50" i="29"/>
  <c r="C50" i="29"/>
  <c r="D49" i="29"/>
  <c r="C49" i="29"/>
  <c r="D48" i="29"/>
  <c r="C48" i="29"/>
  <c r="D47" i="29"/>
  <c r="C47" i="29"/>
  <c r="D46" i="29"/>
  <c r="C46" i="29"/>
  <c r="D45" i="29"/>
  <c r="C45" i="29"/>
  <c r="D44" i="29"/>
  <c r="C44" i="29"/>
  <c r="D43" i="29"/>
  <c r="D42" i="29"/>
  <c r="C42" i="29"/>
  <c r="D41" i="29"/>
  <c r="C41" i="29"/>
  <c r="C40" i="29"/>
  <c r="C39" i="29"/>
  <c r="C104" i="29"/>
  <c r="C105" i="29"/>
  <c r="C106" i="29"/>
  <c r="C107" i="29"/>
  <c r="C108" i="29"/>
  <c r="C109" i="29"/>
  <c r="C110" i="29"/>
  <c r="C111" i="29"/>
  <c r="C112" i="29"/>
  <c r="C113" i="29"/>
  <c r="C114" i="29"/>
  <c r="C115" i="29"/>
  <c r="C116" i="29"/>
  <c r="C117" i="29"/>
  <c r="C118" i="29"/>
  <c r="C119" i="29"/>
  <c r="C120" i="29"/>
  <c r="C121" i="29"/>
  <c r="C122" i="29"/>
  <c r="C123" i="29"/>
  <c r="C124" i="29"/>
  <c r="C125" i="29"/>
  <c r="C126" i="29"/>
  <c r="C127" i="29"/>
  <c r="H18" i="28"/>
  <c r="I18" i="28"/>
  <c r="J18" i="28" s="1"/>
  <c r="L18" i="28"/>
  <c r="M18" i="28" s="1"/>
  <c r="L17" i="28"/>
  <c r="I17" i="28"/>
  <c r="H17" i="28"/>
  <c r="D127" i="29"/>
  <c r="D126" i="29"/>
  <c r="D125" i="29"/>
  <c r="D124" i="29"/>
  <c r="D123" i="29"/>
  <c r="D122" i="29"/>
  <c r="D121" i="29"/>
  <c r="D120" i="29"/>
  <c r="D119" i="29"/>
  <c r="D118" i="29"/>
  <c r="D117" i="29"/>
  <c r="D116" i="29"/>
  <c r="D115" i="29"/>
  <c r="D114" i="29"/>
  <c r="D113" i="29"/>
  <c r="D112" i="29"/>
  <c r="D111" i="29"/>
  <c r="D110" i="29"/>
  <c r="D109" i="29"/>
  <c r="L16" i="28"/>
  <c r="I16" i="28"/>
  <c r="H16" i="28"/>
  <c r="C8" i="32"/>
  <c r="H37" i="28" l="1"/>
  <c r="I38" i="28"/>
  <c r="J38" i="28" s="1"/>
  <c r="H38" i="28"/>
  <c r="G297" i="29"/>
  <c r="I37" i="28"/>
  <c r="J37" i="28" s="1"/>
  <c r="M22" i="28"/>
  <c r="J22" i="28"/>
  <c r="M20" i="28"/>
  <c r="G22" i="29"/>
  <c r="G45" i="29"/>
  <c r="G41" i="29"/>
  <c r="G33" i="29"/>
  <c r="G32" i="29"/>
  <c r="G29" i="29"/>
  <c r="G53" i="29"/>
  <c r="G18" i="29"/>
  <c r="G52" i="29"/>
  <c r="G17" i="29"/>
  <c r="G44" i="29"/>
  <c r="G31" i="29"/>
  <c r="G20" i="29"/>
  <c r="G54" i="29"/>
  <c r="G42" i="29"/>
  <c r="G30" i="29"/>
  <c r="G51" i="29"/>
  <c r="G39" i="29"/>
  <c r="G26" i="29"/>
  <c r="G36" i="29"/>
  <c r="G24" i="29"/>
  <c r="D39" i="31"/>
  <c r="H36" i="28" s="1"/>
  <c r="G55" i="30"/>
  <c r="C44" i="31"/>
  <c r="D5" i="30"/>
  <c r="C35" i="30" s="1"/>
  <c r="E35" i="30" s="1"/>
  <c r="D4" i="30"/>
  <c r="C34" i="30" s="1"/>
  <c r="E34" i="30" s="1"/>
  <c r="F9" i="9"/>
  <c r="D47" i="9" s="1"/>
  <c r="F48" i="29" s="1"/>
  <c r="G48" i="29" s="1"/>
  <c r="F5" i="9"/>
  <c r="D20" i="9" s="1"/>
  <c r="F21" i="29" s="1"/>
  <c r="G21" i="29" s="1"/>
  <c r="F6" i="9"/>
  <c r="D27" i="9" s="1"/>
  <c r="F28" i="29" s="1"/>
  <c r="G28" i="29" s="1"/>
  <c r="C47"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8" i="9"/>
  <c r="C49" i="9"/>
  <c r="C50" i="9"/>
  <c r="C51" i="9"/>
  <c r="C52" i="9"/>
  <c r="C53" i="9"/>
  <c r="C54" i="9"/>
  <c r="C15" i="9"/>
  <c r="F42" i="6"/>
  <c r="E42" i="6"/>
  <c r="H42" i="6" s="1"/>
  <c r="K23" i="28" l="1"/>
  <c r="L23" i="28"/>
  <c r="L21" i="28"/>
  <c r="K21" i="28"/>
  <c r="F43" i="6" l="1"/>
  <c r="F44" i="6"/>
  <c r="E44" i="6"/>
  <c r="E43" i="6"/>
  <c r="J17" i="16"/>
  <c r="K16" i="16"/>
  <c r="L16" i="16" s="1"/>
  <c r="H16" i="16"/>
  <c r="I16" i="16" s="1"/>
  <c r="M16" i="16" s="1"/>
  <c r="F16" i="16"/>
  <c r="G13" i="16"/>
  <c r="J15" i="4"/>
  <c r="I29" i="28"/>
  <c r="K15" i="4" l="1"/>
  <c r="H43" i="6"/>
  <c r="H44" i="6"/>
  <c r="H16" i="20"/>
  <c r="H21" i="20"/>
  <c r="H17" i="20"/>
  <c r="H19" i="20"/>
  <c r="G7" i="3"/>
  <c r="G6" i="3"/>
  <c r="G5" i="3"/>
  <c r="G4" i="3"/>
  <c r="H20" i="20" s="1"/>
  <c r="G14" i="3"/>
  <c r="G13" i="3"/>
  <c r="C5" i="30"/>
  <c r="C33" i="30" s="1"/>
  <c r="C32" i="30"/>
  <c r="E32" i="30" s="1"/>
  <c r="G54" i="30"/>
  <c r="I16" i="20" l="1"/>
  <c r="I21" i="28"/>
  <c r="H21" i="28"/>
  <c r="H23" i="28"/>
  <c r="I23" i="28"/>
  <c r="I19" i="20"/>
  <c r="I17" i="20"/>
  <c r="I21" i="20"/>
  <c r="I20" i="20"/>
  <c r="F33" i="30"/>
  <c r="F32" i="30"/>
  <c r="H18" i="20"/>
  <c r="E33" i="30"/>
  <c r="I18" i="20" l="1"/>
  <c r="C43" i="31" l="1"/>
  <c r="G22" i="21"/>
  <c r="I11" i="3"/>
  <c r="J11" i="3" s="1"/>
  <c r="D22" i="21" s="1"/>
  <c r="C37" i="29"/>
  <c r="C38" i="29"/>
  <c r="C17" i="29"/>
  <c r="C18" i="29"/>
  <c r="C19" i="29"/>
  <c r="C21" i="29"/>
  <c r="C22" i="29"/>
  <c r="C23" i="29"/>
  <c r="C24" i="29"/>
  <c r="C25" i="29"/>
  <c r="C26" i="29"/>
  <c r="C27" i="29"/>
  <c r="C28" i="29"/>
  <c r="C29" i="29"/>
  <c r="C30" i="29"/>
  <c r="C31" i="29"/>
  <c r="C32" i="29"/>
  <c r="C33" i="29"/>
  <c r="C34" i="29"/>
  <c r="C35" i="29"/>
  <c r="C36" i="29"/>
  <c r="C273" i="29"/>
  <c r="C274" i="29"/>
  <c r="C275" i="29"/>
  <c r="C276" i="29"/>
  <c r="C277" i="29"/>
  <c r="C278" i="29"/>
  <c r="C279" i="29"/>
  <c r="C280" i="29"/>
  <c r="C281" i="29"/>
  <c r="C282" i="29"/>
  <c r="C283" i="29"/>
  <c r="C284" i="29"/>
  <c r="C285" i="29"/>
  <c r="C286" i="29"/>
  <c r="C287" i="29"/>
  <c r="C288" i="29"/>
  <c r="C289" i="29"/>
  <c r="C290" i="29"/>
  <c r="C291" i="29"/>
  <c r="C292" i="29"/>
  <c r="C293" i="29"/>
  <c r="C294" i="29"/>
  <c r="C295" i="29"/>
  <c r="C225" i="29"/>
  <c r="C226" i="29"/>
  <c r="C227" i="29"/>
  <c r="C228" i="29"/>
  <c r="C229" i="29"/>
  <c r="C230" i="29"/>
  <c r="C231" i="29"/>
  <c r="C232" i="29"/>
  <c r="C233" i="29"/>
  <c r="C234" i="29"/>
  <c r="C235" i="29"/>
  <c r="C236" i="29"/>
  <c r="C237" i="29"/>
  <c r="C238" i="29"/>
  <c r="C239" i="29"/>
  <c r="C240" i="29"/>
  <c r="C241" i="29"/>
  <c r="C242" i="29"/>
  <c r="C243" i="29"/>
  <c r="C244" i="29"/>
  <c r="C245" i="29"/>
  <c r="C246" i="29"/>
  <c r="C247" i="29"/>
  <c r="C188" i="29"/>
  <c r="C177" i="29"/>
  <c r="C178" i="29"/>
  <c r="C179" i="29"/>
  <c r="C180" i="29"/>
  <c r="C181" i="29"/>
  <c r="C182" i="29"/>
  <c r="C183" i="29"/>
  <c r="C184" i="29"/>
  <c r="C185" i="29"/>
  <c r="C186" i="29"/>
  <c r="C187" i="29"/>
  <c r="C189" i="29"/>
  <c r="C190" i="29"/>
  <c r="C191" i="29"/>
  <c r="C192" i="29"/>
  <c r="C193" i="29"/>
  <c r="C194" i="29"/>
  <c r="C195" i="29"/>
  <c r="C196" i="29"/>
  <c r="C197" i="29"/>
  <c r="C198" i="29"/>
  <c r="C199" i="29"/>
  <c r="C148" i="29"/>
  <c r="C149" i="29"/>
  <c r="C150" i="29"/>
  <c r="C151" i="29"/>
  <c r="C80" i="29"/>
  <c r="C81" i="29"/>
  <c r="C82" i="29"/>
  <c r="C83" i="29"/>
  <c r="C84" i="29"/>
  <c r="C76" i="29"/>
  <c r="C77" i="29"/>
  <c r="C78" i="29"/>
  <c r="C79" i="29"/>
  <c r="K12" i="16"/>
  <c r="L12" i="16" s="1"/>
  <c r="J13" i="16"/>
  <c r="K13" i="16" s="1"/>
  <c r="L13" i="16" s="1"/>
  <c r="H12" i="16"/>
  <c r="I12" i="16" s="1"/>
  <c r="H13" i="16"/>
  <c r="I13" i="16" s="1"/>
  <c r="F13" i="16"/>
  <c r="H8" i="16"/>
  <c r="D11" i="11"/>
  <c r="J11" i="11"/>
  <c r="C30" i="11"/>
  <c r="D9" i="11" s="1"/>
  <c r="F296" i="29" s="1"/>
  <c r="G296" i="29" s="1"/>
  <c r="D30" i="11"/>
  <c r="D31" i="11"/>
  <c r="E31" i="11"/>
  <c r="G31" i="11"/>
  <c r="H31" i="11"/>
  <c r="F8" i="9"/>
  <c r="D39" i="9" s="1"/>
  <c r="F40" i="29" s="1"/>
  <c r="G40" i="29" s="1"/>
  <c r="F7" i="9"/>
  <c r="F12" i="16"/>
  <c r="F17" i="16"/>
  <c r="H17" i="16"/>
  <c r="I17" i="16" s="1"/>
  <c r="K17" i="16"/>
  <c r="L17" i="16" s="1"/>
  <c r="C8" i="1"/>
  <c r="H29" i="28" s="1"/>
  <c r="L22" i="21" l="1"/>
  <c r="J22" i="21"/>
  <c r="K22" i="21"/>
  <c r="M22" i="21"/>
  <c r="N22" i="21"/>
  <c r="C39" i="31"/>
  <c r="F39" i="31" s="1"/>
  <c r="D105" i="30"/>
  <c r="D76" i="30"/>
  <c r="D108" i="30"/>
  <c r="D79" i="30"/>
  <c r="M12" i="16"/>
  <c r="M13" i="16"/>
  <c r="M17" i="16"/>
  <c r="G21" i="21"/>
  <c r="G20" i="21"/>
  <c r="G19" i="21"/>
  <c r="C297" i="29"/>
  <c r="L26" i="28"/>
  <c r="K26" i="28"/>
  <c r="L27" i="28"/>
  <c r="K27" i="28"/>
  <c r="F302" i="29"/>
  <c r="C299" i="29"/>
  <c r="D299" i="29"/>
  <c r="D302" i="29"/>
  <c r="J26" i="28"/>
  <c r="M26" i="28" s="1"/>
  <c r="J27" i="28"/>
  <c r="M27" i="28" s="1"/>
  <c r="J17" i="28"/>
  <c r="J16" i="28"/>
  <c r="I15" i="28"/>
  <c r="H15" i="28"/>
  <c r="C6" i="6"/>
  <c r="C5" i="6"/>
  <c r="C4" i="6"/>
  <c r="I42" i="6" s="1"/>
  <c r="C17" i="5"/>
  <c r="C38" i="5"/>
  <c r="K6" i="11"/>
  <c r="I6" i="11"/>
  <c r="I7" i="11" s="1"/>
  <c r="F5" i="4"/>
  <c r="N12" i="4" s="1"/>
  <c r="F20" i="4"/>
  <c r="F26" i="4"/>
  <c r="N29" i="4" s="1"/>
  <c r="F14" i="4"/>
  <c r="I8" i="3"/>
  <c r="J8" i="3" s="1"/>
  <c r="D20" i="21" s="1"/>
  <c r="M6" i="3"/>
  <c r="I10" i="3"/>
  <c r="J10" i="3" s="1"/>
  <c r="D21" i="21" s="1"/>
  <c r="M4" i="3"/>
  <c r="M16" i="28"/>
  <c r="N21" i="4" l="1"/>
  <c r="N22" i="4"/>
  <c r="N18" i="4"/>
  <c r="N17" i="4"/>
  <c r="N8" i="4"/>
  <c r="N9" i="4"/>
  <c r="N7" i="4"/>
  <c r="N23" i="4"/>
  <c r="N15" i="4"/>
  <c r="N11" i="4"/>
  <c r="E79" i="30"/>
  <c r="F79" i="30" s="1"/>
  <c r="G79" i="30"/>
  <c r="E108" i="30"/>
  <c r="F108" i="30" s="1"/>
  <c r="G108" i="30"/>
  <c r="H108" i="30" s="1"/>
  <c r="E76" i="30"/>
  <c r="F76" i="30" s="1"/>
  <c r="G76" i="30"/>
  <c r="E105" i="30"/>
  <c r="F105" i="30" s="1"/>
  <c r="G105" i="30"/>
  <c r="H105" i="30" s="1"/>
  <c r="I19" i="21"/>
  <c r="L19" i="21"/>
  <c r="M19" i="21"/>
  <c r="J19" i="21"/>
  <c r="N19" i="21"/>
  <c r="K19" i="21"/>
  <c r="I20" i="21"/>
  <c r="L20" i="21"/>
  <c r="J20" i="21"/>
  <c r="K20" i="21"/>
  <c r="M20" i="21"/>
  <c r="N20" i="21"/>
  <c r="I21" i="21"/>
  <c r="L21" i="21"/>
  <c r="J21" i="21"/>
  <c r="K21" i="21"/>
  <c r="M21" i="21"/>
  <c r="N21" i="21"/>
  <c r="G302" i="29"/>
  <c r="I36" i="28"/>
  <c r="K36" i="28"/>
  <c r="L36" i="28"/>
  <c r="M36" i="28" s="1"/>
  <c r="J54" i="29"/>
  <c r="J55" i="29"/>
  <c r="J42" i="29"/>
  <c r="J49" i="29"/>
  <c r="J46" i="29"/>
  <c r="J26" i="29"/>
  <c r="J43" i="29"/>
  <c r="J30" i="29"/>
  <c r="J51" i="29"/>
  <c r="J52" i="29"/>
  <c r="J36" i="29"/>
  <c r="J27" i="29"/>
  <c r="J48" i="29"/>
  <c r="J39" i="29"/>
  <c r="J25" i="29"/>
  <c r="J35" i="29"/>
  <c r="J47" i="29"/>
  <c r="J37" i="29"/>
  <c r="J50" i="29"/>
  <c r="J34" i="29"/>
  <c r="J53" i="29"/>
  <c r="J19" i="29"/>
  <c r="J23" i="29"/>
  <c r="J24" i="29"/>
  <c r="J44" i="29"/>
  <c r="J41" i="29"/>
  <c r="J28" i="29"/>
  <c r="J38" i="29"/>
  <c r="J45" i="29"/>
  <c r="J32" i="29"/>
  <c r="J31" i="29"/>
  <c r="J29" i="29"/>
  <c r="J17" i="29"/>
  <c r="J40" i="29"/>
  <c r="J33" i="29"/>
  <c r="J21" i="29"/>
  <c r="J20" i="29"/>
  <c r="J18" i="29"/>
  <c r="J22" i="29"/>
  <c r="J16" i="29"/>
  <c r="J15" i="28"/>
  <c r="K43" i="29"/>
  <c r="L43" i="29" s="1"/>
  <c r="K30" i="29"/>
  <c r="L30" i="29" s="1"/>
  <c r="K53" i="29"/>
  <c r="L53" i="29" s="1"/>
  <c r="K50" i="29"/>
  <c r="L50" i="29" s="1"/>
  <c r="K54" i="29"/>
  <c r="L54" i="29" s="1"/>
  <c r="K46" i="29"/>
  <c r="L46" i="29" s="1"/>
  <c r="K44" i="29"/>
  <c r="L44" i="29" s="1"/>
  <c r="K34" i="29"/>
  <c r="L34" i="29" s="1"/>
  <c r="K47" i="29"/>
  <c r="L47" i="29" s="1"/>
  <c r="K35" i="29"/>
  <c r="L35" i="29" s="1"/>
  <c r="K36" i="29"/>
  <c r="L36" i="29" s="1"/>
  <c r="K52" i="29"/>
  <c r="L52" i="29" s="1"/>
  <c r="K25" i="29"/>
  <c r="L25" i="29" s="1"/>
  <c r="K41" i="29"/>
  <c r="L41" i="29" s="1"/>
  <c r="K19" i="29"/>
  <c r="L19" i="29" s="1"/>
  <c r="K22" i="29"/>
  <c r="L22" i="29" s="1"/>
  <c r="K17" i="29"/>
  <c r="L17" i="29" s="1"/>
  <c r="K16" i="29"/>
  <c r="K40" i="29"/>
  <c r="L40" i="29" s="1"/>
  <c r="K28" i="29"/>
  <c r="L28" i="29" s="1"/>
  <c r="K38" i="29"/>
  <c r="L38" i="29" s="1"/>
  <c r="K21" i="29"/>
  <c r="L21" i="29" s="1"/>
  <c r="K42" i="29"/>
  <c r="L42" i="29" s="1"/>
  <c r="K29" i="29"/>
  <c r="L29" i="29" s="1"/>
  <c r="K32" i="29"/>
  <c r="L32" i="29" s="1"/>
  <c r="K24" i="29"/>
  <c r="L24" i="29" s="1"/>
  <c r="K39" i="29"/>
  <c r="L39" i="29" s="1"/>
  <c r="K27" i="29"/>
  <c r="L27" i="29" s="1"/>
  <c r="K26" i="29"/>
  <c r="L26" i="29" s="1"/>
  <c r="K55" i="29"/>
  <c r="L55" i="29" s="1"/>
  <c r="K23" i="29"/>
  <c r="L23" i="29" s="1"/>
  <c r="K18" i="29"/>
  <c r="L18" i="29" s="1"/>
  <c r="K20" i="29"/>
  <c r="L20" i="29" s="1"/>
  <c r="K51" i="29"/>
  <c r="L51" i="29" s="1"/>
  <c r="K33" i="29"/>
  <c r="L33" i="29" s="1"/>
  <c r="K45" i="29"/>
  <c r="L45" i="29" s="1"/>
  <c r="K48" i="29"/>
  <c r="L48" i="29" s="1"/>
  <c r="K49" i="29"/>
  <c r="L49" i="29" s="1"/>
  <c r="K37" i="29"/>
  <c r="L37" i="29" s="1"/>
  <c r="K31" i="29"/>
  <c r="L31" i="29" s="1"/>
  <c r="J19" i="28"/>
  <c r="L29" i="28"/>
  <c r="F4" i="1"/>
  <c r="K15" i="28" s="1"/>
  <c r="L108" i="30"/>
  <c r="D63" i="6"/>
  <c r="E63" i="6" s="1"/>
  <c r="D24" i="6"/>
  <c r="E24" i="6" s="1"/>
  <c r="F67" i="29" s="1"/>
  <c r="J63" i="6"/>
  <c r="K63" i="6" s="1"/>
  <c r="F163" i="29" s="1"/>
  <c r="J60" i="6"/>
  <c r="K60" i="6" s="1"/>
  <c r="D60" i="6"/>
  <c r="E60" i="6" s="1"/>
  <c r="D21" i="6"/>
  <c r="E21" i="6" s="1"/>
  <c r="F64" i="29" s="1"/>
  <c r="L105" i="30"/>
  <c r="I43" i="6"/>
  <c r="I44" i="6"/>
  <c r="L79" i="30"/>
  <c r="D60" i="31"/>
  <c r="D27" i="33"/>
  <c r="G27" i="33" s="1"/>
  <c r="H27" i="33" s="1"/>
  <c r="L76" i="30"/>
  <c r="D57" i="31"/>
  <c r="D24" i="33"/>
  <c r="G24" i="33" s="1"/>
  <c r="H24" i="33" s="1"/>
  <c r="D25" i="31"/>
  <c r="D32" i="31" s="1"/>
  <c r="C25" i="31"/>
  <c r="C32" i="31" s="1"/>
  <c r="P24" i="6"/>
  <c r="Q24" i="6" s="1"/>
  <c r="F139" i="29" s="1"/>
  <c r="G139" i="29" s="1"/>
  <c r="D55" i="5"/>
  <c r="G55" i="5" s="1"/>
  <c r="J24" i="6"/>
  <c r="K24" i="6" s="1"/>
  <c r="F91" i="29" s="1"/>
  <c r="P21" i="6"/>
  <c r="Q21" i="6" s="1"/>
  <c r="F136" i="29" s="1"/>
  <c r="G136" i="29" s="1"/>
  <c r="J21" i="6"/>
  <c r="K21" i="6" s="1"/>
  <c r="F88" i="29" s="1"/>
  <c r="D52" i="5"/>
  <c r="D5" i="6"/>
  <c r="F6" i="1"/>
  <c r="M17" i="28"/>
  <c r="D6" i="6"/>
  <c r="F7" i="1"/>
  <c r="D4" i="6"/>
  <c r="F5" i="1"/>
  <c r="K16" i="28" s="1"/>
  <c r="L15" i="28"/>
  <c r="K9" i="11"/>
  <c r="F303" i="29" s="1"/>
  <c r="G303" i="29" s="1"/>
  <c r="C16" i="29"/>
  <c r="H76" i="30" l="1"/>
  <c r="G184" i="29"/>
  <c r="H79" i="30"/>
  <c r="G187" i="29"/>
  <c r="F187" i="29"/>
  <c r="J187" i="29" s="1"/>
  <c r="L63" i="6"/>
  <c r="O79" i="30"/>
  <c r="M79" i="30"/>
  <c r="N79" i="30" s="1"/>
  <c r="O108" i="30"/>
  <c r="M108" i="30"/>
  <c r="N108" i="30" s="1"/>
  <c r="H55" i="5"/>
  <c r="G283" i="29"/>
  <c r="M283" i="29" s="1"/>
  <c r="F184" i="29"/>
  <c r="O105" i="30"/>
  <c r="M105" i="30"/>
  <c r="N105" i="30" s="1"/>
  <c r="M76" i="30"/>
  <c r="N76" i="30" s="1"/>
  <c r="O76" i="30"/>
  <c r="K38" i="28"/>
  <c r="L38" i="28"/>
  <c r="M38" i="28" s="1"/>
  <c r="J36" i="28"/>
  <c r="F211" i="29"/>
  <c r="G211" i="29"/>
  <c r="F208" i="29"/>
  <c r="G208" i="29"/>
  <c r="K139" i="29"/>
  <c r="L139" i="29" s="1"/>
  <c r="L37" i="28"/>
  <c r="M37" i="28" s="1"/>
  <c r="E24" i="33"/>
  <c r="E27" i="33"/>
  <c r="K18" i="28"/>
  <c r="K17" i="28"/>
  <c r="K20" i="28"/>
  <c r="K19" i="28"/>
  <c r="M139" i="29" s="1"/>
  <c r="J139" i="29"/>
  <c r="F60" i="6"/>
  <c r="F112" i="29"/>
  <c r="L60" i="6"/>
  <c r="F160" i="29"/>
  <c r="J136" i="29"/>
  <c r="J163" i="29"/>
  <c r="G163" i="29"/>
  <c r="K163" i="29"/>
  <c r="L163" i="29" s="1"/>
  <c r="F63" i="6"/>
  <c r="F115" i="29"/>
  <c r="G64" i="29"/>
  <c r="J64" i="29"/>
  <c r="K88" i="29"/>
  <c r="L88" i="29" s="1"/>
  <c r="J88" i="29"/>
  <c r="G88" i="29"/>
  <c r="G91" i="29"/>
  <c r="K91" i="29"/>
  <c r="L91" i="29" s="1"/>
  <c r="J91" i="29"/>
  <c r="G67" i="29"/>
  <c r="J67" i="29"/>
  <c r="K136" i="29"/>
  <c r="L136" i="29" s="1"/>
  <c r="M19" i="28"/>
  <c r="N136" i="29"/>
  <c r="O136" i="29" s="1"/>
  <c r="N139" i="29"/>
  <c r="O139" i="29" s="1"/>
  <c r="M46" i="29"/>
  <c r="M19" i="29"/>
  <c r="M43" i="29"/>
  <c r="M35" i="29"/>
  <c r="M50" i="29"/>
  <c r="M37" i="29"/>
  <c r="M25" i="29"/>
  <c r="M34" i="29"/>
  <c r="M47" i="29"/>
  <c r="M38" i="29"/>
  <c r="M27" i="29"/>
  <c r="M23" i="29"/>
  <c r="M55" i="29"/>
  <c r="M49" i="29"/>
  <c r="M17" i="29"/>
  <c r="M22" i="29"/>
  <c r="M33" i="29"/>
  <c r="M21" i="29"/>
  <c r="M26" i="29"/>
  <c r="M28" i="29"/>
  <c r="M48" i="29"/>
  <c r="M30" i="29"/>
  <c r="M36" i="29"/>
  <c r="M40" i="29"/>
  <c r="M32" i="29"/>
  <c r="M20" i="29"/>
  <c r="M42" i="29"/>
  <c r="M24" i="29"/>
  <c r="M39" i="29"/>
  <c r="M29" i="29"/>
  <c r="M18" i="29"/>
  <c r="M51" i="29"/>
  <c r="M52" i="29"/>
  <c r="M31" i="29"/>
  <c r="M45" i="29"/>
  <c r="M53" i="29"/>
  <c r="M41" i="29"/>
  <c r="M44" i="29"/>
  <c r="M54" i="29"/>
  <c r="N35" i="29"/>
  <c r="O35" i="29" s="1"/>
  <c r="N25" i="29"/>
  <c r="O25" i="29" s="1"/>
  <c r="N47" i="29"/>
  <c r="O47" i="29" s="1"/>
  <c r="N50" i="29"/>
  <c r="O50" i="29" s="1"/>
  <c r="N49" i="29"/>
  <c r="O49" i="29" s="1"/>
  <c r="N46" i="29"/>
  <c r="O46" i="29" s="1"/>
  <c r="N19" i="29"/>
  <c r="O19" i="29" s="1"/>
  <c r="N38" i="29"/>
  <c r="O38" i="29" s="1"/>
  <c r="N33" i="29"/>
  <c r="O33" i="29" s="1"/>
  <c r="N29" i="29"/>
  <c r="O29" i="29" s="1"/>
  <c r="N37" i="29"/>
  <c r="O37" i="29" s="1"/>
  <c r="N34" i="29"/>
  <c r="O34" i="29" s="1"/>
  <c r="N27" i="29"/>
  <c r="O27" i="29" s="1"/>
  <c r="N23" i="29"/>
  <c r="O23" i="29" s="1"/>
  <c r="N53" i="29"/>
  <c r="O53" i="29" s="1"/>
  <c r="N55" i="29"/>
  <c r="O55" i="29" s="1"/>
  <c r="N43" i="29"/>
  <c r="O43" i="29" s="1"/>
  <c r="N22" i="29"/>
  <c r="O22" i="29" s="1"/>
  <c r="N36" i="29"/>
  <c r="O36" i="29" s="1"/>
  <c r="N54" i="29"/>
  <c r="O54" i="29" s="1"/>
  <c r="N44" i="29"/>
  <c r="O44" i="29" s="1"/>
  <c r="N42" i="29"/>
  <c r="O42" i="29" s="1"/>
  <c r="N24" i="29"/>
  <c r="O24" i="29" s="1"/>
  <c r="N18" i="29"/>
  <c r="O18" i="29" s="1"/>
  <c r="N26" i="29"/>
  <c r="O26" i="29" s="1"/>
  <c r="N28" i="29"/>
  <c r="O28" i="29" s="1"/>
  <c r="N48" i="29"/>
  <c r="O48" i="29" s="1"/>
  <c r="N30" i="29"/>
  <c r="O30" i="29" s="1"/>
  <c r="N52" i="29"/>
  <c r="O52" i="29" s="1"/>
  <c r="N40" i="29"/>
  <c r="O40" i="29" s="1"/>
  <c r="N45" i="29"/>
  <c r="O45" i="29" s="1"/>
  <c r="N32" i="29"/>
  <c r="O32" i="29" s="1"/>
  <c r="N17" i="29"/>
  <c r="O17" i="29" s="1"/>
  <c r="N41" i="29"/>
  <c r="O41" i="29" s="1"/>
  <c r="N21" i="29"/>
  <c r="O21" i="29" s="1"/>
  <c r="N39" i="29"/>
  <c r="O39" i="29" s="1"/>
  <c r="N20" i="29"/>
  <c r="O20" i="29" s="1"/>
  <c r="N51" i="29"/>
  <c r="O51" i="29" s="1"/>
  <c r="N31" i="29"/>
  <c r="O31" i="29" s="1"/>
  <c r="J42" i="6"/>
  <c r="M15" i="28"/>
  <c r="E52" i="5"/>
  <c r="F280" i="29" s="1"/>
  <c r="G52" i="5"/>
  <c r="L24" i="6"/>
  <c r="R21" i="6"/>
  <c r="E55" i="5"/>
  <c r="F283" i="29" s="1"/>
  <c r="L21" i="6"/>
  <c r="F24" i="6"/>
  <c r="F21" i="6"/>
  <c r="R24" i="6"/>
  <c r="G16" i="29"/>
  <c r="M16" i="29" s="1"/>
  <c r="H4" i="16"/>
  <c r="H25" i="28"/>
  <c r="C308" i="29"/>
  <c r="H5" i="11"/>
  <c r="H6" i="11"/>
  <c r="D6" i="11"/>
  <c r="D7" i="11" s="1"/>
  <c r="K187" i="29" l="1"/>
  <c r="L187" i="29" s="1"/>
  <c r="F235" i="29"/>
  <c r="K235" i="29" s="1"/>
  <c r="L235" i="29" s="1"/>
  <c r="F232" i="29"/>
  <c r="K232" i="29" s="1"/>
  <c r="L232" i="29" s="1"/>
  <c r="H52" i="5"/>
  <c r="G280" i="29"/>
  <c r="N283" i="29"/>
  <c r="O283" i="29" s="1"/>
  <c r="K280" i="29"/>
  <c r="L280" i="29" s="1"/>
  <c r="J280" i="29"/>
  <c r="K184" i="29"/>
  <c r="L184" i="29" s="1"/>
  <c r="J184" i="29"/>
  <c r="K283" i="29"/>
  <c r="L283" i="29" s="1"/>
  <c r="J283" i="29"/>
  <c r="G235" i="29"/>
  <c r="P79" i="30"/>
  <c r="G232" i="29"/>
  <c r="P76" i="30"/>
  <c r="J299" i="29"/>
  <c r="J297" i="29"/>
  <c r="J300" i="29"/>
  <c r="J296" i="29"/>
  <c r="J303" i="29"/>
  <c r="J298" i="29"/>
  <c r="J302" i="29"/>
  <c r="J211" i="29"/>
  <c r="K211" i="29"/>
  <c r="L211" i="29" s="1"/>
  <c r="P105" i="30"/>
  <c r="G256" i="29"/>
  <c r="M187" i="29"/>
  <c r="N187" i="29"/>
  <c r="O187" i="29" s="1"/>
  <c r="M208" i="29"/>
  <c r="N208" i="29"/>
  <c r="O208" i="29" s="1"/>
  <c r="J208" i="29"/>
  <c r="K208" i="29"/>
  <c r="L208" i="29" s="1"/>
  <c r="F259" i="29"/>
  <c r="P108" i="30"/>
  <c r="G259" i="29"/>
  <c r="F256" i="29"/>
  <c r="M211" i="29"/>
  <c r="N211" i="29"/>
  <c r="O211" i="29" s="1"/>
  <c r="H57" i="31"/>
  <c r="F57" i="31"/>
  <c r="H60" i="31"/>
  <c r="F60" i="31"/>
  <c r="F27" i="33"/>
  <c r="F322" i="29"/>
  <c r="G322" i="29"/>
  <c r="F319" i="29"/>
  <c r="F24" i="33"/>
  <c r="G319" i="29"/>
  <c r="M136" i="29"/>
  <c r="N67" i="29"/>
  <c r="O67" i="29" s="1"/>
  <c r="K67" i="29"/>
  <c r="L67" i="29" s="1"/>
  <c r="M67" i="29"/>
  <c r="N163" i="29"/>
  <c r="O163" i="29" s="1"/>
  <c r="M163" i="29"/>
  <c r="M91" i="29"/>
  <c r="N91" i="29"/>
  <c r="O91" i="29" s="1"/>
  <c r="J160" i="29"/>
  <c r="K160" i="29"/>
  <c r="L160" i="29" s="1"/>
  <c r="G160" i="29"/>
  <c r="M88" i="29"/>
  <c r="N88" i="29"/>
  <c r="O88" i="29" s="1"/>
  <c r="M64" i="29"/>
  <c r="N64" i="29"/>
  <c r="O64" i="29" s="1"/>
  <c r="K64" i="29"/>
  <c r="L64" i="29" s="1"/>
  <c r="G115" i="29"/>
  <c r="J115" i="29"/>
  <c r="K115" i="29"/>
  <c r="L115" i="29" s="1"/>
  <c r="G112" i="29"/>
  <c r="J112" i="29"/>
  <c r="K112" i="29"/>
  <c r="L112" i="29" s="1"/>
  <c r="F52" i="5"/>
  <c r="F55" i="5"/>
  <c r="J232" i="29" l="1"/>
  <c r="J235" i="29"/>
  <c r="M184" i="29"/>
  <c r="N184" i="29"/>
  <c r="O184" i="29" s="1"/>
  <c r="M280" i="29"/>
  <c r="N280" i="29"/>
  <c r="O280" i="29" s="1"/>
  <c r="J346" i="29"/>
  <c r="K346" i="29"/>
  <c r="L346" i="29" s="1"/>
  <c r="J343" i="29"/>
  <c r="K343" i="29"/>
  <c r="L343" i="29" s="1"/>
  <c r="K259" i="29"/>
  <c r="L259" i="29" s="1"/>
  <c r="J259" i="29"/>
  <c r="N232" i="29"/>
  <c r="O232" i="29" s="1"/>
  <c r="M232" i="29"/>
  <c r="N259" i="29"/>
  <c r="O259" i="29" s="1"/>
  <c r="M259" i="29"/>
  <c r="N235" i="29"/>
  <c r="O235" i="29" s="1"/>
  <c r="M235" i="29"/>
  <c r="K256" i="29"/>
  <c r="L256" i="29" s="1"/>
  <c r="J256" i="29"/>
  <c r="N256" i="29"/>
  <c r="O256" i="29" s="1"/>
  <c r="M256" i="29"/>
  <c r="M346" i="29"/>
  <c r="N346" i="29"/>
  <c r="O346" i="29" s="1"/>
  <c r="N343" i="29"/>
  <c r="O343" i="29" s="1"/>
  <c r="M343" i="29"/>
  <c r="M319" i="29"/>
  <c r="N319" i="29"/>
  <c r="O319" i="29" s="1"/>
  <c r="K319" i="29"/>
  <c r="L319" i="29" s="1"/>
  <c r="J319" i="29"/>
  <c r="M322" i="29"/>
  <c r="N322" i="29"/>
  <c r="O322" i="29" s="1"/>
  <c r="J322" i="29"/>
  <c r="K322" i="29"/>
  <c r="L322" i="29" s="1"/>
  <c r="M160" i="29"/>
  <c r="N160" i="29"/>
  <c r="O160" i="29" s="1"/>
  <c r="N112" i="29"/>
  <c r="O112" i="29" s="1"/>
  <c r="M112" i="29"/>
  <c r="N115" i="29"/>
  <c r="O115" i="29" s="1"/>
  <c r="M115" i="29"/>
  <c r="M23" i="28"/>
  <c r="M21" i="28"/>
  <c r="C380" i="29"/>
  <c r="D380" i="29" s="1"/>
  <c r="C379" i="29"/>
  <c r="D379" i="29" s="1"/>
  <c r="C378" i="29"/>
  <c r="D378" i="29" s="1"/>
  <c r="C377" i="29"/>
  <c r="D377" i="29" s="1"/>
  <c r="D376" i="29"/>
  <c r="D375" i="29"/>
  <c r="D374" i="29"/>
  <c r="D373" i="29"/>
  <c r="D372" i="29"/>
  <c r="D371" i="29"/>
  <c r="D370" i="29"/>
  <c r="D358" i="29"/>
  <c r="D357" i="29"/>
  <c r="D356" i="29"/>
  <c r="D355" i="29"/>
  <c r="D354" i="29"/>
  <c r="D353" i="29"/>
  <c r="D352" i="29"/>
  <c r="D351" i="29"/>
  <c r="D350" i="29"/>
  <c r="D349" i="29"/>
  <c r="D348" i="29"/>
  <c r="D347" i="29"/>
  <c r="D346" i="29"/>
  <c r="D345" i="29"/>
  <c r="D344" i="29"/>
  <c r="D343" i="29"/>
  <c r="D342" i="29"/>
  <c r="D341" i="29"/>
  <c r="D340" i="29"/>
  <c r="D339" i="29"/>
  <c r="D338" i="29"/>
  <c r="D337" i="29"/>
  <c r="D336" i="29"/>
  <c r="D335" i="29"/>
  <c r="D334" i="29"/>
  <c r="D333" i="29"/>
  <c r="D332" i="29"/>
  <c r="D331" i="29"/>
  <c r="D330" i="29"/>
  <c r="D329" i="29"/>
  <c r="D328" i="29"/>
  <c r="D327" i="29"/>
  <c r="D326" i="29"/>
  <c r="D325" i="29"/>
  <c r="D324" i="29"/>
  <c r="D323" i="29"/>
  <c r="D322" i="29"/>
  <c r="D321" i="29"/>
  <c r="D320" i="29"/>
  <c r="D319" i="29"/>
  <c r="D318" i="29"/>
  <c r="D317" i="29"/>
  <c r="D316" i="29"/>
  <c r="D315" i="29"/>
  <c r="D314" i="29"/>
  <c r="D313" i="29"/>
  <c r="D312" i="29"/>
  <c r="D311" i="29"/>
  <c r="D307" i="29"/>
  <c r="D306" i="29"/>
  <c r="D305" i="29"/>
  <c r="D304" i="29"/>
  <c r="D301" i="29"/>
  <c r="D298" i="29"/>
  <c r="D291" i="29"/>
  <c r="D290" i="29"/>
  <c r="D289" i="29"/>
  <c r="D288" i="29"/>
  <c r="D287" i="29"/>
  <c r="D286" i="29"/>
  <c r="D285" i="29"/>
  <c r="D284" i="29"/>
  <c r="D283" i="29"/>
  <c r="D282" i="29"/>
  <c r="D281" i="29"/>
  <c r="D280" i="29"/>
  <c r="D279" i="29"/>
  <c r="D278" i="29"/>
  <c r="D277" i="29"/>
  <c r="D276" i="29"/>
  <c r="D275" i="29"/>
  <c r="D274" i="29"/>
  <c r="D273" i="29"/>
  <c r="D272" i="29"/>
  <c r="D243" i="29"/>
  <c r="D242" i="29"/>
  <c r="D241" i="29"/>
  <c r="D240" i="29"/>
  <c r="D239" i="29"/>
  <c r="D238" i="29"/>
  <c r="D237" i="29"/>
  <c r="D236" i="29"/>
  <c r="D235" i="29"/>
  <c r="D234" i="29"/>
  <c r="D233" i="29"/>
  <c r="D232" i="29"/>
  <c r="D231" i="29"/>
  <c r="D230" i="29"/>
  <c r="D229" i="29"/>
  <c r="D228" i="29"/>
  <c r="D227" i="29"/>
  <c r="D226" i="29"/>
  <c r="D225" i="29"/>
  <c r="D224" i="29"/>
  <c r="D195" i="29"/>
  <c r="D194" i="29"/>
  <c r="D193" i="29"/>
  <c r="D192" i="29"/>
  <c r="D191" i="29"/>
  <c r="D190" i="29"/>
  <c r="D189" i="29"/>
  <c r="D188" i="29"/>
  <c r="D187" i="29"/>
  <c r="D186" i="29"/>
  <c r="D185" i="29"/>
  <c r="D184" i="29"/>
  <c r="D183" i="29"/>
  <c r="D182" i="29"/>
  <c r="D181" i="29"/>
  <c r="D180" i="29"/>
  <c r="D179" i="29"/>
  <c r="D178" i="29"/>
  <c r="D177" i="29"/>
  <c r="D176" i="29"/>
  <c r="D147" i="29"/>
  <c r="D146" i="29"/>
  <c r="D145" i="29"/>
  <c r="D144" i="29"/>
  <c r="D143" i="29"/>
  <c r="D142" i="29"/>
  <c r="D141" i="29"/>
  <c r="D140" i="29"/>
  <c r="D139" i="29"/>
  <c r="D138" i="29"/>
  <c r="D137" i="29"/>
  <c r="D136" i="29"/>
  <c r="D135" i="29"/>
  <c r="D134" i="29"/>
  <c r="D133" i="29"/>
  <c r="D132" i="29"/>
  <c r="D131" i="29"/>
  <c r="D130" i="29"/>
  <c r="D129" i="29"/>
  <c r="D128" i="29"/>
  <c r="D103" i="29"/>
  <c r="D102" i="29"/>
  <c r="D101" i="29"/>
  <c r="D100" i="29"/>
  <c r="D99" i="29"/>
  <c r="D98" i="29"/>
  <c r="D97" i="29"/>
  <c r="D96" i="29"/>
  <c r="D95" i="29"/>
  <c r="D94" i="29"/>
  <c r="D93" i="29"/>
  <c r="D92" i="29"/>
  <c r="D91" i="29"/>
  <c r="D90" i="29"/>
  <c r="D89" i="29"/>
  <c r="D88" i="29"/>
  <c r="D87" i="29"/>
  <c r="D86" i="29"/>
  <c r="D85" i="29"/>
  <c r="D75" i="29"/>
  <c r="D74" i="29"/>
  <c r="D73" i="29"/>
  <c r="D72" i="29"/>
  <c r="D71" i="29"/>
  <c r="D70" i="29"/>
  <c r="D69" i="29"/>
  <c r="D68" i="29"/>
  <c r="D67" i="29"/>
  <c r="D66" i="29"/>
  <c r="D65" i="29"/>
  <c r="D64" i="29"/>
  <c r="D63" i="29"/>
  <c r="D62" i="29"/>
  <c r="D61" i="29"/>
  <c r="D60" i="29"/>
  <c r="D59" i="29"/>
  <c r="D58" i="29"/>
  <c r="D57" i="29"/>
  <c r="D56" i="29"/>
  <c r="D32" i="29"/>
  <c r="D31" i="29"/>
  <c r="D30" i="29"/>
  <c r="D29" i="29"/>
  <c r="D28" i="29"/>
  <c r="D27" i="29"/>
  <c r="D26" i="29"/>
  <c r="D25" i="29"/>
  <c r="D24" i="29"/>
  <c r="D23" i="29"/>
  <c r="D22" i="29"/>
  <c r="D21" i="29"/>
  <c r="D20" i="29"/>
  <c r="D19" i="29"/>
  <c r="D18" i="29"/>
  <c r="O14" i="29"/>
  <c r="N14" i="29"/>
  <c r="M14" i="29"/>
  <c r="L14" i="29"/>
  <c r="K14" i="29"/>
  <c r="J14" i="29"/>
  <c r="D14" i="29"/>
  <c r="C14" i="29"/>
  <c r="O13" i="29"/>
  <c r="N13" i="29"/>
  <c r="M13" i="29"/>
  <c r="L13" i="29"/>
  <c r="K13" i="29"/>
  <c r="J13" i="29"/>
  <c r="D13" i="29"/>
  <c r="D496" i="21"/>
  <c r="E496" i="21" s="1"/>
  <c r="D495" i="21"/>
  <c r="E495" i="21" s="1"/>
  <c r="D494" i="21"/>
  <c r="E494" i="21" s="1"/>
  <c r="D493" i="21"/>
  <c r="E493" i="21" s="1"/>
  <c r="D492" i="21"/>
  <c r="E492" i="21" s="1"/>
  <c r="D491" i="21"/>
  <c r="E491" i="21" s="1"/>
  <c r="D490" i="21"/>
  <c r="E490" i="21" s="1"/>
  <c r="D489" i="21"/>
  <c r="E489" i="21" s="1"/>
  <c r="D488" i="21"/>
  <c r="E488" i="21" s="1"/>
  <c r="D487" i="21"/>
  <c r="E487" i="21" s="1"/>
  <c r="D486" i="21"/>
  <c r="E486" i="21" s="1"/>
  <c r="D485" i="21"/>
  <c r="E485" i="21" s="1"/>
  <c r="D484" i="21"/>
  <c r="E484" i="21" s="1"/>
  <c r="D483" i="21"/>
  <c r="E483" i="21" s="1"/>
  <c r="D482" i="21"/>
  <c r="E482" i="21" s="1"/>
  <c r="D481" i="21"/>
  <c r="E481" i="21" s="1"/>
  <c r="D480" i="21"/>
  <c r="E480" i="21" s="1"/>
  <c r="D479" i="21"/>
  <c r="E479" i="21" s="1"/>
  <c r="D478" i="21"/>
  <c r="E478" i="21" s="1"/>
  <c r="D477" i="21"/>
  <c r="E477" i="21" s="1"/>
  <c r="D476" i="21"/>
  <c r="E476" i="21" s="1"/>
  <c r="D475" i="21"/>
  <c r="E475" i="21" s="1"/>
  <c r="D474" i="21"/>
  <c r="E474" i="21" s="1"/>
  <c r="D473" i="21"/>
  <c r="E473" i="21" s="1"/>
  <c r="D472" i="21"/>
  <c r="E472" i="21" s="1"/>
  <c r="D471" i="21"/>
  <c r="E471" i="21" s="1"/>
  <c r="D470" i="21"/>
  <c r="E470" i="21" s="1"/>
  <c r="D469" i="21"/>
  <c r="E469" i="21" s="1"/>
  <c r="D468" i="21"/>
  <c r="E468" i="21" s="1"/>
  <c r="D467" i="21"/>
  <c r="E467" i="21" s="1"/>
  <c r="D466" i="21"/>
  <c r="E466" i="21" s="1"/>
  <c r="D465" i="21"/>
  <c r="E465" i="21" s="1"/>
  <c r="D464" i="21"/>
  <c r="E464" i="21" s="1"/>
  <c r="D463" i="21"/>
  <c r="E463" i="21" s="1"/>
  <c r="D462" i="21"/>
  <c r="E462" i="21" s="1"/>
  <c r="D461" i="21"/>
  <c r="E461" i="21" s="1"/>
  <c r="D460" i="21"/>
  <c r="E460" i="21" s="1"/>
  <c r="D459" i="21"/>
  <c r="E459" i="21" s="1"/>
  <c r="D458" i="21"/>
  <c r="E458" i="21" s="1"/>
  <c r="D457" i="21"/>
  <c r="E457" i="21" s="1"/>
  <c r="D456" i="21"/>
  <c r="E456" i="21" s="1"/>
  <c r="D455" i="21"/>
  <c r="E455" i="21" s="1"/>
  <c r="D454" i="21"/>
  <c r="E454" i="21" s="1"/>
  <c r="D453" i="21"/>
  <c r="E453" i="21" s="1"/>
  <c r="D452" i="21"/>
  <c r="E452" i="21" s="1"/>
  <c r="D451" i="21"/>
  <c r="E451" i="21" s="1"/>
  <c r="D450" i="21"/>
  <c r="E450" i="21" s="1"/>
  <c r="D449" i="21"/>
  <c r="E449" i="21" s="1"/>
  <c r="D448" i="21"/>
  <c r="E448" i="21" s="1"/>
  <c r="D447" i="21"/>
  <c r="E447" i="21" s="1"/>
  <c r="D446" i="21"/>
  <c r="E446" i="21" s="1"/>
  <c r="D445" i="21"/>
  <c r="E445" i="21" s="1"/>
  <c r="D444" i="21"/>
  <c r="E444" i="21" s="1"/>
  <c r="D443" i="21"/>
  <c r="E443" i="21" s="1"/>
  <c r="D442" i="21"/>
  <c r="E442" i="21" s="1"/>
  <c r="D441" i="21"/>
  <c r="E441" i="21" s="1"/>
  <c r="D440" i="21"/>
  <c r="E440" i="21" s="1"/>
  <c r="D439" i="21"/>
  <c r="E439" i="21" s="1"/>
  <c r="D438" i="21"/>
  <c r="E438" i="21" s="1"/>
  <c r="D437" i="21"/>
  <c r="E437" i="21" s="1"/>
  <c r="D436" i="21"/>
  <c r="E436" i="21" s="1"/>
  <c r="D435" i="21"/>
  <c r="E435" i="21" s="1"/>
  <c r="D434" i="21"/>
  <c r="E434" i="21" s="1"/>
  <c r="D433" i="21"/>
  <c r="E433" i="21" s="1"/>
  <c r="D432" i="21"/>
  <c r="E432" i="21" s="1"/>
  <c r="D431" i="21"/>
  <c r="E431" i="21" s="1"/>
  <c r="D430" i="21"/>
  <c r="E430" i="21" s="1"/>
  <c r="D429" i="21"/>
  <c r="E429" i="21" s="1"/>
  <c r="D428" i="21"/>
  <c r="E428" i="21" s="1"/>
  <c r="D427" i="21"/>
  <c r="E427" i="21" s="1"/>
  <c r="D426" i="21"/>
  <c r="E426" i="21" s="1"/>
  <c r="D425" i="21"/>
  <c r="E425" i="21" s="1"/>
  <c r="D424" i="21"/>
  <c r="E424" i="21" s="1"/>
  <c r="D423" i="21"/>
  <c r="E423" i="21" s="1"/>
  <c r="D422" i="21"/>
  <c r="E422" i="21" s="1"/>
  <c r="D421" i="21"/>
  <c r="E421" i="21" s="1"/>
  <c r="D420" i="21"/>
  <c r="E420" i="21" s="1"/>
  <c r="D419" i="21"/>
  <c r="E419" i="21" s="1"/>
  <c r="D418" i="21"/>
  <c r="E418" i="21" s="1"/>
  <c r="D417" i="21"/>
  <c r="E417" i="21" s="1"/>
  <c r="D416" i="21"/>
  <c r="E416" i="21" s="1"/>
  <c r="D415" i="21"/>
  <c r="E415" i="21" s="1"/>
  <c r="D414" i="21"/>
  <c r="E414" i="21" s="1"/>
  <c r="D413" i="21"/>
  <c r="E413" i="21" s="1"/>
  <c r="D412" i="21"/>
  <c r="E412" i="21" s="1"/>
  <c r="D411" i="21"/>
  <c r="E411" i="21" s="1"/>
  <c r="D410" i="21"/>
  <c r="E410" i="21" s="1"/>
  <c r="D409" i="21"/>
  <c r="E409" i="21" s="1"/>
  <c r="D408" i="21"/>
  <c r="E408" i="21" s="1"/>
  <c r="D407" i="21"/>
  <c r="E407" i="21" s="1"/>
  <c r="D406" i="21"/>
  <c r="E406" i="21" s="1"/>
  <c r="D405" i="21"/>
  <c r="E405" i="21" s="1"/>
  <c r="D404" i="21"/>
  <c r="E404" i="21" s="1"/>
  <c r="D403" i="21"/>
  <c r="E403" i="21" s="1"/>
  <c r="D402" i="21"/>
  <c r="E402" i="21" s="1"/>
  <c r="D401" i="21"/>
  <c r="E401" i="21" s="1"/>
  <c r="D400" i="21"/>
  <c r="E400" i="21" s="1"/>
  <c r="D399" i="21"/>
  <c r="E399" i="21" s="1"/>
  <c r="D398" i="21"/>
  <c r="E398" i="21" s="1"/>
  <c r="D397" i="21"/>
  <c r="E397" i="21" s="1"/>
  <c r="D396" i="21"/>
  <c r="E396" i="21" s="1"/>
  <c r="D395" i="21"/>
  <c r="E395" i="21" s="1"/>
  <c r="D394" i="21"/>
  <c r="E394" i="21" s="1"/>
  <c r="D393" i="21"/>
  <c r="E393" i="21" s="1"/>
  <c r="D392" i="21"/>
  <c r="E392" i="21" s="1"/>
  <c r="D391" i="21"/>
  <c r="E391" i="21" s="1"/>
  <c r="D390" i="21"/>
  <c r="E390" i="21" s="1"/>
  <c r="D389" i="21"/>
  <c r="E389" i="21" s="1"/>
  <c r="D388" i="21"/>
  <c r="E388" i="21" s="1"/>
  <c r="D387" i="21"/>
  <c r="E387" i="21" s="1"/>
  <c r="D386" i="21"/>
  <c r="E386" i="21" s="1"/>
  <c r="D385" i="21"/>
  <c r="E385" i="21" s="1"/>
  <c r="D384" i="21"/>
  <c r="E384" i="21" s="1"/>
  <c r="D383" i="21"/>
  <c r="E383" i="21" s="1"/>
  <c r="D382" i="21"/>
  <c r="E382" i="21" s="1"/>
  <c r="D381" i="21"/>
  <c r="E381" i="21" s="1"/>
  <c r="D380" i="21"/>
  <c r="E380" i="21" s="1"/>
  <c r="D379" i="21"/>
  <c r="E379" i="21" s="1"/>
  <c r="D378" i="21"/>
  <c r="E378" i="21" s="1"/>
  <c r="D377" i="21"/>
  <c r="E377" i="21" s="1"/>
  <c r="D376" i="21"/>
  <c r="E376" i="21" s="1"/>
  <c r="D375" i="21"/>
  <c r="E375" i="21" s="1"/>
  <c r="D374" i="21"/>
  <c r="E374" i="21" s="1"/>
  <c r="D373" i="21"/>
  <c r="E373" i="21" s="1"/>
  <c r="D372" i="21"/>
  <c r="E372" i="21" s="1"/>
  <c r="D371" i="21"/>
  <c r="E371" i="21" s="1"/>
  <c r="D370" i="21"/>
  <c r="E370" i="21" s="1"/>
  <c r="D369" i="21"/>
  <c r="E369" i="21" s="1"/>
  <c r="D368" i="21"/>
  <c r="E368" i="21" s="1"/>
  <c r="D367" i="21"/>
  <c r="E367" i="21" s="1"/>
  <c r="D366" i="21"/>
  <c r="E366" i="21" s="1"/>
  <c r="D365" i="21"/>
  <c r="E365" i="21" s="1"/>
  <c r="D364" i="21"/>
  <c r="E364" i="21" s="1"/>
  <c r="D363" i="21"/>
  <c r="E363" i="21" s="1"/>
  <c r="D362" i="21"/>
  <c r="E362" i="21" s="1"/>
  <c r="D361" i="21"/>
  <c r="E361" i="21" s="1"/>
  <c r="D360" i="21"/>
  <c r="E360" i="21" s="1"/>
  <c r="D359" i="21"/>
  <c r="E359" i="21" s="1"/>
  <c r="D358" i="21"/>
  <c r="E358" i="21" s="1"/>
  <c r="D357" i="21"/>
  <c r="E357" i="21" s="1"/>
  <c r="D356" i="21"/>
  <c r="E356" i="21" s="1"/>
  <c r="D355" i="21"/>
  <c r="E355" i="21" s="1"/>
  <c r="D354" i="21"/>
  <c r="E354" i="21" s="1"/>
  <c r="D353" i="21"/>
  <c r="E353" i="21" s="1"/>
  <c r="D352" i="21"/>
  <c r="E352" i="21" s="1"/>
  <c r="D351" i="21"/>
  <c r="E351" i="21" s="1"/>
  <c r="D350" i="21"/>
  <c r="E350" i="21" s="1"/>
  <c r="D349" i="21"/>
  <c r="E349" i="21" s="1"/>
  <c r="D348" i="21"/>
  <c r="E348" i="21" s="1"/>
  <c r="D347" i="21"/>
  <c r="E347" i="21" s="1"/>
  <c r="D346" i="21"/>
  <c r="E346" i="21" s="1"/>
  <c r="D345" i="21"/>
  <c r="E345" i="21" s="1"/>
  <c r="D344" i="21"/>
  <c r="E344" i="21" s="1"/>
  <c r="D343" i="21"/>
  <c r="E343" i="21" s="1"/>
  <c r="D342" i="21"/>
  <c r="E342" i="21" s="1"/>
  <c r="D341" i="21"/>
  <c r="E341" i="21" s="1"/>
  <c r="D340" i="21"/>
  <c r="E340" i="21" s="1"/>
  <c r="D339" i="21"/>
  <c r="E339" i="21" s="1"/>
  <c r="D338" i="21"/>
  <c r="E338" i="21" s="1"/>
  <c r="D337" i="21"/>
  <c r="E337" i="21" s="1"/>
  <c r="D336" i="21"/>
  <c r="E336" i="21" s="1"/>
  <c r="D335" i="21"/>
  <c r="E335" i="21" s="1"/>
  <c r="D334" i="21"/>
  <c r="E334" i="21" s="1"/>
  <c r="D333" i="21"/>
  <c r="E333" i="21" s="1"/>
  <c r="D332" i="21"/>
  <c r="E332" i="21" s="1"/>
  <c r="D331" i="21"/>
  <c r="E331" i="21" s="1"/>
  <c r="D330" i="21"/>
  <c r="E330" i="21" s="1"/>
  <c r="D329" i="21"/>
  <c r="E329" i="21" s="1"/>
  <c r="D328" i="21"/>
  <c r="E328" i="21" s="1"/>
  <c r="D327" i="21"/>
  <c r="E327" i="21" s="1"/>
  <c r="D326" i="21"/>
  <c r="E326" i="21" s="1"/>
  <c r="D325" i="21"/>
  <c r="E325" i="21" s="1"/>
  <c r="D324" i="21"/>
  <c r="E324" i="21" s="1"/>
  <c r="D323" i="21"/>
  <c r="E323" i="21" s="1"/>
  <c r="D322" i="21"/>
  <c r="E322" i="21" s="1"/>
  <c r="D321" i="21"/>
  <c r="E321" i="21" s="1"/>
  <c r="D320" i="21"/>
  <c r="E320" i="21" s="1"/>
  <c r="D319" i="21"/>
  <c r="E319" i="21" s="1"/>
  <c r="D318" i="21"/>
  <c r="E318" i="21" s="1"/>
  <c r="D317" i="21"/>
  <c r="E317" i="21" s="1"/>
  <c r="D316" i="21"/>
  <c r="E316" i="21" s="1"/>
  <c r="D315" i="21"/>
  <c r="E315" i="21" s="1"/>
  <c r="D314" i="21"/>
  <c r="E314" i="21" s="1"/>
  <c r="D313" i="21"/>
  <c r="E313" i="21" s="1"/>
  <c r="D312" i="21"/>
  <c r="E312" i="21" s="1"/>
  <c r="D311" i="21"/>
  <c r="E311" i="21" s="1"/>
  <c r="D310" i="21"/>
  <c r="E310" i="21" s="1"/>
  <c r="D309" i="21"/>
  <c r="E309" i="21" s="1"/>
  <c r="D308" i="21"/>
  <c r="E308" i="21" s="1"/>
  <c r="D307" i="21"/>
  <c r="E307" i="21" s="1"/>
  <c r="D306" i="21"/>
  <c r="E306" i="21" s="1"/>
  <c r="D305" i="21"/>
  <c r="E305" i="21" s="1"/>
  <c r="D304" i="21"/>
  <c r="E304" i="21" s="1"/>
  <c r="D303" i="21"/>
  <c r="E303" i="21" s="1"/>
  <c r="D302" i="21"/>
  <c r="E302" i="21" s="1"/>
  <c r="D301" i="21"/>
  <c r="E301" i="21" s="1"/>
  <c r="D300" i="21"/>
  <c r="E300" i="21" s="1"/>
  <c r="D299" i="21"/>
  <c r="E299" i="21" s="1"/>
  <c r="D298" i="21"/>
  <c r="E298" i="21" s="1"/>
  <c r="D297" i="21"/>
  <c r="E297" i="21" s="1"/>
  <c r="D296" i="21"/>
  <c r="E296" i="21" s="1"/>
  <c r="D295" i="21"/>
  <c r="E295" i="21" s="1"/>
  <c r="D294" i="21"/>
  <c r="E294" i="21" s="1"/>
  <c r="D293" i="21"/>
  <c r="E293" i="21" s="1"/>
  <c r="D292" i="21"/>
  <c r="E292" i="21" s="1"/>
  <c r="D291" i="21"/>
  <c r="E291" i="21" s="1"/>
  <c r="D290" i="21"/>
  <c r="E290" i="21" s="1"/>
  <c r="D289" i="21"/>
  <c r="E289" i="21" s="1"/>
  <c r="D288" i="21"/>
  <c r="E288" i="21" s="1"/>
  <c r="D287" i="21"/>
  <c r="E287" i="21" s="1"/>
  <c r="D286" i="21"/>
  <c r="E286" i="21" s="1"/>
  <c r="D285" i="21"/>
  <c r="E285" i="21" s="1"/>
  <c r="D284" i="21"/>
  <c r="E284" i="21" s="1"/>
  <c r="D283" i="21"/>
  <c r="E283" i="21" s="1"/>
  <c r="D282" i="21"/>
  <c r="E282" i="21" s="1"/>
  <c r="D281" i="21"/>
  <c r="E281" i="21" s="1"/>
  <c r="D280" i="21"/>
  <c r="E280" i="21" s="1"/>
  <c r="D279" i="21"/>
  <c r="E279" i="21" s="1"/>
  <c r="D278" i="21"/>
  <c r="E278" i="21" s="1"/>
  <c r="D277" i="21"/>
  <c r="E277" i="21" s="1"/>
  <c r="D276" i="21"/>
  <c r="E276" i="21" s="1"/>
  <c r="D275" i="21"/>
  <c r="E275" i="21" s="1"/>
  <c r="D274" i="21"/>
  <c r="E274" i="21" s="1"/>
  <c r="D273" i="21"/>
  <c r="E273" i="21" s="1"/>
  <c r="D272" i="21"/>
  <c r="E272" i="21" s="1"/>
  <c r="D271" i="21"/>
  <c r="E271" i="21" s="1"/>
  <c r="D270" i="21"/>
  <c r="E270" i="21" s="1"/>
  <c r="D269" i="21"/>
  <c r="E269" i="21" s="1"/>
  <c r="D268" i="21"/>
  <c r="E268" i="21" s="1"/>
  <c r="D267" i="21"/>
  <c r="E267" i="21" s="1"/>
  <c r="D266" i="21"/>
  <c r="E266" i="21" s="1"/>
  <c r="D265" i="21"/>
  <c r="E265" i="21" s="1"/>
  <c r="D264" i="21"/>
  <c r="E264" i="21" s="1"/>
  <c r="D263" i="21"/>
  <c r="E263" i="21" s="1"/>
  <c r="D262" i="21"/>
  <c r="E262" i="21" s="1"/>
  <c r="D261" i="21"/>
  <c r="E261" i="21" s="1"/>
  <c r="D260" i="21"/>
  <c r="E260" i="21" s="1"/>
  <c r="D259" i="21"/>
  <c r="E259" i="21" s="1"/>
  <c r="D258" i="21"/>
  <c r="E258" i="21" s="1"/>
  <c r="D257" i="21"/>
  <c r="E257" i="21" s="1"/>
  <c r="D256" i="21"/>
  <c r="E256" i="21" s="1"/>
  <c r="D255" i="21"/>
  <c r="E255" i="21" s="1"/>
  <c r="D254" i="21"/>
  <c r="E254" i="21" s="1"/>
  <c r="D253" i="21"/>
  <c r="E253" i="21" s="1"/>
  <c r="D252" i="21"/>
  <c r="E252" i="21" s="1"/>
  <c r="D251" i="21"/>
  <c r="E251" i="21" s="1"/>
  <c r="D250" i="21"/>
  <c r="E250" i="21" s="1"/>
  <c r="D249" i="21"/>
  <c r="E249" i="21" s="1"/>
  <c r="D248" i="21"/>
  <c r="E248" i="21" s="1"/>
  <c r="D247" i="21"/>
  <c r="E247" i="21" s="1"/>
  <c r="D246" i="21"/>
  <c r="E246" i="21" s="1"/>
  <c r="D245" i="21"/>
  <c r="E245" i="21" s="1"/>
  <c r="D244" i="21"/>
  <c r="E244" i="21" s="1"/>
  <c r="D243" i="21"/>
  <c r="E243" i="21" s="1"/>
  <c r="D242" i="21"/>
  <c r="E242" i="21" s="1"/>
  <c r="D241" i="21"/>
  <c r="E241" i="21" s="1"/>
  <c r="D240" i="21"/>
  <c r="E240" i="21" s="1"/>
  <c r="D239" i="21"/>
  <c r="E239" i="21" s="1"/>
  <c r="D238" i="21"/>
  <c r="E238" i="21" s="1"/>
  <c r="D237" i="21"/>
  <c r="E237" i="21" s="1"/>
  <c r="D236" i="21"/>
  <c r="E236" i="21" s="1"/>
  <c r="D235" i="21"/>
  <c r="E235" i="21" s="1"/>
  <c r="D234" i="21"/>
  <c r="E234" i="21" s="1"/>
  <c r="D233" i="21"/>
  <c r="E233" i="21" s="1"/>
  <c r="D232" i="21"/>
  <c r="E232" i="21" s="1"/>
  <c r="D231" i="21"/>
  <c r="E231" i="21" s="1"/>
  <c r="D230" i="21"/>
  <c r="E230" i="21" s="1"/>
  <c r="D229" i="21"/>
  <c r="E229" i="21" s="1"/>
  <c r="D228" i="21"/>
  <c r="E228" i="21" s="1"/>
  <c r="D227" i="21"/>
  <c r="E227" i="21" s="1"/>
  <c r="D226" i="21"/>
  <c r="E226" i="21" s="1"/>
  <c r="D225" i="21"/>
  <c r="E225" i="21" s="1"/>
  <c r="D224" i="21"/>
  <c r="E224" i="21" s="1"/>
  <c r="D223" i="21"/>
  <c r="E223" i="21" s="1"/>
  <c r="D222" i="21"/>
  <c r="E222" i="21" s="1"/>
  <c r="D221" i="21"/>
  <c r="E221" i="21" s="1"/>
  <c r="D220" i="21"/>
  <c r="E220" i="21" s="1"/>
  <c r="D219" i="21"/>
  <c r="E219" i="21" s="1"/>
  <c r="D218" i="21"/>
  <c r="E218" i="21" s="1"/>
  <c r="D217" i="21"/>
  <c r="E217" i="21" s="1"/>
  <c r="D216" i="21"/>
  <c r="E216" i="21" s="1"/>
  <c r="D215" i="21"/>
  <c r="E215" i="21" s="1"/>
  <c r="D214" i="21"/>
  <c r="E214" i="21" s="1"/>
  <c r="D213" i="21"/>
  <c r="E213" i="21" s="1"/>
  <c r="D212" i="21"/>
  <c r="E212" i="21" s="1"/>
  <c r="D211" i="21"/>
  <c r="E211" i="21" s="1"/>
  <c r="D210" i="21"/>
  <c r="E210" i="21" s="1"/>
  <c r="D209" i="21"/>
  <c r="E209" i="21" s="1"/>
  <c r="D208" i="21"/>
  <c r="E208" i="21" s="1"/>
  <c r="D207" i="21"/>
  <c r="E207" i="21" s="1"/>
  <c r="D206" i="21"/>
  <c r="E206" i="21" s="1"/>
  <c r="D205" i="21"/>
  <c r="E205" i="21" s="1"/>
  <c r="D204" i="21"/>
  <c r="E204" i="21" s="1"/>
  <c r="D203" i="21"/>
  <c r="E203" i="21" s="1"/>
  <c r="D202" i="21"/>
  <c r="E202" i="21" s="1"/>
  <c r="D201" i="21"/>
  <c r="E201" i="21" s="1"/>
  <c r="D200" i="21"/>
  <c r="E200" i="21" s="1"/>
  <c r="D199" i="21"/>
  <c r="E199" i="21" s="1"/>
  <c r="D198" i="21"/>
  <c r="E198" i="21" s="1"/>
  <c r="D197" i="21"/>
  <c r="E197" i="21" s="1"/>
  <c r="D196" i="21"/>
  <c r="E196" i="21" s="1"/>
  <c r="D195" i="21"/>
  <c r="E195" i="21" s="1"/>
  <c r="D194" i="21"/>
  <c r="E194" i="21" s="1"/>
  <c r="D193" i="21"/>
  <c r="E193" i="21" s="1"/>
  <c r="D192" i="21"/>
  <c r="E192" i="21" s="1"/>
  <c r="D191" i="21"/>
  <c r="E191" i="21" s="1"/>
  <c r="D190" i="21"/>
  <c r="E190" i="21" s="1"/>
  <c r="D189" i="21"/>
  <c r="E189" i="21" s="1"/>
  <c r="D188" i="21"/>
  <c r="E188" i="21" s="1"/>
  <c r="D187" i="21"/>
  <c r="E187" i="21" s="1"/>
  <c r="D186" i="21"/>
  <c r="E186" i="21" s="1"/>
  <c r="D185" i="21"/>
  <c r="E185" i="21" s="1"/>
  <c r="D184" i="21"/>
  <c r="E184" i="21" s="1"/>
  <c r="D183" i="21"/>
  <c r="E183" i="21" s="1"/>
  <c r="D182" i="21"/>
  <c r="E182" i="21" s="1"/>
  <c r="D181" i="21"/>
  <c r="E181" i="21" s="1"/>
  <c r="D180" i="21"/>
  <c r="E180" i="21" s="1"/>
  <c r="D179" i="21"/>
  <c r="E179" i="21" s="1"/>
  <c r="D178" i="21"/>
  <c r="E178" i="21" s="1"/>
  <c r="D177" i="21"/>
  <c r="E177" i="21" s="1"/>
  <c r="D176" i="21"/>
  <c r="E176" i="21" s="1"/>
  <c r="D175" i="21"/>
  <c r="E175" i="21" s="1"/>
  <c r="D174" i="21"/>
  <c r="E174" i="21" s="1"/>
  <c r="D173" i="21"/>
  <c r="E173" i="21" s="1"/>
  <c r="D172" i="21"/>
  <c r="E172" i="21" s="1"/>
  <c r="D171" i="21"/>
  <c r="E171" i="21" s="1"/>
  <c r="D170" i="21"/>
  <c r="E170" i="21" s="1"/>
  <c r="D169" i="21"/>
  <c r="E169" i="21" s="1"/>
  <c r="D168" i="21"/>
  <c r="E168" i="21" s="1"/>
  <c r="D167" i="21"/>
  <c r="E167" i="21" s="1"/>
  <c r="D166" i="21"/>
  <c r="E166" i="21" s="1"/>
  <c r="D165" i="21"/>
  <c r="E165" i="21" s="1"/>
  <c r="D164" i="21"/>
  <c r="E164" i="21" s="1"/>
  <c r="D163" i="21"/>
  <c r="E163" i="21" s="1"/>
  <c r="D162" i="21"/>
  <c r="E162" i="21" s="1"/>
  <c r="D161" i="21"/>
  <c r="E161" i="21" s="1"/>
  <c r="D160" i="21"/>
  <c r="E160" i="21" s="1"/>
  <c r="D159" i="21"/>
  <c r="E159" i="21" s="1"/>
  <c r="D158" i="21"/>
  <c r="E158" i="21" s="1"/>
  <c r="D157" i="21"/>
  <c r="E157" i="21" s="1"/>
  <c r="D156" i="21"/>
  <c r="E156" i="21" s="1"/>
  <c r="D155" i="21"/>
  <c r="E155" i="21" s="1"/>
  <c r="D154" i="21"/>
  <c r="E154" i="21" s="1"/>
  <c r="D153" i="21"/>
  <c r="E153" i="21" s="1"/>
  <c r="D152" i="21"/>
  <c r="E152" i="21" s="1"/>
  <c r="D151" i="21"/>
  <c r="E151" i="21" s="1"/>
  <c r="D150" i="21"/>
  <c r="E150" i="21" s="1"/>
  <c r="D149" i="21"/>
  <c r="E149" i="21" s="1"/>
  <c r="D148" i="21"/>
  <c r="E148" i="21" s="1"/>
  <c r="D147" i="21"/>
  <c r="E147" i="21" s="1"/>
  <c r="D146" i="21"/>
  <c r="E146" i="21" s="1"/>
  <c r="D145" i="21"/>
  <c r="E145" i="21" s="1"/>
  <c r="D144" i="21"/>
  <c r="E144" i="21" s="1"/>
  <c r="D143" i="21"/>
  <c r="E143" i="21" s="1"/>
  <c r="D142" i="21"/>
  <c r="E142" i="21" s="1"/>
  <c r="D141" i="21"/>
  <c r="E141" i="21" s="1"/>
  <c r="D140" i="21"/>
  <c r="E140" i="21" s="1"/>
  <c r="D139" i="21"/>
  <c r="E139" i="21" s="1"/>
  <c r="D138" i="21"/>
  <c r="E138" i="21" s="1"/>
  <c r="D137" i="21"/>
  <c r="E137" i="21" s="1"/>
  <c r="D136" i="21"/>
  <c r="E136" i="21" s="1"/>
  <c r="D135" i="21"/>
  <c r="E135" i="21" s="1"/>
  <c r="D134" i="21"/>
  <c r="E134" i="21" s="1"/>
  <c r="D133" i="21"/>
  <c r="E133" i="21" s="1"/>
  <c r="D132" i="21"/>
  <c r="E132" i="21" s="1"/>
  <c r="D131" i="21"/>
  <c r="E131" i="21" s="1"/>
  <c r="D130" i="21"/>
  <c r="E130" i="21" s="1"/>
  <c r="D129" i="21"/>
  <c r="E129" i="21" s="1"/>
  <c r="D128" i="21"/>
  <c r="E128" i="21" s="1"/>
  <c r="D127" i="21"/>
  <c r="E127" i="21" s="1"/>
  <c r="D126" i="21"/>
  <c r="E126" i="21" s="1"/>
  <c r="D125" i="21"/>
  <c r="E125" i="21" s="1"/>
  <c r="D124" i="21"/>
  <c r="E124" i="21" s="1"/>
  <c r="D123" i="21"/>
  <c r="E123" i="21" s="1"/>
  <c r="D122" i="21"/>
  <c r="E122" i="21" s="1"/>
  <c r="D121" i="21"/>
  <c r="E121" i="21" s="1"/>
  <c r="D120" i="21"/>
  <c r="E120" i="21" s="1"/>
  <c r="D119" i="21"/>
  <c r="E119" i="21" s="1"/>
  <c r="D118" i="21"/>
  <c r="E118" i="21" s="1"/>
  <c r="D117" i="21"/>
  <c r="E117" i="21" s="1"/>
  <c r="D116" i="21"/>
  <c r="E116" i="21" s="1"/>
  <c r="D115" i="21"/>
  <c r="E115" i="21" s="1"/>
  <c r="D114" i="21"/>
  <c r="E114" i="21" s="1"/>
  <c r="D113" i="21"/>
  <c r="E113" i="21" s="1"/>
  <c r="D112" i="21"/>
  <c r="E112" i="21" s="1"/>
  <c r="D111" i="21"/>
  <c r="E111" i="21" s="1"/>
  <c r="D110" i="21"/>
  <c r="E110" i="21" s="1"/>
  <c r="D109" i="21"/>
  <c r="E109" i="21" s="1"/>
  <c r="D108" i="21"/>
  <c r="E108" i="21" s="1"/>
  <c r="D107" i="21"/>
  <c r="E107" i="21" s="1"/>
  <c r="D106" i="21"/>
  <c r="E106" i="21" s="1"/>
  <c r="D105" i="21"/>
  <c r="E105" i="21" s="1"/>
  <c r="D104" i="21"/>
  <c r="E104" i="21" s="1"/>
  <c r="D103" i="21"/>
  <c r="E103" i="21" s="1"/>
  <c r="D102" i="21"/>
  <c r="E102" i="21" s="1"/>
  <c r="D101" i="21"/>
  <c r="E101" i="21" s="1"/>
  <c r="D100" i="21"/>
  <c r="E100" i="21" s="1"/>
  <c r="D99" i="21"/>
  <c r="E99" i="21" s="1"/>
  <c r="D98" i="21"/>
  <c r="E98" i="21" s="1"/>
  <c r="D97" i="21"/>
  <c r="E97" i="21" s="1"/>
  <c r="D96" i="21"/>
  <c r="E96" i="21" s="1"/>
  <c r="D95" i="21"/>
  <c r="E95" i="21" s="1"/>
  <c r="D94" i="21"/>
  <c r="E94" i="21" s="1"/>
  <c r="D93" i="21"/>
  <c r="E93" i="21" s="1"/>
  <c r="D92" i="21"/>
  <c r="E92" i="21" s="1"/>
  <c r="D91" i="21"/>
  <c r="E91" i="21" s="1"/>
  <c r="D90" i="21"/>
  <c r="E90" i="21" s="1"/>
  <c r="D89" i="21"/>
  <c r="E89" i="21" s="1"/>
  <c r="D88" i="21"/>
  <c r="E88" i="21" s="1"/>
  <c r="D87" i="21"/>
  <c r="E87" i="21" s="1"/>
  <c r="D86" i="21"/>
  <c r="E86" i="21" s="1"/>
  <c r="D85" i="21"/>
  <c r="E85" i="21" s="1"/>
  <c r="D84" i="21"/>
  <c r="E84" i="21" s="1"/>
  <c r="D83" i="21"/>
  <c r="E83" i="21" s="1"/>
  <c r="D82" i="21"/>
  <c r="E82" i="21" s="1"/>
  <c r="D81" i="21"/>
  <c r="E81" i="21" s="1"/>
  <c r="D80" i="21"/>
  <c r="E80" i="21" s="1"/>
  <c r="D79" i="21"/>
  <c r="E79" i="21" s="1"/>
  <c r="D78" i="21"/>
  <c r="E78" i="21" s="1"/>
  <c r="D77" i="21"/>
  <c r="E77" i="21" s="1"/>
  <c r="D76" i="21"/>
  <c r="E76" i="21" s="1"/>
  <c r="D75" i="21"/>
  <c r="E75" i="21" s="1"/>
  <c r="D74" i="21"/>
  <c r="E74" i="21" s="1"/>
  <c r="D73" i="21"/>
  <c r="E73" i="21" s="1"/>
  <c r="D72" i="21"/>
  <c r="E72" i="21" s="1"/>
  <c r="D71" i="21"/>
  <c r="E71" i="21" s="1"/>
  <c r="D70" i="21"/>
  <c r="E70" i="21" s="1"/>
  <c r="D69" i="21"/>
  <c r="E69" i="21" s="1"/>
  <c r="D68" i="21"/>
  <c r="E68" i="21" s="1"/>
  <c r="D67" i="21"/>
  <c r="E67" i="21" s="1"/>
  <c r="D66" i="21"/>
  <c r="E66" i="21" s="1"/>
  <c r="D65" i="21"/>
  <c r="E65" i="21" s="1"/>
  <c r="D64" i="21"/>
  <c r="E64" i="21" s="1"/>
  <c r="D63" i="21"/>
  <c r="E63" i="21" s="1"/>
  <c r="D62" i="21"/>
  <c r="E62" i="21" s="1"/>
  <c r="E61" i="21"/>
  <c r="E18" i="21"/>
  <c r="E17" i="21"/>
  <c r="D17" i="21"/>
  <c r="N16" i="21"/>
  <c r="M16" i="21"/>
  <c r="L16" i="21"/>
  <c r="K16" i="21"/>
  <c r="J16" i="21"/>
  <c r="I16" i="21"/>
  <c r="E16" i="21"/>
  <c r="D16" i="21"/>
  <c r="N15" i="21"/>
  <c r="M15" i="21"/>
  <c r="L15" i="21"/>
  <c r="K15" i="21"/>
  <c r="J15" i="21"/>
  <c r="I15" i="21"/>
  <c r="E15" i="21"/>
  <c r="D15" i="21"/>
  <c r="E14" i="21"/>
  <c r="D14" i="21"/>
  <c r="N13" i="21"/>
  <c r="M13" i="21"/>
  <c r="L13" i="21"/>
  <c r="K13" i="21"/>
  <c r="J13" i="21"/>
  <c r="I13" i="21"/>
  <c r="E13" i="21"/>
  <c r="D13" i="21"/>
  <c r="N12" i="21"/>
  <c r="M12" i="21"/>
  <c r="L12" i="21"/>
  <c r="K12" i="21"/>
  <c r="J12" i="21"/>
  <c r="I12" i="21"/>
  <c r="E12" i="21"/>
  <c r="D12" i="21"/>
  <c r="D308" i="29"/>
  <c r="K25" i="28"/>
  <c r="K28" i="28"/>
  <c r="C56" i="29"/>
  <c r="C57" i="29"/>
  <c r="C58" i="29"/>
  <c r="C59" i="29"/>
  <c r="C60" i="29"/>
  <c r="C61" i="29"/>
  <c r="C62" i="29"/>
  <c r="C63" i="29"/>
  <c r="C64" i="29"/>
  <c r="C65" i="29"/>
  <c r="C66" i="29"/>
  <c r="C67" i="29"/>
  <c r="C68" i="29"/>
  <c r="C69" i="29"/>
  <c r="C70" i="29"/>
  <c r="C71" i="29"/>
  <c r="C72" i="29"/>
  <c r="C73" i="29"/>
  <c r="C74" i="29"/>
  <c r="C75" i="29"/>
  <c r="C85" i="29"/>
  <c r="C86" i="29"/>
  <c r="C87" i="29"/>
  <c r="C88" i="29"/>
  <c r="C89" i="29"/>
  <c r="C90" i="29"/>
  <c r="C91" i="29"/>
  <c r="C92" i="29"/>
  <c r="C93" i="29"/>
  <c r="C94" i="29"/>
  <c r="C95" i="29"/>
  <c r="C96" i="29"/>
  <c r="C97" i="29"/>
  <c r="C98" i="29"/>
  <c r="C99" i="29"/>
  <c r="C100" i="29"/>
  <c r="C101" i="29"/>
  <c r="C102" i="29"/>
  <c r="C103" i="29"/>
  <c r="C128" i="29"/>
  <c r="C129" i="29"/>
  <c r="C130" i="29"/>
  <c r="C131" i="29"/>
  <c r="C132" i="29"/>
  <c r="C133" i="29"/>
  <c r="C134" i="29"/>
  <c r="C135" i="29"/>
  <c r="C136" i="29"/>
  <c r="C137" i="29"/>
  <c r="C138" i="29"/>
  <c r="C139" i="29"/>
  <c r="C140" i="29"/>
  <c r="C141" i="29"/>
  <c r="C142" i="29"/>
  <c r="C143" i="29"/>
  <c r="C144" i="29"/>
  <c r="C145" i="29"/>
  <c r="C146" i="29"/>
  <c r="C147" i="29"/>
  <c r="C176" i="29"/>
  <c r="C224" i="29"/>
  <c r="C272" i="29"/>
  <c r="C298" i="29"/>
  <c r="C304" i="29"/>
  <c r="C305" i="29"/>
  <c r="C306" i="29"/>
  <c r="C307" i="29"/>
  <c r="M300" i="29" l="1"/>
  <c r="M296" i="29"/>
  <c r="M303" i="29"/>
  <c r="M299" i="29"/>
  <c r="M298" i="29"/>
  <c r="M297" i="29"/>
  <c r="M302" i="29"/>
  <c r="C15" i="29"/>
  <c r="D15" i="29" s="1"/>
  <c r="M29" i="28"/>
  <c r="J29" i="28"/>
  <c r="L28" i="28"/>
  <c r="M28" i="28" s="1"/>
  <c r="I28" i="28"/>
  <c r="J28" i="28" s="1"/>
  <c r="L25" i="28"/>
  <c r="I25" i="28"/>
  <c r="J23" i="28"/>
  <c r="J21" i="28"/>
  <c r="E4" i="16"/>
  <c r="F4" i="16" s="1"/>
  <c r="K297" i="29" l="1"/>
  <c r="L297" i="29" s="1"/>
  <c r="K299" i="29"/>
  <c r="L299" i="29" s="1"/>
  <c r="K296" i="29"/>
  <c r="L296" i="29" s="1"/>
  <c r="K300" i="29"/>
  <c r="L300" i="29" s="1"/>
  <c r="K303" i="29"/>
  <c r="L303" i="29" s="1"/>
  <c r="K298" i="29"/>
  <c r="L298" i="29" s="1"/>
  <c r="K302" i="29"/>
  <c r="L302" i="29" s="1"/>
  <c r="N300" i="29"/>
  <c r="O300" i="29" s="1"/>
  <c r="N296" i="29"/>
  <c r="O296" i="29" s="1"/>
  <c r="N298" i="29"/>
  <c r="O298" i="29" s="1"/>
  <c r="N299" i="29"/>
  <c r="O299" i="29" s="1"/>
  <c r="N303" i="29"/>
  <c r="O303" i="29" s="1"/>
  <c r="N297" i="29"/>
  <c r="O297" i="29" s="1"/>
  <c r="N302" i="29"/>
  <c r="O302" i="29" s="1"/>
  <c r="J25" i="28"/>
  <c r="M25" i="28"/>
  <c r="N16" i="29" l="1"/>
  <c r="L16" i="29"/>
  <c r="O16" i="29" l="1"/>
  <c r="F17" i="21"/>
  <c r="F14" i="21"/>
  <c r="E27" i="16"/>
  <c r="J5" i="4"/>
  <c r="N5" i="4" s="1"/>
  <c r="J6" i="4"/>
  <c r="N6" i="4" s="1"/>
  <c r="J10" i="4"/>
  <c r="N10" i="4" s="1"/>
  <c r="J13" i="4"/>
  <c r="N13" i="4" s="1"/>
  <c r="J14" i="4"/>
  <c r="N14" i="4" s="1"/>
  <c r="J16" i="4"/>
  <c r="N16" i="4" s="1"/>
  <c r="J19" i="4"/>
  <c r="N19" i="4" s="1"/>
  <c r="J20" i="4"/>
  <c r="N20" i="4" s="1"/>
  <c r="J24" i="4"/>
  <c r="N24" i="4" s="1"/>
  <c r="J25" i="4"/>
  <c r="N25" i="4" s="1"/>
  <c r="J26" i="4"/>
  <c r="N26" i="4" s="1"/>
  <c r="J27" i="4"/>
  <c r="N27" i="4" s="1"/>
  <c r="J28" i="4"/>
  <c r="N28" i="4" s="1"/>
  <c r="J30" i="4"/>
  <c r="N30" i="4" s="1"/>
  <c r="J17" i="21" l="1"/>
  <c r="I17" i="21"/>
  <c r="M17" i="21"/>
  <c r="N17" i="21"/>
  <c r="L17" i="21"/>
  <c r="K17" i="21"/>
  <c r="J14" i="21"/>
  <c r="I14" i="21"/>
  <c r="L14" i="21"/>
  <c r="M14" i="21"/>
  <c r="N14" i="21"/>
  <c r="K14" i="21"/>
  <c r="E8" i="16" l="1"/>
  <c r="F8" i="16" s="1"/>
  <c r="E30" i="16"/>
  <c r="F30" i="16" s="1"/>
  <c r="E7" i="16"/>
  <c r="F7" i="16" s="1"/>
  <c r="E29" i="16"/>
  <c r="F29" i="16" s="1"/>
  <c r="E28" i="16"/>
  <c r="F28" i="16" s="1"/>
  <c r="E6" i="16"/>
  <c r="F6" i="16" s="1"/>
  <c r="E26" i="16"/>
  <c r="F26" i="16" s="1"/>
  <c r="E25" i="16"/>
  <c r="F25" i="16" s="1"/>
  <c r="E24" i="16"/>
  <c r="F24" i="16" s="1"/>
  <c r="E5" i="16"/>
  <c r="E23" i="16"/>
  <c r="F23" i="16" s="1"/>
  <c r="E22" i="16"/>
  <c r="F22" i="16" s="1"/>
  <c r="E21" i="16"/>
  <c r="F21" i="16" s="1"/>
  <c r="E20" i="16"/>
  <c r="F20" i="16" s="1"/>
  <c r="E19" i="16"/>
  <c r="F19" i="16" s="1"/>
  <c r="E18" i="16"/>
  <c r="F18" i="16" s="1"/>
  <c r="E15" i="16"/>
  <c r="F15" i="16" s="1"/>
  <c r="E14" i="16"/>
  <c r="F14" i="16" s="1"/>
  <c r="E11" i="16"/>
  <c r="F11" i="16" s="1"/>
  <c r="E10" i="16"/>
  <c r="F10" i="16" s="1"/>
  <c r="E9" i="16"/>
  <c r="F9" i="16" s="1"/>
  <c r="H10" i="16"/>
  <c r="I10" i="16" s="1"/>
  <c r="K4" i="16"/>
  <c r="L4" i="16" s="1"/>
  <c r="F31" i="16"/>
  <c r="K31" i="16"/>
  <c r="L31" i="16" s="1"/>
  <c r="H31" i="16"/>
  <c r="I31" i="16" s="1"/>
  <c r="K30" i="16"/>
  <c r="L30" i="16" s="1"/>
  <c r="H30" i="16"/>
  <c r="I30" i="16" s="1"/>
  <c r="K29" i="16"/>
  <c r="L29" i="16" s="1"/>
  <c r="H29" i="16"/>
  <c r="K28" i="16"/>
  <c r="L28" i="16" s="1"/>
  <c r="H28" i="16"/>
  <c r="I28" i="16" s="1"/>
  <c r="K27" i="16"/>
  <c r="L27" i="16" s="1"/>
  <c r="H27" i="16"/>
  <c r="I27" i="16" s="1"/>
  <c r="F27" i="16"/>
  <c r="K26" i="16"/>
  <c r="L26" i="16" s="1"/>
  <c r="H26" i="16"/>
  <c r="I26" i="16" s="1"/>
  <c r="K25" i="16"/>
  <c r="L25" i="16" s="1"/>
  <c r="H25" i="16"/>
  <c r="I25" i="16" s="1"/>
  <c r="K24" i="16"/>
  <c r="L24" i="16" s="1"/>
  <c r="H24" i="16"/>
  <c r="I24" i="16" s="1"/>
  <c r="K23" i="16"/>
  <c r="L23" i="16" s="1"/>
  <c r="H23" i="16"/>
  <c r="I23" i="16" s="1"/>
  <c r="K22" i="16"/>
  <c r="L22" i="16" s="1"/>
  <c r="H22" i="16"/>
  <c r="I22" i="16" s="1"/>
  <c r="K21" i="16"/>
  <c r="L21" i="16" s="1"/>
  <c r="H21" i="16"/>
  <c r="I21" i="16" s="1"/>
  <c r="K20" i="16"/>
  <c r="L20" i="16" s="1"/>
  <c r="H20" i="16"/>
  <c r="I20" i="16" s="1"/>
  <c r="K19" i="16"/>
  <c r="L19" i="16" s="1"/>
  <c r="H19" i="16"/>
  <c r="I19" i="16" s="1"/>
  <c r="K18" i="16"/>
  <c r="L18" i="16" s="1"/>
  <c r="H18" i="16"/>
  <c r="I18" i="16" s="1"/>
  <c r="K15" i="16"/>
  <c r="L15" i="16" s="1"/>
  <c r="H15" i="16"/>
  <c r="I15" i="16" s="1"/>
  <c r="K14" i="16"/>
  <c r="L14" i="16" s="1"/>
  <c r="H14" i="16"/>
  <c r="I14" i="16" s="1"/>
  <c r="K11" i="16"/>
  <c r="L11" i="16" s="1"/>
  <c r="H11" i="16"/>
  <c r="I11" i="16" s="1"/>
  <c r="K10" i="16"/>
  <c r="L10" i="16" s="1"/>
  <c r="K9" i="16"/>
  <c r="L9" i="16" s="1"/>
  <c r="H9" i="16"/>
  <c r="I9" i="16" s="1"/>
  <c r="K8" i="16"/>
  <c r="L8" i="16" s="1"/>
  <c r="I8" i="16"/>
  <c r="K7" i="16"/>
  <c r="L7" i="16" s="1"/>
  <c r="H7" i="16"/>
  <c r="I7" i="16" s="1"/>
  <c r="K6" i="16"/>
  <c r="L6" i="16" s="1"/>
  <c r="H6" i="16"/>
  <c r="I6" i="16" s="1"/>
  <c r="K5" i="16"/>
  <c r="L5" i="16" s="1"/>
  <c r="H5" i="16"/>
  <c r="I5" i="16" s="1"/>
  <c r="I4" i="16"/>
  <c r="K32" i="16"/>
  <c r="L32" i="16" s="1"/>
  <c r="H32" i="16"/>
  <c r="I32" i="16" s="1"/>
  <c r="D106" i="30" l="1"/>
  <c r="D77" i="30"/>
  <c r="D83" i="30"/>
  <c r="D112" i="30"/>
  <c r="D70" i="30"/>
  <c r="D99" i="30"/>
  <c r="D117" i="30"/>
  <c r="D88" i="30"/>
  <c r="D103" i="30"/>
  <c r="D74" i="30"/>
  <c r="D109" i="30"/>
  <c r="D80" i="30"/>
  <c r="D72" i="30"/>
  <c r="D101" i="30"/>
  <c r="D84" i="30"/>
  <c r="D113" i="30"/>
  <c r="D71" i="30"/>
  <c r="D100" i="30"/>
  <c r="D118" i="30"/>
  <c r="D89" i="30"/>
  <c r="D116" i="30"/>
  <c r="D87" i="30"/>
  <c r="D120" i="30"/>
  <c r="D91" i="30"/>
  <c r="D110" i="30"/>
  <c r="D81" i="30"/>
  <c r="D98" i="30"/>
  <c r="D69" i="30"/>
  <c r="D107" i="30"/>
  <c r="D78" i="30"/>
  <c r="D114" i="30"/>
  <c r="D85" i="30"/>
  <c r="D102" i="30"/>
  <c r="D73" i="30"/>
  <c r="D97" i="30"/>
  <c r="E97" i="30" s="1"/>
  <c r="D68" i="30"/>
  <c r="E68" i="30" s="1"/>
  <c r="F68" i="30" s="1"/>
  <c r="D104" i="30"/>
  <c r="D75" i="30"/>
  <c r="D82" i="30"/>
  <c r="D111" i="30"/>
  <c r="D115" i="30"/>
  <c r="D86" i="30"/>
  <c r="M31" i="16"/>
  <c r="M4" i="16"/>
  <c r="I29" i="16"/>
  <c r="M29" i="16" s="1"/>
  <c r="M32" i="16"/>
  <c r="M30" i="16"/>
  <c r="M23" i="16"/>
  <c r="M8" i="16"/>
  <c r="M15" i="16"/>
  <c r="M5" i="16"/>
  <c r="M22" i="16"/>
  <c r="M18" i="16"/>
  <c r="M14" i="16"/>
  <c r="M27" i="16"/>
  <c r="M6" i="16"/>
  <c r="M9" i="16"/>
  <c r="M11" i="16"/>
  <c r="M7" i="16"/>
  <c r="M19" i="16"/>
  <c r="M21" i="16"/>
  <c r="M20" i="16"/>
  <c r="M24" i="16"/>
  <c r="M25" i="16"/>
  <c r="M28" i="16"/>
  <c r="M10" i="16"/>
  <c r="F5" i="16"/>
  <c r="G86" i="30" l="1"/>
  <c r="E86" i="30"/>
  <c r="F194" i="29" s="1"/>
  <c r="K194" i="29" s="1"/>
  <c r="L194" i="29" s="1"/>
  <c r="G69" i="30"/>
  <c r="E69" i="30"/>
  <c r="F177" i="29" s="1"/>
  <c r="E101" i="30"/>
  <c r="F101" i="30" s="1"/>
  <c r="G101" i="30"/>
  <c r="H101" i="30" s="1"/>
  <c r="E115" i="30"/>
  <c r="F115" i="30" s="1"/>
  <c r="G115" i="30"/>
  <c r="H115" i="30" s="1"/>
  <c r="G98" i="30"/>
  <c r="H98" i="30" s="1"/>
  <c r="E98" i="30"/>
  <c r="F98" i="30" s="1"/>
  <c r="G72" i="30"/>
  <c r="E72" i="30"/>
  <c r="F180" i="29" s="1"/>
  <c r="G74" i="30"/>
  <c r="E74" i="30"/>
  <c r="F182" i="29" s="1"/>
  <c r="G111" i="30"/>
  <c r="H111" i="30" s="1"/>
  <c r="E111" i="30"/>
  <c r="F111" i="30" s="1"/>
  <c r="E110" i="30"/>
  <c r="F110" i="30" s="1"/>
  <c r="G110" i="30"/>
  <c r="H110" i="30" s="1"/>
  <c r="E91" i="30"/>
  <c r="F91" i="30" s="1"/>
  <c r="G91" i="30"/>
  <c r="E104" i="30"/>
  <c r="F104" i="30" s="1"/>
  <c r="G104" i="30"/>
  <c r="H104" i="30" s="1"/>
  <c r="G120" i="30"/>
  <c r="H120" i="30" s="1"/>
  <c r="E120" i="30"/>
  <c r="F120" i="30" s="1"/>
  <c r="E103" i="30"/>
  <c r="F103" i="30" s="1"/>
  <c r="G103" i="30"/>
  <c r="H103" i="30" s="1"/>
  <c r="G88" i="30"/>
  <c r="E88" i="30"/>
  <c r="F196" i="29" s="1"/>
  <c r="G81" i="30"/>
  <c r="E81" i="30"/>
  <c r="F189" i="29" s="1"/>
  <c r="E80" i="30"/>
  <c r="F80" i="30" s="1"/>
  <c r="G80" i="30"/>
  <c r="G82" i="30"/>
  <c r="E82" i="30"/>
  <c r="F190" i="29" s="1"/>
  <c r="E109" i="30"/>
  <c r="F109" i="30" s="1"/>
  <c r="G109" i="30"/>
  <c r="H109" i="30" s="1"/>
  <c r="G75" i="30"/>
  <c r="E75" i="30"/>
  <c r="F75" i="30" s="1"/>
  <c r="G68" i="30"/>
  <c r="F176" i="29"/>
  <c r="J176" i="29" s="1"/>
  <c r="E87" i="30"/>
  <c r="F195" i="29" s="1"/>
  <c r="K195" i="29" s="1"/>
  <c r="L195" i="29" s="1"/>
  <c r="G87" i="30"/>
  <c r="F97" i="30"/>
  <c r="G97" i="30"/>
  <c r="H97" i="30" s="1"/>
  <c r="E116" i="30"/>
  <c r="F116" i="30" s="1"/>
  <c r="G116" i="30"/>
  <c r="H116" i="30" s="1"/>
  <c r="E117" i="30"/>
  <c r="F117" i="30" s="1"/>
  <c r="G117" i="30"/>
  <c r="H117" i="30" s="1"/>
  <c r="E73" i="30"/>
  <c r="F73" i="30" s="1"/>
  <c r="G73" i="30"/>
  <c r="G181" i="29" s="1"/>
  <c r="G89" i="30"/>
  <c r="E89" i="30"/>
  <c r="F197" i="29" s="1"/>
  <c r="G99" i="30"/>
  <c r="H99" i="30" s="1"/>
  <c r="E99" i="30"/>
  <c r="F99" i="30" s="1"/>
  <c r="G102" i="30"/>
  <c r="H102" i="30" s="1"/>
  <c r="E102" i="30"/>
  <c r="F102" i="30" s="1"/>
  <c r="E118" i="30"/>
  <c r="F118" i="30" s="1"/>
  <c r="G118" i="30"/>
  <c r="H118" i="30" s="1"/>
  <c r="G70" i="30"/>
  <c r="E70" i="30"/>
  <c r="F70" i="30" s="1"/>
  <c r="G85" i="30"/>
  <c r="E85" i="30"/>
  <c r="F193" i="29" s="1"/>
  <c r="E100" i="30"/>
  <c r="F100" i="30" s="1"/>
  <c r="G100" i="30"/>
  <c r="H100" i="30" s="1"/>
  <c r="G112" i="30"/>
  <c r="H112" i="30" s="1"/>
  <c r="E112" i="30"/>
  <c r="F112" i="30" s="1"/>
  <c r="E114" i="30"/>
  <c r="F114" i="30" s="1"/>
  <c r="G114" i="30"/>
  <c r="H114" i="30" s="1"/>
  <c r="G71" i="30"/>
  <c r="E71" i="30"/>
  <c r="F179" i="29" s="1"/>
  <c r="G83" i="30"/>
  <c r="E83" i="30"/>
  <c r="F191" i="29" s="1"/>
  <c r="K191" i="29" s="1"/>
  <c r="L191" i="29" s="1"/>
  <c r="E78" i="30"/>
  <c r="F78" i="30" s="1"/>
  <c r="G78" i="30"/>
  <c r="G113" i="30"/>
  <c r="H113" i="30" s="1"/>
  <c r="E113" i="30"/>
  <c r="F113" i="30" s="1"/>
  <c r="E77" i="30"/>
  <c r="F77" i="30" s="1"/>
  <c r="G77" i="30"/>
  <c r="E107" i="30"/>
  <c r="F107" i="30" s="1"/>
  <c r="G107" i="30"/>
  <c r="H107" i="30" s="1"/>
  <c r="G84" i="30"/>
  <c r="E84" i="30"/>
  <c r="F192" i="29" s="1"/>
  <c r="K192" i="29" s="1"/>
  <c r="L192" i="29" s="1"/>
  <c r="E106" i="30"/>
  <c r="F106" i="30" s="1"/>
  <c r="G106" i="30"/>
  <c r="H106" i="30" s="1"/>
  <c r="L115" i="30"/>
  <c r="J70" i="6"/>
  <c r="K70" i="6" s="1"/>
  <c r="D70" i="6"/>
  <c r="E70" i="6" s="1"/>
  <c r="D31" i="6"/>
  <c r="E31" i="6" s="1"/>
  <c r="F74" i="29" s="1"/>
  <c r="D62" i="6"/>
  <c r="E62" i="6" s="1"/>
  <c r="J62" i="6"/>
  <c r="K62" i="6" s="1"/>
  <c r="L107" i="30"/>
  <c r="D23" i="6"/>
  <c r="E23" i="6" s="1"/>
  <c r="F66" i="29" s="1"/>
  <c r="J55" i="6"/>
  <c r="K55" i="6" s="1"/>
  <c r="D55" i="6"/>
  <c r="E55" i="6" s="1"/>
  <c r="D16" i="6"/>
  <c r="E16" i="6" s="1"/>
  <c r="F59" i="29" s="1"/>
  <c r="L100" i="30"/>
  <c r="J56" i="6"/>
  <c r="K56" i="6" s="1"/>
  <c r="D56" i="6"/>
  <c r="E56" i="6" s="1"/>
  <c r="D17" i="6"/>
  <c r="E17" i="6" s="1"/>
  <c r="F60" i="29" s="1"/>
  <c r="L101" i="30"/>
  <c r="J68" i="6"/>
  <c r="K68" i="6" s="1"/>
  <c r="D68" i="6"/>
  <c r="E68" i="6" s="1"/>
  <c r="D29" i="6"/>
  <c r="E29" i="6" s="1"/>
  <c r="F72" i="29" s="1"/>
  <c r="L113" i="30"/>
  <c r="L120" i="30"/>
  <c r="D75" i="6"/>
  <c r="E75" i="6" s="1"/>
  <c r="D36" i="6"/>
  <c r="E36" i="6" s="1"/>
  <c r="F79" i="29" s="1"/>
  <c r="J75" i="6"/>
  <c r="K75" i="6" s="1"/>
  <c r="J54" i="6"/>
  <c r="K54" i="6" s="1"/>
  <c r="D54" i="6"/>
  <c r="E54" i="6" s="1"/>
  <c r="D15" i="6"/>
  <c r="E15" i="6" s="1"/>
  <c r="F58" i="29" s="1"/>
  <c r="L99" i="30"/>
  <c r="L117" i="30"/>
  <c r="J72" i="6"/>
  <c r="K72" i="6" s="1"/>
  <c r="D72" i="6"/>
  <c r="E72" i="6" s="1"/>
  <c r="D33" i="6"/>
  <c r="E33" i="6" s="1"/>
  <c r="F76" i="29" s="1"/>
  <c r="L97" i="30"/>
  <c r="J52" i="6"/>
  <c r="K52" i="6" s="1"/>
  <c r="D52" i="6"/>
  <c r="E52" i="6" s="1"/>
  <c r="D13" i="6"/>
  <c r="L102" i="30"/>
  <c r="D57" i="6"/>
  <c r="E57" i="6" s="1"/>
  <c r="D18" i="6"/>
  <c r="E18" i="6" s="1"/>
  <c r="F61" i="29" s="1"/>
  <c r="J57" i="6"/>
  <c r="K57" i="6" s="1"/>
  <c r="D119" i="30"/>
  <c r="D90" i="30"/>
  <c r="J66" i="6"/>
  <c r="K66" i="6" s="1"/>
  <c r="D66" i="6"/>
  <c r="E66" i="6" s="1"/>
  <c r="D27" i="6"/>
  <c r="E27" i="6" s="1"/>
  <c r="F70" i="29" s="1"/>
  <c r="L111" i="30"/>
  <c r="L116" i="30"/>
  <c r="J71" i="6"/>
  <c r="K71" i="6" s="1"/>
  <c r="D71" i="6"/>
  <c r="E71" i="6" s="1"/>
  <c r="D32" i="6"/>
  <c r="E32" i="6" s="1"/>
  <c r="F75" i="29" s="1"/>
  <c r="L103" i="30"/>
  <c r="J58" i="6"/>
  <c r="K58" i="6" s="1"/>
  <c r="D19" i="6"/>
  <c r="E19" i="6" s="1"/>
  <c r="F62" i="29" s="1"/>
  <c r="D58" i="6"/>
  <c r="E58" i="6" s="1"/>
  <c r="J61" i="6"/>
  <c r="K61" i="6" s="1"/>
  <c r="D61" i="6"/>
  <c r="E61" i="6" s="1"/>
  <c r="D22" i="6"/>
  <c r="E22" i="6" s="1"/>
  <c r="F65" i="29" s="1"/>
  <c r="L106" i="30"/>
  <c r="D34" i="6"/>
  <c r="E34" i="6" s="1"/>
  <c r="F77" i="29" s="1"/>
  <c r="D73" i="6"/>
  <c r="E73" i="6" s="1"/>
  <c r="L118" i="30"/>
  <c r="J73" i="6"/>
  <c r="K73" i="6" s="1"/>
  <c r="L109" i="30"/>
  <c r="J64" i="6"/>
  <c r="K64" i="6" s="1"/>
  <c r="D64" i="6"/>
  <c r="E64" i="6" s="1"/>
  <c r="D25" i="6"/>
  <c r="E25" i="6" s="1"/>
  <c r="F68" i="29" s="1"/>
  <c r="J53" i="6"/>
  <c r="K53" i="6" s="1"/>
  <c r="D53" i="6"/>
  <c r="E53" i="6" s="1"/>
  <c r="D14" i="6"/>
  <c r="E14" i="6" s="1"/>
  <c r="F57" i="29" s="1"/>
  <c r="L98" i="30"/>
  <c r="L104" i="30"/>
  <c r="J59" i="6"/>
  <c r="K59" i="6" s="1"/>
  <c r="D59" i="6"/>
  <c r="E59" i="6" s="1"/>
  <c r="D20" i="6"/>
  <c r="E20" i="6" s="1"/>
  <c r="F63" i="29" s="1"/>
  <c r="L114" i="30"/>
  <c r="J69" i="6"/>
  <c r="K69" i="6" s="1"/>
  <c r="D69" i="6"/>
  <c r="E69" i="6" s="1"/>
  <c r="D30" i="6"/>
  <c r="E30" i="6" s="1"/>
  <c r="F73" i="29" s="1"/>
  <c r="J67" i="6"/>
  <c r="K67" i="6" s="1"/>
  <c r="D67" i="6"/>
  <c r="E67" i="6" s="1"/>
  <c r="D28" i="6"/>
  <c r="E28" i="6" s="1"/>
  <c r="F71" i="29" s="1"/>
  <c r="L112" i="30"/>
  <c r="J65" i="6"/>
  <c r="K65" i="6" s="1"/>
  <c r="D65" i="6"/>
  <c r="E65" i="6" s="1"/>
  <c r="D26" i="6"/>
  <c r="E26" i="6" s="1"/>
  <c r="F69" i="29" s="1"/>
  <c r="L110" i="30"/>
  <c r="D74" i="6"/>
  <c r="E74" i="6" s="1"/>
  <c r="L119" i="30"/>
  <c r="J74" i="6"/>
  <c r="K74" i="6" s="1"/>
  <c r="D35" i="6"/>
  <c r="E35" i="6" s="1"/>
  <c r="F78" i="29" s="1"/>
  <c r="L68" i="30"/>
  <c r="D49" i="31"/>
  <c r="D16" i="33"/>
  <c r="G16" i="33" s="1"/>
  <c r="D34" i="33"/>
  <c r="G34" i="33" s="1"/>
  <c r="H34" i="33" s="1"/>
  <c r="D67" i="31"/>
  <c r="L86" i="30"/>
  <c r="D55" i="31"/>
  <c r="D22" i="33"/>
  <c r="G22" i="33" s="1"/>
  <c r="H22" i="33" s="1"/>
  <c r="L74" i="30"/>
  <c r="D59" i="31"/>
  <c r="D26" i="33"/>
  <c r="G26" i="33" s="1"/>
  <c r="H26" i="33" s="1"/>
  <c r="L78" i="30"/>
  <c r="D31" i="33"/>
  <c r="G31" i="33" s="1"/>
  <c r="H31" i="33" s="1"/>
  <c r="D64" i="31"/>
  <c r="L83" i="30"/>
  <c r="D71" i="31"/>
  <c r="D38" i="33"/>
  <c r="G38" i="33" s="1"/>
  <c r="H38" i="33" s="1"/>
  <c r="L90" i="30"/>
  <c r="D21" i="33"/>
  <c r="G21" i="33" s="1"/>
  <c r="H21" i="33" s="1"/>
  <c r="D54" i="31"/>
  <c r="L73" i="30"/>
  <c r="D17" i="33"/>
  <c r="G17" i="33" s="1"/>
  <c r="H17" i="33" s="1"/>
  <c r="D50" i="31"/>
  <c r="L69" i="30"/>
  <c r="D37" i="33"/>
  <c r="G37" i="33" s="1"/>
  <c r="H37" i="33" s="1"/>
  <c r="D70" i="31"/>
  <c r="L89" i="30"/>
  <c r="D29" i="33"/>
  <c r="G29" i="33" s="1"/>
  <c r="H29" i="33" s="1"/>
  <c r="D62" i="31"/>
  <c r="L81" i="30"/>
  <c r="D20" i="33"/>
  <c r="G20" i="33" s="1"/>
  <c r="H20" i="33" s="1"/>
  <c r="D53" i="31"/>
  <c r="L72" i="30"/>
  <c r="D25" i="33"/>
  <c r="G25" i="33" s="1"/>
  <c r="H25" i="33" s="1"/>
  <c r="D58" i="31"/>
  <c r="L77" i="30"/>
  <c r="D35" i="33"/>
  <c r="G35" i="33" s="1"/>
  <c r="H35" i="33" s="1"/>
  <c r="D68" i="31"/>
  <c r="L87" i="30"/>
  <c r="D32" i="33"/>
  <c r="G32" i="33" s="1"/>
  <c r="H32" i="33" s="1"/>
  <c r="D65" i="31"/>
  <c r="L84" i="30"/>
  <c r="D23" i="33"/>
  <c r="G23" i="33" s="1"/>
  <c r="H23" i="33" s="1"/>
  <c r="D56" i="31"/>
  <c r="L75" i="30"/>
  <c r="L70" i="30"/>
  <c r="D18" i="33"/>
  <c r="G18" i="33" s="1"/>
  <c r="H18" i="33" s="1"/>
  <c r="D51" i="31"/>
  <c r="D33" i="33"/>
  <c r="G33" i="33" s="1"/>
  <c r="H33" i="33" s="1"/>
  <c r="D66" i="31"/>
  <c r="L85" i="30"/>
  <c r="D36" i="33"/>
  <c r="G36" i="33" s="1"/>
  <c r="H36" i="33" s="1"/>
  <c r="D69" i="31"/>
  <c r="L88" i="30"/>
  <c r="L82" i="30"/>
  <c r="D63" i="31"/>
  <c r="D30" i="33"/>
  <c r="G30" i="33" s="1"/>
  <c r="H30" i="33" s="1"/>
  <c r="D19" i="33"/>
  <c r="G19" i="33" s="1"/>
  <c r="H19" i="33" s="1"/>
  <c r="D52" i="31"/>
  <c r="L71" i="30"/>
  <c r="D61" i="31"/>
  <c r="L80" i="30"/>
  <c r="D28" i="33"/>
  <c r="G28" i="33" s="1"/>
  <c r="H28" i="33" s="1"/>
  <c r="L91" i="30"/>
  <c r="D39" i="33"/>
  <c r="G39" i="33" s="1"/>
  <c r="H39" i="33" s="1"/>
  <c r="D72" i="31"/>
  <c r="D44" i="5"/>
  <c r="G44" i="5" s="1"/>
  <c r="J13" i="6"/>
  <c r="K13" i="6" s="1"/>
  <c r="F80" i="29" s="1"/>
  <c r="P13" i="6"/>
  <c r="Q13" i="6" s="1"/>
  <c r="F128" i="29" s="1"/>
  <c r="P31" i="6"/>
  <c r="Q31" i="6" s="1"/>
  <c r="F146" i="29" s="1"/>
  <c r="J31" i="6"/>
  <c r="K31" i="6" s="1"/>
  <c r="F98" i="29" s="1"/>
  <c r="P23" i="6"/>
  <c r="Q23" i="6" s="1"/>
  <c r="F138" i="29" s="1"/>
  <c r="D54" i="5"/>
  <c r="G54" i="5" s="1"/>
  <c r="J23" i="6"/>
  <c r="K23" i="6" s="1"/>
  <c r="F90" i="29" s="1"/>
  <c r="P26" i="6"/>
  <c r="Q26" i="6" s="1"/>
  <c r="F141" i="29" s="1"/>
  <c r="J26" i="6"/>
  <c r="K26" i="6" s="1"/>
  <c r="F93" i="29" s="1"/>
  <c r="P27" i="6"/>
  <c r="Q27" i="6" s="1"/>
  <c r="F142" i="29" s="1"/>
  <c r="J27" i="6"/>
  <c r="K27" i="6" s="1"/>
  <c r="F94" i="29" s="1"/>
  <c r="J33" i="6"/>
  <c r="K33" i="6" s="1"/>
  <c r="F100" i="29" s="1"/>
  <c r="P33" i="6"/>
  <c r="Q33" i="6" s="1"/>
  <c r="F148" i="29" s="1"/>
  <c r="J17" i="6"/>
  <c r="K17" i="6" s="1"/>
  <c r="F84" i="29" s="1"/>
  <c r="P17" i="6"/>
  <c r="Q17" i="6" s="1"/>
  <c r="F132" i="29" s="1"/>
  <c r="D57" i="5"/>
  <c r="G57" i="5" s="1"/>
  <c r="P32" i="6"/>
  <c r="Q32" i="6" s="1"/>
  <c r="F147" i="29" s="1"/>
  <c r="J32" i="6"/>
  <c r="K32" i="6" s="1"/>
  <c r="F99" i="29" s="1"/>
  <c r="J22" i="6"/>
  <c r="K22" i="6" s="1"/>
  <c r="F89" i="29" s="1"/>
  <c r="P22" i="6"/>
  <c r="Q22" i="6" s="1"/>
  <c r="F137" i="29" s="1"/>
  <c r="J16" i="6"/>
  <c r="K16" i="6" s="1"/>
  <c r="F83" i="29" s="1"/>
  <c r="P16" i="6"/>
  <c r="Q16" i="6" s="1"/>
  <c r="F131" i="29" s="1"/>
  <c r="J29" i="6"/>
  <c r="K29" i="6" s="1"/>
  <c r="F96" i="29" s="1"/>
  <c r="P29" i="6"/>
  <c r="Q29" i="6" s="1"/>
  <c r="F144" i="29" s="1"/>
  <c r="J25" i="6"/>
  <c r="K25" i="6" s="1"/>
  <c r="F92" i="29" s="1"/>
  <c r="P25" i="6"/>
  <c r="Q25" i="6" s="1"/>
  <c r="F140" i="29" s="1"/>
  <c r="P36" i="6"/>
  <c r="Q36" i="6" s="1"/>
  <c r="F151" i="29" s="1"/>
  <c r="J36" i="6"/>
  <c r="K36" i="6" s="1"/>
  <c r="F103" i="29" s="1"/>
  <c r="P20" i="6"/>
  <c r="Q20" i="6" s="1"/>
  <c r="F135" i="29" s="1"/>
  <c r="J20" i="6"/>
  <c r="K20" i="6" s="1"/>
  <c r="F87" i="29" s="1"/>
  <c r="J28" i="6"/>
  <c r="K28" i="6" s="1"/>
  <c r="F95" i="29" s="1"/>
  <c r="P28" i="6"/>
  <c r="Q28" i="6" s="1"/>
  <c r="F143" i="29" s="1"/>
  <c r="P35" i="6"/>
  <c r="Q35" i="6" s="1"/>
  <c r="F150" i="29" s="1"/>
  <c r="J35" i="6"/>
  <c r="K35" i="6" s="1"/>
  <c r="F102" i="29" s="1"/>
  <c r="P19" i="6"/>
  <c r="Q19" i="6" s="1"/>
  <c r="F134" i="29" s="1"/>
  <c r="J19" i="6"/>
  <c r="K19" i="6" s="1"/>
  <c r="F86" i="29" s="1"/>
  <c r="J30" i="6"/>
  <c r="K30" i="6" s="1"/>
  <c r="F97" i="29" s="1"/>
  <c r="P30" i="6"/>
  <c r="Q30" i="6" s="1"/>
  <c r="F145" i="29" s="1"/>
  <c r="J18" i="6"/>
  <c r="K18" i="6" s="1"/>
  <c r="F85" i="29" s="1"/>
  <c r="P18" i="6"/>
  <c r="Q18" i="6" s="1"/>
  <c r="F133" i="29" s="1"/>
  <c r="J14" i="6"/>
  <c r="K14" i="6" s="1"/>
  <c r="F81" i="29" s="1"/>
  <c r="P14" i="6"/>
  <c r="Q14" i="6" s="1"/>
  <c r="F129" i="29" s="1"/>
  <c r="J34" i="6"/>
  <c r="K34" i="6" s="1"/>
  <c r="F101" i="29" s="1"/>
  <c r="P34" i="6"/>
  <c r="Q34" i="6" s="1"/>
  <c r="F149" i="29" s="1"/>
  <c r="P15" i="6"/>
  <c r="Q15" i="6" s="1"/>
  <c r="F130" i="29" s="1"/>
  <c r="G130" i="29" s="1"/>
  <c r="J15" i="6"/>
  <c r="K15" i="6" s="1"/>
  <c r="F82" i="29" s="1"/>
  <c r="D63" i="5"/>
  <c r="G63" i="5" s="1"/>
  <c r="D66" i="5"/>
  <c r="G66" i="5" s="1"/>
  <c r="D64" i="5"/>
  <c r="G64" i="5" s="1"/>
  <c r="D59" i="5"/>
  <c r="G59" i="5" s="1"/>
  <c r="D65" i="5"/>
  <c r="G65" i="5" s="1"/>
  <c r="D58" i="5"/>
  <c r="G58" i="5" s="1"/>
  <c r="D62" i="5"/>
  <c r="G62" i="5" s="1"/>
  <c r="D60" i="5"/>
  <c r="G60" i="5" s="1"/>
  <c r="D61" i="5"/>
  <c r="G61" i="5" s="1"/>
  <c r="D67" i="5"/>
  <c r="G67" i="5" s="1"/>
  <c r="D47" i="5"/>
  <c r="G47" i="5" s="1"/>
  <c r="D53" i="5"/>
  <c r="G53" i="5" s="1"/>
  <c r="D45" i="5"/>
  <c r="D51" i="5"/>
  <c r="G51" i="5" s="1"/>
  <c r="D56" i="5"/>
  <c r="G56" i="5" s="1"/>
  <c r="D49" i="5"/>
  <c r="G49" i="5" s="1"/>
  <c r="D46" i="5"/>
  <c r="G46" i="5" s="1"/>
  <c r="D48" i="5"/>
  <c r="G48" i="5" s="1"/>
  <c r="D50" i="5"/>
  <c r="G50" i="5" s="1"/>
  <c r="G67" i="31" l="1"/>
  <c r="F353" i="29" s="1"/>
  <c r="E67" i="31"/>
  <c r="G353" i="29" s="1"/>
  <c r="H82" i="30"/>
  <c r="G190" i="29"/>
  <c r="N190" i="29" s="1"/>
  <c r="O190" i="29" s="1"/>
  <c r="H71" i="30"/>
  <c r="G179" i="29"/>
  <c r="H88" i="30"/>
  <c r="G196" i="29"/>
  <c r="M196" i="29" s="1"/>
  <c r="H74" i="30"/>
  <c r="G182" i="29"/>
  <c r="H72" i="30"/>
  <c r="G180" i="29"/>
  <c r="H91" i="30"/>
  <c r="G199" i="29"/>
  <c r="H89" i="30"/>
  <c r="G197" i="29"/>
  <c r="M197" i="29" s="1"/>
  <c r="H75" i="30"/>
  <c r="G183" i="29"/>
  <c r="H85" i="30"/>
  <c r="G193" i="29"/>
  <c r="N193" i="29" s="1"/>
  <c r="O193" i="29" s="1"/>
  <c r="H87" i="30"/>
  <c r="G195" i="29"/>
  <c r="N195" i="29" s="1"/>
  <c r="O195" i="29" s="1"/>
  <c r="H84" i="30"/>
  <c r="G192" i="29"/>
  <c r="N192" i="29" s="1"/>
  <c r="O192" i="29" s="1"/>
  <c r="H77" i="30"/>
  <c r="G185" i="29"/>
  <c r="H78" i="30"/>
  <c r="G186" i="29"/>
  <c r="H80" i="30"/>
  <c r="G188" i="29"/>
  <c r="H70" i="30"/>
  <c r="G178" i="29"/>
  <c r="H69" i="30"/>
  <c r="G177" i="29"/>
  <c r="H73" i="30"/>
  <c r="H83" i="30"/>
  <c r="G191" i="29"/>
  <c r="N191" i="29" s="1"/>
  <c r="O191" i="29" s="1"/>
  <c r="H81" i="30"/>
  <c r="G189" i="29"/>
  <c r="N189" i="29" s="1"/>
  <c r="O189" i="29" s="1"/>
  <c r="H86" i="30"/>
  <c r="G194" i="29"/>
  <c r="M194" i="29" s="1"/>
  <c r="F87" i="30"/>
  <c r="J189" i="29"/>
  <c r="F69" i="30"/>
  <c r="F71" i="30"/>
  <c r="K189" i="29"/>
  <c r="L189" i="29" s="1"/>
  <c r="K193" i="29"/>
  <c r="L193" i="29" s="1"/>
  <c r="F84" i="30"/>
  <c r="F181" i="29"/>
  <c r="F85" i="30"/>
  <c r="J196" i="29"/>
  <c r="K196" i="29"/>
  <c r="L196" i="29" s="1"/>
  <c r="F89" i="30"/>
  <c r="J192" i="29"/>
  <c r="F81" i="30"/>
  <c r="F88" i="30"/>
  <c r="J190" i="29"/>
  <c r="K190" i="29"/>
  <c r="L190" i="29" s="1"/>
  <c r="O119" i="30"/>
  <c r="M119" i="30"/>
  <c r="N119" i="30" s="1"/>
  <c r="H47" i="5"/>
  <c r="G275" i="29"/>
  <c r="H67" i="5"/>
  <c r="G295" i="29"/>
  <c r="H49" i="5"/>
  <c r="G277" i="29"/>
  <c r="H58" i="5"/>
  <c r="G286" i="29"/>
  <c r="O69" i="30"/>
  <c r="M69" i="30"/>
  <c r="N69" i="30" s="1"/>
  <c r="M112" i="30"/>
  <c r="N112" i="30" s="1"/>
  <c r="O112" i="30"/>
  <c r="O104" i="30"/>
  <c r="M104" i="30"/>
  <c r="N104" i="30" s="1"/>
  <c r="O102" i="30"/>
  <c r="M102" i="30"/>
  <c r="N102" i="30" s="1"/>
  <c r="H65" i="5"/>
  <c r="G293" i="29"/>
  <c r="M85" i="30"/>
  <c r="N85" i="30" s="1"/>
  <c r="O85" i="30"/>
  <c r="M74" i="30"/>
  <c r="N74" i="30" s="1"/>
  <c r="O74" i="30"/>
  <c r="F83" i="30"/>
  <c r="M98" i="30"/>
  <c r="N98" i="30" s="1"/>
  <c r="O98" i="30"/>
  <c r="F178" i="29"/>
  <c r="H51" i="5"/>
  <c r="G279" i="29"/>
  <c r="H59" i="5"/>
  <c r="G287" i="29"/>
  <c r="M111" i="30"/>
  <c r="N111" i="30" s="1"/>
  <c r="O111" i="30"/>
  <c r="M100" i="30"/>
  <c r="N100" i="30" s="1"/>
  <c r="O100" i="30"/>
  <c r="M115" i="30"/>
  <c r="N115" i="30" s="1"/>
  <c r="O115" i="30"/>
  <c r="H64" i="5"/>
  <c r="G292" i="29"/>
  <c r="M86" i="30"/>
  <c r="N86" i="30" s="1"/>
  <c r="O86" i="30"/>
  <c r="F199" i="29"/>
  <c r="M72" i="30"/>
  <c r="N72" i="30" s="1"/>
  <c r="O72" i="30"/>
  <c r="M97" i="30"/>
  <c r="N97" i="30" s="1"/>
  <c r="O97" i="30"/>
  <c r="G248" i="29" s="1"/>
  <c r="J193" i="29"/>
  <c r="O91" i="30"/>
  <c r="M91" i="30"/>
  <c r="F247" i="29" s="1"/>
  <c r="O77" i="30"/>
  <c r="M77" i="30"/>
  <c r="F233" i="29" s="1"/>
  <c r="O106" i="30"/>
  <c r="M106" i="30"/>
  <c r="N106" i="30" s="1"/>
  <c r="O116" i="30"/>
  <c r="M116" i="30"/>
  <c r="N116" i="30" s="1"/>
  <c r="M73" i="30"/>
  <c r="F229" i="29" s="1"/>
  <c r="O73" i="30"/>
  <c r="O80" i="30"/>
  <c r="M80" i="30"/>
  <c r="N80" i="30" s="1"/>
  <c r="F72" i="30"/>
  <c r="H66" i="5"/>
  <c r="G294" i="29"/>
  <c r="H53" i="5"/>
  <c r="G281" i="29"/>
  <c r="H63" i="5"/>
  <c r="G291" i="29"/>
  <c r="H54" i="5"/>
  <c r="G282" i="29"/>
  <c r="M71" i="30"/>
  <c r="N71" i="30" s="1"/>
  <c r="O71" i="30"/>
  <c r="O70" i="30"/>
  <c r="M70" i="30"/>
  <c r="F226" i="29" s="1"/>
  <c r="M90" i="30"/>
  <c r="N90" i="30" s="1"/>
  <c r="O90" i="30"/>
  <c r="O120" i="30"/>
  <c r="M120" i="30"/>
  <c r="N120" i="30" s="1"/>
  <c r="F185" i="29"/>
  <c r="H50" i="5"/>
  <c r="G278" i="29"/>
  <c r="O81" i="30"/>
  <c r="M81" i="30"/>
  <c r="F237" i="29" s="1"/>
  <c r="M107" i="30"/>
  <c r="N107" i="30" s="1"/>
  <c r="O107" i="30"/>
  <c r="O103" i="30"/>
  <c r="M103" i="30"/>
  <c r="N103" i="30" s="1"/>
  <c r="M99" i="30"/>
  <c r="N99" i="30" s="1"/>
  <c r="O99" i="30"/>
  <c r="F183" i="29"/>
  <c r="F74" i="30"/>
  <c r="E90" i="30"/>
  <c r="F198" i="29" s="1"/>
  <c r="K198" i="29" s="1"/>
  <c r="L198" i="29" s="1"/>
  <c r="G90" i="30"/>
  <c r="M83" i="30"/>
  <c r="F239" i="29" s="1"/>
  <c r="O83" i="30"/>
  <c r="O68" i="30"/>
  <c r="M68" i="30"/>
  <c r="F224" i="29" s="1"/>
  <c r="M110" i="30"/>
  <c r="N110" i="30" s="1"/>
  <c r="O110" i="30"/>
  <c r="E119" i="30"/>
  <c r="F119" i="30" s="1"/>
  <c r="G119" i="30"/>
  <c r="H119" i="30" s="1"/>
  <c r="O84" i="30"/>
  <c r="M84" i="30"/>
  <c r="N84" i="30" s="1"/>
  <c r="M109" i="30"/>
  <c r="N109" i="30" s="1"/>
  <c r="O109" i="30"/>
  <c r="O117" i="30"/>
  <c r="M117" i="30"/>
  <c r="N117" i="30" s="1"/>
  <c r="H46" i="5"/>
  <c r="G274" i="29"/>
  <c r="O82" i="30"/>
  <c r="M82" i="30"/>
  <c r="F238" i="29" s="1"/>
  <c r="M89" i="30"/>
  <c r="F245" i="29" s="1"/>
  <c r="O89" i="30"/>
  <c r="H60" i="5"/>
  <c r="G288" i="29"/>
  <c r="M88" i="30"/>
  <c r="N88" i="30" s="1"/>
  <c r="O88" i="30"/>
  <c r="O78" i="30"/>
  <c r="M78" i="30"/>
  <c r="F234" i="29" s="1"/>
  <c r="M101" i="30"/>
  <c r="N101" i="30" s="1"/>
  <c r="O101" i="30"/>
  <c r="J191" i="29"/>
  <c r="H56" i="5"/>
  <c r="G284" i="29"/>
  <c r="M75" i="30"/>
  <c r="F231" i="29" s="1"/>
  <c r="O75" i="30"/>
  <c r="M113" i="30"/>
  <c r="N113" i="30" s="1"/>
  <c r="O113" i="30"/>
  <c r="M114" i="30"/>
  <c r="N114" i="30" s="1"/>
  <c r="O114" i="30"/>
  <c r="H48" i="5"/>
  <c r="G276" i="29"/>
  <c r="H61" i="5"/>
  <c r="G289" i="29"/>
  <c r="H57" i="5"/>
  <c r="G285" i="29"/>
  <c r="H62" i="5"/>
  <c r="G290" i="29"/>
  <c r="H44" i="5"/>
  <c r="G272" i="29"/>
  <c r="M87" i="30"/>
  <c r="N87" i="30" s="1"/>
  <c r="O87" i="30"/>
  <c r="O118" i="30"/>
  <c r="M118" i="30"/>
  <c r="N118" i="30" s="1"/>
  <c r="J195" i="29"/>
  <c r="J194" i="29"/>
  <c r="J197" i="29"/>
  <c r="K197" i="29"/>
  <c r="L197" i="29" s="1"/>
  <c r="F82" i="30"/>
  <c r="F188" i="29"/>
  <c r="J188" i="29" s="1"/>
  <c r="F86" i="30"/>
  <c r="F186" i="29"/>
  <c r="H68" i="30"/>
  <c r="G176" i="29"/>
  <c r="M176" i="29" s="1"/>
  <c r="G80" i="29"/>
  <c r="J80" i="29"/>
  <c r="G210" i="29"/>
  <c r="F215" i="29"/>
  <c r="G209" i="29"/>
  <c r="F219" i="29"/>
  <c r="F214" i="29"/>
  <c r="G219" i="29"/>
  <c r="G203" i="29"/>
  <c r="F216" i="29"/>
  <c r="K179" i="29"/>
  <c r="L179" i="29" s="1"/>
  <c r="J179" i="29"/>
  <c r="G217" i="29"/>
  <c r="G206" i="29"/>
  <c r="F209" i="29"/>
  <c r="F212" i="29"/>
  <c r="G207" i="29"/>
  <c r="K177" i="29"/>
  <c r="L177" i="29" s="1"/>
  <c r="J177" i="29"/>
  <c r="F210" i="29"/>
  <c r="G212" i="29"/>
  <c r="F223" i="29"/>
  <c r="G205" i="29"/>
  <c r="F203" i="29"/>
  <c r="G223" i="29"/>
  <c r="F205" i="29"/>
  <c r="F220" i="29"/>
  <c r="G220" i="29"/>
  <c r="F217" i="29"/>
  <c r="F201" i="29"/>
  <c r="G216" i="29"/>
  <c r="G201" i="29"/>
  <c r="F218" i="29"/>
  <c r="F202" i="29"/>
  <c r="G218" i="29"/>
  <c r="F200" i="29"/>
  <c r="K176" i="29"/>
  <c r="F204" i="29"/>
  <c r="G200" i="29"/>
  <c r="K180" i="29"/>
  <c r="L180" i="29" s="1"/>
  <c r="J180" i="29"/>
  <c r="J182" i="29"/>
  <c r="K182" i="29"/>
  <c r="L182" i="29" s="1"/>
  <c r="G204" i="29"/>
  <c r="F221" i="29"/>
  <c r="F213" i="29"/>
  <c r="G214" i="29"/>
  <c r="G202" i="29"/>
  <c r="F206" i="29"/>
  <c r="G221" i="29"/>
  <c r="G215" i="29"/>
  <c r="G213" i="29"/>
  <c r="F207" i="29"/>
  <c r="E32" i="33"/>
  <c r="E37" i="33"/>
  <c r="E18" i="33"/>
  <c r="E26" i="33"/>
  <c r="E36" i="33"/>
  <c r="E17" i="33"/>
  <c r="E30" i="33"/>
  <c r="E29" i="33"/>
  <c r="E22" i="33"/>
  <c r="E16" i="33"/>
  <c r="H16" i="33" s="1"/>
  <c r="E35" i="33"/>
  <c r="E21" i="33"/>
  <c r="E19" i="33"/>
  <c r="E34" i="33"/>
  <c r="E28" i="33"/>
  <c r="E33" i="33"/>
  <c r="E31" i="33"/>
  <c r="E25" i="33"/>
  <c r="E23" i="33"/>
  <c r="E20" i="33"/>
  <c r="E39" i="33"/>
  <c r="E38" i="33"/>
  <c r="G70" i="29"/>
  <c r="J70" i="29"/>
  <c r="G72" i="29"/>
  <c r="J72" i="29"/>
  <c r="G99" i="29"/>
  <c r="K99" i="29"/>
  <c r="L99" i="29" s="1"/>
  <c r="J99" i="29"/>
  <c r="J69" i="29"/>
  <c r="G69" i="29"/>
  <c r="L67" i="6"/>
  <c r="F167" i="29"/>
  <c r="G147" i="29"/>
  <c r="K147" i="29"/>
  <c r="L147" i="29" s="1"/>
  <c r="J147" i="29"/>
  <c r="F56" i="6"/>
  <c r="F108" i="29"/>
  <c r="G65" i="29"/>
  <c r="J65" i="29"/>
  <c r="J103" i="29"/>
  <c r="G103" i="29"/>
  <c r="K103" i="29"/>
  <c r="L103" i="29" s="1"/>
  <c r="F53" i="6"/>
  <c r="F105" i="29"/>
  <c r="F72" i="6"/>
  <c r="F124" i="29"/>
  <c r="L56" i="6"/>
  <c r="F156" i="29"/>
  <c r="F69" i="6"/>
  <c r="F121" i="29"/>
  <c r="L72" i="6"/>
  <c r="F172" i="29"/>
  <c r="G140" i="29"/>
  <c r="K140" i="29"/>
  <c r="L140" i="29" s="1"/>
  <c r="J140" i="29"/>
  <c r="F58" i="6"/>
  <c r="F110" i="29"/>
  <c r="K97" i="29"/>
  <c r="L97" i="29" s="1"/>
  <c r="G97" i="29"/>
  <c r="J97" i="29"/>
  <c r="G62" i="29"/>
  <c r="J62" i="29"/>
  <c r="L68" i="6"/>
  <c r="F168" i="29"/>
  <c r="J86" i="29"/>
  <c r="K86" i="29"/>
  <c r="L86" i="29" s="1"/>
  <c r="G86" i="29"/>
  <c r="G78" i="29"/>
  <c r="J78" i="29"/>
  <c r="F55" i="6"/>
  <c r="F107" i="29"/>
  <c r="G58" i="29"/>
  <c r="J58" i="29"/>
  <c r="K96" i="29"/>
  <c r="L96" i="29" s="1"/>
  <c r="J96" i="29"/>
  <c r="G96" i="29"/>
  <c r="L55" i="6"/>
  <c r="F155" i="29"/>
  <c r="G66" i="29"/>
  <c r="J66" i="29"/>
  <c r="K102" i="29"/>
  <c r="L102" i="29" s="1"/>
  <c r="J102" i="29"/>
  <c r="G102" i="29"/>
  <c r="G94" i="29"/>
  <c r="J94" i="29"/>
  <c r="K94" i="29"/>
  <c r="L94" i="29" s="1"/>
  <c r="L74" i="6"/>
  <c r="F174" i="29"/>
  <c r="F59" i="6"/>
  <c r="F111" i="29"/>
  <c r="F73" i="6"/>
  <c r="F125" i="29"/>
  <c r="L70" i="6"/>
  <c r="F170" i="29"/>
  <c r="J73" i="29"/>
  <c r="G73" i="29"/>
  <c r="F61" i="6"/>
  <c r="F113" i="29"/>
  <c r="F57" i="6"/>
  <c r="F109" i="29"/>
  <c r="J77" i="29"/>
  <c r="G77" i="29"/>
  <c r="G138" i="29"/>
  <c r="K138" i="29"/>
  <c r="L138" i="29" s="1"/>
  <c r="J138" i="29"/>
  <c r="L61" i="6"/>
  <c r="F161" i="29"/>
  <c r="K85" i="29"/>
  <c r="L85" i="29" s="1"/>
  <c r="G85" i="29"/>
  <c r="J85" i="29"/>
  <c r="G98" i="29"/>
  <c r="J98" i="29"/>
  <c r="K98" i="29"/>
  <c r="L98" i="29" s="1"/>
  <c r="L65" i="6"/>
  <c r="F165" i="29"/>
  <c r="L64" i="6"/>
  <c r="F164" i="29"/>
  <c r="G59" i="29"/>
  <c r="J59" i="29"/>
  <c r="G145" i="29"/>
  <c r="J145" i="29"/>
  <c r="K145" i="29"/>
  <c r="L145" i="29" s="1"/>
  <c r="G132" i="29"/>
  <c r="K132" i="29"/>
  <c r="L132" i="29" s="1"/>
  <c r="J132" i="29"/>
  <c r="G146" i="29"/>
  <c r="K146" i="29"/>
  <c r="L146" i="29" s="1"/>
  <c r="J146" i="29"/>
  <c r="L69" i="6"/>
  <c r="F169" i="29"/>
  <c r="F66" i="6"/>
  <c r="F118" i="29"/>
  <c r="F68" i="6"/>
  <c r="F120" i="29"/>
  <c r="G92" i="29"/>
  <c r="J92" i="29"/>
  <c r="K92" i="29"/>
  <c r="L92" i="29" s="1"/>
  <c r="G79" i="29"/>
  <c r="J79" i="29"/>
  <c r="G74" i="29"/>
  <c r="J74" i="29"/>
  <c r="G144" i="29"/>
  <c r="J144" i="29"/>
  <c r="K144" i="29"/>
  <c r="L144" i="29" s="1"/>
  <c r="G128" i="29"/>
  <c r="K128" i="29"/>
  <c r="L128" i="29" s="1"/>
  <c r="J128" i="29"/>
  <c r="G63" i="29"/>
  <c r="J63" i="29"/>
  <c r="L73" i="6"/>
  <c r="F173" i="29"/>
  <c r="L58" i="6"/>
  <c r="F158" i="29"/>
  <c r="G134" i="29"/>
  <c r="J134" i="29"/>
  <c r="K134" i="29"/>
  <c r="L134" i="29" s="1"/>
  <c r="G100" i="29"/>
  <c r="J100" i="29"/>
  <c r="K100" i="29"/>
  <c r="L100" i="29" s="1"/>
  <c r="F75" i="6"/>
  <c r="F127" i="29"/>
  <c r="F70" i="6"/>
  <c r="F122" i="29"/>
  <c r="G82" i="29"/>
  <c r="J82" i="29"/>
  <c r="K82" i="29"/>
  <c r="L82" i="29" s="1"/>
  <c r="G131" i="29"/>
  <c r="K131" i="29"/>
  <c r="L131" i="29" s="1"/>
  <c r="J131" i="29"/>
  <c r="G71" i="29"/>
  <c r="J71" i="29"/>
  <c r="G150" i="29"/>
  <c r="K150" i="29"/>
  <c r="L150" i="29" s="1"/>
  <c r="J150" i="29"/>
  <c r="K83" i="29"/>
  <c r="L83" i="29" s="1"/>
  <c r="J83" i="29"/>
  <c r="G83" i="29"/>
  <c r="G142" i="29"/>
  <c r="J142" i="29"/>
  <c r="K142" i="29"/>
  <c r="L142" i="29" s="1"/>
  <c r="L59" i="6"/>
  <c r="F159" i="29"/>
  <c r="F52" i="6"/>
  <c r="F104" i="29"/>
  <c r="G129" i="29"/>
  <c r="K129" i="29"/>
  <c r="L129" i="29" s="1"/>
  <c r="J129" i="29"/>
  <c r="G90" i="29"/>
  <c r="J90" i="29"/>
  <c r="K90" i="29"/>
  <c r="L90" i="29" s="1"/>
  <c r="G68" i="29"/>
  <c r="J68" i="29"/>
  <c r="G81" i="29"/>
  <c r="J81" i="29"/>
  <c r="K81" i="29"/>
  <c r="L81" i="29" s="1"/>
  <c r="G75" i="29"/>
  <c r="J75" i="29"/>
  <c r="L53" i="6"/>
  <c r="F153" i="29"/>
  <c r="G137" i="29"/>
  <c r="J137" i="29"/>
  <c r="K137" i="29"/>
  <c r="L137" i="29" s="1"/>
  <c r="K93" i="29"/>
  <c r="L93" i="29" s="1"/>
  <c r="J93" i="29"/>
  <c r="G93" i="29"/>
  <c r="F74" i="6"/>
  <c r="F126" i="29"/>
  <c r="F71" i="6"/>
  <c r="F123" i="29"/>
  <c r="L57" i="6"/>
  <c r="F157" i="29"/>
  <c r="L52" i="6"/>
  <c r="F152" i="29"/>
  <c r="F54" i="6"/>
  <c r="F106" i="29"/>
  <c r="G87" i="29"/>
  <c r="K87" i="29"/>
  <c r="L87" i="29" s="1"/>
  <c r="J87" i="29"/>
  <c r="G57" i="29"/>
  <c r="J57" i="29"/>
  <c r="G76" i="29"/>
  <c r="J76" i="29"/>
  <c r="G135" i="29"/>
  <c r="J135" i="29"/>
  <c r="K135" i="29"/>
  <c r="L135" i="29" s="1"/>
  <c r="L62" i="6"/>
  <c r="F162" i="29"/>
  <c r="G133" i="29"/>
  <c r="J133" i="29"/>
  <c r="K133" i="29"/>
  <c r="L133" i="29" s="1"/>
  <c r="F65" i="6"/>
  <c r="F117" i="29"/>
  <c r="F64" i="6"/>
  <c r="F116" i="29"/>
  <c r="F62" i="6"/>
  <c r="F114" i="29"/>
  <c r="G151" i="29"/>
  <c r="J151" i="29"/>
  <c r="K151" i="29"/>
  <c r="L151" i="29" s="1"/>
  <c r="J60" i="29"/>
  <c r="G60" i="29"/>
  <c r="L75" i="6"/>
  <c r="F175" i="29"/>
  <c r="K84" i="29"/>
  <c r="L84" i="29" s="1"/>
  <c r="J84" i="29"/>
  <c r="G84" i="29"/>
  <c r="L66" i="6"/>
  <c r="F166" i="29"/>
  <c r="G148" i="29"/>
  <c r="K148" i="29"/>
  <c r="L148" i="29" s="1"/>
  <c r="J148" i="29"/>
  <c r="J61" i="29"/>
  <c r="G61" i="29"/>
  <c r="G149" i="29"/>
  <c r="K149" i="29"/>
  <c r="L149" i="29" s="1"/>
  <c r="J149" i="29"/>
  <c r="G143" i="29"/>
  <c r="K143" i="29"/>
  <c r="L143" i="29" s="1"/>
  <c r="J143" i="29"/>
  <c r="G101" i="29"/>
  <c r="J101" i="29"/>
  <c r="K101" i="29"/>
  <c r="L101" i="29" s="1"/>
  <c r="K95" i="29"/>
  <c r="L95" i="29" s="1"/>
  <c r="G95" i="29"/>
  <c r="J95" i="29"/>
  <c r="J89" i="29"/>
  <c r="K89" i="29"/>
  <c r="L89" i="29" s="1"/>
  <c r="G89" i="29"/>
  <c r="G141" i="29"/>
  <c r="K141" i="29"/>
  <c r="L141" i="29" s="1"/>
  <c r="J141" i="29"/>
  <c r="F67" i="6"/>
  <c r="F119" i="29"/>
  <c r="L71" i="6"/>
  <c r="F171" i="29"/>
  <c r="L54" i="6"/>
  <c r="F154" i="29"/>
  <c r="G45" i="5"/>
  <c r="E13" i="6"/>
  <c r="E44" i="5"/>
  <c r="F272" i="29" s="1"/>
  <c r="K130" i="29"/>
  <c r="F14" i="6"/>
  <c r="F30" i="6"/>
  <c r="F31" i="6"/>
  <c r="R20" i="6"/>
  <c r="L32" i="6"/>
  <c r="R32" i="6"/>
  <c r="F26" i="6"/>
  <c r="E65" i="5"/>
  <c r="F293" i="29" s="1"/>
  <c r="L35" i="6"/>
  <c r="L36" i="6"/>
  <c r="L27" i="6"/>
  <c r="F34" i="6"/>
  <c r="F19" i="6"/>
  <c r="F36" i="6"/>
  <c r="F27" i="6"/>
  <c r="R18" i="6"/>
  <c r="R36" i="6"/>
  <c r="L16" i="6"/>
  <c r="L26" i="6"/>
  <c r="F18" i="6"/>
  <c r="F29" i="6"/>
  <c r="R25" i="6"/>
  <c r="E46" i="5"/>
  <c r="F274" i="29" s="1"/>
  <c r="E56" i="5"/>
  <c r="F284" i="29" s="1"/>
  <c r="E61" i="5"/>
  <c r="F289" i="29" s="1"/>
  <c r="F33" i="6"/>
  <c r="R15" i="6"/>
  <c r="L25" i="6"/>
  <c r="R26" i="6"/>
  <c r="E53" i="5"/>
  <c r="F281" i="29" s="1"/>
  <c r="F16" i="6"/>
  <c r="F32" i="6"/>
  <c r="E47" i="5"/>
  <c r="F275" i="29" s="1"/>
  <c r="R27" i="6"/>
  <c r="L18" i="6"/>
  <c r="E48" i="5"/>
  <c r="F276" i="29" s="1"/>
  <c r="E64" i="5"/>
  <c r="F292" i="29" s="1"/>
  <c r="R28" i="6"/>
  <c r="F15" i="6"/>
  <c r="E51" i="5"/>
  <c r="F279" i="29" s="1"/>
  <c r="F28" i="6"/>
  <c r="F35" i="6"/>
  <c r="R30" i="6"/>
  <c r="L28" i="6"/>
  <c r="R22" i="6"/>
  <c r="L23" i="6"/>
  <c r="L31" i="6"/>
  <c r="R19" i="6"/>
  <c r="F22" i="6"/>
  <c r="R14" i="6"/>
  <c r="L29" i="6"/>
  <c r="E50" i="5"/>
  <c r="F278" i="29" s="1"/>
  <c r="R16" i="6"/>
  <c r="E49" i="5"/>
  <c r="F277" i="29" s="1"/>
  <c r="R35" i="6"/>
  <c r="E67" i="5"/>
  <c r="F295" i="29" s="1"/>
  <c r="R17" i="6"/>
  <c r="L17" i="6"/>
  <c r="F20" i="6"/>
  <c r="E60" i="5"/>
  <c r="F288" i="29" s="1"/>
  <c r="E66" i="5"/>
  <c r="F294" i="29" s="1"/>
  <c r="R34" i="6"/>
  <c r="L30" i="6"/>
  <c r="L22" i="6"/>
  <c r="R33" i="6"/>
  <c r="E54" i="5"/>
  <c r="F282" i="29" s="1"/>
  <c r="R31" i="6"/>
  <c r="E58" i="5"/>
  <c r="F286" i="29" s="1"/>
  <c r="L14" i="6"/>
  <c r="F23" i="6"/>
  <c r="E57" i="5"/>
  <c r="F285" i="29" s="1"/>
  <c r="L15" i="6"/>
  <c r="F17" i="6"/>
  <c r="E59" i="5"/>
  <c r="F287" i="29" s="1"/>
  <c r="F25" i="6"/>
  <c r="E45" i="5"/>
  <c r="F273" i="29" s="1"/>
  <c r="E62" i="5"/>
  <c r="F290" i="29" s="1"/>
  <c r="E63" i="5"/>
  <c r="F291" i="29" s="1"/>
  <c r="L34" i="6"/>
  <c r="L19" i="6"/>
  <c r="L20" i="6"/>
  <c r="R29" i="6"/>
  <c r="L33" i="6"/>
  <c r="R23" i="6"/>
  <c r="K80" i="29"/>
  <c r="L80" i="29" s="1"/>
  <c r="K7" i="11"/>
  <c r="J6" i="11"/>
  <c r="J7" i="11" s="1"/>
  <c r="H7" i="11"/>
  <c r="G6" i="11"/>
  <c r="G7" i="11" s="1"/>
  <c r="M189" i="29" l="1"/>
  <c r="N197" i="29"/>
  <c r="O197" i="29" s="1"/>
  <c r="N196" i="29"/>
  <c r="O196" i="29" s="1"/>
  <c r="H90" i="30"/>
  <c r="G198" i="29"/>
  <c r="M198" i="29" s="1"/>
  <c r="N81" i="30"/>
  <c r="K183" i="29"/>
  <c r="L183" i="29" s="1"/>
  <c r="N73" i="30"/>
  <c r="J183" i="29"/>
  <c r="M193" i="29"/>
  <c r="M192" i="29"/>
  <c r="J181" i="29"/>
  <c r="K181" i="29"/>
  <c r="L181" i="29" s="1"/>
  <c r="N68" i="30"/>
  <c r="K178" i="29"/>
  <c r="L178" i="29" s="1"/>
  <c r="F236" i="29"/>
  <c r="J236" i="29" s="1"/>
  <c r="N82" i="30"/>
  <c r="F240" i="29"/>
  <c r="J240" i="29" s="1"/>
  <c r="M191" i="29"/>
  <c r="M195" i="29"/>
  <c r="N89" i="30"/>
  <c r="M190" i="29"/>
  <c r="F246" i="29"/>
  <c r="J246" i="29" s="1"/>
  <c r="N78" i="30"/>
  <c r="N75" i="30"/>
  <c r="J178" i="29"/>
  <c r="N83" i="30"/>
  <c r="N194" i="29"/>
  <c r="O194" i="29" s="1"/>
  <c r="F227" i="29"/>
  <c r="J227" i="29" s="1"/>
  <c r="K285" i="29"/>
  <c r="L285" i="29" s="1"/>
  <c r="J285" i="29"/>
  <c r="M288" i="29"/>
  <c r="N288" i="29"/>
  <c r="O288" i="29" s="1"/>
  <c r="K274" i="29"/>
  <c r="L274" i="29" s="1"/>
  <c r="J274" i="29"/>
  <c r="K291" i="29"/>
  <c r="L291" i="29" s="1"/>
  <c r="J291" i="29"/>
  <c r="K276" i="29"/>
  <c r="L276" i="29" s="1"/>
  <c r="J276" i="29"/>
  <c r="K293" i="29"/>
  <c r="L293" i="29" s="1"/>
  <c r="J293" i="29"/>
  <c r="N70" i="30"/>
  <c r="F225" i="29"/>
  <c r="J225" i="29" s="1"/>
  <c r="M285" i="29"/>
  <c r="N285" i="29"/>
  <c r="O285" i="29" s="1"/>
  <c r="N278" i="29"/>
  <c r="O278" i="29" s="1"/>
  <c r="M278" i="29"/>
  <c r="K290" i="29"/>
  <c r="L290" i="29" s="1"/>
  <c r="J290" i="29"/>
  <c r="M281" i="29"/>
  <c r="N281" i="29"/>
  <c r="O281" i="29" s="1"/>
  <c r="N286" i="29"/>
  <c r="O286" i="29" s="1"/>
  <c r="M286" i="29"/>
  <c r="K273" i="29"/>
  <c r="L273" i="29" s="1"/>
  <c r="J273" i="29"/>
  <c r="K275" i="29"/>
  <c r="L275" i="29" s="1"/>
  <c r="J275" i="29"/>
  <c r="N294" i="29"/>
  <c r="O294" i="29" s="1"/>
  <c r="M294" i="29"/>
  <c r="K287" i="29"/>
  <c r="L287" i="29" s="1"/>
  <c r="J287" i="29"/>
  <c r="M276" i="29"/>
  <c r="N276" i="29"/>
  <c r="O276" i="29" s="1"/>
  <c r="F241" i="29"/>
  <c r="J241" i="29" s="1"/>
  <c r="N91" i="30"/>
  <c r="F228" i="29"/>
  <c r="K228" i="29" s="1"/>
  <c r="L228" i="29" s="1"/>
  <c r="N295" i="29"/>
  <c r="O295" i="29" s="1"/>
  <c r="M295" i="29"/>
  <c r="N289" i="29"/>
  <c r="O289" i="29" s="1"/>
  <c r="M289" i="29"/>
  <c r="K294" i="29"/>
  <c r="L294" i="29" s="1"/>
  <c r="J294" i="29"/>
  <c r="J198" i="29"/>
  <c r="N277" i="29"/>
  <c r="O277" i="29" s="1"/>
  <c r="M277" i="29"/>
  <c r="K288" i="29"/>
  <c r="L288" i="29" s="1"/>
  <c r="J288" i="29"/>
  <c r="N293" i="29"/>
  <c r="O293" i="29" s="1"/>
  <c r="M293" i="29"/>
  <c r="K281" i="29"/>
  <c r="L281" i="29" s="1"/>
  <c r="J281" i="29"/>
  <c r="N77" i="30"/>
  <c r="N287" i="29"/>
  <c r="O287" i="29" s="1"/>
  <c r="M287" i="29"/>
  <c r="K279" i="29"/>
  <c r="L279" i="29" s="1"/>
  <c r="J279" i="29"/>
  <c r="J185" i="29"/>
  <c r="K188" i="29"/>
  <c r="L188" i="29" s="1"/>
  <c r="K289" i="29"/>
  <c r="L289" i="29" s="1"/>
  <c r="J289" i="29"/>
  <c r="F90" i="30"/>
  <c r="K185" i="29"/>
  <c r="L185" i="29" s="1"/>
  <c r="M188" i="29"/>
  <c r="N282" i="29"/>
  <c r="O282" i="29" s="1"/>
  <c r="M282" i="29"/>
  <c r="K295" i="29"/>
  <c r="L295" i="29" s="1"/>
  <c r="J295" i="29"/>
  <c r="N279" i="29"/>
  <c r="O279" i="29" s="1"/>
  <c r="M279" i="29"/>
  <c r="K199" i="29"/>
  <c r="L199" i="29" s="1"/>
  <c r="J199" i="29"/>
  <c r="K286" i="29"/>
  <c r="L286" i="29" s="1"/>
  <c r="J286" i="29"/>
  <c r="K277" i="29"/>
  <c r="L277" i="29" s="1"/>
  <c r="J277" i="29"/>
  <c r="K282" i="29"/>
  <c r="L282" i="29" s="1"/>
  <c r="J282" i="29"/>
  <c r="K278" i="29"/>
  <c r="L278" i="29" s="1"/>
  <c r="J278" i="29"/>
  <c r="K284" i="29"/>
  <c r="L284" i="29" s="1"/>
  <c r="J284" i="29"/>
  <c r="N290" i="29"/>
  <c r="O290" i="29" s="1"/>
  <c r="M290" i="29"/>
  <c r="N284" i="29"/>
  <c r="O284" i="29" s="1"/>
  <c r="M284" i="29"/>
  <c r="M292" i="29"/>
  <c r="N292" i="29"/>
  <c r="O292" i="29" s="1"/>
  <c r="N275" i="29"/>
  <c r="O275" i="29" s="1"/>
  <c r="M275" i="29"/>
  <c r="K292" i="29"/>
  <c r="L292" i="29" s="1"/>
  <c r="J292" i="29"/>
  <c r="H45" i="5"/>
  <c r="G273" i="29"/>
  <c r="N274" i="29"/>
  <c r="O274" i="29" s="1"/>
  <c r="M274" i="29"/>
  <c r="N291" i="29"/>
  <c r="O291" i="29" s="1"/>
  <c r="M291" i="29"/>
  <c r="G230" i="29"/>
  <c r="P74" i="30"/>
  <c r="F230" i="29"/>
  <c r="J230" i="29" s="1"/>
  <c r="G246" i="29"/>
  <c r="P90" i="30"/>
  <c r="P68" i="30"/>
  <c r="G224" i="29"/>
  <c r="G228" i="29"/>
  <c r="P72" i="30"/>
  <c r="F242" i="29"/>
  <c r="K242" i="29" s="1"/>
  <c r="L242" i="29" s="1"/>
  <c r="F244" i="29"/>
  <c r="J244" i="29" s="1"/>
  <c r="P81" i="30"/>
  <c r="G237" i="29"/>
  <c r="G244" i="29"/>
  <c r="P88" i="30"/>
  <c r="G225" i="29"/>
  <c r="P69" i="30"/>
  <c r="P83" i="30"/>
  <c r="G239" i="29"/>
  <c r="G234" i="29"/>
  <c r="P78" i="30"/>
  <c r="P75" i="30"/>
  <c r="G231" i="29"/>
  <c r="P73" i="30"/>
  <c r="G229" i="29"/>
  <c r="F243" i="29"/>
  <c r="K243" i="29" s="1"/>
  <c r="L243" i="29" s="1"/>
  <c r="G240" i="29"/>
  <c r="P84" i="30"/>
  <c r="P77" i="30"/>
  <c r="G233" i="29"/>
  <c r="P85" i="30"/>
  <c r="G241" i="29"/>
  <c r="G226" i="29"/>
  <c r="P70" i="30"/>
  <c r="J186" i="29"/>
  <c r="P86" i="30"/>
  <c r="G242" i="29"/>
  <c r="K186" i="29"/>
  <c r="L186" i="29" s="1"/>
  <c r="G247" i="29"/>
  <c r="P91" i="30"/>
  <c r="G238" i="29"/>
  <c r="P82" i="30"/>
  <c r="G245" i="29"/>
  <c r="P89" i="30"/>
  <c r="P80" i="30"/>
  <c r="G236" i="29"/>
  <c r="G243" i="29"/>
  <c r="P87" i="30"/>
  <c r="G227" i="29"/>
  <c r="P71" i="30"/>
  <c r="F266" i="29"/>
  <c r="G222" i="29"/>
  <c r="M223" i="29"/>
  <c r="N223" i="29"/>
  <c r="O223" i="29" s="1"/>
  <c r="F222" i="29"/>
  <c r="M203" i="29"/>
  <c r="N203" i="29"/>
  <c r="O203" i="29" s="1"/>
  <c r="F270" i="29"/>
  <c r="N206" i="29"/>
  <c r="O206" i="29" s="1"/>
  <c r="M206" i="29"/>
  <c r="P119" i="30"/>
  <c r="G270" i="29"/>
  <c r="N219" i="29"/>
  <c r="O219" i="29" s="1"/>
  <c r="M219" i="29"/>
  <c r="N178" i="29"/>
  <c r="O178" i="29" s="1"/>
  <c r="M178" i="29"/>
  <c r="P120" i="30"/>
  <c r="G271" i="29"/>
  <c r="J214" i="29"/>
  <c r="K214" i="29"/>
  <c r="L214" i="29" s="1"/>
  <c r="P116" i="30"/>
  <c r="G267" i="29"/>
  <c r="K207" i="29"/>
  <c r="L207" i="29" s="1"/>
  <c r="J207" i="29"/>
  <c r="M183" i="29"/>
  <c r="N183" i="29"/>
  <c r="O183" i="29" s="1"/>
  <c r="M217" i="29"/>
  <c r="N217" i="29"/>
  <c r="O217" i="29" s="1"/>
  <c r="P106" i="30"/>
  <c r="G257" i="29"/>
  <c r="F258" i="29"/>
  <c r="J226" i="29"/>
  <c r="K226" i="29"/>
  <c r="L226" i="29" s="1"/>
  <c r="J213" i="29"/>
  <c r="K213" i="29"/>
  <c r="L213" i="29" s="1"/>
  <c r="N218" i="29"/>
  <c r="O218" i="29" s="1"/>
  <c r="M218" i="29"/>
  <c r="J223" i="29"/>
  <c r="K223" i="29"/>
  <c r="L223" i="29" s="1"/>
  <c r="N207" i="29"/>
  <c r="O207" i="29" s="1"/>
  <c r="M207" i="29"/>
  <c r="K231" i="29"/>
  <c r="L231" i="29" s="1"/>
  <c r="J231" i="29"/>
  <c r="F248" i="29"/>
  <c r="P99" i="30"/>
  <c r="G250" i="29"/>
  <c r="P109" i="30"/>
  <c r="G260" i="29"/>
  <c r="N215" i="29"/>
  <c r="O215" i="29" s="1"/>
  <c r="M215" i="29"/>
  <c r="K247" i="29"/>
  <c r="L247" i="29" s="1"/>
  <c r="J247" i="29"/>
  <c r="J205" i="29"/>
  <c r="K205" i="29"/>
  <c r="L205" i="29" s="1"/>
  <c r="J210" i="29"/>
  <c r="K210" i="29"/>
  <c r="L210" i="29" s="1"/>
  <c r="P115" i="30"/>
  <c r="G266" i="29"/>
  <c r="F254" i="29"/>
  <c r="F251" i="29"/>
  <c r="K202" i="29"/>
  <c r="L202" i="29" s="1"/>
  <c r="J202" i="29"/>
  <c r="N216" i="29"/>
  <c r="O216" i="29" s="1"/>
  <c r="M216" i="29"/>
  <c r="J209" i="29"/>
  <c r="K209" i="29"/>
  <c r="L209" i="29" s="1"/>
  <c r="P98" i="30"/>
  <c r="G249" i="29"/>
  <c r="P100" i="30"/>
  <c r="G251" i="29"/>
  <c r="M221" i="29"/>
  <c r="N221" i="29"/>
  <c r="O221" i="29" s="1"/>
  <c r="K229" i="29"/>
  <c r="L229" i="29" s="1"/>
  <c r="J229" i="29"/>
  <c r="F249" i="29"/>
  <c r="F269" i="29"/>
  <c r="F253" i="29"/>
  <c r="M181" i="29"/>
  <c r="N181" i="29"/>
  <c r="O181" i="29" s="1"/>
  <c r="M204" i="29"/>
  <c r="N204" i="29"/>
  <c r="O204" i="29" s="1"/>
  <c r="J218" i="29"/>
  <c r="K218" i="29"/>
  <c r="L218" i="29" s="1"/>
  <c r="J238" i="29"/>
  <c r="K238" i="29"/>
  <c r="L238" i="29" s="1"/>
  <c r="P110" i="30"/>
  <c r="G261" i="29"/>
  <c r="P102" i="30"/>
  <c r="G253" i="29"/>
  <c r="M185" i="29"/>
  <c r="N185" i="29"/>
  <c r="O185" i="29" s="1"/>
  <c r="N220" i="29"/>
  <c r="O220" i="29" s="1"/>
  <c r="M220" i="29"/>
  <c r="J203" i="29"/>
  <c r="K203" i="29"/>
  <c r="L203" i="29" s="1"/>
  <c r="F261" i="29"/>
  <c r="F265" i="29"/>
  <c r="F264" i="29"/>
  <c r="J239" i="29"/>
  <c r="K239" i="29"/>
  <c r="L239" i="29" s="1"/>
  <c r="J233" i="29"/>
  <c r="K233" i="29"/>
  <c r="L233" i="29" s="1"/>
  <c r="F252" i="29"/>
  <c r="F271" i="29"/>
  <c r="P114" i="30"/>
  <c r="G265" i="29"/>
  <c r="P113" i="30"/>
  <c r="G264" i="29"/>
  <c r="K206" i="29"/>
  <c r="L206" i="29" s="1"/>
  <c r="J206" i="29"/>
  <c r="N205" i="29"/>
  <c r="O205" i="29" s="1"/>
  <c r="M205" i="29"/>
  <c r="M177" i="29"/>
  <c r="N177" i="29"/>
  <c r="O177" i="29" s="1"/>
  <c r="N209" i="29"/>
  <c r="O209" i="29" s="1"/>
  <c r="M209" i="29"/>
  <c r="P101" i="30"/>
  <c r="G252" i="29"/>
  <c r="F267" i="29"/>
  <c r="F262" i="29"/>
  <c r="M214" i="29"/>
  <c r="N214" i="29"/>
  <c r="O214" i="29" s="1"/>
  <c r="J245" i="29"/>
  <c r="K245" i="29"/>
  <c r="L245" i="29" s="1"/>
  <c r="N180" i="29"/>
  <c r="O180" i="29" s="1"/>
  <c r="M180" i="29"/>
  <c r="K200" i="29"/>
  <c r="L200" i="29" s="1"/>
  <c r="J200" i="29"/>
  <c r="F257" i="29"/>
  <c r="P111" i="30"/>
  <c r="G262" i="29"/>
  <c r="N200" i="29"/>
  <c r="O200" i="29" s="1"/>
  <c r="M200" i="29"/>
  <c r="J201" i="29"/>
  <c r="K201" i="29"/>
  <c r="L201" i="29" s="1"/>
  <c r="K215" i="29"/>
  <c r="L215" i="29" s="1"/>
  <c r="J215" i="29"/>
  <c r="F268" i="29"/>
  <c r="P117" i="30"/>
  <c r="G268" i="29"/>
  <c r="P107" i="30"/>
  <c r="G258" i="29"/>
  <c r="M213" i="29"/>
  <c r="N213" i="29"/>
  <c r="O213" i="29" s="1"/>
  <c r="M202" i="29"/>
  <c r="N202" i="29"/>
  <c r="O202" i="29" s="1"/>
  <c r="J204" i="29"/>
  <c r="K204" i="29"/>
  <c r="L204" i="29" s="1"/>
  <c r="J217" i="29"/>
  <c r="K217" i="29"/>
  <c r="L217" i="29" s="1"/>
  <c r="J220" i="29"/>
  <c r="K220" i="29"/>
  <c r="L220" i="29" s="1"/>
  <c r="N212" i="29"/>
  <c r="O212" i="29" s="1"/>
  <c r="M212" i="29"/>
  <c r="M210" i="29"/>
  <c r="N210" i="29"/>
  <c r="O210" i="29" s="1"/>
  <c r="M179" i="29"/>
  <c r="N179" i="29"/>
  <c r="O179" i="29" s="1"/>
  <c r="P97" i="30"/>
  <c r="N182" i="29"/>
  <c r="O182" i="29" s="1"/>
  <c r="M182" i="29"/>
  <c r="J216" i="29"/>
  <c r="K216" i="29"/>
  <c r="L216" i="29" s="1"/>
  <c r="P103" i="30"/>
  <c r="G254" i="29"/>
  <c r="N186" i="29"/>
  <c r="O186" i="29" s="1"/>
  <c r="M186" i="29"/>
  <c r="P118" i="30"/>
  <c r="G269" i="29"/>
  <c r="J224" i="29"/>
  <c r="J237" i="29"/>
  <c r="K237" i="29"/>
  <c r="L237" i="29" s="1"/>
  <c r="F263" i="29"/>
  <c r="P112" i="30"/>
  <c r="G263" i="29"/>
  <c r="F255" i="29"/>
  <c r="P104" i="30"/>
  <c r="G255" i="29"/>
  <c r="F250" i="29"/>
  <c r="F260" i="29"/>
  <c r="J234" i="29"/>
  <c r="K234" i="29"/>
  <c r="L234" i="29" s="1"/>
  <c r="K221" i="29"/>
  <c r="L221" i="29" s="1"/>
  <c r="J221" i="29"/>
  <c r="M201" i="29"/>
  <c r="N201" i="29"/>
  <c r="O201" i="29" s="1"/>
  <c r="J212" i="29"/>
  <c r="K212" i="29"/>
  <c r="L212" i="29" s="1"/>
  <c r="J219" i="29"/>
  <c r="K219" i="29"/>
  <c r="L219" i="29" s="1"/>
  <c r="H64" i="31"/>
  <c r="H68" i="31"/>
  <c r="H53" i="31"/>
  <c r="F56" i="31"/>
  <c r="F52" i="31"/>
  <c r="F53" i="31"/>
  <c r="H56" i="31"/>
  <c r="H52" i="31"/>
  <c r="H67" i="31"/>
  <c r="H63" i="31"/>
  <c r="F71" i="31"/>
  <c r="H51" i="31"/>
  <c r="F51" i="31"/>
  <c r="H62" i="31"/>
  <c r="F61" i="31"/>
  <c r="H61" i="31"/>
  <c r="H72" i="31"/>
  <c r="F63" i="31"/>
  <c r="H54" i="31"/>
  <c r="F72" i="31"/>
  <c r="H59" i="31"/>
  <c r="F54" i="31"/>
  <c r="F67" i="31"/>
  <c r="F59" i="31"/>
  <c r="F58" i="31"/>
  <c r="F68" i="31"/>
  <c r="F64" i="31"/>
  <c r="H71" i="31"/>
  <c r="F55" i="31"/>
  <c r="F62" i="31"/>
  <c r="H55" i="31"/>
  <c r="F65" i="31"/>
  <c r="H50" i="31"/>
  <c r="F70" i="31"/>
  <c r="H65" i="31"/>
  <c r="F50" i="31"/>
  <c r="H70" i="31"/>
  <c r="H69" i="31"/>
  <c r="F49" i="31"/>
  <c r="K335" i="29"/>
  <c r="H66" i="31"/>
  <c r="F69" i="31"/>
  <c r="H49" i="31"/>
  <c r="M335" i="29"/>
  <c r="H58" i="31"/>
  <c r="F66" i="31"/>
  <c r="F312" i="29"/>
  <c r="F17" i="33"/>
  <c r="G312" i="29"/>
  <c r="F330" i="29"/>
  <c r="F35" i="33"/>
  <c r="G326" i="29"/>
  <c r="F38" i="33"/>
  <c r="F333" i="29"/>
  <c r="F33" i="33"/>
  <c r="F328" i="29"/>
  <c r="G311" i="29"/>
  <c r="F26" i="33"/>
  <c r="F321" i="29"/>
  <c r="G333" i="29"/>
  <c r="G328" i="29"/>
  <c r="F16" i="33"/>
  <c r="F311" i="29"/>
  <c r="G321" i="29"/>
  <c r="F334" i="29"/>
  <c r="F39" i="33"/>
  <c r="F323" i="29"/>
  <c r="F28" i="33"/>
  <c r="F22" i="33"/>
  <c r="F317" i="29"/>
  <c r="F313" i="29"/>
  <c r="F18" i="33"/>
  <c r="G313" i="29"/>
  <c r="F320" i="29"/>
  <c r="F25" i="33"/>
  <c r="F326" i="29"/>
  <c r="F31" i="33"/>
  <c r="F324" i="29"/>
  <c r="F29" i="33"/>
  <c r="G330" i="29"/>
  <c r="G324" i="29"/>
  <c r="G320" i="29"/>
  <c r="G323" i="29"/>
  <c r="F21" i="33"/>
  <c r="F316" i="29"/>
  <c r="G316" i="29"/>
  <c r="F331" i="29"/>
  <c r="F36" i="33"/>
  <c r="G331" i="29"/>
  <c r="G334" i="29"/>
  <c r="G317" i="29"/>
  <c r="F20" i="33"/>
  <c r="F315" i="29"/>
  <c r="F34" i="33"/>
  <c r="F329" i="29"/>
  <c r="F332" i="29"/>
  <c r="F37" i="33"/>
  <c r="G315" i="29"/>
  <c r="G329" i="29"/>
  <c r="G332" i="29"/>
  <c r="F318" i="29"/>
  <c r="F23" i="33"/>
  <c r="F314" i="29"/>
  <c r="F19" i="33"/>
  <c r="F325" i="29"/>
  <c r="F30" i="33"/>
  <c r="F327" i="29"/>
  <c r="F32" i="33"/>
  <c r="G318" i="29"/>
  <c r="G314" i="29"/>
  <c r="G325" i="29"/>
  <c r="G327" i="29"/>
  <c r="M148" i="29"/>
  <c r="N148" i="29"/>
  <c r="O148" i="29" s="1"/>
  <c r="G152" i="29"/>
  <c r="K152" i="29"/>
  <c r="L152" i="29" s="1"/>
  <c r="J152" i="29"/>
  <c r="M83" i="29"/>
  <c r="N83" i="29"/>
  <c r="O83" i="29" s="1"/>
  <c r="J158" i="29"/>
  <c r="G158" i="29"/>
  <c r="K158" i="29"/>
  <c r="L158" i="29" s="1"/>
  <c r="J166" i="29"/>
  <c r="G166" i="29"/>
  <c r="K166" i="29"/>
  <c r="L166" i="29" s="1"/>
  <c r="M137" i="29"/>
  <c r="N137" i="29"/>
  <c r="O137" i="29" s="1"/>
  <c r="M82" i="29"/>
  <c r="N82" i="29"/>
  <c r="O82" i="29" s="1"/>
  <c r="G105" i="29"/>
  <c r="K105" i="29"/>
  <c r="L105" i="29" s="1"/>
  <c r="J105" i="29"/>
  <c r="K116" i="29"/>
  <c r="L116" i="29" s="1"/>
  <c r="J116" i="29"/>
  <c r="G116" i="29"/>
  <c r="M141" i="29"/>
  <c r="N141" i="29"/>
  <c r="O141" i="29" s="1"/>
  <c r="N143" i="29"/>
  <c r="O143" i="29" s="1"/>
  <c r="M143" i="29"/>
  <c r="N76" i="29"/>
  <c r="O76" i="29" s="1"/>
  <c r="K76" i="29"/>
  <c r="L76" i="29" s="1"/>
  <c r="M76" i="29"/>
  <c r="G123" i="29"/>
  <c r="K123" i="29"/>
  <c r="L123" i="29" s="1"/>
  <c r="J123" i="29"/>
  <c r="M129" i="29"/>
  <c r="N129" i="29"/>
  <c r="O129" i="29" s="1"/>
  <c r="G127" i="29"/>
  <c r="K127" i="29"/>
  <c r="L127" i="29" s="1"/>
  <c r="J127" i="29"/>
  <c r="M140" i="29"/>
  <c r="N140" i="29"/>
  <c r="O140" i="29" s="1"/>
  <c r="M103" i="29"/>
  <c r="N103" i="29"/>
  <c r="O103" i="29" s="1"/>
  <c r="N89" i="29"/>
  <c r="O89" i="29" s="1"/>
  <c r="M89" i="29"/>
  <c r="G117" i="29"/>
  <c r="J117" i="29"/>
  <c r="K117" i="29"/>
  <c r="L117" i="29" s="1"/>
  <c r="N75" i="29"/>
  <c r="O75" i="29" s="1"/>
  <c r="M75" i="29"/>
  <c r="K75" i="29"/>
  <c r="L75" i="29" s="1"/>
  <c r="G104" i="29"/>
  <c r="J104" i="29"/>
  <c r="K104" i="29"/>
  <c r="L104" i="29" s="1"/>
  <c r="M150" i="29"/>
  <c r="N150" i="29"/>
  <c r="O150" i="29" s="1"/>
  <c r="K63" i="29"/>
  <c r="L63" i="29" s="1"/>
  <c r="N63" i="29"/>
  <c r="O63" i="29" s="1"/>
  <c r="M63" i="29"/>
  <c r="G109" i="29"/>
  <c r="J109" i="29"/>
  <c r="K109" i="29"/>
  <c r="L109" i="29" s="1"/>
  <c r="J174" i="29"/>
  <c r="K174" i="29"/>
  <c r="L174" i="29" s="1"/>
  <c r="G174" i="29"/>
  <c r="N96" i="29"/>
  <c r="O96" i="29" s="1"/>
  <c r="M96" i="29"/>
  <c r="G168" i="29"/>
  <c r="J168" i="29"/>
  <c r="K168" i="29"/>
  <c r="L168" i="29" s="1"/>
  <c r="J172" i="29"/>
  <c r="G172" i="29"/>
  <c r="K172" i="29"/>
  <c r="L172" i="29" s="1"/>
  <c r="M151" i="29"/>
  <c r="N151" i="29"/>
  <c r="O151" i="29" s="1"/>
  <c r="G110" i="29"/>
  <c r="K110" i="29"/>
  <c r="L110" i="29" s="1"/>
  <c r="J110" i="29"/>
  <c r="K79" i="29"/>
  <c r="L79" i="29" s="1"/>
  <c r="M79" i="29"/>
  <c r="N79" i="29"/>
  <c r="O79" i="29" s="1"/>
  <c r="G126" i="29"/>
  <c r="K126" i="29"/>
  <c r="L126" i="29" s="1"/>
  <c r="J126" i="29"/>
  <c r="M98" i="29"/>
  <c r="N98" i="29"/>
  <c r="O98" i="29" s="1"/>
  <c r="G121" i="29"/>
  <c r="J121" i="29"/>
  <c r="K121" i="29"/>
  <c r="L121" i="29" s="1"/>
  <c r="G154" i="29"/>
  <c r="K154" i="29"/>
  <c r="L154" i="29" s="1"/>
  <c r="J154" i="29"/>
  <c r="M81" i="29"/>
  <c r="N81" i="29"/>
  <c r="O81" i="29" s="1"/>
  <c r="M100" i="29"/>
  <c r="N100" i="29"/>
  <c r="O100" i="29" s="1"/>
  <c r="N128" i="29"/>
  <c r="O128" i="29" s="1"/>
  <c r="M128" i="29"/>
  <c r="M85" i="29"/>
  <c r="N85" i="29"/>
  <c r="O85" i="29" s="1"/>
  <c r="G108" i="29"/>
  <c r="K108" i="29"/>
  <c r="L108" i="29" s="1"/>
  <c r="J108" i="29"/>
  <c r="M92" i="29"/>
  <c r="N92" i="29"/>
  <c r="O92" i="29" s="1"/>
  <c r="K65" i="29"/>
  <c r="L65" i="29" s="1"/>
  <c r="M65" i="29"/>
  <c r="N65" i="29"/>
  <c r="O65" i="29" s="1"/>
  <c r="K60" i="29"/>
  <c r="L60" i="29" s="1"/>
  <c r="N60" i="29"/>
  <c r="O60" i="29" s="1"/>
  <c r="M60" i="29"/>
  <c r="G119" i="29"/>
  <c r="K119" i="29"/>
  <c r="L119" i="29" s="1"/>
  <c r="J119" i="29"/>
  <c r="J164" i="29"/>
  <c r="G164" i="29"/>
  <c r="K164" i="29"/>
  <c r="L164" i="29" s="1"/>
  <c r="M147" i="29"/>
  <c r="N147" i="29"/>
  <c r="O147" i="29" s="1"/>
  <c r="N101" i="29"/>
  <c r="O101" i="29" s="1"/>
  <c r="M101" i="29"/>
  <c r="K114" i="29"/>
  <c r="L114" i="29" s="1"/>
  <c r="J114" i="29"/>
  <c r="G114" i="29"/>
  <c r="M90" i="29"/>
  <c r="N90" i="29"/>
  <c r="O90" i="29" s="1"/>
  <c r="M74" i="29"/>
  <c r="K74" i="29"/>
  <c r="L74" i="29" s="1"/>
  <c r="N74" i="29"/>
  <c r="O74" i="29" s="1"/>
  <c r="G125" i="29"/>
  <c r="J125" i="29"/>
  <c r="K125" i="29"/>
  <c r="L125" i="29" s="1"/>
  <c r="K78" i="29"/>
  <c r="L78" i="29" s="1"/>
  <c r="N78" i="29"/>
  <c r="O78" i="29" s="1"/>
  <c r="M78" i="29"/>
  <c r="J167" i="29"/>
  <c r="K167" i="29"/>
  <c r="L167" i="29" s="1"/>
  <c r="G167" i="29"/>
  <c r="M135" i="29"/>
  <c r="N135" i="29"/>
  <c r="O135" i="29" s="1"/>
  <c r="J157" i="29"/>
  <c r="K157" i="29"/>
  <c r="L157" i="29" s="1"/>
  <c r="G157" i="29"/>
  <c r="J153" i="29"/>
  <c r="G153" i="29"/>
  <c r="K153" i="29"/>
  <c r="L153" i="29" s="1"/>
  <c r="G122" i="29"/>
  <c r="J122" i="29"/>
  <c r="K122" i="29"/>
  <c r="L122" i="29" s="1"/>
  <c r="J173" i="29"/>
  <c r="K173" i="29"/>
  <c r="L173" i="29" s="1"/>
  <c r="G173" i="29"/>
  <c r="G165" i="29"/>
  <c r="K165" i="29"/>
  <c r="L165" i="29" s="1"/>
  <c r="J165" i="29"/>
  <c r="N138" i="29"/>
  <c r="O138" i="29" s="1"/>
  <c r="M138" i="29"/>
  <c r="K66" i="29"/>
  <c r="L66" i="29" s="1"/>
  <c r="N66" i="29"/>
  <c r="O66" i="29" s="1"/>
  <c r="M66" i="29"/>
  <c r="N86" i="29"/>
  <c r="O86" i="29" s="1"/>
  <c r="M86" i="29"/>
  <c r="N84" i="29"/>
  <c r="O84" i="29" s="1"/>
  <c r="M84" i="29"/>
  <c r="M146" i="29"/>
  <c r="N146" i="29"/>
  <c r="O146" i="29" s="1"/>
  <c r="N77" i="29"/>
  <c r="O77" i="29" s="1"/>
  <c r="M77" i="29"/>
  <c r="K77" i="29"/>
  <c r="L77" i="29" s="1"/>
  <c r="G111" i="29"/>
  <c r="J111" i="29"/>
  <c r="K111" i="29"/>
  <c r="L111" i="29" s="1"/>
  <c r="J155" i="29"/>
  <c r="G155" i="29"/>
  <c r="K155" i="29"/>
  <c r="L155" i="29" s="1"/>
  <c r="N69" i="29"/>
  <c r="O69" i="29" s="1"/>
  <c r="M69" i="29"/>
  <c r="K69" i="29"/>
  <c r="L69" i="29" s="1"/>
  <c r="G175" i="29"/>
  <c r="K175" i="29"/>
  <c r="L175" i="29" s="1"/>
  <c r="J175" i="29"/>
  <c r="M57" i="29"/>
  <c r="K57" i="29"/>
  <c r="L57" i="29" s="1"/>
  <c r="N57" i="29"/>
  <c r="O57" i="29" s="1"/>
  <c r="N132" i="29"/>
  <c r="O132" i="29" s="1"/>
  <c r="M132" i="29"/>
  <c r="M149" i="29"/>
  <c r="N149" i="29"/>
  <c r="O149" i="29" s="1"/>
  <c r="J159" i="29"/>
  <c r="G159" i="29"/>
  <c r="K159" i="29"/>
  <c r="L159" i="29" s="1"/>
  <c r="K71" i="29"/>
  <c r="L71" i="29" s="1"/>
  <c r="M71" i="29"/>
  <c r="N71" i="29"/>
  <c r="O71" i="29" s="1"/>
  <c r="J120" i="29"/>
  <c r="G120" i="29"/>
  <c r="K120" i="29"/>
  <c r="L120" i="29" s="1"/>
  <c r="G113" i="29"/>
  <c r="K113" i="29"/>
  <c r="L113" i="29" s="1"/>
  <c r="J113" i="29"/>
  <c r="N99" i="29"/>
  <c r="O99" i="29" s="1"/>
  <c r="M99" i="29"/>
  <c r="M61" i="29"/>
  <c r="K61" i="29"/>
  <c r="L61" i="29" s="1"/>
  <c r="N61" i="29"/>
  <c r="O61" i="29" s="1"/>
  <c r="M93" i="29"/>
  <c r="N93" i="29"/>
  <c r="O93" i="29" s="1"/>
  <c r="M62" i="29"/>
  <c r="K62" i="29"/>
  <c r="L62" i="29" s="1"/>
  <c r="N62" i="29"/>
  <c r="O62" i="29" s="1"/>
  <c r="M95" i="29"/>
  <c r="N95" i="29"/>
  <c r="O95" i="29" s="1"/>
  <c r="M133" i="29"/>
  <c r="N133" i="29"/>
  <c r="O133" i="29" s="1"/>
  <c r="M87" i="29"/>
  <c r="N87" i="29"/>
  <c r="O87" i="29" s="1"/>
  <c r="J118" i="29"/>
  <c r="G118" i="29"/>
  <c r="K118" i="29"/>
  <c r="L118" i="29" s="1"/>
  <c r="M145" i="29"/>
  <c r="N145" i="29"/>
  <c r="O145" i="29" s="1"/>
  <c r="K73" i="29"/>
  <c r="L73" i="29" s="1"/>
  <c r="M73" i="29"/>
  <c r="N73" i="29"/>
  <c r="O73" i="29" s="1"/>
  <c r="N94" i="29"/>
  <c r="O94" i="29" s="1"/>
  <c r="M94" i="29"/>
  <c r="M58" i="29"/>
  <c r="N58" i="29"/>
  <c r="O58" i="29" s="1"/>
  <c r="K58" i="29"/>
  <c r="L58" i="29" s="1"/>
  <c r="J156" i="29"/>
  <c r="G156" i="29"/>
  <c r="K156" i="29"/>
  <c r="L156" i="29" s="1"/>
  <c r="M72" i="29"/>
  <c r="K72" i="29"/>
  <c r="L72" i="29" s="1"/>
  <c r="N72" i="29"/>
  <c r="O72" i="29" s="1"/>
  <c r="J171" i="29"/>
  <c r="K171" i="29"/>
  <c r="L171" i="29" s="1"/>
  <c r="G171" i="29"/>
  <c r="G162" i="29"/>
  <c r="K162" i="29"/>
  <c r="L162" i="29" s="1"/>
  <c r="J162" i="29"/>
  <c r="G106" i="29"/>
  <c r="J106" i="29"/>
  <c r="K106" i="29"/>
  <c r="L106" i="29" s="1"/>
  <c r="K68" i="29"/>
  <c r="L68" i="29" s="1"/>
  <c r="N68" i="29"/>
  <c r="O68" i="29" s="1"/>
  <c r="M68" i="29"/>
  <c r="M131" i="29"/>
  <c r="N131" i="29"/>
  <c r="O131" i="29" s="1"/>
  <c r="J161" i="29"/>
  <c r="K161" i="29"/>
  <c r="L161" i="29" s="1"/>
  <c r="G161" i="29"/>
  <c r="M102" i="29"/>
  <c r="N102" i="29"/>
  <c r="O102" i="29" s="1"/>
  <c r="G107" i="29"/>
  <c r="J107" i="29"/>
  <c r="K107" i="29"/>
  <c r="L107" i="29" s="1"/>
  <c r="M97" i="29"/>
  <c r="N97" i="29"/>
  <c r="O97" i="29" s="1"/>
  <c r="F56" i="29"/>
  <c r="M142" i="29"/>
  <c r="N142" i="29"/>
  <c r="O142" i="29" s="1"/>
  <c r="M134" i="29"/>
  <c r="N134" i="29"/>
  <c r="O134" i="29" s="1"/>
  <c r="M144" i="29"/>
  <c r="N144" i="29"/>
  <c r="O144" i="29" s="1"/>
  <c r="J169" i="29"/>
  <c r="K169" i="29"/>
  <c r="L169" i="29" s="1"/>
  <c r="G169" i="29"/>
  <c r="K59" i="29"/>
  <c r="L59" i="29" s="1"/>
  <c r="M59" i="29"/>
  <c r="N59" i="29"/>
  <c r="O59" i="29" s="1"/>
  <c r="J170" i="29"/>
  <c r="G170" i="29"/>
  <c r="K170" i="29"/>
  <c r="L170" i="29" s="1"/>
  <c r="G124" i="29"/>
  <c r="J124" i="29"/>
  <c r="K124" i="29"/>
  <c r="L124" i="29" s="1"/>
  <c r="K70" i="29"/>
  <c r="L70" i="29" s="1"/>
  <c r="M70" i="29"/>
  <c r="N70" i="29"/>
  <c r="O70" i="29" s="1"/>
  <c r="F44" i="5"/>
  <c r="J130" i="29"/>
  <c r="M130" i="29"/>
  <c r="F53" i="5"/>
  <c r="F60" i="5"/>
  <c r="F45" i="5"/>
  <c r="F63" i="5"/>
  <c r="F67" i="5"/>
  <c r="F66" i="5"/>
  <c r="F59" i="5"/>
  <c r="F47" i="5"/>
  <c r="F61" i="5"/>
  <c r="F65" i="5"/>
  <c r="F56" i="5"/>
  <c r="F62" i="5"/>
  <c r="F50" i="5"/>
  <c r="F64" i="5"/>
  <c r="F46" i="5"/>
  <c r="F48" i="5"/>
  <c r="F57" i="5"/>
  <c r="F54" i="5"/>
  <c r="F51" i="5"/>
  <c r="F58" i="5"/>
  <c r="F49" i="5"/>
  <c r="K272" i="29"/>
  <c r="J272" i="29"/>
  <c r="K224" i="29"/>
  <c r="L176" i="29"/>
  <c r="N176" i="29"/>
  <c r="N130" i="29"/>
  <c r="L130" i="29"/>
  <c r="K236" i="29" l="1"/>
  <c r="L236" i="29" s="1"/>
  <c r="K240" i="29"/>
  <c r="L240" i="29" s="1"/>
  <c r="K246" i="29"/>
  <c r="L246" i="29" s="1"/>
  <c r="J228" i="29"/>
  <c r="K227" i="29"/>
  <c r="L227" i="29" s="1"/>
  <c r="N188" i="29"/>
  <c r="O188" i="29" s="1"/>
  <c r="K230" i="29"/>
  <c r="L230" i="29" s="1"/>
  <c r="N198" i="29"/>
  <c r="O198" i="29" s="1"/>
  <c r="J243" i="29"/>
  <c r="K244" i="29"/>
  <c r="L244" i="29" s="1"/>
  <c r="M273" i="29"/>
  <c r="N273" i="29"/>
  <c r="O273" i="29" s="1"/>
  <c r="K225" i="29"/>
  <c r="L225" i="29" s="1"/>
  <c r="K241" i="29"/>
  <c r="L241" i="29" s="1"/>
  <c r="N199" i="29"/>
  <c r="O199" i="29" s="1"/>
  <c r="M199" i="29"/>
  <c r="J242" i="29"/>
  <c r="J347" i="29"/>
  <c r="K347" i="29"/>
  <c r="L347" i="29" s="1"/>
  <c r="J345" i="29"/>
  <c r="K345" i="29"/>
  <c r="L345" i="29" s="1"/>
  <c r="J339" i="29"/>
  <c r="K339" i="29"/>
  <c r="L339" i="29" s="1"/>
  <c r="J336" i="29"/>
  <c r="K336" i="29"/>
  <c r="L336" i="29" s="1"/>
  <c r="J348" i="29"/>
  <c r="K348" i="29"/>
  <c r="L348" i="29" s="1"/>
  <c r="J349" i="29"/>
  <c r="K349" i="29"/>
  <c r="L349" i="29" s="1"/>
  <c r="J355" i="29"/>
  <c r="K355" i="29"/>
  <c r="L355" i="29" s="1"/>
  <c r="J341" i="29"/>
  <c r="K341" i="29"/>
  <c r="L341" i="29" s="1"/>
  <c r="J340" i="29"/>
  <c r="K340" i="29"/>
  <c r="L340" i="29" s="1"/>
  <c r="J335" i="29"/>
  <c r="L335" i="29"/>
  <c r="G56" i="29"/>
  <c r="M56" i="29" s="1"/>
  <c r="K56" i="29"/>
  <c r="L56" i="29" s="1"/>
  <c r="J350" i="29"/>
  <c r="K350" i="29"/>
  <c r="L350" i="29" s="1"/>
  <c r="J357" i="29"/>
  <c r="K357" i="29"/>
  <c r="L357" i="29" s="1"/>
  <c r="J354" i="29"/>
  <c r="K354" i="29"/>
  <c r="L354" i="29" s="1"/>
  <c r="J353" i="29"/>
  <c r="K353" i="29"/>
  <c r="L353" i="29" s="1"/>
  <c r="J338" i="29"/>
  <c r="K338" i="29"/>
  <c r="L338" i="29" s="1"/>
  <c r="J356" i="29"/>
  <c r="K356" i="29"/>
  <c r="L356" i="29" s="1"/>
  <c r="J342" i="29"/>
  <c r="K342" i="29"/>
  <c r="L342" i="29" s="1"/>
  <c r="J352" i="29"/>
  <c r="K352" i="29"/>
  <c r="L352" i="29" s="1"/>
  <c r="J351" i="29"/>
  <c r="K351" i="29"/>
  <c r="L351" i="29" s="1"/>
  <c r="J358" i="29"/>
  <c r="K358" i="29"/>
  <c r="L358" i="29" s="1"/>
  <c r="J344" i="29"/>
  <c r="K344" i="29"/>
  <c r="L344" i="29" s="1"/>
  <c r="J337" i="29"/>
  <c r="K337" i="29"/>
  <c r="L337" i="29" s="1"/>
  <c r="J258" i="29"/>
  <c r="K258" i="29"/>
  <c r="L258" i="29" s="1"/>
  <c r="J262" i="29"/>
  <c r="K262" i="29"/>
  <c r="L262" i="29" s="1"/>
  <c r="M261" i="29"/>
  <c r="N261" i="29"/>
  <c r="O261" i="29" s="1"/>
  <c r="M236" i="29"/>
  <c r="N236" i="29"/>
  <c r="O236" i="29" s="1"/>
  <c r="J222" i="29"/>
  <c r="K222" i="29"/>
  <c r="L222" i="29" s="1"/>
  <c r="K250" i="29"/>
  <c r="L250" i="29" s="1"/>
  <c r="J250" i="29"/>
  <c r="N268" i="29"/>
  <c r="O268" i="29" s="1"/>
  <c r="M268" i="29"/>
  <c r="N240" i="29"/>
  <c r="O240" i="29" s="1"/>
  <c r="M240" i="29"/>
  <c r="J267" i="29"/>
  <c r="K267" i="29"/>
  <c r="L267" i="29" s="1"/>
  <c r="K261" i="29"/>
  <c r="L261" i="29" s="1"/>
  <c r="J261" i="29"/>
  <c r="N262" i="29"/>
  <c r="O262" i="29" s="1"/>
  <c r="M262" i="29"/>
  <c r="N233" i="29"/>
  <c r="O233" i="29" s="1"/>
  <c r="M233" i="29"/>
  <c r="M251" i="29"/>
  <c r="N251" i="29"/>
  <c r="O251" i="29" s="1"/>
  <c r="M231" i="29"/>
  <c r="N231" i="29"/>
  <c r="O231" i="29" s="1"/>
  <c r="M241" i="29"/>
  <c r="N241" i="29"/>
  <c r="O241" i="29" s="1"/>
  <c r="J264" i="29"/>
  <c r="K264" i="29"/>
  <c r="L264" i="29" s="1"/>
  <c r="M254" i="29"/>
  <c r="N254" i="29"/>
  <c r="O254" i="29" s="1"/>
  <c r="N258" i="29"/>
  <c r="O258" i="29" s="1"/>
  <c r="M258" i="29"/>
  <c r="N242" i="29"/>
  <c r="O242" i="29" s="1"/>
  <c r="M242" i="29"/>
  <c r="N230" i="29"/>
  <c r="O230" i="29" s="1"/>
  <c r="M230" i="29"/>
  <c r="M255" i="29"/>
  <c r="N255" i="29"/>
  <c r="O255" i="29" s="1"/>
  <c r="K268" i="29"/>
  <c r="L268" i="29" s="1"/>
  <c r="J268" i="29"/>
  <c r="M252" i="29"/>
  <c r="N252" i="29"/>
  <c r="O252" i="29" s="1"/>
  <c r="J253" i="29"/>
  <c r="K253" i="29"/>
  <c r="L253" i="29" s="1"/>
  <c r="N247" i="29"/>
  <c r="O247" i="29" s="1"/>
  <c r="M247" i="29"/>
  <c r="M237" i="29"/>
  <c r="N237" i="29"/>
  <c r="O237" i="29" s="1"/>
  <c r="M270" i="29"/>
  <c r="N270" i="29"/>
  <c r="O270" i="29" s="1"/>
  <c r="J255" i="29"/>
  <c r="K255" i="29"/>
  <c r="L255" i="29" s="1"/>
  <c r="N248" i="29"/>
  <c r="O248" i="29" s="1"/>
  <c r="M248" i="29"/>
  <c r="K269" i="29"/>
  <c r="L269" i="29" s="1"/>
  <c r="J269" i="29"/>
  <c r="J254" i="29"/>
  <c r="K254" i="29"/>
  <c r="L254" i="29" s="1"/>
  <c r="K271" i="29"/>
  <c r="L271" i="29" s="1"/>
  <c r="J271" i="29"/>
  <c r="M250" i="29"/>
  <c r="N250" i="29"/>
  <c r="O250" i="29" s="1"/>
  <c r="K270" i="29"/>
  <c r="L270" i="29" s="1"/>
  <c r="J270" i="29"/>
  <c r="N234" i="29"/>
  <c r="O234" i="29" s="1"/>
  <c r="M234" i="29"/>
  <c r="N253" i="29"/>
  <c r="O253" i="29" s="1"/>
  <c r="M253" i="29"/>
  <c r="N244" i="29"/>
  <c r="O244" i="29" s="1"/>
  <c r="M244" i="29"/>
  <c r="N228" i="29"/>
  <c r="O228" i="29" s="1"/>
  <c r="M228" i="29"/>
  <c r="J252" i="29"/>
  <c r="K252" i="29"/>
  <c r="L252" i="29" s="1"/>
  <c r="J248" i="29"/>
  <c r="K248" i="29"/>
  <c r="L248" i="29" s="1"/>
  <c r="N257" i="29"/>
  <c r="O257" i="29" s="1"/>
  <c r="M257" i="29"/>
  <c r="N271" i="29"/>
  <c r="O271" i="29" s="1"/>
  <c r="M271" i="29"/>
  <c r="M243" i="29"/>
  <c r="N243" i="29"/>
  <c r="O243" i="29" s="1"/>
  <c r="J260" i="29"/>
  <c r="K260" i="29"/>
  <c r="L260" i="29" s="1"/>
  <c r="J265" i="29"/>
  <c r="K265" i="29"/>
  <c r="L265" i="29" s="1"/>
  <c r="M229" i="29"/>
  <c r="N229" i="29"/>
  <c r="O229" i="29" s="1"/>
  <c r="J263" i="29"/>
  <c r="K263" i="29"/>
  <c r="L263" i="29" s="1"/>
  <c r="M225" i="29"/>
  <c r="N225" i="29"/>
  <c r="O225" i="29" s="1"/>
  <c r="J251" i="29"/>
  <c r="K251" i="29"/>
  <c r="L251" i="29" s="1"/>
  <c r="J257" i="29"/>
  <c r="K257" i="29"/>
  <c r="L257" i="29" s="1"/>
  <c r="M264" i="29"/>
  <c r="N264" i="29"/>
  <c r="O264" i="29" s="1"/>
  <c r="M246" i="29"/>
  <c r="N246" i="29"/>
  <c r="O246" i="29" s="1"/>
  <c r="M249" i="29"/>
  <c r="N249" i="29"/>
  <c r="O249" i="29" s="1"/>
  <c r="M222" i="29"/>
  <c r="N222" i="29"/>
  <c r="O222" i="29" s="1"/>
  <c r="M227" i="29"/>
  <c r="N227" i="29"/>
  <c r="O227" i="29" s="1"/>
  <c r="M245" i="29"/>
  <c r="N245" i="29"/>
  <c r="O245" i="29" s="1"/>
  <c r="M265" i="29"/>
  <c r="N265" i="29"/>
  <c r="O265" i="29" s="1"/>
  <c r="M239" i="29"/>
  <c r="N239" i="29"/>
  <c r="O239" i="29" s="1"/>
  <c r="M238" i="29"/>
  <c r="N238" i="29"/>
  <c r="O238" i="29" s="1"/>
  <c r="N260" i="29"/>
  <c r="O260" i="29" s="1"/>
  <c r="M260" i="29"/>
  <c r="M226" i="29"/>
  <c r="N226" i="29"/>
  <c r="O226" i="29" s="1"/>
  <c r="M267" i="29"/>
  <c r="N267" i="29"/>
  <c r="O267" i="29" s="1"/>
  <c r="J266" i="29"/>
  <c r="K266" i="29"/>
  <c r="L266" i="29" s="1"/>
  <c r="M263" i="29"/>
  <c r="N263" i="29"/>
  <c r="O263" i="29" s="1"/>
  <c r="N269" i="29"/>
  <c r="O269" i="29" s="1"/>
  <c r="M269" i="29"/>
  <c r="K249" i="29"/>
  <c r="L249" i="29" s="1"/>
  <c r="J249" i="29"/>
  <c r="M266" i="29"/>
  <c r="N266" i="29"/>
  <c r="O266" i="29" s="1"/>
  <c r="M357" i="29"/>
  <c r="N357" i="29"/>
  <c r="O357" i="29" s="1"/>
  <c r="M352" i="29"/>
  <c r="N352" i="29"/>
  <c r="O352" i="29" s="1"/>
  <c r="N347" i="29"/>
  <c r="O347" i="29" s="1"/>
  <c r="M347" i="29"/>
  <c r="M349" i="29"/>
  <c r="N349" i="29"/>
  <c r="O349" i="29" s="1"/>
  <c r="N345" i="29"/>
  <c r="O345" i="29" s="1"/>
  <c r="M345" i="29"/>
  <c r="M351" i="29"/>
  <c r="N351" i="29"/>
  <c r="O351" i="29" s="1"/>
  <c r="N353" i="29"/>
  <c r="O353" i="29" s="1"/>
  <c r="M353" i="29"/>
  <c r="M339" i="29"/>
  <c r="N339" i="29"/>
  <c r="O339" i="29" s="1"/>
  <c r="M358" i="29"/>
  <c r="N358" i="29"/>
  <c r="O358" i="29" s="1"/>
  <c r="M336" i="29"/>
  <c r="N336" i="29"/>
  <c r="O336" i="29" s="1"/>
  <c r="M354" i="29"/>
  <c r="N354" i="29"/>
  <c r="O354" i="29" s="1"/>
  <c r="N335" i="29"/>
  <c r="O335" i="29" s="1"/>
  <c r="N337" i="29"/>
  <c r="O337" i="29" s="1"/>
  <c r="M337" i="29"/>
  <c r="M355" i="29"/>
  <c r="N355" i="29"/>
  <c r="O355" i="29" s="1"/>
  <c r="M348" i="29"/>
  <c r="N348" i="29"/>
  <c r="O348" i="29" s="1"/>
  <c r="M338" i="29"/>
  <c r="N338" i="29"/>
  <c r="O338" i="29" s="1"/>
  <c r="M344" i="29"/>
  <c r="N344" i="29"/>
  <c r="O344" i="29" s="1"/>
  <c r="M356" i="29"/>
  <c r="N356" i="29"/>
  <c r="O356" i="29" s="1"/>
  <c r="M341" i="29"/>
  <c r="N341" i="29"/>
  <c r="O341" i="29" s="1"/>
  <c r="M340" i="29"/>
  <c r="N340" i="29"/>
  <c r="O340" i="29" s="1"/>
  <c r="M342" i="29"/>
  <c r="N342" i="29"/>
  <c r="O342" i="29" s="1"/>
  <c r="M350" i="29"/>
  <c r="N350" i="29"/>
  <c r="O350" i="29" s="1"/>
  <c r="J328" i="29"/>
  <c r="K328" i="29"/>
  <c r="L328" i="29" s="1"/>
  <c r="K327" i="29"/>
  <c r="L327" i="29" s="1"/>
  <c r="J327" i="29"/>
  <c r="M315" i="29"/>
  <c r="N315" i="29"/>
  <c r="O315" i="29" s="1"/>
  <c r="M324" i="29"/>
  <c r="N324" i="29"/>
  <c r="O324" i="29" s="1"/>
  <c r="K313" i="29"/>
  <c r="L313" i="29" s="1"/>
  <c r="J313" i="29"/>
  <c r="M326" i="29"/>
  <c r="N326" i="29"/>
  <c r="O326" i="29" s="1"/>
  <c r="M314" i="29"/>
  <c r="N314" i="29"/>
  <c r="O314" i="29" s="1"/>
  <c r="M323" i="29"/>
  <c r="N323" i="29"/>
  <c r="O323" i="29" s="1"/>
  <c r="M320" i="29"/>
  <c r="N320" i="29"/>
  <c r="O320" i="29" s="1"/>
  <c r="K317" i="29"/>
  <c r="L317" i="29" s="1"/>
  <c r="J317" i="29"/>
  <c r="M333" i="29"/>
  <c r="N333" i="29"/>
  <c r="O333" i="29" s="1"/>
  <c r="M321" i="29"/>
  <c r="N321" i="29"/>
  <c r="O321" i="29" s="1"/>
  <c r="M328" i="29"/>
  <c r="N328" i="29"/>
  <c r="O328" i="29" s="1"/>
  <c r="K332" i="29"/>
  <c r="L332" i="29" s="1"/>
  <c r="J332" i="29"/>
  <c r="K330" i="29"/>
  <c r="L330" i="29" s="1"/>
  <c r="J330" i="29"/>
  <c r="K311" i="29"/>
  <c r="L311" i="29" s="1"/>
  <c r="J311" i="29"/>
  <c r="K321" i="29"/>
  <c r="L321" i="29" s="1"/>
  <c r="J321" i="29"/>
  <c r="J320" i="29"/>
  <c r="K320" i="29"/>
  <c r="L320" i="29" s="1"/>
  <c r="K325" i="29"/>
  <c r="L325" i="29" s="1"/>
  <c r="J325" i="29"/>
  <c r="J331" i="29"/>
  <c r="K331" i="29"/>
  <c r="L331" i="29" s="1"/>
  <c r="M330" i="29"/>
  <c r="N330" i="29"/>
  <c r="O330" i="29" s="1"/>
  <c r="M312" i="29"/>
  <c r="N312" i="29"/>
  <c r="O312" i="29" s="1"/>
  <c r="M313" i="29"/>
  <c r="N313" i="29"/>
  <c r="O313" i="29" s="1"/>
  <c r="M331" i="29"/>
  <c r="N331" i="29"/>
  <c r="O331" i="29" s="1"/>
  <c r="M327" i="29"/>
  <c r="N327" i="29"/>
  <c r="O327" i="29" s="1"/>
  <c r="M332" i="29"/>
  <c r="N332" i="29"/>
  <c r="O332" i="29" s="1"/>
  <c r="M317" i="29"/>
  <c r="N317" i="29"/>
  <c r="O317" i="29" s="1"/>
  <c r="K333" i="29"/>
  <c r="L333" i="29" s="1"/>
  <c r="J333" i="29"/>
  <c r="M318" i="29"/>
  <c r="N318" i="29"/>
  <c r="O318" i="29" s="1"/>
  <c r="M329" i="29"/>
  <c r="N329" i="29"/>
  <c r="O329" i="29" s="1"/>
  <c r="M334" i="29"/>
  <c r="N334" i="29"/>
  <c r="O334" i="29" s="1"/>
  <c r="J329" i="29"/>
  <c r="K329" i="29"/>
  <c r="L329" i="29" s="1"/>
  <c r="J314" i="29"/>
  <c r="K314" i="29"/>
  <c r="L314" i="29" s="1"/>
  <c r="M316" i="29"/>
  <c r="N316" i="29"/>
  <c r="O316" i="29" s="1"/>
  <c r="J324" i="29"/>
  <c r="K324" i="29"/>
  <c r="L324" i="29" s="1"/>
  <c r="J323" i="29"/>
  <c r="K323" i="29"/>
  <c r="L323" i="29" s="1"/>
  <c r="K315" i="29"/>
  <c r="L315" i="29" s="1"/>
  <c r="J315" i="29"/>
  <c r="J316" i="29"/>
  <c r="K316" i="29"/>
  <c r="L316" i="29" s="1"/>
  <c r="M311" i="29"/>
  <c r="N311" i="29"/>
  <c r="O311" i="29" s="1"/>
  <c r="M325" i="29"/>
  <c r="N325" i="29"/>
  <c r="O325" i="29" s="1"/>
  <c r="J318" i="29"/>
  <c r="K318" i="29"/>
  <c r="L318" i="29" s="1"/>
  <c r="J326" i="29"/>
  <c r="K326" i="29"/>
  <c r="L326" i="29" s="1"/>
  <c r="K334" i="29"/>
  <c r="L334" i="29" s="1"/>
  <c r="J334" i="29"/>
  <c r="J312" i="29"/>
  <c r="K312" i="29"/>
  <c r="L312" i="29" s="1"/>
  <c r="N161" i="29"/>
  <c r="O161" i="29" s="1"/>
  <c r="M161" i="29"/>
  <c r="M172" i="29"/>
  <c r="N172" i="29"/>
  <c r="O172" i="29" s="1"/>
  <c r="M116" i="29"/>
  <c r="N116" i="29"/>
  <c r="O116" i="29" s="1"/>
  <c r="M171" i="29"/>
  <c r="N171" i="29"/>
  <c r="O171" i="29" s="1"/>
  <c r="N126" i="29"/>
  <c r="O126" i="29" s="1"/>
  <c r="M126" i="29"/>
  <c r="J56" i="29"/>
  <c r="N168" i="29"/>
  <c r="O168" i="29" s="1"/>
  <c r="M168" i="29"/>
  <c r="M124" i="29"/>
  <c r="N124" i="29"/>
  <c r="O124" i="29" s="1"/>
  <c r="M153" i="29"/>
  <c r="N153" i="29"/>
  <c r="O153" i="29" s="1"/>
  <c r="N166" i="29"/>
  <c r="O166" i="29" s="1"/>
  <c r="M166" i="29"/>
  <c r="M109" i="29"/>
  <c r="N109" i="29"/>
  <c r="O109" i="29" s="1"/>
  <c r="N170" i="29"/>
  <c r="O170" i="29" s="1"/>
  <c r="M170" i="29"/>
  <c r="N162" i="29"/>
  <c r="O162" i="29" s="1"/>
  <c r="M162" i="29"/>
  <c r="N157" i="29"/>
  <c r="O157" i="29" s="1"/>
  <c r="M157" i="29"/>
  <c r="N125" i="29"/>
  <c r="O125" i="29" s="1"/>
  <c r="M125" i="29"/>
  <c r="N117" i="29"/>
  <c r="O117" i="29" s="1"/>
  <c r="M117" i="29"/>
  <c r="M158" i="29"/>
  <c r="N158" i="29"/>
  <c r="O158" i="29" s="1"/>
  <c r="N165" i="29"/>
  <c r="O165" i="29" s="1"/>
  <c r="M165" i="29"/>
  <c r="M173" i="29"/>
  <c r="N173" i="29"/>
  <c r="O173" i="29" s="1"/>
  <c r="N123" i="29"/>
  <c r="O123" i="29" s="1"/>
  <c r="M123" i="29"/>
  <c r="N169" i="29"/>
  <c r="O169" i="29" s="1"/>
  <c r="M169" i="29"/>
  <c r="N113" i="29"/>
  <c r="O113" i="29" s="1"/>
  <c r="M113" i="29"/>
  <c r="M155" i="29"/>
  <c r="N155" i="29"/>
  <c r="O155" i="29" s="1"/>
  <c r="M154" i="29"/>
  <c r="N154" i="29"/>
  <c r="O154" i="29" s="1"/>
  <c r="M108" i="29"/>
  <c r="N108" i="29"/>
  <c r="O108" i="29" s="1"/>
  <c r="M174" i="29"/>
  <c r="N174" i="29"/>
  <c r="O174" i="29" s="1"/>
  <c r="M120" i="29"/>
  <c r="N120" i="29"/>
  <c r="O120" i="29" s="1"/>
  <c r="M114" i="29"/>
  <c r="N114" i="29"/>
  <c r="O114" i="29" s="1"/>
  <c r="N119" i="29"/>
  <c r="O119" i="29" s="1"/>
  <c r="M119" i="29"/>
  <c r="M110" i="29"/>
  <c r="N110" i="29"/>
  <c r="O110" i="29" s="1"/>
  <c r="N104" i="29"/>
  <c r="O104" i="29" s="1"/>
  <c r="M104" i="29"/>
  <c r="M152" i="29"/>
  <c r="N152" i="29"/>
  <c r="O152" i="29" s="1"/>
  <c r="N107" i="29"/>
  <c r="O107" i="29" s="1"/>
  <c r="M107" i="29"/>
  <c r="N156" i="29"/>
  <c r="O156" i="29" s="1"/>
  <c r="M156" i="29"/>
  <c r="M122" i="29"/>
  <c r="N122" i="29"/>
  <c r="O122" i="29" s="1"/>
  <c r="M121" i="29"/>
  <c r="N121" i="29"/>
  <c r="O121" i="29" s="1"/>
  <c r="M127" i="29"/>
  <c r="N127" i="29"/>
  <c r="O127" i="29" s="1"/>
  <c r="M175" i="29"/>
  <c r="N175" i="29"/>
  <c r="O175" i="29" s="1"/>
  <c r="M159" i="29"/>
  <c r="N159" i="29"/>
  <c r="O159" i="29" s="1"/>
  <c r="M164" i="29"/>
  <c r="N164" i="29"/>
  <c r="O164" i="29" s="1"/>
  <c r="M105" i="29"/>
  <c r="N105" i="29"/>
  <c r="O105" i="29" s="1"/>
  <c r="M167" i="29"/>
  <c r="N167" i="29"/>
  <c r="O167" i="29" s="1"/>
  <c r="N106" i="29"/>
  <c r="O106" i="29" s="1"/>
  <c r="M106" i="29"/>
  <c r="M118" i="29"/>
  <c r="N118" i="29"/>
  <c r="O118" i="29" s="1"/>
  <c r="N111" i="29"/>
  <c r="O111" i="29" s="1"/>
  <c r="M111" i="29"/>
  <c r="N80" i="29"/>
  <c r="O80" i="29" s="1"/>
  <c r="M80" i="29"/>
  <c r="O176" i="29"/>
  <c r="N224" i="29"/>
  <c r="M224" i="29"/>
  <c r="L224" i="29"/>
  <c r="O130" i="29"/>
  <c r="M272" i="29"/>
  <c r="N272" i="29"/>
  <c r="L272" i="29"/>
  <c r="N56" i="29" l="1"/>
  <c r="O56" i="29" s="1"/>
  <c r="O224" i="29"/>
  <c r="O272" i="29"/>
  <c r="R13" i="6"/>
  <c r="F301" i="29"/>
  <c r="I11" i="11"/>
  <c r="H11" i="11"/>
  <c r="G11" i="11"/>
  <c r="H5" i="6"/>
  <c r="I4" i="3"/>
  <c r="J4" i="3" s="1"/>
  <c r="D19" i="21" s="1"/>
  <c r="I5" i="3"/>
  <c r="J5" i="3" s="1"/>
  <c r="I6" i="3"/>
  <c r="J6" i="3" s="1"/>
  <c r="I9" i="3"/>
  <c r="J9" i="3" s="1"/>
  <c r="I12" i="3"/>
  <c r="J12" i="3" s="1"/>
  <c r="I7" i="3"/>
  <c r="J7" i="3" s="1"/>
  <c r="M11" i="3"/>
  <c r="M5" i="3"/>
  <c r="G301" i="29" l="1"/>
  <c r="J301" i="29"/>
  <c r="K301" i="29"/>
  <c r="L301" i="29" s="1"/>
  <c r="M12" i="3"/>
  <c r="M9" i="3"/>
  <c r="M8" i="3"/>
  <c r="M10" i="3"/>
  <c r="M7" i="3"/>
  <c r="K11" i="11"/>
  <c r="F308" i="29" s="1"/>
  <c r="F304" i="29"/>
  <c r="K304" i="29" s="1"/>
  <c r="F305" i="29"/>
  <c r="K305" i="29" s="1"/>
  <c r="F306" i="29"/>
  <c r="F307" i="29"/>
  <c r="K307" i="29" s="1"/>
  <c r="F13" i="6"/>
  <c r="L13" i="6"/>
  <c r="G5" i="6"/>
  <c r="H4" i="6"/>
  <c r="G4" i="6"/>
  <c r="G6" i="6"/>
  <c r="H6" i="6"/>
  <c r="K25" i="4"/>
  <c r="K24" i="4"/>
  <c r="K20" i="4"/>
  <c r="K19" i="4"/>
  <c r="G5" i="11" s="1"/>
  <c r="K16" i="4"/>
  <c r="K14" i="4"/>
  <c r="K13" i="4"/>
  <c r="D5" i="11" s="1"/>
  <c r="K10" i="4"/>
  <c r="I5" i="11" s="1"/>
  <c r="K6" i="4"/>
  <c r="K5" i="4"/>
  <c r="K30" i="4"/>
  <c r="J5" i="11" s="1"/>
  <c r="K28" i="4"/>
  <c r="K27" i="4"/>
  <c r="K26" i="4"/>
  <c r="K5" i="11" s="1"/>
  <c r="K306" i="29" l="1"/>
  <c r="L306" i="29" s="1"/>
  <c r="J306" i="29"/>
  <c r="N301" i="29"/>
  <c r="O301" i="29" s="1"/>
  <c r="M301" i="29"/>
  <c r="H7" i="6"/>
  <c r="L305" i="29"/>
  <c r="J308" i="29"/>
  <c r="K308" i="29"/>
  <c r="L307" i="29"/>
  <c r="L304" i="29"/>
  <c r="G308" i="29"/>
  <c r="J305" i="29"/>
  <c r="G305" i="29"/>
  <c r="M305" i="29" s="1"/>
  <c r="G304" i="29"/>
  <c r="J304" i="29"/>
  <c r="G307" i="29"/>
  <c r="J307" i="29"/>
  <c r="G306" i="29"/>
  <c r="G7" i="6"/>
  <c r="M307" i="29" l="1"/>
  <c r="N307" i="29"/>
  <c r="M304" i="29"/>
  <c r="O304" i="29" s="1"/>
  <c r="N304" i="29"/>
  <c r="L308" i="29"/>
  <c r="N305" i="29"/>
  <c r="M308" i="29"/>
  <c r="O308" i="29" s="1"/>
  <c r="N308" i="29"/>
  <c r="M306" i="29"/>
  <c r="N306" i="29"/>
  <c r="O307" i="29" l="1"/>
  <c r="O305" i="29"/>
  <c r="O306"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1949E764-B6A9-46D9-91B8-BE40C28BAEE9}">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F487932E-658F-4B26-92C7-CF1080D32104}">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AD76E0A1-9180-413D-8B56-F0915ED7509E}">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<sst xmlns="http://schemas.openxmlformats.org/spreadsheetml/2006/main" count="5525" uniqueCount="2394">
  <si>
    <t xml:space="preserve">Table 1. Facility Throughputs </t>
  </si>
  <si>
    <t>Source</t>
  </si>
  <si>
    <r>
      <t>Actual</t>
    </r>
    <r>
      <rPr>
        <b/>
        <vertAlign val="superscript"/>
        <sz val="10"/>
        <color rgb="FF000000"/>
        <rFont val="Tahoma"/>
        <family val="2"/>
      </rPr>
      <t>1</t>
    </r>
  </si>
  <si>
    <t>PTE (Annual)</t>
  </si>
  <si>
    <t>Units</t>
  </si>
  <si>
    <t>Actual (Short Term)</t>
  </si>
  <si>
    <t xml:space="preserve">PTE (Short Term) </t>
  </si>
  <si>
    <t xml:space="preserve">Rotary Dryer (Used Oil) </t>
  </si>
  <si>
    <t>gal/year</t>
  </si>
  <si>
    <t>gal/day</t>
  </si>
  <si>
    <t>Dryer Baghouse - Controlled</t>
  </si>
  <si>
    <t>tpy</t>
  </si>
  <si>
    <t>ton/day</t>
  </si>
  <si>
    <t xml:space="preserve">Main Baghouse </t>
  </si>
  <si>
    <t xml:space="preserve">New Baghouse </t>
  </si>
  <si>
    <t>Ore Drop Points</t>
  </si>
  <si>
    <t>Crusher</t>
  </si>
  <si>
    <t>Used oil storage Tanks</t>
  </si>
  <si>
    <t xml:space="preserve">Actual throughputs are taken from the 2024 Annual Air Report for this facility </t>
  </si>
  <si>
    <t>Table 2. Raw &amp; Process Ore Perlite Sample Results</t>
  </si>
  <si>
    <t>Sample</t>
  </si>
  <si>
    <t>Pollutant</t>
  </si>
  <si>
    <t>CAS#</t>
  </si>
  <si>
    <t>DEQ Pollutant</t>
  </si>
  <si>
    <r>
      <t>Raw Ore Perlite</t>
    </r>
    <r>
      <rPr>
        <b/>
        <vertAlign val="superscript"/>
        <sz val="10"/>
        <rFont val="Tahoma"/>
        <family val="2"/>
      </rPr>
      <t>1</t>
    </r>
  </si>
  <si>
    <t>Raw Ore Perlite results</t>
  </si>
  <si>
    <t>Raw Ore weight %</t>
  </si>
  <si>
    <r>
      <t>Process Ore Perlite</t>
    </r>
    <r>
      <rPr>
        <b/>
        <vertAlign val="superscript"/>
        <sz val="10"/>
        <rFont val="Tahoma"/>
        <family val="2"/>
      </rPr>
      <t>1</t>
    </r>
  </si>
  <si>
    <t>Process Ore results</t>
  </si>
  <si>
    <t>Process Ore weight %</t>
  </si>
  <si>
    <t>Maximum Ore Percent Weight</t>
  </si>
  <si>
    <t>Ag</t>
  </si>
  <si>
    <t>ppm</t>
  </si>
  <si>
    <t>Silver and compounds</t>
  </si>
  <si>
    <t>&lt;0.05</t>
  </si>
  <si>
    <t>Al</t>
  </si>
  <si>
    <t>Aluminum and compounds</t>
  </si>
  <si>
    <t>As</t>
  </si>
  <si>
    <t>Arsenic and compounds</t>
  </si>
  <si>
    <t>Ba</t>
  </si>
  <si>
    <t>Barium and compounds</t>
  </si>
  <si>
    <t>Be</t>
  </si>
  <si>
    <t>Beryllium and compounds</t>
  </si>
  <si>
    <t>Cd</t>
  </si>
  <si>
    <t>Cadmium and compounds</t>
  </si>
  <si>
    <t>Co</t>
  </si>
  <si>
    <t>Cobalt and compounds</t>
  </si>
  <si>
    <t>&lt;0.2</t>
  </si>
  <si>
    <t>Cu</t>
  </si>
  <si>
    <t>Copper and compounds</t>
  </si>
  <si>
    <t>Cr</t>
  </si>
  <si>
    <t>Chromium</t>
  </si>
  <si>
    <t>7440-47-3</t>
  </si>
  <si>
    <t>Cr (VI)³</t>
  </si>
  <si>
    <t>Chromium VI</t>
  </si>
  <si>
    <t>18540-29-9</t>
  </si>
  <si>
    <t>Hg</t>
  </si>
  <si>
    <t>Mercury and compounds</t>
  </si>
  <si>
    <t>&lt;0.01</t>
  </si>
  <si>
    <t>Mn</t>
  </si>
  <si>
    <t>Manganese and compounds</t>
  </si>
  <si>
    <t>Mo</t>
  </si>
  <si>
    <t xml:space="preserve">Molybdenum </t>
  </si>
  <si>
    <t>7439-98-7</t>
  </si>
  <si>
    <t>MoO3⁴</t>
  </si>
  <si>
    <t>Molybdenum Trioxide</t>
  </si>
  <si>
    <t>1313-27-5</t>
  </si>
  <si>
    <t>Ni</t>
  </si>
  <si>
    <t>Nickel and compounds</t>
  </si>
  <si>
    <t>P</t>
  </si>
  <si>
    <t>Phosphorus and compounds</t>
  </si>
  <si>
    <t>Pb</t>
  </si>
  <si>
    <t>Lead and compounds</t>
  </si>
  <si>
    <t>Sb</t>
  </si>
  <si>
    <t>Antimony and compounds</t>
  </si>
  <si>
    <t>Se</t>
  </si>
  <si>
    <t>Selenium and compounds</t>
  </si>
  <si>
    <t>Tl</t>
  </si>
  <si>
    <t>Thallium and Compounds</t>
  </si>
  <si>
    <t>V ²</t>
  </si>
  <si>
    <t>Vanadium (fume or dust)</t>
  </si>
  <si>
    <t>&lt;3</t>
  </si>
  <si>
    <t>Zn</t>
  </si>
  <si>
    <t>Zinc and compounds</t>
  </si>
  <si>
    <t>BaO</t>
  </si>
  <si>
    <t>pct</t>
  </si>
  <si>
    <t>P2O5</t>
  </si>
  <si>
    <t>Phosphorus Pentoxide</t>
  </si>
  <si>
    <t>&lt;0.005</t>
  </si>
  <si>
    <t>SiO2</t>
  </si>
  <si>
    <t>Silica, crystalline (respirable)</t>
  </si>
  <si>
    <t>SO3</t>
  </si>
  <si>
    <t>Sulfur trioxide</t>
  </si>
  <si>
    <t>V2O5</t>
  </si>
  <si>
    <t>Vanadium pentoxide</t>
  </si>
  <si>
    <t>LOI-1000</t>
  </si>
  <si>
    <t>Loss of Ignition</t>
  </si>
  <si>
    <t>N/A</t>
  </si>
  <si>
    <t>Wt</t>
  </si>
  <si>
    <t>Kg</t>
  </si>
  <si>
    <t>All Samples</t>
  </si>
  <si>
    <t xml:space="preserve"> Undetects are treated as half as detection limit.</t>
  </si>
  <si>
    <t>1%=</t>
  </si>
  <si>
    <t>Vanadium not included in speciation of Perlite,  as the elemental fraction is incorporated within Vanadium Pentoxide</t>
  </si>
  <si>
    <t>CR (VI) determined as 7% of total chromium.</t>
  </si>
  <si>
    <t xml:space="preserve">Molybdenum trioxide,  calculated by using the ratio of molecular weights of molybdenum trioxide to molybdenum [143.94 (g/mol)/95.95 (g/mol)]. </t>
  </si>
  <si>
    <t>Table 3. Maintenance Activities SDS Information</t>
  </si>
  <si>
    <t>File Name</t>
  </si>
  <si>
    <t>SDS Name</t>
  </si>
  <si>
    <t>Constituent Name</t>
  </si>
  <si>
    <t xml:space="preserve">Material Usage
(cans/yr) </t>
  </si>
  <si>
    <t>Material Density
(g/mL)</t>
  </si>
  <si>
    <r>
      <t>Material Usage</t>
    </r>
    <r>
      <rPr>
        <b/>
        <vertAlign val="superscript"/>
        <sz val="10"/>
        <rFont val="Tahoma"/>
        <family val="2"/>
      </rPr>
      <t>2</t>
    </r>
    <r>
      <rPr>
        <b/>
        <sz val="10"/>
        <rFont val="Tahoma"/>
        <family val="2"/>
      </rPr>
      <t xml:space="preserve">
(lbs/yr)</t>
    </r>
  </si>
  <si>
    <t>Pollutant Information</t>
  </si>
  <si>
    <r>
      <t>CAS or DEQID</t>
    </r>
    <r>
      <rPr>
        <b/>
        <vertAlign val="superscript"/>
        <sz val="10"/>
        <rFont val="Tahoma"/>
        <family val="2"/>
      </rPr>
      <t>2,3</t>
    </r>
  </si>
  <si>
    <t>TAC</t>
  </si>
  <si>
    <t>Chemical Name</t>
  </si>
  <si>
    <t>Minimum Weight Percent</t>
  </si>
  <si>
    <t>Maximum Weight Percent</t>
  </si>
  <si>
    <t>Pollutant Usage
(lbs/yr)</t>
  </si>
  <si>
    <t>Pollutant Threshold 
(lb/yr)</t>
  </si>
  <si>
    <t>Exceeds Threshold?</t>
  </si>
  <si>
    <r>
      <t>Barnes Distribution PB Blast 2</t>
    </r>
    <r>
      <rPr>
        <vertAlign val="superscript"/>
        <sz val="10"/>
        <rFont val="Tahoma"/>
        <family val="2"/>
      </rPr>
      <t>4</t>
    </r>
  </si>
  <si>
    <t>Blaster PB Penetrating Lithium Grease</t>
  </si>
  <si>
    <t>Zinc oxide</t>
  </si>
  <si>
    <t>1314-13-2</t>
  </si>
  <si>
    <t>Not Listed</t>
  </si>
  <si>
    <t>Lectra Motive Electric Parts Cleaner</t>
  </si>
  <si>
    <t>tetrachloroethylene</t>
  </si>
  <si>
    <t>127-18-4</t>
  </si>
  <si>
    <t>&gt;100</t>
  </si>
  <si>
    <t>No</t>
  </si>
  <si>
    <t>Motor Medic Thrust Fluid SDS</t>
  </si>
  <si>
    <t xml:space="preserve">MOTOR MEDIC® THRUST™ STARTING FLUID </t>
  </si>
  <si>
    <t>Chloroethane</t>
  </si>
  <si>
    <t>75-00-3</t>
  </si>
  <si>
    <t>&gt;1,000</t>
  </si>
  <si>
    <t>Rustoleum Spray Paint</t>
  </si>
  <si>
    <t>STRUST +SSPR 6PK GLOSS BLACK SAFETY DATA SHEET</t>
  </si>
  <si>
    <t>Acetone</t>
  </si>
  <si>
    <t>67-64-1</t>
  </si>
  <si>
    <t>Barium Sulfate</t>
  </si>
  <si>
    <t>7440-39-3</t>
  </si>
  <si>
    <t>Xylenes (o-, m-, p-	Isomers)</t>
  </si>
  <si>
    <t>1330-20-7</t>
  </si>
  <si>
    <t>Carbon Black</t>
  </si>
  <si>
    <t xml:space="preserve">Cobalt 2-Ethylhexanoate </t>
  </si>
  <si>
    <t>7440-48-4</t>
  </si>
  <si>
    <t>Any Use</t>
  </si>
  <si>
    <t>Yes</t>
  </si>
  <si>
    <t>Ethylbenzene</t>
  </si>
  <si>
    <t>100-41-4</t>
  </si>
  <si>
    <t>&gt;10</t>
  </si>
  <si>
    <r>
      <t>Barnes Distribution PB Blast 1</t>
    </r>
    <r>
      <rPr>
        <vertAlign val="superscript"/>
        <sz val="10"/>
        <rFont val="Tahoma"/>
        <family val="2"/>
      </rPr>
      <t>1,4</t>
    </r>
  </si>
  <si>
    <t>PB Penetrating Catalyst</t>
  </si>
  <si>
    <t>--</t>
  </si>
  <si>
    <r>
      <t>Cyclo Breakaway Penetrating Oil</t>
    </r>
    <r>
      <rPr>
        <vertAlign val="superscript"/>
        <sz val="10"/>
        <rFont val="Tahoma"/>
        <family val="2"/>
      </rPr>
      <t>1</t>
    </r>
  </si>
  <si>
    <t>CYCLO® BREAKAWAY FAST PENETRATING OIL</t>
  </si>
  <si>
    <t>Chemical constituents are not included for these products as none of those listed in their respective SDS are regulated as Toxic Air Contaminants according to the DEQ Pollutant List</t>
  </si>
  <si>
    <t>Material usage is calculated based on the standard size of the can these products are purchased in</t>
  </si>
  <si>
    <t>Barium Sulfate (CAS: 7727-43-7)  listed in the Rustoleum Spray Paint SDS was conservatively assumed to be Barium and Compounds (CAS: 7440-39-3) as presented on the DEQ Pollutant List</t>
  </si>
  <si>
    <t>Carbon Black (CAS: 1333-86-4)  listed in the Rustoleum Spray Paint SDS was conservatively assumed to be Carbon Black Extracts (CAS: 89) as presented on the DEQ Pollutant List</t>
  </si>
  <si>
    <t>Density information for these products is considered proprietary information according to the manufacturer so density is obtained from SDS information on similar products. PB Penetrating Catalyst uses the density from ZEP 45 Penetrating Lubricant 20N17 and the density of Blaster PB Penetrating Lithium Grease uses the density from White Lithium Grease from JET-LUBE INC.</t>
  </si>
  <si>
    <t>Table 4. Welding SDS Information</t>
  </si>
  <si>
    <t>Model ID</t>
  </si>
  <si>
    <r>
      <t>Constituent Name</t>
    </r>
    <r>
      <rPr>
        <b/>
        <vertAlign val="superscript"/>
        <sz val="10"/>
        <color rgb="FF000000"/>
        <rFont val="Tahoma"/>
        <family val="2"/>
      </rPr>
      <t>2</t>
    </r>
  </si>
  <si>
    <t>Material Usage
(1000 lbs/yr)</t>
  </si>
  <si>
    <r>
      <t>Electrode Type</t>
    </r>
    <r>
      <rPr>
        <b/>
        <vertAlign val="superscript"/>
        <sz val="10"/>
        <color rgb="FF000000"/>
        <rFont val="Tahoma"/>
        <family val="2"/>
      </rPr>
      <t>3</t>
    </r>
  </si>
  <si>
    <t>Use</t>
  </si>
  <si>
    <t>Exemption Threshold
(lbs/yr)</t>
  </si>
  <si>
    <t>Exempt?</t>
  </si>
  <si>
    <r>
      <t>CAS or DEQID</t>
    </r>
    <r>
      <rPr>
        <b/>
        <vertAlign val="superscript"/>
        <sz val="10"/>
        <color rgb="FF000000"/>
        <rFont val="Tahoma"/>
        <family val="2"/>
      </rPr>
      <t>1</t>
    </r>
  </si>
  <si>
    <t>Pollutant Usage
(1000 lbs/yr)</t>
  </si>
  <si>
    <t>WELD1</t>
  </si>
  <si>
    <t>Lincoln 7018 Rod</t>
  </si>
  <si>
    <t>Excalibur 7018 MR</t>
  </si>
  <si>
    <t>Calcium fluoride</t>
  </si>
  <si>
    <t>E7018</t>
  </si>
  <si>
    <t>SMAW</t>
  </si>
  <si>
    <t>&gt;50</t>
  </si>
  <si>
    <t>Manganese</t>
  </si>
  <si>
    <t>7439-96-5</t>
  </si>
  <si>
    <t>Sodium silicate</t>
  </si>
  <si>
    <t>7631-86-9</t>
  </si>
  <si>
    <t>Potassium silicate</t>
  </si>
  <si>
    <t>Silicon</t>
  </si>
  <si>
    <t>Silicon dioxide (amorphous)</t>
  </si>
  <si>
    <t>Quartz</t>
  </si>
  <si>
    <t>Lithium silicate</t>
  </si>
  <si>
    <t>Aluminum Oxide</t>
  </si>
  <si>
    <t>7429-90-5</t>
  </si>
  <si>
    <t>WELD2</t>
  </si>
  <si>
    <t>Lincoln Innershield NR 211</t>
  </si>
  <si>
    <t xml:space="preserve">Innershield NR-211-MP </t>
  </si>
  <si>
    <t>Barium fluoride</t>
  </si>
  <si>
    <t>E71T-11</t>
  </si>
  <si>
    <t>FCAW</t>
  </si>
  <si>
    <t>&gt;500</t>
  </si>
  <si>
    <t>Lithium fluoride</t>
  </si>
  <si>
    <t>Potassium fluorosilicate</t>
  </si>
  <si>
    <t>WELD3</t>
  </si>
  <si>
    <t>Lincoln 6011 Rod SDS</t>
  </si>
  <si>
    <t>Lincoln 6011</t>
  </si>
  <si>
    <t>E6011</t>
  </si>
  <si>
    <t>Copper and/or copper alloys and compounds (as Cu)</t>
  </si>
  <si>
    <t>7440-50-8</t>
  </si>
  <si>
    <t>WELD4</t>
  </si>
  <si>
    <t>Rocketmount Orion Flux Core Flux Core Wire FCAW SDS</t>
  </si>
  <si>
    <t>Orion Flux Core</t>
  </si>
  <si>
    <t>Fluorides (as F)</t>
  </si>
  <si>
    <t>Manganese (Mn)</t>
  </si>
  <si>
    <t>Nickel (Ni)</t>
  </si>
  <si>
    <t>7440-02-0</t>
  </si>
  <si>
    <t>Vanadium (V)</t>
  </si>
  <si>
    <t>7440-62-2</t>
  </si>
  <si>
    <t>For conservancy Barium Fluoride (7887-32-8) and Calcium Fluoride (7789-75-5) were both included as Fluorides (239) as presented in the DEQ Pollutant List</t>
  </si>
  <si>
    <t>Fluorides (as F) were listed three (3) times in the Orin Flux Core SDS, for consistency these three constituents have been added together into one Fluorides (as F) line item in this table, this includes their wt % being added together as well</t>
  </si>
  <si>
    <t>This Lincoln Innershield NR 211 electrode sourced from manufacturer website https://www.lincolnelectric.com/en/products/innershieldnr211mp_fcaws</t>
  </si>
  <si>
    <t>Rocketmount Orion Flux Core Flux Core Wire does not have an associated electrode type as no information was available to specify one from the manufacturer</t>
  </si>
  <si>
    <t>Table 5. Welding Rod Emission Factors</t>
  </si>
  <si>
    <r>
      <t>Emission Factors</t>
    </r>
    <r>
      <rPr>
        <b/>
        <vertAlign val="superscript"/>
        <sz val="10"/>
        <color rgb="FF000000"/>
        <rFont val="Tahoma"/>
        <family val="2"/>
      </rPr>
      <t>1,2,3</t>
    </r>
    <r>
      <rPr>
        <b/>
        <sz val="10"/>
        <color rgb="FF000000"/>
        <rFont val="Tahoma"/>
        <family val="2"/>
      </rPr>
      <t xml:space="preserve">
(lbs/1000 lb rod)</t>
    </r>
  </si>
  <si>
    <t> </t>
  </si>
  <si>
    <t>Al2O3</t>
  </si>
  <si>
    <t>Cr(VI)</t>
  </si>
  <si>
    <t>Crystaline Silica⁴</t>
  </si>
  <si>
    <t>V</t>
  </si>
  <si>
    <t>Fluorides</t>
  </si>
  <si>
    <t>Cobalt and Compounds</t>
  </si>
  <si>
    <t>Chromium VI, chromate and dichromate particulate</t>
  </si>
  <si>
    <t xml:space="preserve">CAS# </t>
  </si>
  <si>
    <t>TEU-ID</t>
  </si>
  <si>
    <t>DEQ Pollutant?</t>
  </si>
  <si>
    <t xml:space="preserve">Some emission factors have been calculated utilizing the DEQ Cleaner Air Oregon Welding Emissions Calculations Tool 										
</t>
  </si>
  <si>
    <t>Emission factor obtained from AP-42 section 12-19-2</t>
  </si>
  <si>
    <t>Emission factors not obtained from one of the previously listed sources have been calculated using guidance from the San Diego County Air Pollution Control District website. The emission factor is determined by the equation EF = FGR x FCF x Ci.  The Fume Generation Rate (FGR), or Total Fume Emission Factor, is used when available in AP-42 Section 12.19 (Table 12.19-1). The Fume Correction Factor (FCF) was developed through San Diego Air Pollution Control District Engineering discussions with the welding industry (refer to footnote 6 for values), and lastly the Constituent weight percent (Ci) is obtained from the welding Material Safety Data Sheet (SDS). These three values are multiplied to find an equivalent emission factor for the remaining pollutants without emission factors identified elsewhere. When no FGR is available in AP-42 Section 12.19 for the specific welding process and material, a district default FGR is used that has been determined and provided by California Air Resource Board Greenhouse Gas Emission Inventory Chief, Richard Bode.</t>
  </si>
  <si>
    <t>All silicon and quartz as listed is conservatively assumed to be crystalline silica (respirable)</t>
  </si>
  <si>
    <t>Categorized based on recommended welding method as listed in the SDS or found online for the specific welding product.</t>
  </si>
  <si>
    <r>
      <t>Type of Welding</t>
    </r>
    <r>
      <rPr>
        <b/>
        <vertAlign val="superscript"/>
        <sz val="10"/>
        <color rgb="FF000000"/>
        <rFont val="Tahoma"/>
        <family val="2"/>
      </rPr>
      <t>1</t>
    </r>
  </si>
  <si>
    <r>
      <t>Electrode Type</t>
    </r>
    <r>
      <rPr>
        <b/>
        <vertAlign val="superscript"/>
        <sz val="10"/>
        <color rgb="FF000000"/>
        <rFont val="Tahoma"/>
        <family val="2"/>
      </rPr>
      <t>2</t>
    </r>
  </si>
  <si>
    <t>Total Fume Generation Rate</t>
  </si>
  <si>
    <r>
      <t>AP-42 (g/kg [lb/1000 lb] Of Electrode Consumed)</t>
    </r>
    <r>
      <rPr>
        <b/>
        <vertAlign val="superscript"/>
        <sz val="10"/>
        <color rgb="FF000000"/>
        <rFont val="Tahoma"/>
        <family val="2"/>
      </rPr>
      <t>3</t>
    </r>
  </si>
  <si>
    <r>
      <t>ARB, Richard Bode (lb/1000 lb electrode consumed)</t>
    </r>
    <r>
      <rPr>
        <b/>
        <vertAlign val="superscript"/>
        <sz val="10"/>
        <color rgb="FF000000"/>
        <rFont val="Tahoma"/>
        <family val="2"/>
      </rPr>
      <t>3</t>
    </r>
  </si>
  <si>
    <t>E7018 MR-3/32</t>
  </si>
  <si>
    <t>Fume Correction Factors determined per San Diego Air Pollution Control District engineering discussions with Industry:</t>
  </si>
  <si>
    <t>Rocketmount Orion Flux Core Flux Core Wire does not have an associated electrode type as no information was available to specify one</t>
  </si>
  <si>
    <t>Table 6. Average or maximum SDS Weight Percent for Welding Rod Materials</t>
  </si>
  <si>
    <r>
      <t>Crystaline Silica</t>
    </r>
    <r>
      <rPr>
        <b/>
        <vertAlign val="superscript"/>
        <sz val="10"/>
        <color rgb="FF000000"/>
        <rFont val="Tahoma"/>
        <family val="2"/>
      </rPr>
      <t>1</t>
    </r>
  </si>
  <si>
    <r>
      <t>Fluorides</t>
    </r>
    <r>
      <rPr>
        <b/>
        <vertAlign val="superscript"/>
        <sz val="10"/>
        <color rgb="FF000000"/>
        <rFont val="Tahoma"/>
        <family val="2"/>
      </rPr>
      <t>2</t>
    </r>
  </si>
  <si>
    <t>All silicon as listed is conservatively assumed to be crystalline silica (respirable)</t>
  </si>
  <si>
    <t>All fluoride compounds listed as fluorides</t>
  </si>
  <si>
    <t xml:space="preserve"> Drop points Emission Calculations</t>
  </si>
  <si>
    <t>Table 7. Drop Point Summary</t>
  </si>
  <si>
    <r>
      <t>Drop point 1</t>
    </r>
    <r>
      <rPr>
        <sz val="10"/>
        <rFont val="Tahoma"/>
        <family val="2"/>
      </rPr>
      <t xml:space="preserve"> Crude Ore stockpile to Grizzly shed: </t>
    </r>
    <r>
      <rPr>
        <b/>
        <sz val="10"/>
        <rFont val="Tahoma"/>
        <family val="2"/>
      </rPr>
      <t>Height= 8 ft Drop distance = 1 ft.</t>
    </r>
  </si>
  <si>
    <r>
      <t>Drop point 2</t>
    </r>
    <r>
      <rPr>
        <sz val="10"/>
        <rFont val="Tahoma"/>
        <family val="2"/>
      </rPr>
      <t xml:space="preserve"> Grizzly Shed to Ore shed: </t>
    </r>
    <r>
      <rPr>
        <b/>
        <sz val="10"/>
        <rFont val="Tahoma"/>
        <family val="2"/>
      </rPr>
      <t>Height = 20 ft. Drop Distance = Up to 15 ft.</t>
    </r>
    <r>
      <rPr>
        <sz val="10"/>
        <rFont val="Tahoma"/>
        <family val="2"/>
      </rPr>
      <t xml:space="preserve">  </t>
    </r>
  </si>
  <si>
    <r>
      <t>Drop Point 3</t>
    </r>
    <r>
      <rPr>
        <sz val="10"/>
        <rFont val="Tahoma"/>
        <family val="2"/>
      </rPr>
      <t xml:space="preserve"> Ore shed to BC-3. </t>
    </r>
    <r>
      <rPr>
        <b/>
        <sz val="10"/>
        <rFont val="Tahoma"/>
        <family val="2"/>
      </rPr>
      <t>Height = 5 ft</t>
    </r>
    <r>
      <rPr>
        <sz val="10"/>
        <rFont val="Tahoma"/>
        <family val="2"/>
      </rPr>
      <t xml:space="preserve">. </t>
    </r>
    <r>
      <rPr>
        <b/>
        <sz val="10"/>
        <rFont val="Tahoma"/>
        <family val="2"/>
      </rPr>
      <t>Drop Distance =  2 ft</t>
    </r>
    <r>
      <rPr>
        <sz val="10"/>
        <rFont val="Tahoma"/>
        <family val="2"/>
      </rPr>
      <t>.</t>
    </r>
  </si>
  <si>
    <r>
      <t xml:space="preserve">Drop Point 4 </t>
    </r>
    <r>
      <rPr>
        <sz val="10"/>
        <rFont val="Tahoma"/>
        <family val="2"/>
      </rPr>
      <t>BC-3 to</t>
    </r>
    <r>
      <rPr>
        <b/>
        <sz val="10"/>
        <rFont val="Tahoma"/>
        <family val="2"/>
      </rPr>
      <t xml:space="preserve"> </t>
    </r>
    <r>
      <rPr>
        <sz val="10"/>
        <rFont val="Tahoma"/>
        <family val="2"/>
      </rPr>
      <t xml:space="preserve">Primary scalper: </t>
    </r>
    <r>
      <rPr>
        <b/>
        <sz val="10"/>
        <rFont val="Tahoma"/>
        <family val="2"/>
      </rPr>
      <t>Height= 20 ft</t>
    </r>
    <r>
      <rPr>
        <sz val="10"/>
        <rFont val="Tahoma"/>
        <family val="2"/>
      </rPr>
      <t xml:space="preserve">. </t>
    </r>
    <r>
      <rPr>
        <b/>
        <sz val="10"/>
        <rFont val="Tahoma"/>
        <family val="2"/>
      </rPr>
      <t>Drop distance = 2 ft</t>
    </r>
    <r>
      <rPr>
        <sz val="10"/>
        <rFont val="Tahoma"/>
        <family val="2"/>
      </rPr>
      <t>.</t>
    </r>
  </si>
  <si>
    <r>
      <t xml:space="preserve">No drop from Jaw to BC-2 (shoot slide): </t>
    </r>
    <r>
      <rPr>
        <b/>
        <sz val="10"/>
        <rFont val="Tahoma"/>
        <family val="2"/>
      </rPr>
      <t>Height= 2 ft</t>
    </r>
    <r>
      <rPr>
        <sz val="10"/>
        <rFont val="Tahoma"/>
        <family val="2"/>
      </rPr>
      <t>.</t>
    </r>
  </si>
  <si>
    <r>
      <t>Drop Point 5</t>
    </r>
    <r>
      <rPr>
        <sz val="10"/>
        <rFont val="Tahoma"/>
        <family val="2"/>
      </rPr>
      <t xml:space="preserve"> Primary scalper to BC-5: </t>
    </r>
    <r>
      <rPr>
        <b/>
        <sz val="10"/>
        <rFont val="Tahoma"/>
        <family val="2"/>
      </rPr>
      <t>Height 12-15 ft. Drop distance= 2 ft</t>
    </r>
    <r>
      <rPr>
        <sz val="10"/>
        <rFont val="Tahoma"/>
        <family val="2"/>
      </rPr>
      <t>.</t>
    </r>
  </si>
  <si>
    <r>
      <t xml:space="preserve">Drop Point 6 </t>
    </r>
    <r>
      <rPr>
        <sz val="10"/>
        <rFont val="Tahoma"/>
        <family val="2"/>
      </rPr>
      <t xml:space="preserve">BC-5 to Slinger belt </t>
    </r>
    <r>
      <rPr>
        <b/>
        <sz val="10"/>
        <rFont val="Tahoma"/>
        <family val="2"/>
      </rPr>
      <t>Height = 12 feet Drop Distance= 1 ft.</t>
    </r>
  </si>
  <si>
    <t>No drop from Slinger belt to rotary dryer. Shoot slide (2 ft change)</t>
  </si>
  <si>
    <t>Table 8. Material Transfer Operational Data</t>
  </si>
  <si>
    <t>Parameter/Type</t>
  </si>
  <si>
    <t>Value</t>
  </si>
  <si>
    <t>Reference</t>
  </si>
  <si>
    <t>Throughput by Material Stage</t>
  </si>
  <si>
    <t>Raw ore input</t>
  </si>
  <si>
    <t>Based on permit</t>
  </si>
  <si>
    <t>tons/day</t>
  </si>
  <si>
    <t>Based on Imerys statement</t>
  </si>
  <si>
    <t>Moisture Content by Material Stage</t>
  </si>
  <si>
    <t>Raw Ore input</t>
  </si>
  <si>
    <t>%</t>
  </si>
  <si>
    <t>AP-42 Chapter 30 Section 11</t>
  </si>
  <si>
    <t>Number of drops by material stage</t>
  </si>
  <si>
    <t>Raw ore</t>
  </si>
  <si>
    <t xml:space="preserve">each </t>
  </si>
  <si>
    <t>Material handling before dryer</t>
  </si>
  <si>
    <t>Other Operational Parameters</t>
  </si>
  <si>
    <t>Wind Speed</t>
  </si>
  <si>
    <t>mph</t>
  </si>
  <si>
    <t>From Aermet Data</t>
  </si>
  <si>
    <t>Worst Case Daily Wind Speed</t>
  </si>
  <si>
    <t>Table 9. AP-42 Particle Size Multipliers</t>
  </si>
  <si>
    <t>Parameter</t>
  </si>
  <si>
    <t>PM Particle Size Multiplier</t>
  </si>
  <si>
    <t>unitless</t>
  </si>
  <si>
    <t>AP-42 Section 13.2.4 (11/06)</t>
  </si>
  <si>
    <r>
      <t>PM</t>
    </r>
    <r>
      <rPr>
        <vertAlign val="subscript"/>
        <sz val="10"/>
        <rFont val="Tahoma"/>
        <family val="2"/>
      </rPr>
      <t>10</t>
    </r>
    <r>
      <rPr>
        <sz val="10"/>
        <rFont val="Tahoma"/>
        <family val="2"/>
      </rPr>
      <t xml:space="preserve"> Particle Size Multiplier</t>
    </r>
  </si>
  <si>
    <r>
      <t>PM</t>
    </r>
    <r>
      <rPr>
        <vertAlign val="subscript"/>
        <sz val="10"/>
        <rFont val="Tahoma"/>
        <family val="2"/>
      </rPr>
      <t>2.5</t>
    </r>
    <r>
      <rPr>
        <sz val="10"/>
        <rFont val="Tahoma"/>
        <family val="2"/>
      </rPr>
      <t xml:space="preserve"> Particle Size Multiplier</t>
    </r>
  </si>
  <si>
    <t>Table 10. PM10 Emission factors</t>
  </si>
  <si>
    <t>Material</t>
  </si>
  <si>
    <t>Throughput (tpy)</t>
  </si>
  <si>
    <r>
      <t>Emission Factor</t>
    </r>
    <r>
      <rPr>
        <b/>
        <vertAlign val="superscript"/>
        <sz val="10"/>
        <rFont val="Tahoma"/>
        <family val="2"/>
      </rPr>
      <t xml:space="preserve">1 </t>
    </r>
    <r>
      <rPr>
        <b/>
        <sz val="10"/>
        <rFont val="Tahoma"/>
        <family val="2"/>
      </rPr>
      <t xml:space="preserve">
(lb/ton)</t>
    </r>
  </si>
  <si>
    <t>Worst case- Daily Emissions
(lb/ton)</t>
  </si>
  <si>
    <t>Annual Emissions
(tpy)</t>
  </si>
  <si>
    <t>PM10</t>
  </si>
  <si>
    <t>Emissions factors calculated per Equation 1 of AP-42 Section 13.2.4</t>
  </si>
  <si>
    <t>Table 11. Ore Drop Point TAC Emissions per drop point</t>
  </si>
  <si>
    <t xml:space="preserve">Pollutant </t>
  </si>
  <si>
    <t>CAS #</t>
  </si>
  <si>
    <r>
      <t>Weight Percent</t>
    </r>
    <r>
      <rPr>
        <b/>
        <vertAlign val="superscript"/>
        <sz val="10"/>
        <rFont val="Tahoma"/>
        <family val="2"/>
      </rPr>
      <t>1</t>
    </r>
  </si>
  <si>
    <t>Emission Factor
(lb/ton)</t>
  </si>
  <si>
    <t xml:space="preserve">Emissions
(lb/yr) </t>
  </si>
  <si>
    <t>Daily Emission Factor
(lb/ton)</t>
  </si>
  <si>
    <t>Daily Emissions
(lbs/day)</t>
  </si>
  <si>
    <t>7440-22-4</t>
  </si>
  <si>
    <t>7440-38-2</t>
  </si>
  <si>
    <t>7440-41-7</t>
  </si>
  <si>
    <t>7440-43-9</t>
  </si>
  <si>
    <t>7439-97-6</t>
  </si>
  <si>
    <t>7439-92-1</t>
  </si>
  <si>
    <t>7440-36-0</t>
  </si>
  <si>
    <t>7782-49-2</t>
  </si>
  <si>
    <t>Thallium and compounds</t>
  </si>
  <si>
    <t>7440-28-0</t>
  </si>
  <si>
    <t>7440-66-6</t>
  </si>
  <si>
    <t>1314-56-3</t>
  </si>
  <si>
    <t>7446-11-9</t>
  </si>
  <si>
    <t>1314-62-1</t>
  </si>
  <si>
    <t>Uses maximum of ore source test results</t>
  </si>
  <si>
    <t>Baghouse Emission Calculations</t>
  </si>
  <si>
    <t>Table 12. Baghouse Throughputs</t>
  </si>
  <si>
    <t>Emission Unit</t>
  </si>
  <si>
    <t>Throughput 
(ton/year) (PTE)</t>
  </si>
  <si>
    <t>Throughput 
(ton/day) (PTE)</t>
  </si>
  <si>
    <r>
      <t>Emission Factor</t>
    </r>
    <r>
      <rPr>
        <b/>
        <vertAlign val="superscript"/>
        <sz val="10"/>
        <rFont val="Tahoma"/>
        <family val="2"/>
      </rPr>
      <t xml:space="preserve"> 1</t>
    </r>
    <r>
      <rPr>
        <b/>
        <sz val="10"/>
        <rFont val="Tahoma"/>
        <family val="2"/>
      </rPr>
      <t xml:space="preserve"> 
(lb/ton)</t>
    </r>
  </si>
  <si>
    <t>Actual Emissions
(tpy)</t>
  </si>
  <si>
    <t>PTE Emissions 
(tpy)</t>
  </si>
  <si>
    <t xml:space="preserve">Rotary Dryer Baghouse </t>
  </si>
  <si>
    <t>PM</t>
  </si>
  <si>
    <t>Main Baghouse</t>
  </si>
  <si>
    <t>New Baghouse</t>
  </si>
  <si>
    <t>Total</t>
  </si>
  <si>
    <t>Emission factors are derived from the 2014 and 2018 stack tests performed at the facility, as well as DEQ estimates. Outlined in permit #19-0001 for the facility</t>
  </si>
  <si>
    <t>Table 13. TAC Emissions from Rotary Dryer Baghouse</t>
  </si>
  <si>
    <t>Table 14.TAC Emissions from Main Baghouse</t>
  </si>
  <si>
    <t>Table 15. TAC Emissions from New Baghouse</t>
  </si>
  <si>
    <r>
      <t>Weight Percent</t>
    </r>
    <r>
      <rPr>
        <b/>
        <vertAlign val="superscript"/>
        <sz val="10"/>
        <rFont val="Tahoma"/>
        <family val="2"/>
      </rPr>
      <t xml:space="preserve"> 1</t>
    </r>
  </si>
  <si>
    <t>Uncontrolled Baghouse Emission Calculations</t>
  </si>
  <si>
    <t>Table 16. Uncontrolled Baghouse Throughputs</t>
  </si>
  <si>
    <r>
      <t>Emission Factor</t>
    </r>
    <r>
      <rPr>
        <b/>
        <vertAlign val="superscript"/>
        <sz val="10"/>
        <rFont val="Tahoma"/>
        <family val="2"/>
      </rPr>
      <t xml:space="preserve"> 1</t>
    </r>
    <r>
      <rPr>
        <b/>
        <sz val="10"/>
        <rFont val="Tahoma"/>
        <family val="2"/>
      </rPr>
      <t xml:space="preserve"> 
(lb PM/ton)</t>
    </r>
  </si>
  <si>
    <r>
      <t xml:space="preserve">Baghouse control </t>
    </r>
    <r>
      <rPr>
        <b/>
        <vertAlign val="superscript"/>
        <sz val="10"/>
        <rFont val="Tahoma"/>
        <family val="2"/>
      </rPr>
      <t>4</t>
    </r>
  </si>
  <si>
    <r>
      <t>Uncontrolled Emission Factor</t>
    </r>
    <r>
      <rPr>
        <b/>
        <vertAlign val="superscript"/>
        <sz val="10"/>
        <rFont val="Tahoma"/>
        <family val="2"/>
      </rPr>
      <t xml:space="preserve"> </t>
    </r>
    <r>
      <rPr>
        <b/>
        <sz val="10"/>
        <rFont val="Tahoma"/>
        <family val="2"/>
      </rPr>
      <t xml:space="preserve">
(lb PM/ton)</t>
    </r>
  </si>
  <si>
    <t>Mobile Backhaul Yield</t>
  </si>
  <si>
    <r>
      <t>Default Building control efficiency</t>
    </r>
    <r>
      <rPr>
        <b/>
        <vertAlign val="superscript"/>
        <sz val="10"/>
        <rFont val="Tahoma"/>
        <family val="2"/>
      </rPr>
      <t>2</t>
    </r>
  </si>
  <si>
    <t>Uncontrolled emissions from building ( PM lb/ton)</t>
  </si>
  <si>
    <t xml:space="preserve">Emissions
(tpy </t>
  </si>
  <si>
    <t>Emissions    (lb/day)</t>
  </si>
  <si>
    <t>Building control efficiency from EI Letter discussion summary from Heather Kuoppamaki with DEQ. Dryer is assumed at 100% as there are no handling activities of ore within dryer that could produce emissions.</t>
  </si>
  <si>
    <t>Backhaul yield is the ratio of material that goes to the baghouses and the backhaul pile, to what is processed at the site.  This material is considered the potentially airborne material created during perlite processing.</t>
  </si>
  <si>
    <t>Baghouse control efficiency from EPA Air Pollution Control Technology Fact Sheet for Fabric Filter Cartridge Collector Type.</t>
  </si>
  <si>
    <t>Table 17.TAC Uncontrolled Emissions from Main Baghouse</t>
  </si>
  <si>
    <t>Table 18. TAC Uncontrolled Emissions from New Baghouse</t>
  </si>
  <si>
    <t>Rotary Dryer Emission Calculations</t>
  </si>
  <si>
    <t>Table 19. Used Oil Test Data</t>
  </si>
  <si>
    <t xml:space="preserve">TACs associated with Used oil? </t>
  </si>
  <si>
    <t>Test results</t>
  </si>
  <si>
    <t>Detection limit</t>
  </si>
  <si>
    <t>units</t>
  </si>
  <si>
    <t>Emission Factor¹</t>
  </si>
  <si>
    <t xml:space="preserve">Arsenic </t>
  </si>
  <si>
    <t>&lt;1</t>
  </si>
  <si>
    <t>lbs / Mgal</t>
  </si>
  <si>
    <t>Cadmium</t>
  </si>
  <si>
    <t>&lt;0.1</t>
  </si>
  <si>
    <t xml:space="preserve">Chromium </t>
  </si>
  <si>
    <t>&lt;4</t>
  </si>
  <si>
    <t>Lead</t>
  </si>
  <si>
    <t>lbs lead/Mgal oil</t>
  </si>
  <si>
    <t>Total PCBs</t>
  </si>
  <si>
    <t>If emissions are below detection limit from a test,  half the detection limit is used.</t>
  </si>
  <si>
    <t>1 gallon of oil is equal to</t>
  </si>
  <si>
    <t>lbs</t>
  </si>
  <si>
    <t>Obtained from AP-42 Appendix A "Weights of Selected Substances"</t>
  </si>
  <si>
    <t>Table 20. TAC Emission factors for Used Oil Combustion in the Rotary Dryer</t>
  </si>
  <si>
    <r>
      <t>Pollutant</t>
    </r>
    <r>
      <rPr>
        <b/>
        <vertAlign val="superscript"/>
        <sz val="10"/>
        <rFont val="Tahoma"/>
        <family val="2"/>
      </rPr>
      <t>1</t>
    </r>
  </si>
  <si>
    <r>
      <t>Emission Factor</t>
    </r>
    <r>
      <rPr>
        <b/>
        <vertAlign val="superscript"/>
        <sz val="10"/>
        <rFont val="Tahoma"/>
        <family val="2"/>
      </rPr>
      <t>2</t>
    </r>
    <r>
      <rPr>
        <b/>
        <sz val="10"/>
        <rFont val="Tahoma"/>
        <family val="2"/>
      </rPr>
      <t xml:space="preserve">
(lb/Mgal)</t>
    </r>
  </si>
  <si>
    <t>EF Notes</t>
  </si>
  <si>
    <t>1,1,1-Trichloroethane (methyl chloroform)</t>
  </si>
  <si>
    <t>CAO Re-Refined Used Oil Combustion EF Basis</t>
  </si>
  <si>
    <t>Acenaphthene</t>
  </si>
  <si>
    <t>Acenaphthylene</t>
  </si>
  <si>
    <t>Anthracene</t>
  </si>
  <si>
    <t>Source Testing</t>
  </si>
  <si>
    <t>Benz[a]anthracene</t>
  </si>
  <si>
    <t>Benzene</t>
  </si>
  <si>
    <t>Benzo[b]fluoranthene</t>
  </si>
  <si>
    <t>Benzo[g,h,i]perylene</t>
  </si>
  <si>
    <t>Source testing</t>
  </si>
  <si>
    <t>Chrysene</t>
  </si>
  <si>
    <t>Dibenz[a,h]anthracene</t>
  </si>
  <si>
    <t>Ethyl benzene</t>
  </si>
  <si>
    <t>Fluoranthene</t>
  </si>
  <si>
    <t>Fluorene</t>
  </si>
  <si>
    <t>Formaldehyde</t>
  </si>
  <si>
    <t>Indeno[1,2,3-cd]pyrene</t>
  </si>
  <si>
    <t>Naphthalene</t>
  </si>
  <si>
    <t>Octachlorodibenzo-p-dioxin (OCDD)</t>
  </si>
  <si>
    <t>Xylene (mixture), including m-xylene, o-xylene, p-xylene</t>
  </si>
  <si>
    <t>Polychlorinated biphenyls (PCBs)</t>
  </si>
  <si>
    <t>Phenanthrene</t>
  </si>
  <si>
    <t>Pyrene</t>
  </si>
  <si>
    <t>Toluene</t>
  </si>
  <si>
    <t>Emissions for o-Xylene included as "Xylene (mixture), including m-xylene, o-xylene, p-xylene" (CASRN 1330-20-7) to account for possible toxic emissions associated with o-Xylene as the Xylene (mixture) has an RBC value assigned to it</t>
  </si>
  <si>
    <t xml:space="preserve">Emission factors obtained from CAO Re-Refined Used Oil Combustion EF Basis 2025 provided by DEQ in August 2025, as well as source testing conducted on the used oil at the facility </t>
  </si>
  <si>
    <t>Stockpile Emission Calculations</t>
  </si>
  <si>
    <t xml:space="preserve">Table 21. Stockpile Throughputs </t>
  </si>
  <si>
    <r>
      <t xml:space="preserve">Material Handling Throughput </t>
    </r>
    <r>
      <rPr>
        <b/>
        <vertAlign val="superscript"/>
        <sz val="10"/>
        <rFont val="Tahoma"/>
        <family val="2"/>
      </rPr>
      <t>1</t>
    </r>
    <r>
      <rPr>
        <b/>
        <sz val="10"/>
        <rFont val="Tahoma"/>
        <family val="2"/>
      </rPr>
      <t xml:space="preserve">
(tons/yr)</t>
    </r>
  </si>
  <si>
    <t>Material Handling throughput, Max Day (tons/day)</t>
  </si>
  <si>
    <t>Active Raw Ore and Active Fill Stockpile</t>
  </si>
  <si>
    <t>Inactive Raw Ore and Inactive Fill Stockpile</t>
  </si>
  <si>
    <t>Material handling throughput is equal to the amount of raw ore hauled into the site throughout the year and was provided by Imerys, and scaled up by  30% for conservancy</t>
  </si>
  <si>
    <t>Table 22. Material Handling Operational Data</t>
  </si>
  <si>
    <t>Active Raw Ore</t>
  </si>
  <si>
    <t>Inactive Raw Ore</t>
  </si>
  <si>
    <t>Material Handling Particle Size Multiplier</t>
  </si>
  <si>
    <t>PM10 Particle Size Multiplier</t>
  </si>
  <si>
    <t>PM2.5 Particle Size Multiplier</t>
  </si>
  <si>
    <t>Wind Erosion Particle Size Multiplier</t>
  </si>
  <si>
    <t>AP-42 Section 13.2.5 (11/06)</t>
  </si>
  <si>
    <t>Mean wind speed from Aermet Data</t>
  </si>
  <si>
    <t>Worst Case Wind Speed</t>
  </si>
  <si>
    <t>Max daily wind speed from Aermet Data</t>
  </si>
  <si>
    <t>Percent of Time Where Wind Speed &gt; 12 mph (yearly)</t>
  </si>
  <si>
    <t>Based on Aermet Data</t>
  </si>
  <si>
    <t>Percent of Time Where Wind Speed &gt; 12 mph (daily)</t>
  </si>
  <si>
    <t>Table 23. Material Handling PM Emission Factors and Emissions</t>
  </si>
  <si>
    <t>Throughput (tpy) or (tpd) for daily</t>
  </si>
  <si>
    <t>Daily Emissions
(lb/day)</t>
  </si>
  <si>
    <r>
      <t>Fugitive dust control</t>
    </r>
    <r>
      <rPr>
        <b/>
        <sz val="10"/>
        <rFont val="Aptos Narrow"/>
        <family val="2"/>
      </rPr>
      <t>²</t>
    </r>
  </si>
  <si>
    <t>Active Raw Ore - Worst Case Day Emissions</t>
  </si>
  <si>
    <t>Inactive Raw Ore - Worst Case Day Emissions</t>
  </si>
  <si>
    <t>²</t>
  </si>
  <si>
    <t>Control Efficiency from WRAP Fugitive Dust Handbook, Table 9-4 (09, 2006)</t>
  </si>
  <si>
    <t>Table 24. Stockpile Surface Area Calculations</t>
  </si>
  <si>
    <t>Stockpile Height (m)</t>
  </si>
  <si>
    <t>Top Ellipse Length (m)</t>
  </si>
  <si>
    <t>Top Ellipse Width (m)</t>
  </si>
  <si>
    <r>
      <t xml:space="preserve">Top Ellipse Perimeter (m) </t>
    </r>
    <r>
      <rPr>
        <vertAlign val="superscript"/>
        <sz val="10"/>
        <rFont val="Tahoma"/>
        <family val="2"/>
      </rPr>
      <t>5</t>
    </r>
  </si>
  <si>
    <t>Bottom Ellipse Length (m)</t>
  </si>
  <si>
    <t>Bottom Ellipse Width (m)</t>
  </si>
  <si>
    <t>Bottom Ellipse Perimeter (m) 5</t>
  </si>
  <si>
    <r>
      <t xml:space="preserve">Slant height (m) </t>
    </r>
    <r>
      <rPr>
        <vertAlign val="superscript"/>
        <sz val="10"/>
        <rFont val="Tahoma"/>
        <family val="2"/>
      </rPr>
      <t>4</t>
    </r>
  </si>
  <si>
    <r>
      <t>Surface Area of Top Ellipse (m</t>
    </r>
    <r>
      <rPr>
        <vertAlign val="superscript"/>
        <sz val="10"/>
        <rFont val="Tahoma"/>
        <family val="2"/>
      </rPr>
      <t>2</t>
    </r>
    <r>
      <rPr>
        <sz val="10"/>
        <rFont val="Tahoma"/>
        <family val="2"/>
      </rPr>
      <t xml:space="preserve">) </t>
    </r>
    <r>
      <rPr>
        <vertAlign val="superscript"/>
        <sz val="10"/>
        <rFont val="Tahoma"/>
        <family val="2"/>
      </rPr>
      <t>3</t>
    </r>
  </si>
  <si>
    <r>
      <t>Surface Area of Pile Sides (m</t>
    </r>
    <r>
      <rPr>
        <vertAlign val="superscript"/>
        <sz val="10"/>
        <rFont val="Tahoma"/>
        <family val="2"/>
      </rPr>
      <t>2</t>
    </r>
    <r>
      <rPr>
        <sz val="10"/>
        <rFont val="Tahoma"/>
        <family val="2"/>
      </rPr>
      <t xml:space="preserve">) </t>
    </r>
    <r>
      <rPr>
        <vertAlign val="superscript"/>
        <sz val="10"/>
        <rFont val="Tahoma"/>
        <family val="2"/>
      </rPr>
      <t>2</t>
    </r>
  </si>
  <si>
    <r>
      <t>Total Surface Area (m</t>
    </r>
    <r>
      <rPr>
        <vertAlign val="superscript"/>
        <sz val="10"/>
        <rFont val="Tahoma"/>
        <family val="2"/>
      </rPr>
      <t>2</t>
    </r>
    <r>
      <rPr>
        <sz val="10"/>
        <rFont val="Tahoma"/>
        <family val="2"/>
      </rPr>
      <t>)</t>
    </r>
  </si>
  <si>
    <r>
      <t>Total Surface Area (acre)</t>
    </r>
    <r>
      <rPr>
        <sz val="10"/>
        <rFont val="Calibri"/>
        <family val="2"/>
      </rPr>
      <t>⁶</t>
    </r>
  </si>
  <si>
    <t>Surface area calculations assume a elliptical cone frustum shape with the bottom ellipse not included in surface area calculations as it is against the ground and not exposed to wind.</t>
  </si>
  <si>
    <r>
      <t>Surface area of the slanted sides of pile is approximated using the following formula A=((P</t>
    </r>
    <r>
      <rPr>
        <vertAlign val="subscript"/>
        <sz val="10"/>
        <rFont val="Tahoma"/>
        <family val="2"/>
      </rPr>
      <t>1</t>
    </r>
    <r>
      <rPr>
        <sz val="10"/>
        <rFont val="Tahoma"/>
        <family val="2"/>
      </rPr>
      <t>+P</t>
    </r>
    <r>
      <rPr>
        <vertAlign val="subscript"/>
        <sz val="10"/>
        <rFont val="Tahoma"/>
        <family val="2"/>
      </rPr>
      <t>2</t>
    </r>
    <r>
      <rPr>
        <sz val="10"/>
        <rFont val="Tahoma"/>
        <family val="2"/>
      </rPr>
      <t>)/2)*s where P</t>
    </r>
    <r>
      <rPr>
        <vertAlign val="subscript"/>
        <sz val="10"/>
        <rFont val="Tahoma"/>
        <family val="2"/>
      </rPr>
      <t>1</t>
    </r>
    <r>
      <rPr>
        <sz val="10"/>
        <rFont val="Tahoma"/>
        <family val="2"/>
      </rPr>
      <t>= perimeter of top ellipse, P</t>
    </r>
    <r>
      <rPr>
        <vertAlign val="subscript"/>
        <sz val="10"/>
        <rFont val="Tahoma"/>
        <family val="2"/>
      </rPr>
      <t>2</t>
    </r>
    <r>
      <rPr>
        <sz val="10"/>
        <rFont val="Tahoma"/>
        <family val="2"/>
      </rPr>
      <t xml:space="preserve"> = perimeter of bottom ellipse, and s = slant height</t>
    </r>
  </si>
  <si>
    <r>
      <t>Surface area of top ellipse is calculated using the following formula: A=π(L</t>
    </r>
    <r>
      <rPr>
        <vertAlign val="subscript"/>
        <sz val="10"/>
        <rFont val="Tahoma"/>
        <family val="2"/>
      </rPr>
      <t>2</t>
    </r>
    <r>
      <rPr>
        <sz val="10"/>
        <rFont val="Tahoma"/>
        <family val="2"/>
      </rPr>
      <t>/2)*(W</t>
    </r>
    <r>
      <rPr>
        <vertAlign val="subscript"/>
        <sz val="10"/>
        <rFont val="Tahoma"/>
        <family val="2"/>
      </rPr>
      <t>2</t>
    </r>
    <r>
      <rPr>
        <sz val="10"/>
        <rFont val="Tahoma"/>
        <family val="2"/>
      </rPr>
      <t>/2) where L</t>
    </r>
    <r>
      <rPr>
        <vertAlign val="subscript"/>
        <sz val="10"/>
        <rFont val="Tahoma"/>
        <family val="2"/>
      </rPr>
      <t>2</t>
    </r>
    <r>
      <rPr>
        <sz val="10"/>
        <rFont val="Tahoma"/>
        <family val="2"/>
      </rPr>
      <t xml:space="preserve"> = length of top ellipse and W</t>
    </r>
    <r>
      <rPr>
        <vertAlign val="subscript"/>
        <sz val="10"/>
        <rFont val="Tahoma"/>
        <family val="2"/>
      </rPr>
      <t>2</t>
    </r>
    <r>
      <rPr>
        <sz val="10"/>
        <rFont val="Tahoma"/>
        <family val="2"/>
      </rPr>
      <t xml:space="preserve"> = width of top ellipse</t>
    </r>
  </si>
  <si>
    <r>
      <t>Slant height is calculated using the following formula: s = sqrt(h</t>
    </r>
    <r>
      <rPr>
        <vertAlign val="superscript"/>
        <sz val="10"/>
        <rFont val="Tahoma"/>
        <family val="2"/>
      </rPr>
      <t>2</t>
    </r>
    <r>
      <rPr>
        <sz val="10"/>
        <rFont val="Tahoma"/>
        <family val="2"/>
      </rPr>
      <t xml:space="preserve"> + ((L</t>
    </r>
    <r>
      <rPr>
        <vertAlign val="subscript"/>
        <sz val="10"/>
        <rFont val="Tahoma"/>
        <family val="2"/>
      </rPr>
      <t>1</t>
    </r>
    <r>
      <rPr>
        <sz val="10"/>
        <rFont val="Tahoma"/>
        <family val="2"/>
      </rPr>
      <t>/2)-(L</t>
    </r>
    <r>
      <rPr>
        <vertAlign val="subscript"/>
        <sz val="10"/>
        <rFont val="Tahoma"/>
        <family val="2"/>
      </rPr>
      <t>2</t>
    </r>
    <r>
      <rPr>
        <sz val="10"/>
        <rFont val="Tahoma"/>
        <family val="2"/>
      </rPr>
      <t>/2))</t>
    </r>
    <r>
      <rPr>
        <vertAlign val="superscript"/>
        <sz val="10"/>
        <rFont val="Tahoma"/>
        <family val="2"/>
      </rPr>
      <t>2</t>
    </r>
    <r>
      <rPr>
        <sz val="10"/>
        <rFont val="Tahoma"/>
        <family val="2"/>
      </rPr>
      <t>) where L</t>
    </r>
    <r>
      <rPr>
        <vertAlign val="subscript"/>
        <sz val="10"/>
        <rFont val="Tahoma"/>
        <family val="2"/>
      </rPr>
      <t>1</t>
    </r>
    <r>
      <rPr>
        <sz val="10"/>
        <rFont val="Tahoma"/>
        <family val="2"/>
      </rPr>
      <t xml:space="preserve"> = length of the bottom ellipse, L</t>
    </r>
    <r>
      <rPr>
        <vertAlign val="subscript"/>
        <sz val="10"/>
        <rFont val="Tahoma"/>
        <family val="2"/>
      </rPr>
      <t>2</t>
    </r>
    <r>
      <rPr>
        <sz val="10"/>
        <rFont val="Tahoma"/>
        <family val="2"/>
      </rPr>
      <t xml:space="preserve"> = length of the top ellipse, and h = stockpile height</t>
    </r>
  </si>
  <si>
    <t xml:space="preserve">Perimeters of both the top and bottom ellipse are estimated using Ramanujan’s approximation where: P=π(3*(a+b)−√((3a+b)(a+3b))) </t>
  </si>
  <si>
    <t>⁶</t>
  </si>
  <si>
    <t>4046.78 m2 per acre</t>
  </si>
  <si>
    <t>largest reference</t>
  </si>
  <si>
    <t>Table 25. Wind Erosion Operational Data</t>
  </si>
  <si>
    <r>
      <t xml:space="preserve"> Wind Erosion Throughput</t>
    </r>
    <r>
      <rPr>
        <b/>
        <vertAlign val="superscript"/>
        <sz val="10"/>
        <rFont val="Tahoma"/>
        <family val="2"/>
      </rPr>
      <t>1</t>
    </r>
    <r>
      <rPr>
        <b/>
        <sz val="10"/>
        <rFont val="Tahoma"/>
        <family val="2"/>
      </rPr>
      <t xml:space="preserve">
(acres)</t>
    </r>
  </si>
  <si>
    <r>
      <t>Emission Factor</t>
    </r>
    <r>
      <rPr>
        <b/>
        <vertAlign val="superscript"/>
        <sz val="10"/>
        <rFont val="Tahoma"/>
        <family val="2"/>
      </rPr>
      <t xml:space="preserve">2,3 ,4,5
</t>
    </r>
    <r>
      <rPr>
        <b/>
        <sz val="10"/>
        <rFont val="Tahoma"/>
        <family val="2"/>
      </rPr>
      <t>(lb/day/acre)</t>
    </r>
  </si>
  <si>
    <r>
      <t>Emission Factor</t>
    </r>
    <r>
      <rPr>
        <b/>
        <vertAlign val="superscript"/>
        <sz val="10"/>
        <rFont val="Tahoma"/>
        <family val="2"/>
      </rPr>
      <t xml:space="preserve">6
</t>
    </r>
    <r>
      <rPr>
        <b/>
        <sz val="10"/>
        <rFont val="Tahoma"/>
        <family val="2"/>
      </rPr>
      <t>(lb/day/acre)</t>
    </r>
  </si>
  <si>
    <t>Annual Emissions
(lbs/year)</t>
  </si>
  <si>
    <r>
      <t>Fugitive dust control</t>
    </r>
    <r>
      <rPr>
        <b/>
        <sz val="10"/>
        <rFont val="Calibri"/>
        <family val="2"/>
      </rPr>
      <t>⁷</t>
    </r>
  </si>
  <si>
    <t>TSP</t>
  </si>
  <si>
    <t>Active Raw Ore - Worst Case</t>
  </si>
  <si>
    <t>Inactive Raw Ore - Worst Case</t>
  </si>
  <si>
    <t>The Active and Inactive raw ore piles were measured using google earth for a more accurate estimate of product use in this equation, measurements are shown below</t>
  </si>
  <si>
    <t xml:space="preserve">Total suspended particle emission factor derived from equation 4-9 outlined in EPA article "Control of Open Fugitive Dust Sources" </t>
  </si>
  <si>
    <t xml:space="preserve">The number of days with precipitation above 0.25 mm per year is assumed to be 0, as advised by  Oregon DEQ for daily precipitation amounts. </t>
  </si>
  <si>
    <t>The silt content for perlite ore was derived from unpaved emission factors for mining haul roads</t>
  </si>
  <si>
    <t xml:space="preserve">The number of days with precipitation above 0.25 mm per year for daily amounts is </t>
  </si>
  <si>
    <t>According to NOAA National Centers for Environmental Information 1981-2010 Climate Normals data for station LAKEVIEW 2 NNW, OR, US</t>
  </si>
  <si>
    <t>From AP-42 chapter 13.2.5</t>
  </si>
  <si>
    <t>Table 26. Active Raw Ore and Active Fill Stockpile MH Emissions</t>
  </si>
  <si>
    <t>Table 27. Inactive Raw Ore and Inactive Fill Stockpile MH Emissions</t>
  </si>
  <si>
    <t>Annual Emission Factor
(lb/ton)</t>
  </si>
  <si>
    <t>Worst-case Daily Emission Factor (lb/ton)</t>
  </si>
  <si>
    <t>Daily Emissions (lb/day)</t>
  </si>
  <si>
    <t>Uses Raw Ore source test results</t>
  </si>
  <si>
    <t>Table 28. Active Raw Ore and Active Fill Stockpile Wind Erosion Emissions</t>
  </si>
  <si>
    <t>Table 29. Inactive Raw Ore and Inactive Fill Stockpile Wind erosion Emissions</t>
  </si>
  <si>
    <t>Annual Emission Factor
(lb/acre/year)</t>
  </si>
  <si>
    <t>Worst-case Daily Emission Factor (lb/acre/day)</t>
  </si>
  <si>
    <t>Inactive Raw Ore - Top Ellipse Length</t>
  </si>
  <si>
    <t>Inactive Raw Ore - Top Ellipse Width</t>
  </si>
  <si>
    <t>Inactive Raw Ore - Bottom Ellipse Length</t>
  </si>
  <si>
    <t>Inactive Raw Ore - Bottom Ellipse Width</t>
  </si>
  <si>
    <t>Active Raw Ore - Top Ellipse Length</t>
  </si>
  <si>
    <t>Active Raw Ore - Top Ellipse Width</t>
  </si>
  <si>
    <t>Active Raw Ore - Bottom Ellipse Length</t>
  </si>
  <si>
    <t>Active Raw Ore - Bottom Ellipse Width</t>
  </si>
  <si>
    <t>Crusher Emission Calculations</t>
  </si>
  <si>
    <t xml:space="preserve">Table 30. Crusher Operation Data </t>
  </si>
  <si>
    <r>
      <t xml:space="preserve">PM Emission Factor for Tertiary Crushing (controlled) </t>
    </r>
    <r>
      <rPr>
        <vertAlign val="superscript"/>
        <sz val="10"/>
        <rFont val="Tahoma"/>
        <family val="2"/>
      </rPr>
      <t>1,2</t>
    </r>
  </si>
  <si>
    <t>lb/ton</t>
  </si>
  <si>
    <t>AP-42 Section 11.19.2 Table 11.19.2-2 (8/04)</t>
  </si>
  <si>
    <r>
      <t>PM</t>
    </r>
    <r>
      <rPr>
        <vertAlign val="subscript"/>
        <sz val="10"/>
        <rFont val="Tahoma"/>
        <family val="2"/>
      </rPr>
      <t>10</t>
    </r>
    <r>
      <rPr>
        <sz val="10"/>
        <rFont val="Tahoma"/>
        <family val="2"/>
      </rPr>
      <t xml:space="preserve"> Emission Factor for Tertiary Crushing (controlled) </t>
    </r>
    <r>
      <rPr>
        <vertAlign val="superscript"/>
        <sz val="10"/>
        <rFont val="Tahoma"/>
        <family val="2"/>
      </rPr>
      <t>1,2</t>
    </r>
  </si>
  <si>
    <r>
      <t>PM</t>
    </r>
    <r>
      <rPr>
        <vertAlign val="subscript"/>
        <sz val="10"/>
        <rFont val="Tahoma"/>
        <family val="2"/>
      </rPr>
      <t>2.5</t>
    </r>
    <r>
      <rPr>
        <sz val="10"/>
        <rFont val="Tahoma"/>
        <family val="2"/>
      </rPr>
      <t xml:space="preserve"> Emission Factor for Tertiary Crushing (controlled)</t>
    </r>
    <r>
      <rPr>
        <vertAlign val="superscript"/>
        <sz val="10"/>
        <rFont val="Tahoma"/>
        <family val="2"/>
      </rPr>
      <t>1,2</t>
    </r>
  </si>
  <si>
    <t>Daily Production Throughput</t>
  </si>
  <si>
    <t>Lakeview, OR Simple Air Contaminant Discharge Permit Renewal Application 19-0001-SI-01 2024</t>
  </si>
  <si>
    <t>Yearly Production Throughput</t>
  </si>
  <si>
    <t>tons/year</t>
  </si>
  <si>
    <t>Per footnote n. of Table 11.19.2-2: No data available, but emission factors for PM-10 for tertiary crushers can be used as an upper limit for  primary or secondary crushing . The screen on the crusher has a screen size of 15/16", which is 5x larger than the maximum screen size sampled in the documentation (3/16 "), and thus emissions are assumed to be negligible. https://www.epa.gov/sites/default/files/2020-10/documents/c11s1902.pdf</t>
  </si>
  <si>
    <t>Per Emission Factor Documentation For AP-42 Section 8.17 Perlite Processing, crude ore moisture content is assumed to be 4%, which is wetter than the sample ores in the controlled sample ores in AP-42 Section 11.19.2, therefore the crushing of raw perlite is considered controlled</t>
  </si>
  <si>
    <t>Table 31. Crusher TACS emissions estimate</t>
  </si>
  <si>
    <r>
      <t>Emission Rate</t>
    </r>
    <r>
      <rPr>
        <b/>
        <vertAlign val="superscript"/>
        <sz val="10"/>
        <rFont val="Tahoma"/>
        <family val="2"/>
      </rPr>
      <t>2</t>
    </r>
    <r>
      <rPr>
        <b/>
        <sz val="10"/>
        <rFont val="Tahoma"/>
        <family val="2"/>
      </rPr>
      <t xml:space="preserve">
(lb/day)</t>
    </r>
  </si>
  <si>
    <r>
      <t>Emission Rate</t>
    </r>
    <r>
      <rPr>
        <b/>
        <vertAlign val="superscript"/>
        <sz val="10"/>
        <rFont val="Tahoma"/>
        <family val="2"/>
      </rPr>
      <t>2</t>
    </r>
    <r>
      <rPr>
        <b/>
        <sz val="10"/>
        <rFont val="Tahoma"/>
        <family val="2"/>
      </rPr>
      <t xml:space="preserve">
(lb/year)</t>
    </r>
  </si>
  <si>
    <t>Assumes all particulates are emitted as PM</t>
  </si>
  <si>
    <t>Unpaved Roads Emission Calculations</t>
  </si>
  <si>
    <t xml:space="preserve">Table 32. Unpaved Road Operation Data </t>
  </si>
  <si>
    <t>k, PM Particle Size Multiplier</t>
  </si>
  <si>
    <t>lb/VMT</t>
  </si>
  <si>
    <t>AP-42 Section 13.2.2 Table 13.2.2-2 (11/06)</t>
  </si>
  <si>
    <r>
      <t>k, PM</t>
    </r>
    <r>
      <rPr>
        <vertAlign val="subscript"/>
        <sz val="10"/>
        <rFont val="Tahoma"/>
        <family val="2"/>
      </rPr>
      <t>10</t>
    </r>
    <r>
      <rPr>
        <sz val="10"/>
        <rFont val="Tahoma"/>
        <family val="2"/>
      </rPr>
      <t xml:space="preserve"> size multiplier</t>
    </r>
  </si>
  <si>
    <r>
      <t>k, PM</t>
    </r>
    <r>
      <rPr>
        <vertAlign val="subscript"/>
        <sz val="10"/>
        <rFont val="Tahoma"/>
        <family val="2"/>
      </rPr>
      <t>2.5</t>
    </r>
    <r>
      <rPr>
        <sz val="10"/>
        <rFont val="Tahoma"/>
        <family val="2"/>
      </rPr>
      <t xml:space="preserve"> size multiplier</t>
    </r>
  </si>
  <si>
    <t>a, empirical constant for PM</t>
  </si>
  <si>
    <r>
      <t>a, empirical constant for PM</t>
    </r>
    <r>
      <rPr>
        <vertAlign val="subscript"/>
        <sz val="10"/>
        <rFont val="Tahoma"/>
        <family val="2"/>
      </rPr>
      <t>2.5</t>
    </r>
    <r>
      <rPr>
        <sz val="10"/>
        <rFont val="Tahoma"/>
        <family val="2"/>
      </rPr>
      <t xml:space="preserve"> and PM</t>
    </r>
    <r>
      <rPr>
        <vertAlign val="subscript"/>
        <sz val="10"/>
        <rFont val="Tahoma"/>
        <family val="2"/>
      </rPr>
      <t>10</t>
    </r>
  </si>
  <si>
    <r>
      <t>b, empirical constant for PM</t>
    </r>
    <r>
      <rPr>
        <vertAlign val="subscript"/>
        <sz val="10"/>
        <rFont val="Tahoma"/>
        <family val="2"/>
      </rPr>
      <t>2.5</t>
    </r>
    <r>
      <rPr>
        <sz val="10"/>
        <rFont val="Tahoma"/>
        <family val="2"/>
      </rPr>
      <t>, PM</t>
    </r>
    <r>
      <rPr>
        <vertAlign val="subscript"/>
        <sz val="10"/>
        <rFont val="Tahoma"/>
        <family val="2"/>
      </rPr>
      <t>10</t>
    </r>
    <r>
      <rPr>
        <sz val="10"/>
        <rFont val="Tahoma"/>
        <family val="2"/>
      </rPr>
      <t>, and PM</t>
    </r>
  </si>
  <si>
    <r>
      <t>sL, roadway surface silt content</t>
    </r>
    <r>
      <rPr>
        <vertAlign val="superscript"/>
        <sz val="10"/>
        <rFont val="Tahoma"/>
        <family val="2"/>
      </rPr>
      <t>1</t>
    </r>
  </si>
  <si>
    <t>AP-42 Section 13.2.2 Table 13.2.2-1 (11/06)</t>
  </si>
  <si>
    <t xml:space="preserve">W, average truck weight </t>
  </si>
  <si>
    <t>tons</t>
  </si>
  <si>
    <t>Estimate from similar trucks</t>
  </si>
  <si>
    <t xml:space="preserve">P, mean number of days per year with measurable precipitation above 0.01in </t>
  </si>
  <si>
    <t>days</t>
  </si>
  <si>
    <t>NOAA National Centers for Environmental Information 1981-2010 Climate Normals data for station LAKEVIEW 2 NNW, OR, US</t>
  </si>
  <si>
    <t>Unpaved Road Control from limiting vehicle speeds to &lt;25 mph³</t>
  </si>
  <si>
    <t>WRAP Fugitive Dust Handbook, Table 6-6</t>
  </si>
  <si>
    <t>Unpaved Road Control from water control</t>
  </si>
  <si>
    <t>WRAP Fugitive Dust Handbook, Section 6, Average of bilinear moisture curve, 10 - 74%</t>
  </si>
  <si>
    <t>The silt content for stone quarrying and processing is used because the material is expected to be similar with a texture and silt content.</t>
  </si>
  <si>
    <t>Average truck weight is determined by combining the truck weight empty with the vehicle capacity of material, assuming trips out are empty</t>
  </si>
  <si>
    <t>Truck Weight (empty):</t>
  </si>
  <si>
    <t>Vehicle Capacity:</t>
  </si>
  <si>
    <t xml:space="preserve">WRAP Fugitive Dust Handbook 2006. </t>
  </si>
  <si>
    <t>Table 33. Uncontrolled Unpaved roads PM Emission Factors Short term</t>
  </si>
  <si>
    <r>
      <t xml:space="preserve">PM Emission Factor, E </t>
    </r>
    <r>
      <rPr>
        <b/>
        <vertAlign val="superscript"/>
        <sz val="10"/>
        <rFont val="Tahoma"/>
        <family val="2"/>
      </rPr>
      <t>1</t>
    </r>
  </si>
  <si>
    <r>
      <t>PM</t>
    </r>
    <r>
      <rPr>
        <b/>
        <vertAlign val="subscript"/>
        <sz val="10"/>
        <rFont val="Tahoma"/>
        <family val="2"/>
      </rPr>
      <t xml:space="preserve">10 </t>
    </r>
    <r>
      <rPr>
        <b/>
        <sz val="10"/>
        <rFont val="Tahoma"/>
        <family val="2"/>
      </rPr>
      <t xml:space="preserve">Emission Factor, E </t>
    </r>
    <r>
      <rPr>
        <b/>
        <vertAlign val="superscript"/>
        <sz val="10"/>
        <rFont val="Tahoma"/>
        <family val="2"/>
      </rPr>
      <t>1</t>
    </r>
  </si>
  <si>
    <r>
      <t>PM</t>
    </r>
    <r>
      <rPr>
        <b/>
        <vertAlign val="subscript"/>
        <sz val="10"/>
        <rFont val="Tahoma"/>
        <family val="2"/>
      </rPr>
      <t xml:space="preserve">2.5 </t>
    </r>
    <r>
      <rPr>
        <b/>
        <sz val="10"/>
        <rFont val="Tahoma"/>
        <family val="2"/>
      </rPr>
      <t xml:space="preserve">Emission Factor, E </t>
    </r>
    <r>
      <rPr>
        <b/>
        <vertAlign val="superscript"/>
        <sz val="10"/>
        <rFont val="Tahoma"/>
        <family val="2"/>
      </rPr>
      <t>1</t>
    </r>
  </si>
  <si>
    <t>(lb/VMT)</t>
  </si>
  <si>
    <t>Emission factor E is calculated according to AP-42 Section 13.2.2 for emissions from unpaved roads, equation 1a:</t>
  </si>
  <si>
    <t>E (lbs/VMT)</t>
  </si>
  <si>
    <r>
      <t>= Paved Road Emission Factor, [ k * (s/12)</t>
    </r>
    <r>
      <rPr>
        <vertAlign val="superscript"/>
        <sz val="10"/>
        <rFont val="Tahoma"/>
        <family val="2"/>
      </rPr>
      <t>a</t>
    </r>
    <r>
      <rPr>
        <sz val="10"/>
        <rFont val="Tahoma"/>
        <family val="2"/>
      </rPr>
      <t xml:space="preserve"> * (W/3)</t>
    </r>
    <r>
      <rPr>
        <vertAlign val="superscript"/>
        <sz val="10"/>
        <rFont val="Tahoma"/>
        <family val="2"/>
      </rPr>
      <t>b</t>
    </r>
    <r>
      <rPr>
        <sz val="10"/>
        <rFont val="Tahoma"/>
        <family val="2"/>
      </rPr>
      <t xml:space="preserve"> ]</t>
    </r>
  </si>
  <si>
    <t>Table 34. Uncontrolled Unpaved Roads PM Emission Factor long term</t>
  </si>
  <si>
    <r>
      <t xml:space="preserve">PM Emissions </t>
    </r>
    <r>
      <rPr>
        <b/>
        <vertAlign val="superscript"/>
        <sz val="10"/>
        <rFont val="Tahoma"/>
        <family val="2"/>
      </rPr>
      <t>1</t>
    </r>
  </si>
  <si>
    <r>
      <t>PM</t>
    </r>
    <r>
      <rPr>
        <b/>
        <vertAlign val="subscript"/>
        <sz val="10"/>
        <rFont val="Tahoma"/>
        <family val="2"/>
      </rPr>
      <t>10</t>
    </r>
    <r>
      <rPr>
        <b/>
        <sz val="10"/>
        <rFont val="Tahoma"/>
        <family val="2"/>
      </rPr>
      <t xml:space="preserve"> Emissions </t>
    </r>
    <r>
      <rPr>
        <b/>
        <vertAlign val="superscript"/>
        <sz val="10"/>
        <rFont val="Tahoma"/>
        <family val="2"/>
      </rPr>
      <t>1</t>
    </r>
  </si>
  <si>
    <r>
      <t>PM</t>
    </r>
    <r>
      <rPr>
        <b/>
        <vertAlign val="subscript"/>
        <sz val="10"/>
        <rFont val="Tahoma"/>
        <family val="2"/>
      </rPr>
      <t>2.5</t>
    </r>
    <r>
      <rPr>
        <b/>
        <sz val="10"/>
        <rFont val="Tahoma"/>
        <family val="2"/>
      </rPr>
      <t xml:space="preserve"> Emissions </t>
    </r>
    <r>
      <rPr>
        <b/>
        <vertAlign val="superscript"/>
        <sz val="10"/>
        <rFont val="Tahoma"/>
        <family val="2"/>
      </rPr>
      <t>1</t>
    </r>
  </si>
  <si>
    <t>Emissions account for natural mitigation due to precipitation according to AP-42 Section 13.2.2 equation 2:</t>
  </si>
  <si>
    <t>Annual emissions (tpy)</t>
  </si>
  <si>
    <t>= E * [(365 - P)/365)]</t>
  </si>
  <si>
    <t>Table 35. Vehicle Miles Traveled Estimates</t>
  </si>
  <si>
    <r>
      <t>Maximum Loads Per day</t>
    </r>
    <r>
      <rPr>
        <b/>
        <sz val="10"/>
        <rFont val="Calibri"/>
        <family val="2"/>
      </rPr>
      <t>¹</t>
    </r>
  </si>
  <si>
    <r>
      <t xml:space="preserve">Maximum Loads Per Year </t>
    </r>
    <r>
      <rPr>
        <b/>
        <vertAlign val="superscript"/>
        <sz val="10"/>
        <rFont val="Tahoma"/>
        <family val="2"/>
      </rPr>
      <t>1</t>
    </r>
  </si>
  <si>
    <t>Average Truck Round Trip Distance</t>
  </si>
  <si>
    <t>Vehicle Miles Traveled per day</t>
  </si>
  <si>
    <t>Vehicle Miles Traveled per Year</t>
  </si>
  <si>
    <t>(mi)</t>
  </si>
  <si>
    <t>(VMT/day)</t>
  </si>
  <si>
    <t>(VMT/yr)</t>
  </si>
  <si>
    <t>Based on maximum daily loads in 2024</t>
  </si>
  <si>
    <t>Based on max annual throughput divided by 25 tons per load</t>
  </si>
  <si>
    <t xml:space="preserve">Truck Capacity: </t>
  </si>
  <si>
    <t>Max Annual Throughput:</t>
  </si>
  <si>
    <t>tons/yr</t>
  </si>
  <si>
    <t>Table 36. Unpaved Roads TACS emissions estimate</t>
  </si>
  <si>
    <t>Short term PM10 Emission Factor
(lb/VMT)</t>
  </si>
  <si>
    <r>
      <rPr>
        <b/>
        <sz val="10"/>
        <color rgb="FF000000"/>
        <rFont val="Tahoma"/>
        <family val="2"/>
      </rPr>
      <t>Emission Rate</t>
    </r>
    <r>
      <rPr>
        <b/>
        <vertAlign val="superscript"/>
        <sz val="10"/>
        <color rgb="FF000000"/>
        <rFont val="Tahoma"/>
        <family val="2"/>
      </rPr>
      <t xml:space="preserve">2,3
</t>
    </r>
    <r>
      <rPr>
        <b/>
        <sz val="10"/>
        <color rgb="FF000000"/>
        <rFont val="Tahoma"/>
        <family val="2"/>
      </rPr>
      <t>(lb/day)</t>
    </r>
  </si>
  <si>
    <t>Long term PM10 Emission Factor
(lb/VMT)</t>
  </si>
  <si>
    <r>
      <t>Emission Rate</t>
    </r>
    <r>
      <rPr>
        <b/>
        <vertAlign val="superscript"/>
        <sz val="10"/>
        <rFont val="Tahoma"/>
        <family val="2"/>
      </rPr>
      <t>2,3</t>
    </r>
    <r>
      <rPr>
        <b/>
        <sz val="10"/>
        <rFont val="Tahoma"/>
        <family val="2"/>
      </rPr>
      <t xml:space="preserve">
(lb/year)</t>
    </r>
  </si>
  <si>
    <t>The soil is assumed to have perlite content of 100% for conservatism</t>
  </si>
  <si>
    <t>Storage Tank Emission Calculations</t>
  </si>
  <si>
    <t xml:space="preserve">Table 37. Storage Tank Operation Data </t>
  </si>
  <si>
    <t>Annual Throughput</t>
  </si>
  <si>
    <t>gal/yr</t>
  </si>
  <si>
    <r>
      <t>Daily Throughput</t>
    </r>
    <r>
      <rPr>
        <vertAlign val="superscript"/>
        <sz val="10"/>
        <rFont val="Tahoma"/>
        <family val="2"/>
      </rPr>
      <t>2</t>
    </r>
  </si>
  <si>
    <r>
      <t>Hourly Throughput</t>
    </r>
    <r>
      <rPr>
        <vertAlign val="superscript"/>
        <sz val="10"/>
        <rFont val="Tahoma"/>
        <family val="2"/>
      </rPr>
      <t>2</t>
    </r>
  </si>
  <si>
    <t>gal/hour</t>
  </si>
  <si>
    <r>
      <t>Tank Height</t>
    </r>
    <r>
      <rPr>
        <vertAlign val="superscript"/>
        <sz val="10"/>
        <rFont val="Tahoma"/>
        <family val="2"/>
      </rPr>
      <t>1</t>
    </r>
  </si>
  <si>
    <t>ft</t>
  </si>
  <si>
    <t>Tank Diameter</t>
  </si>
  <si>
    <t>Stock Type²</t>
  </si>
  <si>
    <t>Diesel</t>
  </si>
  <si>
    <t>Used oil tanks are horizontal tanks</t>
  </si>
  <si>
    <t>Short term throughput was conservatively assumed to be equal to one tank volume of filling in one hour, with one tank filling per day</t>
  </si>
  <si>
    <t>Heat of combustion of the stock from testing was 18,031 BTU/lb, which is similar to the HHV of diesel fuel (19,300 Btu/lb) from AP-42 Section 3.3 Gasoline And Diesel Industrial Engines</t>
  </si>
  <si>
    <t>Table 38. Oil Storage Tanks Potential Emissions - Criteria Pollutants</t>
  </si>
  <si>
    <t>Potential Hourly Emissions</t>
  </si>
  <si>
    <t>Potential Daily Emissions</t>
  </si>
  <si>
    <t>Potential Annual Emissions</t>
  </si>
  <si>
    <t>(lb/hour)</t>
  </si>
  <si>
    <t>(lb/day)</t>
  </si>
  <si>
    <t>(lb/year)</t>
  </si>
  <si>
    <r>
      <t>VOC</t>
    </r>
    <r>
      <rPr>
        <vertAlign val="superscript"/>
        <sz val="10"/>
        <rFont val="Tahoma"/>
        <family val="2"/>
      </rPr>
      <t>1</t>
    </r>
  </si>
  <si>
    <t>VOCs are found by taking the sum of estimated working losses and routine emissions of both tanks following AP-42 Chapter 7 methodology</t>
  </si>
  <si>
    <t>Short term emission rate was determined by Air Permit Reviewer Reference Guide APDG 6250:</t>
  </si>
  <si>
    <t>Mv (lb/lbmol):</t>
  </si>
  <si>
    <t>Pva (psia):</t>
  </si>
  <si>
    <t>FRm (gal/hr):</t>
  </si>
  <si>
    <t>R ((psia × gal)/(lbmol × R)):</t>
  </si>
  <si>
    <t xml:space="preserve">T (R): </t>
  </si>
  <si>
    <t>Lmax (lb/hr):</t>
  </si>
  <si>
    <t>Table 39. Oil Storage Tank1 Potential Emissions - TAC</t>
  </si>
  <si>
    <t>Annual Potential Emissions</t>
  </si>
  <si>
    <t>71-43-2</t>
  </si>
  <si>
    <t>191-24-2</t>
  </si>
  <si>
    <t>110-54-3</t>
  </si>
  <si>
    <t>91-20-3</t>
  </si>
  <si>
    <t>218-01-9</t>
  </si>
  <si>
    <t>108-88-3</t>
  </si>
  <si>
    <t>95-63-6</t>
  </si>
  <si>
    <t>TACS are found by taking the max of estimated speciated working losses and routine emissions of both tanks</t>
  </si>
  <si>
    <t>Storage Tank Emission Calculations - Model Inputs</t>
  </si>
  <si>
    <t>Table 40. Storage Tank ESP+ / TankESP Inputs - Tank Information</t>
  </si>
  <si>
    <t>#</t>
  </si>
  <si>
    <t>Tank ID</t>
  </si>
  <si>
    <t>Start Date</t>
  </si>
  <si>
    <t>Diameter (ft)</t>
  </si>
  <si>
    <t>Height (ft)</t>
  </si>
  <si>
    <t>Fixed Roof Type</t>
  </si>
  <si>
    <t>Insulation Condition</t>
  </si>
  <si>
    <t>Shell Finish</t>
  </si>
  <si>
    <t>Shell Condition</t>
  </si>
  <si>
    <t>Roof Finish</t>
  </si>
  <si>
    <t>Roof Condition</t>
  </si>
  <si>
    <t>Nominal Operating Pressure (psig)</t>
  </si>
  <si>
    <t>Min. Vent Relieving Pressure (psig)</t>
  </si>
  <si>
    <t>Max. Vent Relieving Pressure (psig)</t>
  </si>
  <si>
    <t>Max. Liquid Level (ft)</t>
  </si>
  <si>
    <t>Min. Liquid Level (ft)</t>
  </si>
  <si>
    <t>Roof Slope (in/ft)</t>
  </si>
  <si>
    <t>Slope of Cone Bottom (in/ft)</t>
  </si>
  <si>
    <t>Height of Dome Roof (ft)</t>
  </si>
  <si>
    <t>Radius of Dome Roof (ft)</t>
  </si>
  <si>
    <t>Control Device ID</t>
  </si>
  <si>
    <t>Capture Efficiency (%)</t>
  </si>
  <si>
    <t>Max. Pump Rate (gal/hr)</t>
  </si>
  <si>
    <t>Combo PV Vents</t>
  </si>
  <si>
    <t>P Vents</t>
  </si>
  <si>
    <t>V Vents</t>
  </si>
  <si>
    <t>Open Vents</t>
  </si>
  <si>
    <t>Inside Shell Condition</t>
  </si>
  <si>
    <t>Shell Construction</t>
  </si>
  <si>
    <t>Build Date</t>
  </si>
  <si>
    <t>Associated Source Category</t>
  </si>
  <si>
    <t>Sump Diameter (ft)</t>
  </si>
  <si>
    <t>Sump Height (ft)</t>
  </si>
  <si>
    <t>Tank ID 2 (FIN)</t>
  </si>
  <si>
    <t>Emission Point No. (CIN)</t>
  </si>
  <si>
    <t>Is Closed</t>
  </si>
  <si>
    <t>Control ID No. (CIN)</t>
  </si>
  <si>
    <t>Location (coordinates)</t>
  </si>
  <si>
    <t>Oil1</t>
  </si>
  <si>
    <t>Horizontal Tank</t>
  </si>
  <si>
    <t>Not insulated</t>
  </si>
  <si>
    <t>white paint</t>
  </si>
  <si>
    <t>Average</t>
  </si>
  <si>
    <t>Light Rust</t>
  </si>
  <si>
    <t>Welded</t>
  </si>
  <si>
    <t>no</t>
  </si>
  <si>
    <t>Oil2</t>
  </si>
  <si>
    <t>Table 41. Storage Tank ESP+ / TankESP Inputs - Stock Information</t>
  </si>
  <si>
    <t>Stock Name</t>
  </si>
  <si>
    <t>Abbr.</t>
  </si>
  <si>
    <t>Date</t>
  </si>
  <si>
    <t>User Code</t>
  </si>
  <si>
    <t>Is Crude</t>
  </si>
  <si>
    <t>RVP</t>
  </si>
  <si>
    <t>MWL</t>
  </si>
  <si>
    <t>MWV</t>
  </si>
  <si>
    <t>Liquid Density
(lbs/gals)</t>
  </si>
  <si>
    <t>S</t>
  </si>
  <si>
    <t>Antoine's A</t>
  </si>
  <si>
    <t>Antoine's B</t>
  </si>
  <si>
    <t>Antoine's C</t>
  </si>
  <si>
    <t>Is Active</t>
  </si>
  <si>
    <t>Combustion Model Stock</t>
  </si>
  <si>
    <t>Use mg/L factor for Loading Ops?</t>
  </si>
  <si>
    <t>yes</t>
  </si>
  <si>
    <t>Table 42. Storage Tank ESP+ / TankESP Inputs - Stock Speciation</t>
  </si>
  <si>
    <t>Benzo(g,h,i)perylene</t>
  </si>
  <si>
    <t>Cumene {isopropylbenzene}</t>
  </si>
  <si>
    <t>Cyclohexane</t>
  </si>
  <si>
    <t>Hexane (n-)</t>
  </si>
  <si>
    <t>Iso-octane {2,2,4 trimethylpentane}</t>
  </si>
  <si>
    <t>PACs {Chrysene}</t>
  </si>
  <si>
    <t>Trimethylbenzene (1,2,4)</t>
  </si>
  <si>
    <t>Xylene</t>
  </si>
  <si>
    <t>Table 43. Storage Tank ESP+ / TankESP Inputs - Monthly Throughput</t>
  </si>
  <si>
    <t>Tank</t>
  </si>
  <si>
    <t>Throughput</t>
  </si>
  <si>
    <t>Throughput Unit</t>
  </si>
  <si>
    <t>Stock</t>
  </si>
  <si>
    <t>Gallons</t>
  </si>
  <si>
    <t>Storage Tank Emission Calculations - Model Outputs</t>
  </si>
  <si>
    <t>TankSummaries for 2024 Annual</t>
  </si>
  <si>
    <t>Site:  Imerys Oregon</t>
  </si>
  <si>
    <t>Equations for this site: After 2020 AP-42 revisions  H/D ratio: calculated (for Tanks Module)</t>
  </si>
  <si>
    <t/>
  </si>
  <si>
    <t>Speciated Total Emissions components in the "HAP" set  (lbs)</t>
  </si>
  <si>
    <t>Tank Diameter (ft)</t>
  </si>
  <si>
    <t>Tank Type</t>
  </si>
  <si>
    <t>Product</t>
  </si>
  <si>
    <t>Throughput in gal.</t>
  </si>
  <si>
    <t>Bulk Liquid Temperature (degF)</t>
  </si>
  <si>
    <t>Liquid Surface Temperature (degF)</t>
  </si>
  <si>
    <t>Avg. TVP (psia)</t>
  </si>
  <si>
    <t>Includes a landing loss?</t>
  </si>
  <si>
    <t>Initial fill?</t>
  </si>
  <si>
    <t>Includes a tank cleaning?</t>
  </si>
  <si>
    <t>Number of Days</t>
  </si>
  <si>
    <t>Estimated standing losses (lbs)</t>
  </si>
  <si>
    <t>Estimated working losses (lbs)</t>
  </si>
  <si>
    <t>Routine Emissions (lbs)</t>
  </si>
  <si>
    <t>Non Routine Emissions (lbs)</t>
  </si>
  <si>
    <t>Total estimated emissions (lbs)</t>
  </si>
  <si>
    <t>Acetaldehyde</t>
  </si>
  <si>
    <t>Biphenyl</t>
  </si>
  <si>
    <t>Butadiene (1,3)</t>
  </si>
  <si>
    <t>Carbon disulfide</t>
  </si>
  <si>
    <t>Carbonyl sulfide</t>
  </si>
  <si>
    <t>Cresol</t>
  </si>
  <si>
    <t>Cresol (m-)</t>
  </si>
  <si>
    <t>Cresol (o-)</t>
  </si>
  <si>
    <t>Cresol (p-)</t>
  </si>
  <si>
    <t>Dibromoethane (1,2) {ethylene dibromide}</t>
  </si>
  <si>
    <t>Dichloroethane (1,2)</t>
  </si>
  <si>
    <t>Diethanolamine {DEA}</t>
  </si>
  <si>
    <t>Ethylene glycol</t>
  </si>
  <si>
    <t>Hydrogen fluoride</t>
  </si>
  <si>
    <t>MDI {methylene diphenyl diisocyanate}</t>
  </si>
  <si>
    <t>Mercury</t>
  </si>
  <si>
    <t>Methanol {methyl alcohol}</t>
  </si>
  <si>
    <t>Methylene chloride {dichloromethane}</t>
  </si>
  <si>
    <t>Methyl isobutyl ketone {hexone}</t>
  </si>
  <si>
    <t>MTBE {Methyl tert-butyl ether}</t>
  </si>
  <si>
    <t>Nickel</t>
  </si>
  <si>
    <t>Phenol</t>
  </si>
  <si>
    <t>Propylene oxide</t>
  </si>
  <si>
    <t>Styrene</t>
  </si>
  <si>
    <t>Tetrachloroethylene</t>
  </si>
  <si>
    <t>Tetra ethyl lead</t>
  </si>
  <si>
    <t>Toluene diisocyanate</t>
  </si>
  <si>
    <t>Xylene (m-)</t>
  </si>
  <si>
    <t>Xylene (o-)</t>
  </si>
  <si>
    <t>Xylene (p-)</t>
  </si>
  <si>
    <t>N</t>
  </si>
  <si>
    <t>CAS Number</t>
  </si>
  <si>
    <t>75-07-0</t>
  </si>
  <si>
    <t>120-12-7</t>
  </si>
  <si>
    <t>92-52-4</t>
  </si>
  <si>
    <t>106-99-0</t>
  </si>
  <si>
    <t>75-15-0</t>
  </si>
  <si>
    <t>463-58-1</t>
  </si>
  <si>
    <t>1319-77-3</t>
  </si>
  <si>
    <t>108-39-4</t>
  </si>
  <si>
    <t>95-48-7</t>
  </si>
  <si>
    <t>106-44-5</t>
  </si>
  <si>
    <t>98-82-8</t>
  </si>
  <si>
    <t>106-93-4</t>
  </si>
  <si>
    <t>107-06-2</t>
  </si>
  <si>
    <t>111-42-2</t>
  </si>
  <si>
    <t>107-21-1</t>
  </si>
  <si>
    <t>7664-39-3</t>
  </si>
  <si>
    <t>540-84-1</t>
  </si>
  <si>
    <t>101-68-8</t>
  </si>
  <si>
    <t>67-56-1</t>
  </si>
  <si>
    <t>75-09-2</t>
  </si>
  <si>
    <t>108-10-1</t>
  </si>
  <si>
    <t>1634-04-4</t>
  </si>
  <si>
    <t>85-01-8</t>
  </si>
  <si>
    <t>108-95-2</t>
  </si>
  <si>
    <t>75-56-9</t>
  </si>
  <si>
    <t>100-42-5</t>
  </si>
  <si>
    <t>78-00-2</t>
  </si>
  <si>
    <t>26471-62-5</t>
  </si>
  <si>
    <t>108-38-3</t>
  </si>
  <si>
    <t>95-47-6</t>
  </si>
  <si>
    <t>106-42-3</t>
  </si>
  <si>
    <t>Site</t>
  </si>
  <si>
    <t>Imerys Oregon</t>
  </si>
  <si>
    <t>Panel width</t>
  </si>
  <si>
    <t>Working loss</t>
  </si>
  <si>
    <t>Start date</t>
  </si>
  <si>
    <t>01/01/2024 00:00:00</t>
  </si>
  <si>
    <t>Panel length</t>
  </si>
  <si>
    <t>Loss from incoming vapors</t>
  </si>
  <si>
    <t>End date</t>
  </si>
  <si>
    <t>01/02/2024 00:00:00</t>
  </si>
  <si>
    <t>Stock is active</t>
  </si>
  <si>
    <t>Loss from resident vapors</t>
  </si>
  <si>
    <t>Stock is crude</t>
  </si>
  <si>
    <t>Cleaning loss</t>
  </si>
  <si>
    <t>Fixed roof type</t>
  </si>
  <si>
    <t>D</t>
  </si>
  <si>
    <t>Stock description</t>
  </si>
  <si>
    <t>Sa</t>
  </si>
  <si>
    <t>Floating roof type</t>
  </si>
  <si>
    <t>E</t>
  </si>
  <si>
    <t>Liquid density (Wl)</t>
  </si>
  <si>
    <t>Resident loss limit</t>
  </si>
  <si>
    <t>Tank type</t>
  </si>
  <si>
    <t>Horizontal</t>
  </si>
  <si>
    <t>Molecular weight of vapor (Mv)</t>
  </si>
  <si>
    <t>Vapor control eff</t>
  </si>
  <si>
    <t>Is closed</t>
  </si>
  <si>
    <t>Reid vapor pressure (RVP)</t>
  </si>
  <si>
    <t>Vapor control eff for Refill or Initial Purge</t>
  </si>
  <si>
    <t>Insulate Condition</t>
  </si>
  <si>
    <t>Liquid Kp</t>
  </si>
  <si>
    <t>Comments</t>
  </si>
  <si>
    <t>Has floating roof</t>
  </si>
  <si>
    <t>Liquid Kc</t>
  </si>
  <si>
    <t>Stock Abbreviation</t>
  </si>
  <si>
    <t>Eff Diameter</t>
  </si>
  <si>
    <t>Liquid clingage fctr</t>
  </si>
  <si>
    <t>Summary Tank type</t>
  </si>
  <si>
    <t>Eff Height</t>
  </si>
  <si>
    <t>Effective Antoines B for liquid</t>
  </si>
  <si>
    <t>Cone roof slope</t>
  </si>
  <si>
    <t>Antoines A</t>
  </si>
  <si>
    <t>Cone bottom slope</t>
  </si>
  <si>
    <t>Antoines B</t>
  </si>
  <si>
    <t>Throughput in gallons</t>
  </si>
  <si>
    <t>Height of cone down bottom</t>
  </si>
  <si>
    <t>Antoines C</t>
  </si>
  <si>
    <t>Average TVP</t>
  </si>
  <si>
    <t>Height of roof</t>
  </si>
  <si>
    <t>True vapor pressure (TVP)</t>
  </si>
  <si>
    <t>Number of days</t>
  </si>
  <si>
    <t>Sump diameter</t>
  </si>
  <si>
    <t>Vapor density (Wv)</t>
  </si>
  <si>
    <t>Number of days cleaning</t>
  </si>
  <si>
    <t>Sump height</t>
  </si>
  <si>
    <t>Min temperature</t>
  </si>
  <si>
    <t>Summary Refill or Initial Purge losses</t>
  </si>
  <si>
    <t>Eff sump height</t>
  </si>
  <si>
    <t>Max temperature</t>
  </si>
  <si>
    <t>Summary standing losses</t>
  </si>
  <si>
    <t>Min liquid level</t>
  </si>
  <si>
    <t>Solar insolation</t>
  </si>
  <si>
    <t>Summary working losses</t>
  </si>
  <si>
    <t>Max liquid level</t>
  </si>
  <si>
    <t>Atmospheric pressure</t>
  </si>
  <si>
    <t>Summary cleaning losses</t>
  </si>
  <si>
    <t>Net working height</t>
  </si>
  <si>
    <t>Avg wind speed</t>
  </si>
  <si>
    <t>Summary vapor control eff</t>
  </si>
  <si>
    <t>Avg height of vapor space</t>
  </si>
  <si>
    <t>Service type</t>
  </si>
  <si>
    <t>Normal</t>
  </si>
  <si>
    <t>Summary non-routine losses</t>
  </si>
  <si>
    <t>Shell Finish (color)</t>
  </si>
  <si>
    <t>K</t>
  </si>
  <si>
    <t>Is non-routine</t>
  </si>
  <si>
    <t>Summary routine losses</t>
  </si>
  <si>
    <t>Av</t>
  </si>
  <si>
    <t>Is initial fill</t>
  </si>
  <si>
    <t>Summary total losses</t>
  </si>
  <si>
    <t>Roof Finish (color)</t>
  </si>
  <si>
    <t>Stock ID</t>
  </si>
  <si>
    <t>Is FRL</t>
  </si>
  <si>
    <t>Bulk liquid temperature</t>
  </si>
  <si>
    <t>Is cleaning</t>
  </si>
  <si>
    <t>Avg alpha</t>
  </si>
  <si>
    <t>Liquid surface temperature</t>
  </si>
  <si>
    <t>Is vapor control device used</t>
  </si>
  <si>
    <t>Min vent relief pressure</t>
  </si>
  <si>
    <t>Low-volume liquid temperature</t>
  </si>
  <si>
    <t>Distillation slope (S)</t>
  </si>
  <si>
    <t>Max vent relief pressure</t>
  </si>
  <si>
    <t>Delta Tv</t>
  </si>
  <si>
    <t>Maximum fill rate</t>
  </si>
  <si>
    <t>Vent pressure range</t>
  </si>
  <si>
    <t>Height of substance</t>
  </si>
  <si>
    <t>Meteorological Location</t>
  </si>
  <si>
    <t>Lakeview,OR</t>
  </si>
  <si>
    <t>Number of columns</t>
  </si>
  <si>
    <t>Height of substance ref pt</t>
  </si>
  <si>
    <t>NOT GIVEN</t>
  </si>
  <si>
    <t>Minimum Temp TVP</t>
  </si>
  <si>
    <t>Eff column diameter</t>
  </si>
  <si>
    <t>Eff height of liquid heel</t>
  </si>
  <si>
    <t>Maximum Temp TVP</t>
  </si>
  <si>
    <t>Tank build date</t>
  </si>
  <si>
    <t>Minimum Heated Temperature</t>
  </si>
  <si>
    <t>Tank assoc src category</t>
  </si>
  <si>
    <t>Throughput in barrels</t>
  </si>
  <si>
    <t>Maximum Heated Temperature</t>
  </si>
  <si>
    <t>Eff wind speed</t>
  </si>
  <si>
    <t>Throughput unit</t>
  </si>
  <si>
    <t>gallons</t>
  </si>
  <si>
    <t>Number of Heating Cycle Days</t>
  </si>
  <si>
    <t>Floating roof Kd</t>
  </si>
  <si>
    <t>Number of turnovers</t>
  </si>
  <si>
    <t>Custom Fitting 1 Type</t>
  </si>
  <si>
    <t>Floating roof Sd</t>
  </si>
  <si>
    <t>TankOps Kn</t>
  </si>
  <si>
    <t>Custom Fitting 1 EF</t>
  </si>
  <si>
    <t>Floating roof Kr</t>
  </si>
  <si>
    <t>TankOps Kb</t>
  </si>
  <si>
    <t>Custom Fitting 2 Type</t>
  </si>
  <si>
    <t>Rim seal Type</t>
  </si>
  <si>
    <t>Nominal op pressure</t>
  </si>
  <si>
    <t>Custom Fitting 2 EF</t>
  </si>
  <si>
    <t>Rim seal EF</t>
  </si>
  <si>
    <t>Height of vapor space</t>
  </si>
  <si>
    <t>UserProvidedTemperature</t>
  </si>
  <si>
    <t>Seam EF</t>
  </si>
  <si>
    <t>Height of deck support legs</t>
  </si>
  <si>
    <t>H/D Ratio</t>
  </si>
  <si>
    <t>Slotted pole EF</t>
  </si>
  <si>
    <t>Volume of vapor space</t>
  </si>
  <si>
    <t>Vapor Space Temperature</t>
  </si>
  <si>
    <t>Unslotted pole EF</t>
  </si>
  <si>
    <t>Ke</t>
  </si>
  <si>
    <t>Vapor Space Temperature Range</t>
  </si>
  <si>
    <t>Deck fitting EF</t>
  </si>
  <si>
    <t>Ks</t>
  </si>
  <si>
    <t>H/D Ratio Option</t>
  </si>
  <si>
    <t>Floating roof EF</t>
  </si>
  <si>
    <t>PMvKc</t>
  </si>
  <si>
    <t>Capture Efficiency</t>
  </si>
  <si>
    <t>Slotted pole qty</t>
  </si>
  <si>
    <t>FRL loss</t>
  </si>
  <si>
    <t>Calculation Template</t>
  </si>
  <si>
    <t>CalculationSteps_Post2019AP42_FixedRoofTank_Routine&amp;ChangeOfService.xlsx</t>
  </si>
  <si>
    <t>Unslotted pole qty</t>
  </si>
  <si>
    <t>FRL limit</t>
  </si>
  <si>
    <t>Kf per slotted pole</t>
  </si>
  <si>
    <t>Floating roof standing storage loss fctr</t>
  </si>
  <si>
    <t>Kf per unslotted pole</t>
  </si>
  <si>
    <t>Standing loss</t>
  </si>
  <si>
    <t>Variable</t>
  </si>
  <si>
    <t>Result</t>
  </si>
  <si>
    <t>TB</t>
  </si>
  <si>
    <t>TLA</t>
  </si>
  <si>
    <t>TV</t>
  </si>
  <si>
    <t>ΔTV</t>
  </si>
  <si>
    <t>WV</t>
  </si>
  <si>
    <t>H/D</t>
  </si>
  <si>
    <t>Equation</t>
  </si>
  <si>
    <t>TB = TAA + 0.003 αS I</t>
  </si>
  <si>
    <t>Default</t>
  </si>
  <si>
    <t>TLA = 0.4 TAA + 0.6 TB + 0.005 α I</t>
  </si>
  <si>
    <t>Calculated</t>
  </si>
  <si>
    <t xml:space="preserve">TLA = [0.5 – 0.8 / (4.4 Hs/D + 3.8)] TAA + [0.5 + 0.8 / (4.4 Hs/D + 3.8)] TB + 
[0.021 αRI + 0.013 (Hs/D) αSI] / (4.4 Hs/D + 3.8)
</t>
  </si>
  <si>
    <t>Partially insulated</t>
  </si>
  <si>
    <t>TLA = 0.3 TAA + 0.7 TB + 0.005 αR I</t>
  </si>
  <si>
    <t>TV = 0.7 TAA + 0.3 TB + 0.009 α I</t>
  </si>
  <si>
    <t>TV = [(2.2 Hs/D + 1.1) TAA + 0.8 TB + 0.021 αRI + 0.013 (Hs/D) αSI] / [2.2 Hs/D + 1.9]</t>
  </si>
  <si>
    <t>TV = 0.6 TAA + 0.4 TB + 0.01 αR I</t>
  </si>
  <si>
    <t>ΔTV = 0.7 (TAX – TAN) + 0.02 α I</t>
  </si>
  <si>
    <t>ΔTV = [1 – 0.8 / (2.2 Hs/D + 1.9)] (TAX – TAN) +  [0.042 αRI + 0.026 (Hs/D) αSI] / (2.2 Hs/D + 1.9)</t>
  </si>
  <si>
    <t>ΔTV = 0.6 ΔTA + 0.02 αR I</t>
  </si>
  <si>
    <t>WV = (MV PVA) / (R TV)</t>
  </si>
  <si>
    <t>Sample Calculation of Estimated Emissions - Fixed-Roof Tanks</t>
  </si>
  <si>
    <t>page 1 of 1</t>
  </si>
  <si>
    <t>Not intended for tanks that have a change</t>
  </si>
  <si>
    <t>The emissions estimates calculated below are based on EPA's AP-42 Chapter 7.1 (Post 2018) emission factors and equations,</t>
  </si>
  <si>
    <t xml:space="preserve"> of service during the period in question.</t>
  </si>
  <si>
    <t>Company:</t>
  </si>
  <si>
    <t>Location:</t>
  </si>
  <si>
    <t>A</t>
  </si>
  <si>
    <t>aluminum-colored paint (specular)</t>
  </si>
  <si>
    <t>January</t>
  </si>
  <si>
    <t>Calculations for Tank No.:</t>
  </si>
  <si>
    <t>B</t>
  </si>
  <si>
    <t>aluminum-colored paint (diffuse)</t>
  </si>
  <si>
    <t>February</t>
  </si>
  <si>
    <t>Emission estimates per EPA's AP-42 Chapter 7.1 (Post 2018), for:</t>
  </si>
  <si>
    <t>C</t>
  </si>
  <si>
    <t>beige/cream-colored paint</t>
  </si>
  <si>
    <t>March</t>
  </si>
  <si>
    <t>brown paint</t>
  </si>
  <si>
    <t>April</t>
  </si>
  <si>
    <t>Meteorological Data:</t>
  </si>
  <si>
    <t>light gray paint</t>
  </si>
  <si>
    <t>May</t>
  </si>
  <si>
    <t>Avg Atmos Pressure, Pa:</t>
  </si>
  <si>
    <t>psia</t>
  </si>
  <si>
    <t>F</t>
  </si>
  <si>
    <t>medium gray paint</t>
  </si>
  <si>
    <t>June</t>
  </si>
  <si>
    <t>Avg Ambient Temp, Taa:</t>
  </si>
  <si>
    <t>degrees F</t>
  </si>
  <si>
    <t>G</t>
  </si>
  <si>
    <t>black paint</t>
  </si>
  <si>
    <t>July</t>
  </si>
  <si>
    <t>Avg Daily Temp Range, ∆Ta:</t>
  </si>
  <si>
    <t>H</t>
  </si>
  <si>
    <t>red primer or dark green paint</t>
  </si>
  <si>
    <t>August</t>
  </si>
  <si>
    <t>Avg Daily Solar Insolation, I:</t>
  </si>
  <si>
    <r>
      <t>Btu / ft</t>
    </r>
    <r>
      <rPr>
        <vertAlign val="superscript"/>
        <sz val="12"/>
        <rFont val="Arial"/>
        <family val="2"/>
      </rPr>
      <t>2</t>
    </r>
    <r>
      <rPr>
        <sz val="12"/>
        <rFont val="Arial"/>
        <family val="2"/>
      </rPr>
      <t xml:space="preserve"> day</t>
    </r>
  </si>
  <si>
    <t>I</t>
  </si>
  <si>
    <t>rust (unpainted iron oxide)</t>
  </si>
  <si>
    <t>September</t>
  </si>
  <si>
    <t>Tank Data:</t>
  </si>
  <si>
    <t>J</t>
  </si>
  <si>
    <t>tan paint</t>
  </si>
  <si>
    <t>October</t>
  </si>
  <si>
    <t>Tank Type:</t>
  </si>
  <si>
    <t>shell color:</t>
  </si>
  <si>
    <t>November</t>
  </si>
  <si>
    <t>Average alpha:</t>
  </si>
  <si>
    <t>shell condition:</t>
  </si>
  <si>
    <t>L</t>
  </si>
  <si>
    <t>mill finish aluminum (unpainted)</t>
  </si>
  <si>
    <t>December</t>
  </si>
  <si>
    <t>Tank Diameter:</t>
  </si>
  <si>
    <t>shell alpha:</t>
  </si>
  <si>
    <t>Tank Height:</t>
  </si>
  <si>
    <t>roof color:</t>
  </si>
  <si>
    <t>Check against reported values</t>
  </si>
  <si>
    <t>Precision:</t>
  </si>
  <si>
    <t xml:space="preserve">   Maximum Fill Height:</t>
  </si>
  <si>
    <t>roof condition:</t>
  </si>
  <si>
    <t>Average alpha</t>
  </si>
  <si>
    <t>column-supported(cone)</t>
  </si>
  <si>
    <t xml:space="preserve">   Minimum Liquid Level:</t>
  </si>
  <si>
    <t>roof alpha:</t>
  </si>
  <si>
    <t>self-supporting (dome)</t>
  </si>
  <si>
    <t xml:space="preserve">   Net Working Height:</t>
  </si>
  <si>
    <t>no fixed roof (open top)</t>
  </si>
  <si>
    <t>Fixed Roof Type:</t>
  </si>
  <si>
    <t>effective roof height:</t>
  </si>
  <si>
    <t>horizontal tank</t>
  </si>
  <si>
    <r>
      <t>Average outage, H</t>
    </r>
    <r>
      <rPr>
        <vertAlign val="subscript"/>
        <sz val="12"/>
        <rFont val="Arial"/>
        <family val="2"/>
      </rPr>
      <t>VO</t>
    </r>
    <r>
      <rPr>
        <sz val="12"/>
        <rFont val="Arial"/>
        <family val="2"/>
      </rPr>
      <t>:</t>
    </r>
  </si>
  <si>
    <t>Hvo:</t>
  </si>
  <si>
    <t>Average Hvo</t>
  </si>
  <si>
    <t>Max Vent Setting:</t>
  </si>
  <si>
    <t>psig</t>
  </si>
  <si>
    <t>Hvo</t>
  </si>
  <si>
    <t>Min Vent Setting:</t>
  </si>
  <si>
    <t>Service Data:</t>
  </si>
  <si>
    <t>Service (stored liquid):</t>
  </si>
  <si>
    <t>Tb</t>
  </si>
  <si>
    <r>
      <t>Product Factor, K</t>
    </r>
    <r>
      <rPr>
        <vertAlign val="subscript"/>
        <sz val="12"/>
        <rFont val="Arial"/>
        <family val="2"/>
      </rPr>
      <t>P</t>
    </r>
    <r>
      <rPr>
        <sz val="12"/>
        <rFont val="Arial"/>
        <family val="2"/>
      </rPr>
      <t>:</t>
    </r>
  </si>
  <si>
    <t>Vapor Pressure Constants:</t>
  </si>
  <si>
    <t>Reid VaporPressure:</t>
  </si>
  <si>
    <t>psi</t>
  </si>
  <si>
    <t>(if specified)</t>
  </si>
  <si>
    <t>A:</t>
  </si>
  <si>
    <t>ASTM Distillation Slope:</t>
  </si>
  <si>
    <t>B:</t>
  </si>
  <si>
    <r>
      <t>Molecular Weight, M</t>
    </r>
    <r>
      <rPr>
        <vertAlign val="subscript"/>
        <sz val="12"/>
        <rFont val="Arial"/>
        <family val="2"/>
      </rPr>
      <t>V</t>
    </r>
    <r>
      <rPr>
        <sz val="12"/>
        <rFont val="Arial"/>
        <family val="2"/>
      </rPr>
      <t>:</t>
    </r>
  </si>
  <si>
    <t>lb/lb-mol</t>
  </si>
  <si>
    <t>C:</t>
  </si>
  <si>
    <t>Tla</t>
  </si>
  <si>
    <t>Liquid Bulk Temp, Tb:</t>
  </si>
  <si>
    <t>Constant Temp Tank?</t>
  </si>
  <si>
    <t>tank must be insulated for temperature to be constant</t>
  </si>
  <si>
    <t>Liquid Bulk Temp Basis?</t>
  </si>
  <si>
    <t>Wv</t>
  </si>
  <si>
    <t>Liquid Surface Temp, Tla:</t>
  </si>
  <si>
    <t>True Vapor Pressure, P:</t>
  </si>
  <si>
    <t>per AP-42 equation 1-24, 1-25, 1-26</t>
  </si>
  <si>
    <r>
      <t xml:space="preserve">   Stock Vapor Density, W</t>
    </r>
    <r>
      <rPr>
        <vertAlign val="subscript"/>
        <sz val="12"/>
        <rFont val="Arial"/>
        <family val="2"/>
      </rPr>
      <t>V</t>
    </r>
    <r>
      <rPr>
        <sz val="12"/>
        <rFont val="Arial"/>
        <family val="2"/>
      </rPr>
      <t>:</t>
    </r>
  </si>
  <si>
    <r>
      <t>lb/ft</t>
    </r>
    <r>
      <rPr>
        <vertAlign val="superscript"/>
        <sz val="12"/>
        <rFont val="Arial"/>
        <family val="2"/>
      </rPr>
      <t>3</t>
    </r>
  </si>
  <si>
    <t>per AP-42 equation 1-22</t>
  </si>
  <si>
    <t>Tv</t>
  </si>
  <si>
    <t>Heating Cycles:</t>
  </si>
  <si>
    <t>Vapor Space Temp., Tv:</t>
  </si>
  <si>
    <t>degree F</t>
  </si>
  <si>
    <t>Max Liquid Bulk Temp:</t>
  </si>
  <si>
    <t>Min Liquid Bulk Temp:</t>
  </si>
  <si>
    <t>Heating cycle frequency:</t>
  </si>
  <si>
    <t>Operational Data:</t>
  </si>
  <si>
    <t>Throughput:</t>
  </si>
  <si>
    <t>bbl per</t>
  </si>
  <si>
    <t>Days this Period:</t>
  </si>
  <si>
    <t>Turnover Rate:</t>
  </si>
  <si>
    <t>turnovers per year</t>
  </si>
  <si>
    <r>
      <t>Turnover Factor, K</t>
    </r>
    <r>
      <rPr>
        <vertAlign val="subscript"/>
        <sz val="12"/>
        <rFont val="Arial"/>
        <family val="2"/>
      </rPr>
      <t>N</t>
    </r>
    <r>
      <rPr>
        <sz val="12"/>
        <rFont val="Arial"/>
        <family val="2"/>
      </rPr>
      <t>:</t>
    </r>
  </si>
  <si>
    <t>Calculated Values:</t>
  </si>
  <si>
    <r>
      <t>Vapor Space Expansion Factor, K</t>
    </r>
    <r>
      <rPr>
        <vertAlign val="subscript"/>
        <sz val="12"/>
        <rFont val="Arial"/>
        <family val="2"/>
      </rPr>
      <t>E</t>
    </r>
    <r>
      <rPr>
        <sz val="12"/>
        <rFont val="Arial"/>
        <family val="2"/>
      </rPr>
      <t xml:space="preserve"> = {∆T</t>
    </r>
    <r>
      <rPr>
        <vertAlign val="subscript"/>
        <sz val="12"/>
        <rFont val="Arial"/>
        <family val="2"/>
      </rPr>
      <t>V</t>
    </r>
    <r>
      <rPr>
        <sz val="12"/>
        <rFont val="Arial"/>
        <family val="2"/>
      </rPr>
      <t xml:space="preserve"> / (T + 459.67)} + {(∆P</t>
    </r>
    <r>
      <rPr>
        <vertAlign val="subscript"/>
        <sz val="12"/>
        <rFont val="Arial"/>
        <family val="2"/>
      </rPr>
      <t>V</t>
    </r>
    <r>
      <rPr>
        <sz val="12"/>
        <rFont val="Arial"/>
        <family val="2"/>
      </rPr>
      <t xml:space="preserve"> - ∆P</t>
    </r>
    <r>
      <rPr>
        <vertAlign val="subscript"/>
        <sz val="12"/>
        <rFont val="Arial"/>
        <family val="2"/>
      </rPr>
      <t>B</t>
    </r>
    <r>
      <rPr>
        <sz val="12"/>
        <rFont val="Arial"/>
        <family val="2"/>
      </rPr>
      <t>) / (P</t>
    </r>
    <r>
      <rPr>
        <vertAlign val="subscript"/>
        <sz val="12"/>
        <rFont val="Arial"/>
        <family val="2"/>
      </rPr>
      <t>A</t>
    </r>
    <r>
      <rPr>
        <sz val="12"/>
        <rFont val="Arial"/>
        <family val="2"/>
      </rPr>
      <t xml:space="preserve"> - P)}</t>
    </r>
  </si>
  <si>
    <t xml:space="preserve"> AP-42 eqn 1-5</t>
  </si>
  <si>
    <t>check against reported values</t>
  </si>
  <si>
    <t xml:space="preserve"> where:</t>
  </si>
  <si>
    <r>
      <t>∆T</t>
    </r>
    <r>
      <rPr>
        <vertAlign val="subscript"/>
        <sz val="12"/>
        <rFont val="Arial"/>
        <family val="2"/>
      </rPr>
      <t>V</t>
    </r>
    <r>
      <rPr>
        <sz val="12"/>
        <rFont val="Arial"/>
        <family val="2"/>
      </rPr>
      <t xml:space="preserve"> =</t>
    </r>
  </si>
  <si>
    <t>deg F (deg R); daily temperature range in the vapor space</t>
  </si>
  <si>
    <t xml:space="preserve"> AP-42 eqn 1-6, 1-7, 1-8</t>
  </si>
  <si>
    <r>
      <t>∆T</t>
    </r>
    <r>
      <rPr>
        <vertAlign val="subscript"/>
        <sz val="12"/>
        <rFont val="Arial"/>
        <family val="2"/>
      </rPr>
      <t>V</t>
    </r>
  </si>
  <si>
    <t>Tlx  =</t>
  </si>
  <si>
    <t>deg F</t>
  </si>
  <si>
    <t>Pvx  =</t>
  </si>
  <si>
    <t>Tln  =</t>
  </si>
  <si>
    <t>Pvn  =</t>
  </si>
  <si>
    <r>
      <t>∆P</t>
    </r>
    <r>
      <rPr>
        <vertAlign val="subscript"/>
        <sz val="12"/>
        <rFont val="Arial"/>
        <family val="2"/>
      </rPr>
      <t>V</t>
    </r>
    <r>
      <rPr>
        <sz val="12"/>
        <rFont val="Arial"/>
        <family val="2"/>
      </rPr>
      <t xml:space="preserve"> =</t>
    </r>
  </si>
  <si>
    <r>
      <t>∆P</t>
    </r>
    <r>
      <rPr>
        <vertAlign val="subscript"/>
        <sz val="12"/>
        <rFont val="Arial"/>
        <family val="2"/>
      </rPr>
      <t>B</t>
    </r>
    <r>
      <rPr>
        <sz val="12"/>
        <rFont val="Arial"/>
        <family val="2"/>
      </rPr>
      <t xml:space="preserve"> =</t>
    </r>
  </si>
  <si>
    <t>psi; vent setting range</t>
  </si>
  <si>
    <r>
      <t>K</t>
    </r>
    <r>
      <rPr>
        <vertAlign val="subscript"/>
        <sz val="12"/>
        <rFont val="Arial"/>
        <family val="2"/>
      </rPr>
      <t>E</t>
    </r>
    <r>
      <rPr>
        <sz val="12"/>
        <rFont val="Arial"/>
        <family val="2"/>
      </rPr>
      <t xml:space="preserve"> =</t>
    </r>
  </si>
  <si>
    <r>
      <t>K</t>
    </r>
    <r>
      <rPr>
        <vertAlign val="subscript"/>
        <sz val="12"/>
        <rFont val="Arial"/>
        <family val="2"/>
      </rPr>
      <t>E</t>
    </r>
    <r>
      <rPr>
        <sz val="12"/>
        <rFont val="Arial"/>
        <family val="2"/>
      </rPr>
      <t xml:space="preserve"> </t>
    </r>
  </si>
  <si>
    <r>
      <t>Vented Vapor Saturation Factor, K</t>
    </r>
    <r>
      <rPr>
        <vertAlign val="subscript"/>
        <sz val="12"/>
        <rFont val="Arial"/>
        <family val="2"/>
      </rPr>
      <t>S</t>
    </r>
    <r>
      <rPr>
        <sz val="12"/>
        <rFont val="Arial"/>
        <family val="2"/>
      </rPr>
      <t xml:space="preserve"> = 1 / (1+ 0.053 P H</t>
    </r>
    <r>
      <rPr>
        <vertAlign val="subscript"/>
        <sz val="12"/>
        <rFont val="Arial"/>
        <family val="2"/>
      </rPr>
      <t>VO</t>
    </r>
    <r>
      <rPr>
        <sz val="12"/>
        <rFont val="Arial"/>
        <family val="2"/>
      </rPr>
      <t>)</t>
    </r>
  </si>
  <si>
    <t>AP-42 eqn 1-21</t>
  </si>
  <si>
    <r>
      <t>K</t>
    </r>
    <r>
      <rPr>
        <vertAlign val="subscript"/>
        <sz val="12"/>
        <rFont val="Arial"/>
        <family val="2"/>
      </rPr>
      <t>S</t>
    </r>
    <r>
      <rPr>
        <sz val="12"/>
        <rFont val="Arial"/>
        <family val="2"/>
      </rPr>
      <t xml:space="preserve"> =</t>
    </r>
  </si>
  <si>
    <r>
      <t>K</t>
    </r>
    <r>
      <rPr>
        <sz val="8"/>
        <rFont val="Arial"/>
        <family val="2"/>
      </rPr>
      <t xml:space="preserve">S </t>
    </r>
  </si>
  <si>
    <r>
      <t>Vent Setting Correction Factor, K</t>
    </r>
    <r>
      <rPr>
        <vertAlign val="subscript"/>
        <sz val="12"/>
        <rFont val="Arial"/>
        <family val="2"/>
      </rPr>
      <t>B</t>
    </r>
    <r>
      <rPr>
        <sz val="12"/>
        <rFont val="Arial"/>
        <family val="2"/>
      </rPr>
      <t>:</t>
    </r>
  </si>
  <si>
    <r>
      <t>K</t>
    </r>
    <r>
      <rPr>
        <vertAlign val="subscript"/>
        <sz val="12"/>
        <rFont val="Arial"/>
        <family val="2"/>
      </rPr>
      <t>B</t>
    </r>
    <r>
      <rPr>
        <sz val="12"/>
        <rFont val="Arial"/>
        <family val="2"/>
      </rPr>
      <t xml:space="preserve"> =</t>
    </r>
  </si>
  <si>
    <t>1; except when:</t>
  </si>
  <si>
    <r>
      <t>K</t>
    </r>
    <r>
      <rPr>
        <vertAlign val="subscript"/>
        <sz val="12"/>
        <rFont val="Arial"/>
        <family val="2"/>
      </rPr>
      <t>N</t>
    </r>
    <r>
      <rPr>
        <sz val="12"/>
        <rFont val="Arial"/>
        <family val="2"/>
      </rPr>
      <t xml:space="preserve"> [(P</t>
    </r>
    <r>
      <rPr>
        <vertAlign val="subscript"/>
        <sz val="12"/>
        <rFont val="Arial"/>
        <family val="2"/>
      </rPr>
      <t>BP</t>
    </r>
    <r>
      <rPr>
        <sz val="12"/>
        <rFont val="Arial"/>
        <family val="2"/>
      </rPr>
      <t xml:space="preserve"> + P</t>
    </r>
    <r>
      <rPr>
        <vertAlign val="subscript"/>
        <sz val="12"/>
        <rFont val="Arial"/>
        <family val="2"/>
      </rPr>
      <t>A</t>
    </r>
    <r>
      <rPr>
        <sz val="12"/>
        <rFont val="Arial"/>
        <family val="2"/>
      </rPr>
      <t>) / (P</t>
    </r>
    <r>
      <rPr>
        <vertAlign val="subscript"/>
        <sz val="12"/>
        <rFont val="Arial"/>
        <family val="2"/>
      </rPr>
      <t>I</t>
    </r>
    <r>
      <rPr>
        <sz val="12"/>
        <rFont val="Arial"/>
        <family val="2"/>
      </rPr>
      <t xml:space="preserve"> + P</t>
    </r>
    <r>
      <rPr>
        <vertAlign val="subscript"/>
        <sz val="12"/>
        <rFont val="Arial"/>
        <family val="2"/>
      </rPr>
      <t>A</t>
    </r>
    <r>
      <rPr>
        <sz val="12"/>
        <rFont val="Arial"/>
        <family val="2"/>
      </rPr>
      <t>)] &gt; 1</t>
    </r>
  </si>
  <si>
    <t>AP-42 eqn 1-40</t>
  </si>
  <si>
    <r>
      <t>[(P</t>
    </r>
    <r>
      <rPr>
        <vertAlign val="subscript"/>
        <sz val="12"/>
        <rFont val="Arial"/>
        <family val="2"/>
      </rPr>
      <t>I</t>
    </r>
    <r>
      <rPr>
        <sz val="12"/>
        <rFont val="Arial"/>
        <family val="2"/>
      </rPr>
      <t xml:space="preserve"> + P</t>
    </r>
    <r>
      <rPr>
        <vertAlign val="subscript"/>
        <sz val="12"/>
        <rFont val="Arial"/>
        <family val="2"/>
      </rPr>
      <t>A</t>
    </r>
    <r>
      <rPr>
        <sz val="12"/>
        <rFont val="Arial"/>
        <family val="2"/>
      </rPr>
      <t>)/K</t>
    </r>
    <r>
      <rPr>
        <vertAlign val="subscript"/>
        <sz val="12"/>
        <rFont val="Arial"/>
        <family val="2"/>
      </rPr>
      <t>N</t>
    </r>
    <r>
      <rPr>
        <sz val="12"/>
        <rFont val="Arial"/>
        <family val="2"/>
      </rPr>
      <t xml:space="preserve"> - P] / [P</t>
    </r>
    <r>
      <rPr>
        <vertAlign val="subscript"/>
        <sz val="12"/>
        <rFont val="Arial"/>
        <family val="2"/>
      </rPr>
      <t>BP</t>
    </r>
    <r>
      <rPr>
        <sz val="12"/>
        <rFont val="Arial"/>
        <family val="2"/>
      </rPr>
      <t xml:space="preserve"> + P</t>
    </r>
    <r>
      <rPr>
        <vertAlign val="subscript"/>
        <sz val="12"/>
        <rFont val="Arial"/>
        <family val="2"/>
      </rPr>
      <t>A</t>
    </r>
    <r>
      <rPr>
        <sz val="12"/>
        <rFont val="Arial"/>
        <family val="2"/>
      </rPr>
      <t xml:space="preserve"> - P]</t>
    </r>
  </si>
  <si>
    <t>AP-42 eqn 1-41</t>
  </si>
  <si>
    <r>
      <t>P</t>
    </r>
    <r>
      <rPr>
        <vertAlign val="subscript"/>
        <sz val="12"/>
        <rFont val="Arial"/>
        <family val="2"/>
      </rPr>
      <t>BP</t>
    </r>
    <r>
      <rPr>
        <sz val="12"/>
        <rFont val="Arial"/>
        <family val="2"/>
      </rPr>
      <t xml:space="preserve"> =</t>
    </r>
  </si>
  <si>
    <t>psig; vent pressure setting</t>
  </si>
  <si>
    <r>
      <t>P</t>
    </r>
    <r>
      <rPr>
        <vertAlign val="subscript"/>
        <sz val="12"/>
        <rFont val="Arial"/>
        <family val="2"/>
      </rPr>
      <t>I</t>
    </r>
    <r>
      <rPr>
        <sz val="12"/>
        <rFont val="Arial"/>
        <family val="2"/>
      </rPr>
      <t xml:space="preserve"> =</t>
    </r>
  </si>
  <si>
    <t>psig; initial gauge pressure (nominal operating pressure)</t>
  </si>
  <si>
    <r>
      <t>K</t>
    </r>
    <r>
      <rPr>
        <vertAlign val="subscript"/>
        <sz val="12"/>
        <rFont val="Arial"/>
        <family val="2"/>
      </rPr>
      <t>B</t>
    </r>
    <r>
      <rPr>
        <sz val="12"/>
        <rFont val="Arial"/>
        <family val="2"/>
      </rPr>
      <t xml:space="preserve"> </t>
    </r>
  </si>
  <si>
    <t>Control Effi=</t>
  </si>
  <si>
    <t>Emissions Estimate for:</t>
  </si>
  <si>
    <t xml:space="preserve">   Standing Storage Loss:</t>
  </si>
  <si>
    <t>lb per</t>
  </si>
  <si>
    <t xml:space="preserve"> AP-42 eqn 1-4</t>
  </si>
  <si>
    <t>Standing Storage Loss</t>
  </si>
  <si>
    <t xml:space="preserve">   Working Loss:</t>
  </si>
  <si>
    <t xml:space="preserve"> AP-42 eqn 1-35</t>
  </si>
  <si>
    <t>Working Loss</t>
  </si>
  <si>
    <t>Total Emissions (w/o heating cycle loss):</t>
  </si>
  <si>
    <t xml:space="preserve"> AP-42 eqn 1-1</t>
  </si>
  <si>
    <t>Total Emissions</t>
  </si>
  <si>
    <t>tons per</t>
  </si>
  <si>
    <t xml:space="preserve">   Standing Storage Loss(with control):</t>
  </si>
  <si>
    <t>with fugitive</t>
  </si>
  <si>
    <t>Standing Storage Loss (w ctrl)</t>
  </si>
  <si>
    <t xml:space="preserve">   Working Loss(with control):</t>
  </si>
  <si>
    <t>Working Loss (w ctrl)</t>
  </si>
  <si>
    <t>Total Emissions(with control):</t>
  </si>
  <si>
    <t>Total Emissions (w ctrl)</t>
  </si>
  <si>
    <t>Type</t>
  </si>
  <si>
    <t>Rim Seal Type</t>
  </si>
  <si>
    <t>Unslotted Pole Type</t>
  </si>
  <si>
    <t>Unslotted  Pole Qty</t>
  </si>
  <si>
    <t>Slotted Pole Type</t>
  </si>
  <si>
    <t>Slotted Pole Qty</t>
  </si>
  <si>
    <t>Access Hatch Status</t>
  </si>
  <si>
    <t>Access Hatch Qty</t>
  </si>
  <si>
    <t>Gauge Float Status</t>
  </si>
  <si>
    <t>Gauge Float Qty</t>
  </si>
  <si>
    <t>Gauge Hatch Status</t>
  </si>
  <si>
    <t>Gauge Hatch Qty</t>
  </si>
  <si>
    <t>Vacuum Breaker Status</t>
  </si>
  <si>
    <t>Vacuum Breaker Qty</t>
  </si>
  <si>
    <t>Deck Drain Status</t>
  </si>
  <si>
    <t>Deck Drain Qty</t>
  </si>
  <si>
    <t>Pontoon Area Leg Status</t>
  </si>
  <si>
    <t>Pontoon Area Leg Qty</t>
  </si>
  <si>
    <t>Center Area Leg Status</t>
  </si>
  <si>
    <t>Center Area Leg Qty</t>
  </si>
  <si>
    <t>Rim Vent Status</t>
  </si>
  <si>
    <t>Rim Vent Qty</t>
  </si>
  <si>
    <t>Round Pipe Column Status</t>
  </si>
  <si>
    <t>Round Pipe Column Qty</t>
  </si>
  <si>
    <t>Built Up Column Status</t>
  </si>
  <si>
    <t>Built Up Column Qty</t>
  </si>
  <si>
    <t>Ladder Type</t>
  </si>
  <si>
    <t>Ladder Quantity</t>
  </si>
  <si>
    <t>Custom Fitting 1 Status</t>
  </si>
  <si>
    <t>Custom Fitting 1 Qty</t>
  </si>
  <si>
    <t>Custom Fitting 2 Status</t>
  </si>
  <si>
    <t>Custom Fitting 2 Qty</t>
  </si>
  <si>
    <t>Effective Column Diameter (ft)</t>
  </si>
  <si>
    <t>Emissions Unit Information</t>
  </si>
  <si>
    <t>Stack/Fugitive
Information</t>
  </si>
  <si>
    <t>Activity Information</t>
  </si>
  <si>
    <t>Toxics Emissions Unit ID</t>
  </si>
  <si>
    <t>Unit Description</t>
  </si>
  <si>
    <t>Control Device[s]</t>
  </si>
  <si>
    <t>Emission Type
(e.g. Point or Fugitive)</t>
  </si>
  <si>
    <t>Stack or Fugitive ID</t>
  </si>
  <si>
    <r>
      <rPr>
        <sz val="14"/>
        <color theme="1"/>
        <rFont val="Arial"/>
        <family val="2"/>
      </rPr>
      <t>Units</t>
    </r>
    <r>
      <rPr>
        <sz val="11"/>
        <color theme="1"/>
        <rFont val="Arial"/>
        <family val="2"/>
      </rPr>
      <t xml:space="preserve">
</t>
    </r>
    <r>
      <rPr>
        <sz val="9"/>
        <color theme="1"/>
        <rFont val="Arial"/>
        <family val="2"/>
      </rPr>
      <t>(e.g. hours operation, tons material, gallons)</t>
    </r>
  </si>
  <si>
    <t>Description/Type</t>
  </si>
  <si>
    <t>Annual - Chronic [units/year]</t>
  </si>
  <si>
    <t>Max Daily - Acute [units/day]</t>
  </si>
  <si>
    <t>Actual</t>
  </si>
  <si>
    <t xml:space="preserve">Requested
PTE </t>
  </si>
  <si>
    <t>Capacity</t>
  </si>
  <si>
    <t>TEU-1</t>
  </si>
  <si>
    <t>Widget Maker 1 (EXAMPLE)</t>
  </si>
  <si>
    <t>Widget Waste RCO</t>
  </si>
  <si>
    <t>Point</t>
  </si>
  <si>
    <t>ST-1</t>
  </si>
  <si>
    <t>Input Material X</t>
  </si>
  <si>
    <t>TEU-RDO</t>
  </si>
  <si>
    <t>Rotary Dryer - Used Oil Burned</t>
  </si>
  <si>
    <t>RDO</t>
  </si>
  <si>
    <t>Mgal</t>
  </si>
  <si>
    <t>Used oil</t>
  </si>
  <si>
    <t>TEU-RDB</t>
  </si>
  <si>
    <t>Rotary Dryer - Baghouse</t>
  </si>
  <si>
    <t>RDB</t>
  </si>
  <si>
    <t>tons ore</t>
  </si>
  <si>
    <t xml:space="preserve">Dry product </t>
  </si>
  <si>
    <t>TEU-Main</t>
  </si>
  <si>
    <t>Screening/Fine Crushing - Main Baghouse</t>
  </si>
  <si>
    <t>Main</t>
  </si>
  <si>
    <t>TEU-Main-U</t>
  </si>
  <si>
    <t>Screening/Fine Crushing - Main Baghouse Uncontrolled Emissions</t>
  </si>
  <si>
    <t>Fugitive</t>
  </si>
  <si>
    <t>Main-U</t>
  </si>
  <si>
    <t>TEU-New</t>
  </si>
  <si>
    <t>Truck load-out/Rail load-out - New Baghouse</t>
  </si>
  <si>
    <t>New</t>
  </si>
  <si>
    <t>TEU-New-U</t>
  </si>
  <si>
    <t>Truck load-out/Rail load-out - New Baghouse Uncontrolled Emissions</t>
  </si>
  <si>
    <t>New-U</t>
  </si>
  <si>
    <t>TEU-ASMH</t>
  </si>
  <si>
    <t>Active Stockpile - Material Handling Emissions</t>
  </si>
  <si>
    <t>SP1</t>
  </si>
  <si>
    <t>TEU-ASWE</t>
  </si>
  <si>
    <t>Active Stockpile - Wind Erosion Emissions</t>
  </si>
  <si>
    <t>SP1W</t>
  </si>
  <si>
    <t>acres</t>
  </si>
  <si>
    <t>Active raw ore</t>
  </si>
  <si>
    <t>TEU-ISMH</t>
  </si>
  <si>
    <t>Inactive Stockpile - Material Handling Emissions</t>
  </si>
  <si>
    <t>SP2</t>
  </si>
  <si>
    <t>TEU-ISWE</t>
  </si>
  <si>
    <t>Inactive Stockpile - Wind Erosion Emissions</t>
  </si>
  <si>
    <t>SP2W</t>
  </si>
  <si>
    <t>Inactive raw ore</t>
  </si>
  <si>
    <t>TEU-WELD1</t>
  </si>
  <si>
    <t>SMAW - 7018-- Maintenance Welding</t>
  </si>
  <si>
    <t>WELD</t>
  </si>
  <si>
    <t>1000 lbs</t>
  </si>
  <si>
    <t>Welding rods used</t>
  </si>
  <si>
    <t>TEU-WELD2</t>
  </si>
  <si>
    <t>FCAW - 211 --Maintenance welding Exempt TEU per OAR 340-245-0060(3)(a)</t>
  </si>
  <si>
    <t>TEU-WELD3</t>
  </si>
  <si>
    <t>SMAW - 6011 -- Maintenance welding Exempt TEU per OAR 340-245-0060(3)(a)</t>
  </si>
  <si>
    <t>TEU-WELD4</t>
  </si>
  <si>
    <t>FCAW - Orion Flux Core -- Maintenance Welding</t>
  </si>
  <si>
    <t>TEU-DP1-6</t>
  </si>
  <si>
    <t>Drop Point - Active Raw Ore (representitve of drop points 1-6)</t>
  </si>
  <si>
    <t>DP1-DP6</t>
  </si>
  <si>
    <t>TEU-SCALP</t>
  </si>
  <si>
    <t>Perlite Crushing Emissions from the Scalper</t>
  </si>
  <si>
    <t>P-SCP</t>
  </si>
  <si>
    <t>Dry Product</t>
  </si>
  <si>
    <t>TEU-ROAD</t>
  </si>
  <si>
    <t>Emissions From Unpaved Road Traffic at the Facility</t>
  </si>
  <si>
    <t>ROAD</t>
  </si>
  <si>
    <t>VMT</t>
  </si>
  <si>
    <t>Vehicle Miles Traveled</t>
  </si>
  <si>
    <t>TEU-TANK1</t>
  </si>
  <si>
    <t>Emissions From Oil Storage Tank 1</t>
  </si>
  <si>
    <t>TANK1</t>
  </si>
  <si>
    <t>gal</t>
  </si>
  <si>
    <t>Gallons of Oil</t>
  </si>
  <si>
    <t>TEU-Tank2</t>
  </si>
  <si>
    <t>Emissions From Oil Storage Tank 2</t>
  </si>
  <si>
    <t>TANK2</t>
  </si>
  <si>
    <t>Calculated Emissions</t>
  </si>
  <si>
    <t>Toxic Emissions
Unit ID</t>
  </si>
  <si>
    <t>Control 
Efficiency</t>
  </si>
  <si>
    <t>Emission Factor Information</t>
  </si>
  <si>
    <t>Annual - Chronic [lb/yr]</t>
  </si>
  <si>
    <t>Max Daily - Acute [lb/day]</t>
  </si>
  <si>
    <t>EF Values</t>
  </si>
  <si>
    <t>Reference/Notes</t>
  </si>
  <si>
    <t>CAS or DEQ ID</t>
  </si>
  <si>
    <t>DEQ Sequence ID</t>
  </si>
  <si>
    <t>Annual - Chronic</t>
  </si>
  <si>
    <t>Max Daily - Acute</t>
  </si>
  <si>
    <t xml:space="preserve">Requested PTE </t>
  </si>
  <si>
    <t>61-82-5</t>
  </si>
  <si>
    <t>Annual and max daily EF values are the same for this TEU and its pollutants</t>
  </si>
  <si>
    <t>The control efficiency does not apply to this pollutant</t>
  </si>
  <si>
    <t>71-55-6</t>
  </si>
  <si>
    <t>lb/Mgal</t>
  </si>
  <si>
    <t>83-32-9</t>
  </si>
  <si>
    <t>208-96-8</t>
  </si>
  <si>
    <t>Chromium and compounds</t>
  </si>
  <si>
    <t>56-55-3</t>
  </si>
  <si>
    <t>205-99-2</t>
  </si>
  <si>
    <t>53-70-3</t>
  </si>
  <si>
    <t>206-44-0</t>
  </si>
  <si>
    <t>86-73-7</t>
  </si>
  <si>
    <t>50-00-0</t>
  </si>
  <si>
    <t>193-39-5</t>
  </si>
  <si>
    <t>3268-87-9</t>
  </si>
  <si>
    <t>1336-36-3</t>
  </si>
  <si>
    <t>129-00-0</t>
  </si>
  <si>
    <t>Source testing of material and 2014 and 2019 stack test data</t>
  </si>
  <si>
    <t>TEU-Main_U</t>
  </si>
  <si>
    <t>Source testing of material and 2014 and 2019 stack test data (Control applied to Efs)</t>
  </si>
  <si>
    <t>Source testing of material and 2014 and 2019 stack test data, building controls and process yield</t>
  </si>
  <si>
    <t>Equation 1 of AP-42 Section 13.2.4 (control applied at Efs)</t>
  </si>
  <si>
    <t>lb/acre</t>
  </si>
  <si>
    <t>Equation 4-9 in EPA article "Control of Open Fugitive Sources" (control applied at Efs)</t>
  </si>
  <si>
    <t>Equation 4-9 in EPA article "Control of Open Fugitive Sources" (controld applied at Efs)</t>
  </si>
  <si>
    <t>Source testing of material and AP-42 section 13.2.4 (Note this is all active ore drop points)</t>
  </si>
  <si>
    <t>lb/1000 lbs</t>
  </si>
  <si>
    <t xml:space="preserve">San Diego County Air Pollution Control District website, or calculated using CAO Welding Tool </t>
  </si>
  <si>
    <t>AP-42 12.19; SDAPCD 2022</t>
  </si>
  <si>
    <t>Exempt TEU per OAR 340-245-0060(3)(a)</t>
  </si>
  <si>
    <t>AP-42 Section 13.2.2 Table 13.2.2-2 (11/06) (control applied at Efs)</t>
  </si>
  <si>
    <t>lbs/day</t>
  </si>
  <si>
    <t>Tank ESP calculates emissions directly based on throughput provided and material speciation, therefore an EF is not provided for these.</t>
  </si>
  <si>
    <t>TEU-TANK2</t>
  </si>
  <si>
    <t xml:space="preserve">               INSERT ROWS ABOVE THIS LINE                    INSERT ROWS ABOVE THIS LINE                    INSERT ROWS ABOVE THIS LINE                 INSERT ROWS ABOVE THIS LINE</t>
  </si>
  <si>
    <t>Emissions Unit/Product Information</t>
  </si>
  <si>
    <t>Material Usage</t>
  </si>
  <si>
    <t>Material Waste</t>
  </si>
  <si>
    <t>Toxics Emissions
Unit ID</t>
  </si>
  <si>
    <t>Emission Unit or Activity Description</t>
  </si>
  <si>
    <t>Material Name</t>
  </si>
  <si>
    <t>Manufacturer</t>
  </si>
  <si>
    <t>Annual - Chronic [lb/year]</t>
  </si>
  <si>
    <t>Requested
PTE</t>
  </si>
  <si>
    <t>TEU-Booth</t>
  </si>
  <si>
    <t>Widget Paint Booth - atomizer spray guns (EXAMPLE)</t>
  </si>
  <si>
    <t>Widget Paint-A</t>
  </si>
  <si>
    <t>Widget Paint Co.</t>
  </si>
  <si>
    <t>ST-4</t>
  </si>
  <si>
    <t>Widget Paint-B</t>
  </si>
  <si>
    <t>TEU-MA1</t>
  </si>
  <si>
    <t>Maintenance Activity - PB Penetrating Lithium Grease</t>
  </si>
  <si>
    <t>B’laster PB Penetrating Lithium Grease</t>
  </si>
  <si>
    <t>Barnes Distribution</t>
  </si>
  <si>
    <t>MA-1</t>
  </si>
  <si>
    <t>TEU-MA2</t>
  </si>
  <si>
    <t xml:space="preserve">Maintenance Activity - Lectra Motive Electric Parts Cleaner </t>
  </si>
  <si>
    <t>Lectra Motive</t>
  </si>
  <si>
    <t>MA-2</t>
  </si>
  <si>
    <t>TEU-MA3</t>
  </si>
  <si>
    <t>Maintenance Activity - Motor Medic Thrust Starting Fluid</t>
  </si>
  <si>
    <t>Motor Medic</t>
  </si>
  <si>
    <t>MA-3</t>
  </si>
  <si>
    <t>TEU-MA4</t>
  </si>
  <si>
    <t>Maintenance Activity - Rustoleum Spray Paint</t>
  </si>
  <si>
    <t>Rustoleum</t>
  </si>
  <si>
    <t>MA-4</t>
  </si>
  <si>
    <t>TEU-MA5</t>
  </si>
  <si>
    <t>Maintenance Activity - PB Penetrating Catalyst</t>
  </si>
  <si>
    <t>MA-5</t>
  </si>
  <si>
    <t>TEU-MA6</t>
  </si>
  <si>
    <t>Maintenance Activity - Cyclo Breakaway Fast Penetrating Oil</t>
  </si>
  <si>
    <t>Cyclo</t>
  </si>
  <si>
    <t>MA-6</t>
  </si>
  <si>
    <t>Emissions Data</t>
  </si>
  <si>
    <t>Annual Emissions - Chronic [lb/yr]</t>
  </si>
  <si>
    <t>Total Daily Emissions - Acute [lb/day]</t>
  </si>
  <si>
    <t>Control Efficiency</t>
  </si>
  <si>
    <t>Percent Composition</t>
  </si>
  <si>
    <t>TEU-BOOTH</t>
  </si>
  <si>
    <t>100-40-3</t>
  </si>
  <si>
    <t>Includes Transfer Efficiency (72%) and Filter Removal Efficiency (99%)</t>
  </si>
  <si>
    <t>90-43-7</t>
  </si>
  <si>
    <t>CASRN</t>
  </si>
  <si>
    <t>630-20-6</t>
  </si>
  <si>
    <t>1,1,1,2-Tetrachloroethane</t>
  </si>
  <si>
    <t>811-97-2</t>
  </si>
  <si>
    <t>1,1,1,2-Tetrafluoroethane</t>
  </si>
  <si>
    <t>79-34-5</t>
  </si>
  <si>
    <t>1,1,2,2-Tetrachloroethane</t>
  </si>
  <si>
    <t>79-00-5</t>
  </si>
  <si>
    <t>1,1,2-Trichloroethane (vinyl trichloride)</t>
  </si>
  <si>
    <t>75-34-3</t>
  </si>
  <si>
    <t>1,1-Dichloroethane (ethylidene dichloride)</t>
  </si>
  <si>
    <t>75-37-6</t>
  </si>
  <si>
    <t>1,1-Difluoroethane</t>
  </si>
  <si>
    <t>57-14-7</t>
  </si>
  <si>
    <t>1,1-Dimethylhydrazine</t>
  </si>
  <si>
    <t>67562-39-4</t>
  </si>
  <si>
    <t>1,2,3,4,6,7,8-Heptachlorodibenzofuran (HpCDF)</t>
  </si>
  <si>
    <t>35822-46-9</t>
  </si>
  <si>
    <t>1,2,3,4,6,7,8-Heptachlorodibenzo-p-dioxin (HpCDD)</t>
  </si>
  <si>
    <t>55673-89-7</t>
  </si>
  <si>
    <t>1,2,3,4,7,8,9-Heptachlorodibenzofuran (HpCDF)</t>
  </si>
  <si>
    <t>70648-26-9</t>
  </si>
  <si>
    <t>1,2,3,4,7,8-Hexachlorodibenzofuran (HxCDF)</t>
  </si>
  <si>
    <t>39227-28-6</t>
  </si>
  <si>
    <t>1,2,3,4,7,8-Hexachlorodibenzo-p-dioxin (HxCDD)</t>
  </si>
  <si>
    <t>57117-44-9</t>
  </si>
  <si>
    <t>1,2,3,6,7,8-Hexachlorodibenzofuran (HxCDF)</t>
  </si>
  <si>
    <t>57653-85-7</t>
  </si>
  <si>
    <t>1,2,3,6,7,8-Hexachlorodibenzo-p-dioxin (HxCDD)</t>
  </si>
  <si>
    <t>72918-21-9</t>
  </si>
  <si>
    <t>1,2,3,7,8,9-Hexachlorodibenzofuran (HxCDF)</t>
  </si>
  <si>
    <t>19408-74-3</t>
  </si>
  <si>
    <t>1,2,3,7,8,9-Hexachlorodibenzo-p-dioxin (HxCDD)</t>
  </si>
  <si>
    <t>57117-41-6</t>
  </si>
  <si>
    <t>1,2,3,7,8-Pentachlorodibenzofuran (PeCDF)</t>
  </si>
  <si>
    <t>40321-76-4</t>
  </si>
  <si>
    <t>1,2,3,7,8-Pentachlorodibenzo-p-dioxin (PeCDD)</t>
  </si>
  <si>
    <t>96-18-4</t>
  </si>
  <si>
    <t>1,2,3-Trichloropropane</t>
  </si>
  <si>
    <t>526-73-8</t>
  </si>
  <si>
    <t>1,2,3-Trimethylbenzene</t>
  </si>
  <si>
    <t>120-82-1</t>
  </si>
  <si>
    <t>1,2,4-Trichlorobenzene</t>
  </si>
  <si>
    <t>1,2,4-Trimethylbenzene</t>
  </si>
  <si>
    <t>96-12-8</t>
  </si>
  <si>
    <t>1,2-Dibromo-3-chloropropane (DBCP)</t>
  </si>
  <si>
    <t>95-50-1</t>
  </si>
  <si>
    <t>1,2-Dichlorobenzene</t>
  </si>
  <si>
    <t>78-87-5</t>
  </si>
  <si>
    <t>1,2-Dichloropropane (propylene dichloride)</t>
  </si>
  <si>
    <t>540-73-8</t>
  </si>
  <si>
    <t>1,2-Dimethylhydrazine</t>
  </si>
  <si>
    <t>122-66-7</t>
  </si>
  <si>
    <t>1,2-Diphenylhydrazine (hydrazobenzene)</t>
  </si>
  <si>
    <t>106-88-7</t>
  </si>
  <si>
    <t>1,2-Epoxybutane</t>
  </si>
  <si>
    <t>75-55-8</t>
  </si>
  <si>
    <t>1,2-Propyleneimine (2-methylaziridine)</t>
  </si>
  <si>
    <t>108-67-8</t>
  </si>
  <si>
    <t>1,3,5-Trimethylbenzene</t>
  </si>
  <si>
    <t>1,3-Butadiene</t>
  </si>
  <si>
    <t>541-73-1</t>
  </si>
  <si>
    <t>1,3-Dichlorobenzene</t>
  </si>
  <si>
    <t>542-75-6</t>
  </si>
  <si>
    <t>1,3-Dichloropropene</t>
  </si>
  <si>
    <t>1120-71-4</t>
  </si>
  <si>
    <t>1,3-Propane sultone</t>
  </si>
  <si>
    <t>123-91-1</t>
  </si>
  <si>
    <t>1,4-Dioxane</t>
  </si>
  <si>
    <t>42397-64-8</t>
  </si>
  <si>
    <t>1,6-Dinitropyrene</t>
  </si>
  <si>
    <t>42397-65-9</t>
  </si>
  <si>
    <t>1,8-Dinitropyrene</t>
  </si>
  <si>
    <t>555-84-0</t>
  </si>
  <si>
    <t>1-[(5-Nitrofurfurylidene)-amino]-2-imidazolidinone</t>
  </si>
  <si>
    <t>82-28-0</t>
  </si>
  <si>
    <t>1-Amino-2-methylanthraquinone</t>
  </si>
  <si>
    <t>106-94-5</t>
  </si>
  <si>
    <t>1-Bromopropane (n-propyl bromide)</t>
  </si>
  <si>
    <t>75-68-3</t>
  </si>
  <si>
    <t>1-Chloro-1,1-difluoroethane</t>
  </si>
  <si>
    <t>832-69-9</t>
  </si>
  <si>
    <t>1-Methylphenanthrene</t>
  </si>
  <si>
    <t>2381-21-7</t>
  </si>
  <si>
    <t>1-Methylpyrene</t>
  </si>
  <si>
    <t>5522-43-0</t>
  </si>
  <si>
    <t>1-Nitropyrene</t>
  </si>
  <si>
    <t>2,2,4-Trimethylpentane</t>
  </si>
  <si>
    <t>60851-34-5</t>
  </si>
  <si>
    <t>2,3,4,6,7,8-Hexachlorodibenzofuran (HxCDF)</t>
  </si>
  <si>
    <t>58-90-2</t>
  </si>
  <si>
    <t>2,3,4,6-Tetrachlorophenol</t>
  </si>
  <si>
    <t>57117-31-4</t>
  </si>
  <si>
    <t>2,3,4,7,8-Pentachlorodibenzofuran (PeCDF)</t>
  </si>
  <si>
    <t>51207-31-9</t>
  </si>
  <si>
    <t>2,3,7,8-Tetrachlorodibenzofuran (TcDF)</t>
  </si>
  <si>
    <t>1746-01-6</t>
  </si>
  <si>
    <t>2,3,7,8-Tetrachlorodibenzo-p-dioxin (TCDD)</t>
  </si>
  <si>
    <t>96-13-9</t>
  </si>
  <si>
    <t>2,3-Dibromo-1-propanol</t>
  </si>
  <si>
    <t>95-95-4</t>
  </si>
  <si>
    <t>2,4,5-Trichlorophenol</t>
  </si>
  <si>
    <t>88-06-2</t>
  </si>
  <si>
    <t>2,4,6-Trichlorophenol</t>
  </si>
  <si>
    <t>53-19-0</t>
  </si>
  <si>
    <t>2,4'-DDD (2,4'-dichlorodiphenyldichloroethane)</t>
  </si>
  <si>
    <t>3424-82-6</t>
  </si>
  <si>
    <t>2,4'-DDE (2,4'-dichlorodiphenyldichloroethene)</t>
  </si>
  <si>
    <t>789-02-6</t>
  </si>
  <si>
    <t>2,4'-DDT (2,4'-dichlorodiphenyltrichloroethane)</t>
  </si>
  <si>
    <t>615-05-4</t>
  </si>
  <si>
    <t>2,4-Diaminoanisole</t>
  </si>
  <si>
    <t>39156-41-7</t>
  </si>
  <si>
    <t>2,4-Diaminoanisole sulfate</t>
  </si>
  <si>
    <t>95-80-7</t>
  </si>
  <si>
    <t>2,4-Diaminotoluene (2,4-toluene diamine)</t>
  </si>
  <si>
    <t>120-83-2</t>
  </si>
  <si>
    <t>2,4-Dichlorophenol</t>
  </si>
  <si>
    <t>51-28-5</t>
  </si>
  <si>
    <t>2,4-Dinitrophenol</t>
  </si>
  <si>
    <t>121-14-2</t>
  </si>
  <si>
    <t>2,4-Dinitrotoluene</t>
  </si>
  <si>
    <t>606-20-2</t>
  </si>
  <si>
    <t>2,6-Dinitrotoluene</t>
  </si>
  <si>
    <t>53-96-3</t>
  </si>
  <si>
    <t>2-Acetylaminofluorene</t>
  </si>
  <si>
    <t>68006-83-7</t>
  </si>
  <si>
    <t>2-Amino-3-methyl-9H pyrido[2,3-b]indole</t>
  </si>
  <si>
    <t>76180-96-6</t>
  </si>
  <si>
    <t>2-Amino-3-methylimidazo-[4,5-f]quinoline</t>
  </si>
  <si>
    <t>712-68-5</t>
  </si>
  <si>
    <t>2-Amino-5-(5-nitro-2-furyl)-1,3,4-thiadiazole</t>
  </si>
  <si>
    <t>117-79-3</t>
  </si>
  <si>
    <t>2-Aminoanthraquinone</t>
  </si>
  <si>
    <t>78-93-3</t>
  </si>
  <si>
    <t>2-Butanone (methyl ethyl ketone)</t>
  </si>
  <si>
    <t>532-27-4</t>
  </si>
  <si>
    <t>2-Chloroacetophenone</t>
  </si>
  <si>
    <t>95-57-8</t>
  </si>
  <si>
    <t>2-Chlorophenol</t>
  </si>
  <si>
    <t>91-57-6</t>
  </si>
  <si>
    <t>2-Methyl naphthalene</t>
  </si>
  <si>
    <t>129-15-7</t>
  </si>
  <si>
    <t>2-Methyl-1-nitroanthraquinone</t>
  </si>
  <si>
    <t>75-86-5</t>
  </si>
  <si>
    <t>2-Methyllactonitrile (acetone cyanohydrin)</t>
  </si>
  <si>
    <t>109-06-8</t>
  </si>
  <si>
    <t>2-Methylpyridine</t>
  </si>
  <si>
    <t>91-59-8</t>
  </si>
  <si>
    <t>2-Naphthylamine</t>
  </si>
  <si>
    <t>607-57-8</t>
  </si>
  <si>
    <t>2-Nitrofluorene</t>
  </si>
  <si>
    <t>79-46-9</t>
  </si>
  <si>
    <t>2-Nitropropane</t>
  </si>
  <si>
    <t>2-Phenylphenol</t>
  </si>
  <si>
    <t>91-94-1</t>
  </si>
  <si>
    <t>3,3'-Dichlorobenzidine</t>
  </si>
  <si>
    <t>119-90-4</t>
  </si>
  <si>
    <t>3,3'-Dimethoxybenzidine</t>
  </si>
  <si>
    <t>119-93-7</t>
  </si>
  <si>
    <t>3,3'-Dimethylbenzidine (o-tolidine)</t>
  </si>
  <si>
    <t>6109-97-3</t>
  </si>
  <si>
    <t>3-Amino-9-ethylcarbazole hydrochloride</t>
  </si>
  <si>
    <t>563-47-3</t>
  </si>
  <si>
    <t>3-Chloro-2-methyl-1-propene</t>
  </si>
  <si>
    <t>56-49-5</t>
  </si>
  <si>
    <t>3-Methylcholanthrene</t>
  </si>
  <si>
    <t>72-54-8</t>
  </si>
  <si>
    <t>4,4'-DDD (4,4'-dichlorodiphenyldichloroethane)</t>
  </si>
  <si>
    <t>72-55-9</t>
  </si>
  <si>
    <t>4,4'-DDE (4,4'-dichlorodiphenyldichloroethene)</t>
  </si>
  <si>
    <t>101-80-4</t>
  </si>
  <si>
    <t>4,4'-Diaminodiphenyl ether</t>
  </si>
  <si>
    <t>80-05-7</t>
  </si>
  <si>
    <t>4,4'-Isopropylidenediphenol (bisphenol A)</t>
  </si>
  <si>
    <t>101-14-4</t>
  </si>
  <si>
    <t>4,4'-Methylene bis(2-chloroaniline) (MOCA)</t>
  </si>
  <si>
    <t>838-88-0</t>
  </si>
  <si>
    <t>4,4'-Methylene bis(2-methylaniline)</t>
  </si>
  <si>
    <t>101-61-1</t>
  </si>
  <si>
    <t>4,4'-Methylene bis(N,N'-dimethyl)aniline</t>
  </si>
  <si>
    <t>101-77-9</t>
  </si>
  <si>
    <t>4,4'-Methylenedianiline (and its dichloride)</t>
  </si>
  <si>
    <t>13552-44-8</t>
  </si>
  <si>
    <t>4,4'-Methylenedianiline dihydrochloride</t>
  </si>
  <si>
    <t>139-65-1</t>
  </si>
  <si>
    <t>4,4'-Thiodianiline</t>
  </si>
  <si>
    <t>534-52-1</t>
  </si>
  <si>
    <t>4,6-Dinitro-o-cresol (and salts)</t>
  </si>
  <si>
    <t>92-67-1</t>
  </si>
  <si>
    <t>4-Aminobiphenyl</t>
  </si>
  <si>
    <t>95-83-0</t>
  </si>
  <si>
    <t>4-Chloro-o-phenylenediamine</t>
  </si>
  <si>
    <t>60-11-7</t>
  </si>
  <si>
    <t>4-Dimethylaminoazobenzene</t>
  </si>
  <si>
    <t>92-93-3</t>
  </si>
  <si>
    <t>4-Nitrobiphenyl</t>
  </si>
  <si>
    <t>100-02-7</t>
  </si>
  <si>
    <t>4-Nitrophenol</t>
  </si>
  <si>
    <t>57835-92-4</t>
  </si>
  <si>
    <t>4-Nitropyrene</t>
  </si>
  <si>
    <t>104-40-5</t>
  </si>
  <si>
    <t>4-Nonylphenol (and ethoxylates)</t>
  </si>
  <si>
    <t>4-Vinylcyclohexene</t>
  </si>
  <si>
    <t>3697-24-3</t>
  </si>
  <si>
    <t>5-Methylchrysene</t>
  </si>
  <si>
    <t>602-87-9</t>
  </si>
  <si>
    <t>5-Nitroacenaphthene</t>
  </si>
  <si>
    <t>99-59-2</t>
  </si>
  <si>
    <t>5-Nitro-o-anisidine</t>
  </si>
  <si>
    <t>7496-02-8</t>
  </si>
  <si>
    <t>6-Nitrochrysene</t>
  </si>
  <si>
    <t>57-97-6</t>
  </si>
  <si>
    <t>7,12-Dimethylbenz[a]anthracene</t>
  </si>
  <si>
    <t>194-59-2</t>
  </si>
  <si>
    <t>7H-Dibenzo[c,g]carbazole</t>
  </si>
  <si>
    <t>26148-68-5</t>
  </si>
  <si>
    <t>A-alpha-c(2-amino-9h-pyrido[2,3-b]indole)</t>
  </si>
  <si>
    <t>60-35-5</t>
  </si>
  <si>
    <t>Acetamide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</si>
  <si>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</si>
  <si>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</si>
  <si>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</si>
  <si>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</si>
  <si>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</si>
  <si>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</si>
  <si>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</si>
  <si>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</si>
  <si>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</si>
  <si>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</si>
  <si>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</si>
  <si>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</si>
  <si>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</si>
  <si>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</si>
  <si>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</si>
  <si>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</si>
  <si>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</si>
  <si>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</si>
  <si>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</si>
  <si>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</si>
  <si>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319-84-6</t>
  </si>
  <si>
    <t>alpha-Hexachlorocyclohexane</t>
  </si>
  <si>
    <t>1344-28-1</t>
  </si>
  <si>
    <t>Aluminum oxide (fibrous forms)</t>
  </si>
  <si>
    <t>Amitrole</t>
  </si>
  <si>
    <t>7664-41-7</t>
  </si>
  <si>
    <t>Ammonia</t>
  </si>
  <si>
    <t>7803-63-6</t>
  </si>
  <si>
    <t>Ammonium bisulfate</t>
  </si>
  <si>
    <t>6484-52-2</t>
  </si>
  <si>
    <t>Ammonium nitrate</t>
  </si>
  <si>
    <t>7783-20-2</t>
  </si>
  <si>
    <t>Ammonium sulfate</t>
  </si>
  <si>
    <t>62-53-3</t>
  </si>
  <si>
    <t>Aniline</t>
  </si>
  <si>
    <t>191-26-4</t>
  </si>
  <si>
    <t>Anthanthrene</t>
  </si>
  <si>
    <t>1309-64-4</t>
  </si>
  <si>
    <t>Antimony trioxide</t>
  </si>
  <si>
    <t>140-57-8</t>
  </si>
  <si>
    <t>Aramite</t>
  </si>
  <si>
    <t>7784-42-1</t>
  </si>
  <si>
    <t>Arsine</t>
  </si>
  <si>
    <t>1332-21-4</t>
  </si>
  <si>
    <t>Asbestos</t>
  </si>
  <si>
    <t>492-80-8</t>
  </si>
  <si>
    <t>Auramine</t>
  </si>
  <si>
    <t>115-02-6</t>
  </si>
  <si>
    <t>Azaserine</t>
  </si>
  <si>
    <t>446-86-6</t>
  </si>
  <si>
    <t>Azathioprine</t>
  </si>
  <si>
    <t>103-33-3</t>
  </si>
  <si>
    <t>Azobenzene</t>
  </si>
  <si>
    <t>92-87-5</t>
  </si>
  <si>
    <t>Benzidine (and its salts)</t>
  </si>
  <si>
    <t>50-32-8</t>
  </si>
  <si>
    <t>Benzo[a]pyrene</t>
  </si>
  <si>
    <t>205-12-9</t>
  </si>
  <si>
    <t>Benzo[c]fluorene</t>
  </si>
  <si>
    <t>192-97-2</t>
  </si>
  <si>
    <t>Benzo[e]pyrene</t>
  </si>
  <si>
    <t>205-82-3</t>
  </si>
  <si>
    <t>Benzo[j]fluoranthene</t>
  </si>
  <si>
    <t>207-08-9</t>
  </si>
  <si>
    <t>Benzo[k]fluoranthene</t>
  </si>
  <si>
    <t>271-89-6</t>
  </si>
  <si>
    <t>Benzofuran</t>
  </si>
  <si>
    <t>98-07-7</t>
  </si>
  <si>
    <t>Benzoic trichloride (benzotrichloride)</t>
  </si>
  <si>
    <t>98-88-4</t>
  </si>
  <si>
    <t>Benzoyl chloride</t>
  </si>
  <si>
    <t>94-36-0</t>
  </si>
  <si>
    <t>Benzoyl peroxide</t>
  </si>
  <si>
    <t>100-44-7</t>
  </si>
  <si>
    <t>Benzyl chloride</t>
  </si>
  <si>
    <t>1694-09-3</t>
  </si>
  <si>
    <t>Benzyl Violet 4B</t>
  </si>
  <si>
    <t>1304-56-9</t>
  </si>
  <si>
    <t>Beryllium oxide</t>
  </si>
  <si>
    <t>13510-49-1</t>
  </si>
  <si>
    <t>Beryllium sulfate</t>
  </si>
  <si>
    <t>3068-88-0</t>
  </si>
  <si>
    <t>beta-Butyrolactone</t>
  </si>
  <si>
    <t>319-85-7</t>
  </si>
  <si>
    <t>beta-Hexachlorocyclohexane</t>
  </si>
  <si>
    <t>57-57-8</t>
  </si>
  <si>
    <t>beta-Propiolactone</t>
  </si>
  <si>
    <t>111-44-4</t>
  </si>
  <si>
    <t>bis(2-Chloroethyl) ether (BCEE)</t>
  </si>
  <si>
    <t>103-23-1</t>
  </si>
  <si>
    <t>bis(2-Ethylhexyl) adipate</t>
  </si>
  <si>
    <t>117-81-7</t>
  </si>
  <si>
    <t>bis(2-Ethylhexyl) phthalate (DEHP)</t>
  </si>
  <si>
    <t>542-88-1</t>
  </si>
  <si>
    <t>bis(Chloromethyl) ether</t>
  </si>
  <si>
    <t>7726-95-6</t>
  </si>
  <si>
    <t>Bromine and compounds</t>
  </si>
  <si>
    <t>7789-30-2</t>
  </si>
  <si>
    <t>Bromine pentafluoride</t>
  </si>
  <si>
    <t>75-27-4</t>
  </si>
  <si>
    <t>Bromodichloromethane</t>
  </si>
  <si>
    <t>75-25-2</t>
  </si>
  <si>
    <t>Bromoform</t>
  </si>
  <si>
    <t>74-83-9</t>
  </si>
  <si>
    <t>Bromomethane (methyl bromide)</t>
  </si>
  <si>
    <t>141-32-2</t>
  </si>
  <si>
    <t>Butyl acrylate</t>
  </si>
  <si>
    <t>85-68-7</t>
  </si>
  <si>
    <t>Butyl benzyl phthalate</t>
  </si>
  <si>
    <t>25013-16-5</t>
  </si>
  <si>
    <t>Butylated hydroxyanisole</t>
  </si>
  <si>
    <t>569-61-9</t>
  </si>
  <si>
    <t>C.I. Basic Red 9 monohydrochloride</t>
  </si>
  <si>
    <t>156-62-7</t>
  </si>
  <si>
    <t>Calcium cyanamide</t>
  </si>
  <si>
    <t>105-60-2</t>
  </si>
  <si>
    <t>Caprolactam</t>
  </si>
  <si>
    <t>2425-06-1</t>
  </si>
  <si>
    <t>Captafol</t>
  </si>
  <si>
    <t>133-06-2</t>
  </si>
  <si>
    <t>Captan</t>
  </si>
  <si>
    <t>63-25-2</t>
  </si>
  <si>
    <t>Carbaryl</t>
  </si>
  <si>
    <t>86-74-8</t>
  </si>
  <si>
    <t>Carbazole</t>
  </si>
  <si>
    <t>Carbon black extracts</t>
  </si>
  <si>
    <t>56-23-5</t>
  </si>
  <si>
    <t>Carbon tetrachloride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</si>
  <si>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</si>
  <si>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</si>
  <si>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</si>
  <si>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</si>
  <si>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</si>
  <si>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</si>
  <si>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</si>
  <si>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</si>
  <si>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</si>
  <si>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</si>
  <si>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</si>
  <si>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</si>
  <si>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</si>
  <si>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</si>
  <si>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</si>
  <si>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</si>
  <si>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</si>
  <si>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</si>
  <si>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</si>
  <si>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</si>
  <si>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</si>
  <si>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</si>
  <si>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</si>
  <si>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</si>
  <si>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</si>
  <si>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85535-84-8</t>
  </si>
  <si>
    <t>Chloroalkanes C10-13 (chlorinated paraffins)</t>
  </si>
  <si>
    <t>108-90-7</t>
  </si>
  <si>
    <t>Chlorobenzene</t>
  </si>
  <si>
    <t>510-15-6</t>
  </si>
  <si>
    <t>Chlorobenzilate (ethyl-4,4'-dichlorobenzilate)</t>
  </si>
  <si>
    <t>75-45-6</t>
  </si>
  <si>
    <t>Chlorodifluoromethane (Freon 22)</t>
  </si>
  <si>
    <t>Chloroethane (ethyl chloride)</t>
  </si>
  <si>
    <t>67-66-3</t>
  </si>
  <si>
    <t>Chloroform</t>
  </si>
  <si>
    <t>74-87-3</t>
  </si>
  <si>
    <t>Chloromethane (methyl chloride)</t>
  </si>
  <si>
    <t>107-30-2</t>
  </si>
  <si>
    <t>Chloromethyl methyl ether (technical grade)</t>
  </si>
  <si>
    <t>76-06-2</t>
  </si>
  <si>
    <t>Chloropicrin</t>
  </si>
  <si>
    <t>126-99-8</t>
  </si>
  <si>
    <t>Chloroprene</t>
  </si>
  <si>
    <t>1897-45-6</t>
  </si>
  <si>
    <t>Chlorothalonil</t>
  </si>
  <si>
    <t>54749-90-5</t>
  </si>
  <si>
    <t>Chlorozotocin</t>
  </si>
  <si>
    <t>7738-94-5</t>
  </si>
  <si>
    <t>Chromic(VI) acid, including chromic acid aerosol mist and chromium trioxide</t>
  </si>
  <si>
    <t>87-29-6</t>
  </si>
  <si>
    <t>Cinnamyl anthranilate</t>
  </si>
  <si>
    <t>Coke oven emissions</t>
  </si>
  <si>
    <t>Creosotes</t>
  </si>
  <si>
    <t>Cresols (mixture), including m-cresol, o-cresol, p-cresol</t>
  </si>
  <si>
    <t>4170-30-3</t>
  </si>
  <si>
    <t>Crotonaldehyde</t>
  </si>
  <si>
    <t>80-15-9</t>
  </si>
  <si>
    <t>Cumene hydroperoxide</t>
  </si>
  <si>
    <t>135-20-6</t>
  </si>
  <si>
    <t>Cupferron</t>
  </si>
  <si>
    <t>74-90-8</t>
  </si>
  <si>
    <t>Cyanide, hydrogen</t>
  </si>
  <si>
    <t>110-82-7</t>
  </si>
  <si>
    <t>108-93-0</t>
  </si>
  <si>
    <t>Cyclohexanol</t>
  </si>
  <si>
    <t>66-81-9</t>
  </si>
  <si>
    <t>Cycloheximide</t>
  </si>
  <si>
    <t>27208-37-3</t>
  </si>
  <si>
    <t>Cyclopenta[c,d]pyrene</t>
  </si>
  <si>
    <t>50-18-0</t>
  </si>
  <si>
    <t>Cyclophosphamide (anhydrous)</t>
  </si>
  <si>
    <t>6055-19-2</t>
  </si>
  <si>
    <t>Cyclophosphamide (hydrated)</t>
  </si>
  <si>
    <t>5160-02-1</t>
  </si>
  <si>
    <t>D &amp; C Red No. 9</t>
  </si>
  <si>
    <t>4342-03-4</t>
  </si>
  <si>
    <t>Dacarbazine</t>
  </si>
  <si>
    <t>117-10-2</t>
  </si>
  <si>
    <t>Danthron (chrysazin)</t>
  </si>
  <si>
    <t>3547-04-4</t>
  </si>
  <si>
    <t>DDE (1-chloro-4-[1-(4-chlorophenyl)ethyl]benzene)</t>
  </si>
  <si>
    <t>50-29-3</t>
  </si>
  <si>
    <t>DDT</t>
  </si>
  <si>
    <t>333-41-5</t>
  </si>
  <si>
    <t>Diazinon</t>
  </si>
  <si>
    <t>334-88-3</t>
  </si>
  <si>
    <t>Diazomethane</t>
  </si>
  <si>
    <t>226-36-8</t>
  </si>
  <si>
    <t>Dibenz[a,h]acridine</t>
  </si>
  <si>
    <t>224-42-0</t>
  </si>
  <si>
    <t>Dibenz[a,j]acridine</t>
  </si>
  <si>
    <t>5385-75-1</t>
  </si>
  <si>
    <t>Dibenzo[a,e]fluoranthene</t>
  </si>
  <si>
    <t>192-65-4</t>
  </si>
  <si>
    <t>Dibenzo[a,e]pyrene</t>
  </si>
  <si>
    <t>189-64-0</t>
  </si>
  <si>
    <t>Dibenzo[a,h]pyrene</t>
  </si>
  <si>
    <t>189-55-9</t>
  </si>
  <si>
    <t>Dibenzo[a,i]pyrene</t>
  </si>
  <si>
    <t>191-30-0</t>
  </si>
  <si>
    <t>Dibenzo[a,l]pyrene</t>
  </si>
  <si>
    <t>132-64-9</t>
  </si>
  <si>
    <t>Dibenzofuran</t>
  </si>
  <si>
    <t>124-48-1</t>
  </si>
  <si>
    <t>Dibromochloromethane</t>
  </si>
  <si>
    <t>84-74-2</t>
  </si>
  <si>
    <t>Dibutyl phthalate</t>
  </si>
  <si>
    <t>75-71-8</t>
  </si>
  <si>
    <t>Dichlorodifluoromethane (Freon 12)</t>
  </si>
  <si>
    <t>75-43-4</t>
  </si>
  <si>
    <t>Dichlorofluoromethane (Freon 21)</t>
  </si>
  <si>
    <t>Dichloromethane (methylene chloride)</t>
  </si>
  <si>
    <t>94-75-7</t>
  </si>
  <si>
    <t>Dichlorophenoxyacetic acid, salts and esters (2,4-D)</t>
  </si>
  <si>
    <t>62-73-7</t>
  </si>
  <si>
    <t>Dichlorvos (DDVP)</t>
  </si>
  <si>
    <t>115-32-2</t>
  </si>
  <si>
    <t>Dicofol</t>
  </si>
  <si>
    <t>84-61-7</t>
  </si>
  <si>
    <t>Di-cyclohexyl phthalate (DCHP)</t>
  </si>
  <si>
    <t>60-57-1</t>
  </si>
  <si>
    <t>Dieldrin</t>
  </si>
  <si>
    <t>Diesel particulate matter</t>
  </si>
  <si>
    <t>Diethanolamine</t>
  </si>
  <si>
    <t>64-67-5</t>
  </si>
  <si>
    <t>Diethyl sulfate</t>
  </si>
  <si>
    <t>111-46-6</t>
  </si>
  <si>
    <t>Diethylene glycol</t>
  </si>
  <si>
    <t>111-96-6</t>
  </si>
  <si>
    <t>Diethylene glycol dimethyl ether</t>
  </si>
  <si>
    <t>112-34-5</t>
  </si>
  <si>
    <t>Diethylene glycol monobutyl ether</t>
  </si>
  <si>
    <t>111-90-0</t>
  </si>
  <si>
    <t>Diethylene glycol monoethyl ether</t>
  </si>
  <si>
    <t>111-77-3</t>
  </si>
  <si>
    <t>Diethylene glycol monomethyl ether</t>
  </si>
  <si>
    <t>627-44-1</t>
  </si>
  <si>
    <t>Diethylmercury</t>
  </si>
  <si>
    <t>84-66-2</t>
  </si>
  <si>
    <t>Diethylphthalate</t>
  </si>
  <si>
    <t>101-90-6</t>
  </si>
  <si>
    <t>Diglycidyl resorcinol ether</t>
  </si>
  <si>
    <t>94-58-6</t>
  </si>
  <si>
    <t>Dihydrosafrole</t>
  </si>
  <si>
    <t>79-44-7</t>
  </si>
  <si>
    <t>Dimethyl carbamoyl chloride</t>
  </si>
  <si>
    <t>68-12-2</t>
  </si>
  <si>
    <t>Dimethyl formamide</t>
  </si>
  <si>
    <t>131-11-3</t>
  </si>
  <si>
    <t>Dimethyl phthalate</t>
  </si>
  <si>
    <t>77-78-1</t>
  </si>
  <si>
    <t>Dimethyl sulfate</t>
  </si>
  <si>
    <t>593-74-8</t>
  </si>
  <si>
    <t>Dimethylmercury</t>
  </si>
  <si>
    <t>513-37-1</t>
  </si>
  <si>
    <t>Dimethylvinylchloride</t>
  </si>
  <si>
    <t>630-93-3</t>
  </si>
  <si>
    <t>Diphenylhydantoin</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</si>
  <si>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</si>
  <si>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</si>
  <si>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</si>
  <si>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</si>
  <si>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</si>
  <si>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</si>
  <si>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</si>
  <si>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</si>
  <si>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</si>
  <si>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</si>
  <si>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</si>
  <si>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</si>
  <si>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</si>
  <si>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</si>
  <si>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</si>
  <si>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</si>
  <si>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Epoxy resins</t>
  </si>
  <si>
    <t>12510-42-8</t>
  </si>
  <si>
    <t>Erionite</t>
  </si>
  <si>
    <t>140-88-5</t>
  </si>
  <si>
    <t>Ethyl acrylate</t>
  </si>
  <si>
    <t>74-85-1</t>
  </si>
  <si>
    <t>Ethylene</t>
  </si>
  <si>
    <t>Ethylene dibromide (EDB, 1,2-dibromoethane)</t>
  </si>
  <si>
    <t>Ethylene dichloride (EDC, 1,2-dichloroethane)</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</si>
  <si>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</si>
  <si>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</si>
  <si>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</si>
  <si>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</si>
  <si>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</si>
  <si>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</si>
  <si>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</si>
  <si>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</si>
  <si>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</si>
  <si>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</si>
  <si>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</si>
  <si>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</si>
  <si>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</si>
  <si>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</si>
  <si>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</si>
  <si>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</si>
  <si>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75-21-8</t>
  </si>
  <si>
    <t>Ethylene oxide</t>
  </si>
  <si>
    <t>96-45-7</t>
  </si>
  <si>
    <t>Ethylene thiourea</t>
  </si>
  <si>
    <t>151-56-4</t>
  </si>
  <si>
    <t>Ethyleneimine (aziridine)</t>
  </si>
  <si>
    <t>10028-22-5</t>
  </si>
  <si>
    <t>Ferric sulfate</t>
  </si>
  <si>
    <t>7782-41-4</t>
  </si>
  <si>
    <t>Fluorine gas</t>
  </si>
  <si>
    <t>110-00-9</t>
  </si>
  <si>
    <t>Furan</t>
  </si>
  <si>
    <t>60568-05-0</t>
  </si>
  <si>
    <t>Furmecyclox</t>
  </si>
  <si>
    <t>3688-53-7</t>
  </si>
  <si>
    <t>Furylfuramide</t>
  </si>
  <si>
    <t>58-89-9</t>
  </si>
  <si>
    <t>gamma-Hexachlorocyclohexane (Lindane)</t>
  </si>
  <si>
    <t>Glasswool fibers</t>
  </si>
  <si>
    <t>67730-11-4</t>
  </si>
  <si>
    <t>Glu-P-1</t>
  </si>
  <si>
    <t>67730-10-3</t>
  </si>
  <si>
    <t>Glu-P-2</t>
  </si>
  <si>
    <t>111-30-8</t>
  </si>
  <si>
    <t>Glutaraldehyde</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</si>
  <si>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</si>
  <si>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</si>
  <si>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</si>
  <si>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</si>
  <si>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</si>
  <si>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</si>
  <si>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</si>
  <si>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</si>
  <si>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</si>
  <si>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</si>
  <si>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</si>
  <si>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</si>
  <si>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</si>
  <si>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</si>
  <si>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77-47-4</t>
  </si>
  <si>
    <t>Hexachlorocyclopentadiene</t>
  </si>
  <si>
    <t>67-72-1</t>
  </si>
  <si>
    <t>Hexachloroethane</t>
  </si>
  <si>
    <t>822-06-0</t>
  </si>
  <si>
    <t>Hexamethylene-1,6-diisocyanate</t>
  </si>
  <si>
    <t>680-31-9</t>
  </si>
  <si>
    <t>Hexamethylphosphoramide</t>
  </si>
  <si>
    <t>Hexane</t>
  </si>
  <si>
    <t>302-01-2</t>
  </si>
  <si>
    <t>Hydrazine</t>
  </si>
  <si>
    <t>10034-93-2</t>
  </si>
  <si>
    <t>Hydrazine sulfate</t>
  </si>
  <si>
    <t>7647-01-0</t>
  </si>
  <si>
    <t>Hydrochloric acid</t>
  </si>
  <si>
    <t>10035-10-6</t>
  </si>
  <si>
    <t>Hydrogen bromide</t>
  </si>
  <si>
    <t>7783-06-4</t>
  </si>
  <si>
    <t>Hydrogen sulfide</t>
  </si>
  <si>
    <t>123-31-9</t>
  </si>
  <si>
    <t>Hydroquinone</t>
  </si>
  <si>
    <t>10043-66-0</t>
  </si>
  <si>
    <t>Iodine-131</t>
  </si>
  <si>
    <t>13463-40-6</t>
  </si>
  <si>
    <t>Iron pentacarbonyl</t>
  </si>
  <si>
    <t>78-59-1</t>
  </si>
  <si>
    <t>Isophorone</t>
  </si>
  <si>
    <t>78-79-5</t>
  </si>
  <si>
    <t>Isoprene, except from vegetative emission sources</t>
  </si>
  <si>
    <t>67-63-0</t>
  </si>
  <si>
    <t>Isopropyl alcohol</t>
  </si>
  <si>
    <t>Isopropylbenzene (cumene)</t>
  </si>
  <si>
    <t>303-34-4</t>
  </si>
  <si>
    <t>Lasiocarpine</t>
  </si>
  <si>
    <t>18454-12-1</t>
  </si>
  <si>
    <t>Lead chromate oxide</t>
  </si>
  <si>
    <t>108-31-6</t>
  </si>
  <si>
    <t>Maleic anhydride</t>
  </si>
  <si>
    <t>m-Cresol</t>
  </si>
  <si>
    <t>148-82-3</t>
  </si>
  <si>
    <t>Melphalan</t>
  </si>
  <si>
    <t>3223-07-2</t>
  </si>
  <si>
    <t>Melphalan HCl</t>
  </si>
  <si>
    <t>Methanol</t>
  </si>
  <si>
    <t>72-43-5</t>
  </si>
  <si>
    <t>Methoxychlor</t>
  </si>
  <si>
    <t>60-34-4</t>
  </si>
  <si>
    <t>Methyl hydrazine</t>
  </si>
  <si>
    <t>74-88-4</t>
  </si>
  <si>
    <t>Methyl iodide (iodomethane)</t>
  </si>
  <si>
    <t>Methyl isobutyl ketone (MIBK, hexone)</t>
  </si>
  <si>
    <t>624-83-9</t>
  </si>
  <si>
    <t>Methyl isocyanate</t>
  </si>
  <si>
    <t>80-62-6</t>
  </si>
  <si>
    <t>Methyl methacrylate</t>
  </si>
  <si>
    <t>66-27-3</t>
  </si>
  <si>
    <t>Methyl methanesulfonate</t>
  </si>
  <si>
    <t>Methyl tert-butyl ether</t>
  </si>
  <si>
    <t>Methylene diphenyl diisocyanate (MDI)</t>
  </si>
  <si>
    <t>22967-92-6</t>
  </si>
  <si>
    <t>Methylmercury</t>
  </si>
  <si>
    <t>56-04-2</t>
  </si>
  <si>
    <t>Methylthiouracil</t>
  </si>
  <si>
    <t>90-94-8</t>
  </si>
  <si>
    <t>Michler's ketone</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</si>
  <si>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</si>
  <si>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</si>
  <si>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2385-85-5</t>
  </si>
  <si>
    <t>Mirex</t>
  </si>
  <si>
    <t>50-07-7</t>
  </si>
  <si>
    <t>Mitomycin C</t>
  </si>
  <si>
    <t>Molybdenum trioxide</t>
  </si>
  <si>
    <t>315-22-0</t>
  </si>
  <si>
    <t>Monocrotaline</t>
  </si>
  <si>
    <t>m-Xylene</t>
  </si>
  <si>
    <t>134-62-3</t>
  </si>
  <si>
    <t>N,N-Diethyltoluamide (DEET)</t>
  </si>
  <si>
    <t>121-69-7</t>
  </si>
  <si>
    <t>N,N-Dimethylaniline</t>
  </si>
  <si>
    <t>531-82-8</t>
  </si>
  <si>
    <t>N-[4-(5-Nitro-2-furyl)-2-thiazolyl]-acetamide</t>
  </si>
  <si>
    <t>71-36-3</t>
  </si>
  <si>
    <t>n-Butyl alcohol</t>
  </si>
  <si>
    <t>373-02-4</t>
  </si>
  <si>
    <t>Nickel acetate</t>
  </si>
  <si>
    <t>3333-67-3</t>
  </si>
  <si>
    <t>Nickel carbonate</t>
  </si>
  <si>
    <t>12607-70-4</t>
  </si>
  <si>
    <t>Nickel carbonate hydroxide</t>
  </si>
  <si>
    <t>13463-39-3</t>
  </si>
  <si>
    <t>Nickel carbonyl</t>
  </si>
  <si>
    <t>7718-54-9</t>
  </si>
  <si>
    <t>Nickel chloride</t>
  </si>
  <si>
    <t>Nickel compounds, insoluble</t>
  </si>
  <si>
    <t>Nickel compounds, soluble</t>
  </si>
  <si>
    <t>12054-48-7</t>
  </si>
  <si>
    <t>Nickel hydroxide</t>
  </si>
  <si>
    <t>13478-00-7</t>
  </si>
  <si>
    <t>Nickel nitrate hexahydrate</t>
  </si>
  <si>
    <t>1313-99-1</t>
  </si>
  <si>
    <t>Nickel oxide</t>
  </si>
  <si>
    <t>12035-72-2</t>
  </si>
  <si>
    <t>Nickel subsulfide</t>
  </si>
  <si>
    <t>7786-81-4</t>
  </si>
  <si>
    <t>Nickel sulfate</t>
  </si>
  <si>
    <t>10101-97-0</t>
  </si>
  <si>
    <t>Nickel sulfate hexahydrate</t>
  </si>
  <si>
    <t>11113-75-0</t>
  </si>
  <si>
    <t>Nickel sulfide</t>
  </si>
  <si>
    <t>1271-28-9</t>
  </si>
  <si>
    <t>Nickelocene</t>
  </si>
  <si>
    <t>3570-75-0</t>
  </si>
  <si>
    <t>Nifurthiazole</t>
  </si>
  <si>
    <t>7697-37-2</t>
  </si>
  <si>
    <t>Nitric acid</t>
  </si>
  <si>
    <t>139-13-9</t>
  </si>
  <si>
    <t>Nitrilotriacetic acid</t>
  </si>
  <si>
    <t>18662-53-8</t>
  </si>
  <si>
    <t>Nitrilotriacetic acid, trisodium salt monohydrate</t>
  </si>
  <si>
    <t>98-95-3</t>
  </si>
  <si>
    <t>Nitrobenzene</t>
  </si>
  <si>
    <t>1836-75-5</t>
  </si>
  <si>
    <t>Nitrofen</t>
  </si>
  <si>
    <t>59-87-0</t>
  </si>
  <si>
    <t>Nitrofurazone</t>
  </si>
  <si>
    <t>302-70-5</t>
  </si>
  <si>
    <t>Nitrogen mustard N-oxide</t>
  </si>
  <si>
    <t>70-25-7</t>
  </si>
  <si>
    <t>N-Methyl-N-nitro-N-nitrosoguanidine</t>
  </si>
  <si>
    <t>1116-54-7</t>
  </si>
  <si>
    <t>N-Nitrosodiethanolamine</t>
  </si>
  <si>
    <t>55-18-5</t>
  </si>
  <si>
    <t>N-Nitrosodiethylamine</t>
  </si>
  <si>
    <t>62-75-9</t>
  </si>
  <si>
    <t>N-Nitrosodimethylamine</t>
  </si>
  <si>
    <t>924-16-3</t>
  </si>
  <si>
    <t>N-Nitrosodi-n-butylamine</t>
  </si>
  <si>
    <t>86-30-6</t>
  </si>
  <si>
    <t>N-Nitrosodiphenylamine</t>
  </si>
  <si>
    <t>621-64-7</t>
  </si>
  <si>
    <t>N-Nitrosodipropylamine</t>
  </si>
  <si>
    <t>10595-95-6</t>
  </si>
  <si>
    <t>N-Nitrosomethylethylamine</t>
  </si>
  <si>
    <t>59-89-2</t>
  </si>
  <si>
    <t>N-Nitrosomorpholine</t>
  </si>
  <si>
    <t>759-73-9</t>
  </si>
  <si>
    <t>N-Nitroso-N-ethylurea</t>
  </si>
  <si>
    <t>684-93-5</t>
  </si>
  <si>
    <t>N-Nitroso-N-methylurea</t>
  </si>
  <si>
    <t>615-53-2</t>
  </si>
  <si>
    <t>N-Nitroso-N-methylurethane</t>
  </si>
  <si>
    <t>16543-55-8</t>
  </si>
  <si>
    <t>N-Nitrosonornicotine</t>
  </si>
  <si>
    <t>100-75-4</t>
  </si>
  <si>
    <t>N-Nitrosopiperidine</t>
  </si>
  <si>
    <t>930-55-2</t>
  </si>
  <si>
    <t>N-Nitrosopyrrolidine</t>
  </si>
  <si>
    <t>90-04-0</t>
  </si>
  <si>
    <t>o-Anisidine</t>
  </si>
  <si>
    <t>134-29-2</t>
  </si>
  <si>
    <t>o-Anisidine hydrochloride</t>
  </si>
  <si>
    <t>o-Cresol</t>
  </si>
  <si>
    <t>39001-02-0</t>
  </si>
  <si>
    <t>Octachlorodibenzofuran (OCDF)</t>
  </si>
  <si>
    <t>8014-95-7</t>
  </si>
  <si>
    <t>Oleum (fuming sulfuric acid)</t>
  </si>
  <si>
    <t>132-27-4</t>
  </si>
  <si>
    <t>o-Phenylphenate, sodium</t>
  </si>
  <si>
    <t>97-56-3</t>
  </si>
  <si>
    <t>ortho-Aminoazotoluene</t>
  </si>
  <si>
    <t>95-53-4</t>
  </si>
  <si>
    <t>o-Toluidine</t>
  </si>
  <si>
    <t>636-21-5</t>
  </si>
  <si>
    <t>o-Toluidine hydrochloride</t>
  </si>
  <si>
    <t>o-Xylene</t>
  </si>
  <si>
    <t>56-38-2</t>
  </si>
  <si>
    <t>Parathion</t>
  </si>
  <si>
    <t>189084-64-8</t>
  </si>
  <si>
    <t>PBDE-100 [2,2’,4,4’,6-pentabromodiphenyl ether]</t>
  </si>
  <si>
    <t>182677-30-1</t>
  </si>
  <si>
    <t>PBDE-138 [2,2’,3,4,4’,5’-hexabromodiphenyl ether]</t>
  </si>
  <si>
    <t>68631-49-2</t>
  </si>
  <si>
    <t>PBDE-153 [2,2',4,4',5,5'-hexabromodiphenyl ether]</t>
  </si>
  <si>
    <t>207122-15-4</t>
  </si>
  <si>
    <t>PBDE-154 [2,2’,4,4’,5,6’-hexabromodiphenyl ether]</t>
  </si>
  <si>
    <t>207122-16-5</t>
  </si>
  <si>
    <t>PBDE-183 [2,2',3,4,4',5',6-heptabromodiphenyl ether]</t>
  </si>
  <si>
    <t>1163-19-5</t>
  </si>
  <si>
    <t>PBDE-209 [decabromodiphenyl ether]</t>
  </si>
  <si>
    <t>5436-43-1</t>
  </si>
  <si>
    <t>PBDE-47 [2,2',4,4'-tetrabromodiphenyl ether]</t>
  </si>
  <si>
    <t>60348-60-9</t>
  </si>
  <si>
    <t>PBDE-99 [2,2’,4,4’,5-pentabromodiphenyl ether]</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</si>
  <si>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</si>
  <si>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</si>
  <si>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</si>
  <si>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</si>
  <si>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</si>
  <si>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</si>
  <si>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</si>
  <si>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</si>
  <si>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</si>
  <si>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</si>
  <si>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</si>
  <si>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</si>
  <si>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</si>
  <si>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</si>
  <si>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</si>
  <si>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</si>
  <si>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</si>
  <si>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</si>
  <si>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37680-65-2</t>
  </si>
  <si>
    <t>PCB 18 [2,2',5-trichlorobiphenyl]</t>
  </si>
  <si>
    <t>39635-31-9</t>
  </si>
  <si>
    <t>PCB 189 [2,3,3',4,4',5,5'-heptachlorobiphenyl]</t>
  </si>
  <si>
    <t>32598-13-3</t>
  </si>
  <si>
    <t>PCB 77 [3,3',4,4'-tetrachlorobiphenyl]</t>
  </si>
  <si>
    <t>70362-50-4</t>
  </si>
  <si>
    <t>PCB 81 [3,4,4',5-tetrachlorobiphenyl]</t>
  </si>
  <si>
    <t>37680-73-2</t>
  </si>
  <si>
    <t>PCB-101 [2,2',4,5,5'-pentachlorobiphenyl]</t>
  </si>
  <si>
    <t>38380-07-3</t>
  </si>
  <si>
    <t>PCB-128 [2,2',3,3',4,4'-hexachlorobiphenyl]</t>
  </si>
  <si>
    <t>35065-28-2</t>
  </si>
  <si>
    <t>PCB-138 [2,2',3,4,4',5'-hexachlorobiphenyl]</t>
  </si>
  <si>
    <t>35065-27-1</t>
  </si>
  <si>
    <t>PCB-153 [2,2',4,4',5,5'-hexachlorobiphenyl]</t>
  </si>
  <si>
    <t>35065-30-6</t>
  </si>
  <si>
    <t>PCB-170 [2,2',3,3',4,4',5-heptachlorobiphenyl]</t>
  </si>
  <si>
    <t>35065-29-3</t>
  </si>
  <si>
    <t>PCB-180 [2,2',3,4,4',5,5'-heptachlorobiphenyl]</t>
  </si>
  <si>
    <t>52663-68-0</t>
  </si>
  <si>
    <t>PCB-187 [2,2',3,4',5,5',6-heptachlorobiphenyl]</t>
  </si>
  <si>
    <t>52663-78-2</t>
  </si>
  <si>
    <t>PCB-195 [2,2',3,3',4,4',5,6-octachlorobiphenyl]</t>
  </si>
  <si>
    <t>40186-72-9</t>
  </si>
  <si>
    <t>PCB-206 [2,2',3,3',4,4',5,5',6-nonachlorobiphenyl]</t>
  </si>
  <si>
    <t>2051-24-3</t>
  </si>
  <si>
    <t>PCB-209 [decachlorobiphenyl]</t>
  </si>
  <si>
    <t>7012-37-5</t>
  </si>
  <si>
    <t>PCB-28 [2,4,4'-trichlorobiphenyl]</t>
  </si>
  <si>
    <t>41464-39-5</t>
  </si>
  <si>
    <t>PCB-44 [2,2',3,5'-tetrachlorobiphenyl]</t>
  </si>
  <si>
    <t>35693-99-3</t>
  </si>
  <si>
    <t>PCB-52 [2,2',5,5'-tetrachlorobiphenyl]</t>
  </si>
  <si>
    <t>32598-10-0</t>
  </si>
  <si>
    <t>PCB-66 [2,3',4,4'-tetrachlorobiphenyl]</t>
  </si>
  <si>
    <t>34883-43-7</t>
  </si>
  <si>
    <t>PCB-8 [2,4'-dichlorobiphenyl]</t>
  </si>
  <si>
    <t>106-47-8</t>
  </si>
  <si>
    <t>p-Chloroaniline</t>
  </si>
  <si>
    <t>95-69-2</t>
  </si>
  <si>
    <t>p-Chloro-o-toluidine</t>
  </si>
  <si>
    <t>120-71-8</t>
  </si>
  <si>
    <t>p-Cresidine</t>
  </si>
  <si>
    <t>p-Cresol</t>
  </si>
  <si>
    <t>106-46-7</t>
  </si>
  <si>
    <t>p-Dichlorobenzene (1,4-dichlorobenzene)</t>
  </si>
  <si>
    <t>32534-81-9</t>
  </si>
  <si>
    <t>Pentabromodiphenyl ether</t>
  </si>
  <si>
    <t>82-68-8</t>
  </si>
  <si>
    <t>Pentachloronitrobenzene (quintobenzene)</t>
  </si>
  <si>
    <t>87-86-5</t>
  </si>
  <si>
    <t>Pentachlorophenol</t>
  </si>
  <si>
    <t>79-21-0</t>
  </si>
  <si>
    <t>Peracetic acid</t>
  </si>
  <si>
    <t>Perfluorinated compounds (PFCs)</t>
  </si>
  <si>
    <t>1763-23-1</t>
  </si>
  <si>
    <t>Perfluorooctanesulfonic acid (PFOS)</t>
  </si>
  <si>
    <t>335-67-1</t>
  </si>
  <si>
    <t>Perfluorooctanoic acid (PFOA)</t>
  </si>
  <si>
    <t>198-55-0</t>
  </si>
  <si>
    <t>Perylene</t>
  </si>
  <si>
    <t>62-44-2</t>
  </si>
  <si>
    <t>Phenacetin</t>
  </si>
  <si>
    <t>94-78-0</t>
  </si>
  <si>
    <t>Phenazopyridine</t>
  </si>
  <si>
    <t>136-40-3</t>
  </si>
  <si>
    <t>Phenazopyridine hydrochloride</t>
  </si>
  <si>
    <t>3546-10-9</t>
  </si>
  <si>
    <t>Phenesterin</t>
  </si>
  <si>
    <t>50-06-6</t>
  </si>
  <si>
    <t>Phenobarbital</t>
  </si>
  <si>
    <t>59-96-1</t>
  </si>
  <si>
    <t>Phenoxybenzamine</t>
  </si>
  <si>
    <t>63-92-3</t>
  </si>
  <si>
    <t>Phenoxybenzamine hydrochloride</t>
  </si>
  <si>
    <t>75-44-5</t>
  </si>
  <si>
    <t>Phosgene</t>
  </si>
  <si>
    <t>7803-51-2</t>
  </si>
  <si>
    <t>Phosphine</t>
  </si>
  <si>
    <t>7664-38-2</t>
  </si>
  <si>
    <t>Phosphoric acid</t>
  </si>
  <si>
    <t>10025-87-3</t>
  </si>
  <si>
    <t>Phosphorus oxychloride</t>
  </si>
  <si>
    <t>10026-13-8</t>
  </si>
  <si>
    <t>Phosphorus pentachloride</t>
  </si>
  <si>
    <t>Phosphorus pentoxide</t>
  </si>
  <si>
    <t>7719-12-2</t>
  </si>
  <si>
    <t>Phosphorus trichloride</t>
  </si>
  <si>
    <t>12185-10-3</t>
  </si>
  <si>
    <t>Phosphorus, white</t>
  </si>
  <si>
    <t>Phthalates</t>
  </si>
  <si>
    <t>85-44-9</t>
  </si>
  <si>
    <t>Phthalic anhydride</t>
  </si>
  <si>
    <t>156-10-5</t>
  </si>
  <si>
    <t>p-Nitrosodiphenylamine</t>
  </si>
  <si>
    <t>Polybrominated diphenyl ethers (PBDEs)</t>
  </si>
  <si>
    <t>Polychlorinated biphenyls (PCBs) TEQ</t>
  </si>
  <si>
    <t>Polychlorinated dibenzo-p-dioxins (PCDDs) &amp; dibenzofurans (PCDFs) TEQ</t>
  </si>
  <si>
    <t>Polycyclic aromatic hydrocarbon derivatives [PAH-Derivatives]</t>
  </si>
  <si>
    <t>Polycyclic aromatic hydrocarbons (PAHs)</t>
  </si>
  <si>
    <t>3564-09-8</t>
  </si>
  <si>
    <t>Ponceau 3R</t>
  </si>
  <si>
    <t>3761-53-3</t>
  </si>
  <si>
    <t>Ponceau MX</t>
  </si>
  <si>
    <t>7758-01-2</t>
  </si>
  <si>
    <t>Potassium bromate</t>
  </si>
  <si>
    <t>106-50-3</t>
  </si>
  <si>
    <t>p-Phenylenediamine</t>
  </si>
  <si>
    <t>671-16-9</t>
  </si>
  <si>
    <t>Procarbazine</t>
  </si>
  <si>
    <t>366-70-1</t>
  </si>
  <si>
    <t>Procarbazine hydrochloride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</si>
  <si>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</si>
  <si>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</si>
  <si>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</si>
  <si>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</si>
  <si>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</si>
  <si>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</si>
  <si>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</si>
  <si>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</si>
  <si>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</si>
  <si>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</si>
  <si>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</si>
  <si>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</si>
  <si>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51-52-5</t>
  </si>
  <si>
    <t>Propylthiouracil</t>
  </si>
  <si>
    <t>p-Xylene</t>
  </si>
  <si>
    <t>110-86-1</t>
  </si>
  <si>
    <t>Pyridine</t>
  </si>
  <si>
    <t>91-22-5</t>
  </si>
  <si>
    <t>Quinoline</t>
  </si>
  <si>
    <t>106-51-4</t>
  </si>
  <si>
    <t>Quinone</t>
  </si>
  <si>
    <t>Radon and its decay products</t>
  </si>
  <si>
    <t>Refractory ceramic fibers</t>
  </si>
  <si>
    <t>50-55-5</t>
  </si>
  <si>
    <t>Reserpine</t>
  </si>
  <si>
    <t>Rockwool</t>
  </si>
  <si>
    <t>94-59-7</t>
  </si>
  <si>
    <t>Safrole</t>
  </si>
  <si>
    <t>78-92-2</t>
  </si>
  <si>
    <t>sec-Butyl alcohol</t>
  </si>
  <si>
    <t>7783-07-5</t>
  </si>
  <si>
    <t>Selenide, hydrogen</t>
  </si>
  <si>
    <t>7446-34-6</t>
  </si>
  <si>
    <t>Selenium sulfide</t>
  </si>
  <si>
    <t>Slagwool</t>
  </si>
  <si>
    <t>1310-73-2</t>
  </si>
  <si>
    <t>Sodium hydroxide</t>
  </si>
  <si>
    <t>10048-13-2</t>
  </si>
  <si>
    <t>Sterigmatocystin</t>
  </si>
  <si>
    <t>18883-66-4</t>
  </si>
  <si>
    <t>Streptozotocin</t>
  </si>
  <si>
    <t>96-09-3</t>
  </si>
  <si>
    <t>Styrene oxide</t>
  </si>
  <si>
    <t>95-06-7</t>
  </si>
  <si>
    <t>Sulfallate</t>
  </si>
  <si>
    <t>505-60-2</t>
  </si>
  <si>
    <t>Sulfur mustard</t>
  </si>
  <si>
    <t>7664-93-9</t>
  </si>
  <si>
    <t>Sulfuric acid</t>
  </si>
  <si>
    <t>Talc containing asbestiform fibers</t>
  </si>
  <si>
    <t>540-88-5</t>
  </si>
  <si>
    <t>t-Butyl acetate</t>
  </si>
  <si>
    <t>100-21-0</t>
  </si>
  <si>
    <t>Terephthalic acid</t>
  </si>
  <si>
    <t>75-65-0</t>
  </si>
  <si>
    <t>tert-Butyl alcohol</t>
  </si>
  <si>
    <t>40088-47-9</t>
  </si>
  <si>
    <t>Tetrabromodiphenyl ether</t>
  </si>
  <si>
    <t>Tetrachloroethene (perchloroethylene)</t>
  </si>
  <si>
    <t>62-55-5</t>
  </si>
  <si>
    <t>Thioacetamide</t>
  </si>
  <si>
    <t>62-56-6</t>
  </si>
  <si>
    <t>Thiourea</t>
  </si>
  <si>
    <t>7550-45-0</t>
  </si>
  <si>
    <t>Titanium tetrachloride</t>
  </si>
  <si>
    <t>Toluene diisocyanates (2,4- and 2,6-)</t>
  </si>
  <si>
    <t>584-84-9</t>
  </si>
  <si>
    <t>Toluene-2,4-diisocyanate</t>
  </si>
  <si>
    <t>91-08-7</t>
  </si>
  <si>
    <t>Toluene-2,6-diisocyanate</t>
  </si>
  <si>
    <t>38998-75-3</t>
  </si>
  <si>
    <t>Total heptachlorodibenzofuran</t>
  </si>
  <si>
    <t>37871-00-4</t>
  </si>
  <si>
    <t>Total heptachlorodibenzo-p-dioxin</t>
  </si>
  <si>
    <t>55684-94-1</t>
  </si>
  <si>
    <t>Total hexachlorodibenzofuran</t>
  </si>
  <si>
    <t>34465-46-8</t>
  </si>
  <si>
    <t>Total hexachlorodibenzo-p-dioxin</t>
  </si>
  <si>
    <t>30402-15-4</t>
  </si>
  <si>
    <t>Total pentachlorodibenzofuran</t>
  </si>
  <si>
    <t>36088-22-9</t>
  </si>
  <si>
    <t>Total pentachlorodibenzo-p-dioxin</t>
  </si>
  <si>
    <t>55722-27-5</t>
  </si>
  <si>
    <t>Total tetrachlorodibenzofuran</t>
  </si>
  <si>
    <t>41903-57-5</t>
  </si>
  <si>
    <t>Total tetrachlorodibenzo-p-dioxin</t>
  </si>
  <si>
    <t>8001-35-2</t>
  </si>
  <si>
    <t>Toxaphene (polychlorinated camphenes)</t>
  </si>
  <si>
    <t>156-60-5</t>
  </si>
  <si>
    <t>trans-1,2-Dichloroethene</t>
  </si>
  <si>
    <t>55738-54-0</t>
  </si>
  <si>
    <t>trans-2[(Dimethylamino)-methylimino]-5-[2-(5-nitro-2-furyl)-vinyl]-1,3,4-oxadiazole</t>
  </si>
  <si>
    <t>39765-80-5</t>
  </si>
  <si>
    <t>trans-Nonachlor</t>
  </si>
  <si>
    <t>126-73-8</t>
  </si>
  <si>
    <t>Tributyl phosphate</t>
  </si>
  <si>
    <t>79-01-6</t>
  </si>
  <si>
    <t>Trichloroethene (TCE, trichloroethylene)</t>
  </si>
  <si>
    <t>75-69-4</t>
  </si>
  <si>
    <t>Trichlorofluoromethane (Freon 11)</t>
  </si>
  <si>
    <t>78-40-0</t>
  </si>
  <si>
    <t>Triethyl phosphate</t>
  </si>
  <si>
    <t>121-44-8</t>
  </si>
  <si>
    <t>Triethylamine</t>
  </si>
  <si>
    <t>112-49-2</t>
  </si>
  <si>
    <t>Triethylene glycol dimethyl ether</t>
  </si>
  <si>
    <t>1582-09-8</t>
  </si>
  <si>
    <t>Trifluralin</t>
  </si>
  <si>
    <t>512-56-1</t>
  </si>
  <si>
    <t>Trimethyl phosphate</t>
  </si>
  <si>
    <t>78-30-8</t>
  </si>
  <si>
    <t>Triorthocresyl phosphate</t>
  </si>
  <si>
    <t>115-86-6</t>
  </si>
  <si>
    <t>Triphenyl phosphate</t>
  </si>
  <si>
    <t>101-02-0</t>
  </si>
  <si>
    <t>Triphenyl phosphite</t>
  </si>
  <si>
    <t>52-24-4</t>
  </si>
  <si>
    <t>tris-(1-Aziridinyl)phosphine sulfide</t>
  </si>
  <si>
    <t>126-72-7</t>
  </si>
  <si>
    <t>tris(2,3-Dibromopropyl)phosphate</t>
  </si>
  <si>
    <t>62450-06-0</t>
  </si>
  <si>
    <t>Tryptophan-P-1</t>
  </si>
  <si>
    <t>62450-07-1</t>
  </si>
  <si>
    <t>Tryptophan-P-2</t>
  </si>
  <si>
    <t>51-79-6</t>
  </si>
  <si>
    <t>Urethane (ethyl carbamate)</t>
  </si>
  <si>
    <t>108-05-4</t>
  </si>
  <si>
    <t>Vinyl acetate</t>
  </si>
  <si>
    <t>593-60-2</t>
  </si>
  <si>
    <t>Vinyl bromide</t>
  </si>
  <si>
    <t>75-01-4</t>
  </si>
  <si>
    <t>Vinyl chloride</t>
  </si>
  <si>
    <t>75-02-5</t>
  </si>
  <si>
    <t>Vinyl fluoride</t>
  </si>
  <si>
    <t>75-35-4</t>
  </si>
  <si>
    <t>Vinylidene chloride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</si>
</sst>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
    <numFmt numFmtId="165" formatCode="0.000"/>
    <numFmt numFmtId="166" formatCode="0.00000%"/>
    <numFmt numFmtId="167" formatCode="0.0"/>
    <numFmt numFmtId="168" formatCode="0.0000%"/>
    <numFmt numFmtId="169" formatCode="#,##0.0"/>
    <numFmt numFmtId="170" formatCode="#,##0.000"/>
    <numFmt numFmtId="171" formatCode="0.0E+00"/>
    <numFmt numFmtId="172" formatCode="0.00000"/>
  </numFmts>
  <fonts count="80" x14ac:knownFonts="1">
    <font>
      <sz val="11"/>
      <color theme="1"/>
      <name val="Aptos Narrow"/>
      <family val="2"/>
      <scheme val="minor"/>
    </font>
    <font>
      <sz val="11"/>
      <color theme="1"/>
      <name val="Aptos Narrow"/>
      <family val="2"/>
      <scheme val="minor"/>
    </font>
    <font>
      <sz val="11"/>
      <color theme="1"/>
      <name val="Aptos Narrow"/>
      <family val="2"/>
      <scheme val="minor"/>
    </font>
    <font>
      <sz val="11"/>
      <name val="Aptos Narrow"/>
      <family val="2"/>
      <scheme val="minor"/>
    </font>
    <font>
      <sz val="11"/>
      <name val="Arial"/>
      <family val="2"/>
    </font>
    <font>
      <sz val="10"/>
      <name val="Arial"/>
      <family val="2"/>
    </font>
    <font>
      <sz val="11"/>
      <color rgb="FF9C0006"/>
      <name val="Aptos Narrow"/>
      <family val="2"/>
      <scheme val="minor"/>
    </font>
    <font>
      <sz val="11"/>
      <color theme="1"/>
      <name val="Arial"/>
      <family val="2"/>
    </font>
    <font>
      <sz val="9"/>
      <color theme="1"/>
      <name val="Arial"/>
      <family val="2"/>
    </font>
    <font>
      <sz val="9"/>
      <color indexed="81"/>
      <name val="Tahoma"/>
      <family val="2"/>
    </font>
    <font>
      <sz val="18"/>
      <color theme="1"/>
      <name val="Arial"/>
      <family val="2"/>
    </font>
    <font>
      <sz val="16"/>
      <color theme="1"/>
      <name val="Arial"/>
      <family val="2"/>
    </font>
    <font>
      <sz val="14"/>
      <color theme="1"/>
      <name val="Arial"/>
      <family val="2"/>
    </font>
    <font>
      <sz val="12"/>
      <color theme="1"/>
      <name val="Arial"/>
      <family val="2"/>
    </font>
    <font>
      <b/>
      <sz val="11"/>
      <color rgb="FFC00000"/>
      <name val="Arial"/>
      <family val="2"/>
    </font>
    <font>
      <b/>
      <sz val="24"/>
      <color rgb="FFC00000"/>
      <name val="Arial"/>
      <family val="2"/>
    </font>
    <font>
      <b/>
      <sz val="9"/>
      <color indexed="81"/>
      <name val="Tahoma"/>
      <family val="2"/>
    </font>
    <font>
      <sz val="28"/>
      <color theme="1"/>
      <name val="Arial"/>
      <family val="2"/>
    </font>
    <font>
      <sz val="14"/>
      <name val="Arial"/>
      <family val="2"/>
    </font>
    <font>
      <u/>
      <sz val="11"/>
      <color theme="10"/>
      <name val="Aptos Narrow"/>
      <family val="2"/>
      <scheme val="minor"/>
    </font>
    <font>
      <b/>
      <sz val="11"/>
      <name val="Arial"/>
      <family val="2"/>
    </font>
    <font>
      <sz val="12"/>
      <name val="Arial"/>
      <family val="2"/>
    </font>
    <font>
      <sz val="11"/>
      <name val="Arial Narrow"/>
      <family val="2"/>
    </font>
    <font>
      <sz val="11"/>
      <color theme="1"/>
      <name val="Arial Narrow"/>
      <family val="2"/>
    </font>
    <font>
      <b/>
      <sz val="14"/>
      <name val="Arial Narrow"/>
      <family val="2"/>
    </font>
    <font>
      <sz val="8"/>
      <name val="Aptos Narrow"/>
      <family val="2"/>
      <scheme val="minor"/>
    </font>
    <font>
      <sz val="10"/>
      <color theme="5"/>
      <name val="Tahoma"/>
      <family val="2"/>
    </font>
    <font>
      <sz val="10"/>
      <name val="Tahoma"/>
      <family val="2"/>
    </font>
    <font>
      <b/>
      <sz val="10"/>
      <name val="Tahoma"/>
      <family val="2"/>
    </font>
    <font>
      <sz val="9"/>
      <name val="Tahoma"/>
      <family val="2"/>
    </font>
    <font>
      <sz val="10"/>
      <name val="Times New Roman"/>
      <family val="1"/>
    </font>
    <font>
      <b/>
      <vertAlign val="superscript"/>
      <sz val="10"/>
      <name val="Tahoma"/>
      <family val="2"/>
    </font>
    <font>
      <b/>
      <sz val="10"/>
      <color theme="1"/>
      <name val="Arial Narrow"/>
      <family val="2"/>
    </font>
    <font>
      <sz val="10"/>
      <color theme="1"/>
      <name val="Arial Narrow"/>
      <family val="2"/>
    </font>
    <font>
      <sz val="10"/>
      <color indexed="8"/>
      <name val="Arial"/>
      <family val="2"/>
    </font>
    <font>
      <b/>
      <vertAlign val="subscript"/>
      <sz val="10"/>
      <name val="Tahoma"/>
      <family val="2"/>
    </font>
    <font>
      <vertAlign val="superscript"/>
      <sz val="9"/>
      <name val="Tahoma"/>
      <family val="2"/>
    </font>
    <font>
      <sz val="16"/>
      <name val="Arial"/>
      <family val="2"/>
    </font>
    <font>
      <vertAlign val="superscript"/>
      <sz val="10"/>
      <name val="Tahoma"/>
      <family val="2"/>
    </font>
    <font>
      <sz val="10"/>
      <color rgb="FF7030A0"/>
      <name val="Tahoma"/>
      <family val="2"/>
    </font>
    <font>
      <sz val="10"/>
      <color rgb="FF0070C0"/>
      <name val="Tahoma"/>
      <family val="2"/>
    </font>
    <font>
      <sz val="9"/>
      <color rgb="FF000000"/>
      <name val="Tahoma"/>
      <family val="2"/>
    </font>
    <font>
      <sz val="10"/>
      <color rgb="FF000000"/>
      <name val="Tahoma"/>
      <family val="2"/>
    </font>
    <font>
      <b/>
      <sz val="10"/>
      <color rgb="FF000000"/>
      <name val="Tahoma"/>
      <family val="2"/>
    </font>
    <font>
      <sz val="10"/>
      <color theme="1"/>
      <name val="Tahoma"/>
      <family val="2"/>
    </font>
    <font>
      <b/>
      <vertAlign val="superscript"/>
      <sz val="10"/>
      <color rgb="FF000000"/>
      <name val="Tahoma"/>
      <family val="2"/>
    </font>
    <font>
      <sz val="9"/>
      <color theme="1"/>
      <name val="Tahoma"/>
      <family val="2"/>
    </font>
    <font>
      <sz val="10"/>
      <color rgb="FFFF0000"/>
      <name val="Tahoma"/>
      <family val="2"/>
    </font>
    <font>
      <vertAlign val="superscript"/>
      <sz val="9"/>
      <color theme="1"/>
      <name val="Tahoma"/>
      <family val="2"/>
    </font>
    <font>
      <vertAlign val="superscript"/>
      <sz val="9"/>
      <color rgb="FF000000"/>
      <name val="Tahoma"/>
      <family val="2"/>
    </font>
    <font>
      <b/>
      <sz val="9"/>
      <name val="Tahoma"/>
      <family val="2"/>
    </font>
    <font>
      <vertAlign val="subscript"/>
      <sz val="10"/>
      <name val="Tahoma"/>
      <family val="2"/>
    </font>
    <font>
      <u/>
      <sz val="10"/>
      <name val="Tahoma"/>
      <family val="2"/>
    </font>
    <font>
      <b/>
      <sz val="10"/>
      <color rgb="FF000080"/>
      <name val="Tahoma"/>
      <family val="2"/>
    </font>
    <font>
      <sz val="10"/>
      <color rgb="FF000080"/>
      <name val="Tahoma"/>
      <family val="2"/>
    </font>
    <font>
      <b/>
      <sz val="10"/>
      <color rgb="FF640000"/>
      <name val="Tahoma"/>
      <family val="2"/>
    </font>
    <font>
      <b/>
      <sz val="10"/>
      <color theme="5"/>
      <name val="Tahoma"/>
      <family val="2"/>
    </font>
    <font>
      <b/>
      <sz val="10"/>
      <name val="Calibri"/>
      <family val="2"/>
    </font>
    <font>
      <vertAlign val="superscript"/>
      <sz val="9"/>
      <name val="Aptos Narrow"/>
      <family val="2"/>
    </font>
    <font>
      <b/>
      <sz val="10"/>
      <name val="Aptos Narrow"/>
      <family val="2"/>
    </font>
    <font>
      <vertAlign val="superscript"/>
      <sz val="10"/>
      <name val="Aptos Narrow"/>
      <family val="2"/>
    </font>
    <font>
      <sz val="10"/>
      <name val="Calibri"/>
      <family val="2"/>
    </font>
    <font>
      <vertAlign val="superscript"/>
      <sz val="10"/>
      <name val="Calibri"/>
      <family val="2"/>
    </font>
    <font>
      <sz val="9"/>
      <name val="Segoe UI"/>
      <family val="2"/>
    </font>
    <font>
      <b/>
      <u/>
      <sz val="12"/>
      <name val="Arial"/>
      <family val="2"/>
    </font>
    <font>
      <b/>
      <sz val="12"/>
      <color indexed="10"/>
      <name val="Arial"/>
      <family val="2"/>
    </font>
    <font>
      <sz val="10"/>
      <color rgb="FF0000FF"/>
      <name val="Arial"/>
      <family val="2"/>
    </font>
    <font>
      <b/>
      <sz val="12"/>
      <color rgb="FF0000FF"/>
      <name val="Arial"/>
      <family val="2"/>
    </font>
    <font>
      <u/>
      <sz val="10"/>
      <name val="Arial"/>
      <family val="2"/>
    </font>
    <font>
      <b/>
      <sz val="12"/>
      <name val="Arial"/>
      <family val="2"/>
    </font>
    <font>
      <sz val="12"/>
      <color rgb="FFFF0000"/>
      <name val="Arial"/>
      <family val="2"/>
    </font>
    <font>
      <vertAlign val="superscript"/>
      <sz val="12"/>
      <name val="Arial"/>
      <family val="2"/>
    </font>
    <font>
      <u/>
      <sz val="12"/>
      <name val="Arial"/>
      <family val="2"/>
    </font>
    <font>
      <sz val="12"/>
      <color rgb="FF0000FF"/>
      <name val="Arial"/>
      <family val="2"/>
    </font>
    <font>
      <u/>
      <sz val="10"/>
      <color rgb="FF0000FF"/>
      <name val="Arial"/>
      <family val="2"/>
    </font>
    <font>
      <vertAlign val="subscript"/>
      <sz val="12"/>
      <name val="Arial"/>
      <family val="2"/>
    </font>
    <font>
      <b/>
      <sz val="12"/>
      <color rgb="FFFF0000"/>
      <name val="Arial"/>
      <family val="2"/>
    </font>
    <font>
      <sz val="8"/>
      <name val="Arial"/>
      <family val="2"/>
    </font>
    <font>
      <b/>
      <sz val="24"/>
      <name val="Arial"/>
      <family val="2"/>
    </font>
    <font>
      <b/>
      <sz val="10"/>
      <color rgb="FF000000"/>
      <name val="Tahoma"/>
      <family val="2"/>
    </font>
  </fonts>
  <fills count="1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C7CE"/>
      </patternFill>
    </fill>
    <fill>
      <patternFill patternType="solid">
        <fgColor theme="9"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9BC3FF"/>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1"/>
        <bgColor indexed="64"/>
      </patternFill>
    </fill>
    <fill>
      <patternFill patternType="solid">
        <fgColor theme="5" tint="0.79998168889431442"/>
        <bgColor indexed="64"/>
      </patternFill>
    </fill>
    <fill>
      <patternFill patternType="solid">
        <fgColor rgb="FFABDB77"/>
        <bgColor indexed="64"/>
      </patternFill>
    </fill>
    <fill>
      <patternFill patternType="solid">
        <fgColor theme="4" tint="0.79998168889431442"/>
        <bgColor indexed="65"/>
      </patternFill>
    </fill>
    <fill>
      <patternFill patternType="solid">
        <fgColor rgb="FFEBEBEB"/>
      </patternFill>
    </fill>
  </fills>
  <borders count="10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rgb="FF000000"/>
      </left>
      <right/>
      <top/>
      <bottom/>
      <diagonal/>
    </border>
    <border>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dashed">
        <color indexed="64"/>
      </left>
      <right style="dashed">
        <color indexed="64"/>
      </right>
      <top style="medium">
        <color indexed="64"/>
      </top>
      <bottom/>
      <diagonal/>
    </border>
    <border>
      <left style="medium">
        <color indexed="64"/>
      </left>
      <right style="dashed">
        <color indexed="64"/>
      </right>
      <top/>
      <bottom/>
      <diagonal/>
    </border>
    <border>
      <left style="dashed">
        <color indexed="64"/>
      </left>
      <right style="thin">
        <color indexed="64"/>
      </right>
      <top/>
      <bottom/>
      <diagonal/>
    </border>
    <border>
      <left style="dashed">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style="dashed">
        <color indexed="64"/>
      </right>
      <top/>
      <bottom style="medium">
        <color indexed="64"/>
      </bottom>
      <diagonal/>
    </border>
    <border>
      <left/>
      <right style="dashed">
        <color indexed="64"/>
      </right>
      <top style="medium">
        <color indexed="64"/>
      </top>
      <bottom/>
      <diagonal/>
    </border>
    <border>
      <left style="dashed">
        <color indexed="64"/>
      </left>
      <right style="medium">
        <color indexed="64"/>
      </right>
      <top style="medium">
        <color indexed="64"/>
      </top>
      <bottom/>
      <diagonal/>
    </border>
    <border>
      <left style="dashed">
        <color indexed="64"/>
      </left>
      <right style="medium">
        <color indexed="64"/>
      </right>
      <top/>
      <bottom/>
      <diagonal/>
    </border>
    <border>
      <left/>
      <right style="thin">
        <color indexed="64"/>
      </right>
      <top/>
      <bottom/>
      <diagonal/>
    </border>
    <border>
      <left/>
      <right/>
      <top/>
      <bottom style="thin">
        <color rgb="FF000000"/>
      </bottom>
      <diagonal/>
    </border>
    <border>
      <left/>
      <right style="dashed">
        <color indexed="64"/>
      </right>
      <top/>
      <bottom/>
      <diagonal/>
    </border>
    <border>
      <left/>
      <right style="dashed">
        <color rgb="FF000000"/>
      </right>
      <top/>
      <bottom/>
      <diagonal/>
    </border>
    <border>
      <left/>
      <right style="thin">
        <color rgb="FF000000"/>
      </right>
      <top/>
      <bottom style="thin">
        <color rgb="FF000000"/>
      </bottom>
      <diagonal/>
    </border>
    <border>
      <left style="dashed">
        <color rgb="FF000000"/>
      </left>
      <right style="dashed">
        <color rgb="FF000000"/>
      </right>
      <top/>
      <bottom/>
      <diagonal/>
    </border>
    <border>
      <left style="dashed">
        <color rgb="FF000000"/>
      </left>
      <right/>
      <top/>
      <bottom/>
      <diagonal/>
    </border>
    <border>
      <left style="dashed">
        <color rgb="FF000000"/>
      </left>
      <right style="medium">
        <color rgb="FF000000"/>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dashed">
        <color indexed="64"/>
      </right>
      <top/>
      <bottom style="medium">
        <color indexed="64"/>
      </bottom>
      <diagonal/>
    </border>
    <border>
      <left style="dashed">
        <color rgb="FF000000"/>
      </left>
      <right/>
      <top style="medium">
        <color indexed="64"/>
      </top>
      <bottom/>
      <diagonal/>
    </border>
    <border>
      <left style="dashed">
        <color rgb="FF000000"/>
      </left>
      <right style="medium">
        <color rgb="FF000000"/>
      </right>
      <top style="medium">
        <color indexed="64"/>
      </top>
      <bottom/>
      <diagonal/>
    </border>
    <border>
      <left style="dashed">
        <color rgb="FF000000"/>
      </left>
      <right/>
      <top/>
      <bottom style="medium">
        <color indexed="64"/>
      </bottom>
      <diagonal/>
    </border>
    <border>
      <left style="dashed">
        <color rgb="FF000000"/>
      </left>
      <right style="medium">
        <color rgb="FF000000"/>
      </right>
      <top/>
      <bottom style="medium">
        <color indexed="64"/>
      </bottom>
      <diagonal/>
    </border>
    <border>
      <left style="dashed">
        <color rgb="FF000000"/>
      </left>
      <right style="dashed">
        <color rgb="FF000000"/>
      </right>
      <top style="medium">
        <color indexed="64"/>
      </top>
      <bottom/>
      <diagonal/>
    </border>
    <border>
      <left style="dashed">
        <color rgb="FF000000"/>
      </left>
      <right style="dashed">
        <color rgb="FF000000"/>
      </right>
      <top/>
      <bottom style="medium">
        <color indexed="64"/>
      </bottom>
      <diagonal/>
    </border>
    <border>
      <left/>
      <right style="medium">
        <color rgb="FF000000"/>
      </right>
      <top/>
      <bottom style="medium">
        <color indexed="64"/>
      </bottom>
      <diagonal/>
    </border>
    <border>
      <left/>
      <right style="thin">
        <color indexed="64"/>
      </right>
      <top style="medium">
        <color indexed="64"/>
      </top>
      <bottom/>
      <diagonal/>
    </border>
    <border>
      <left style="medium">
        <color indexed="64"/>
      </left>
      <right style="dashed">
        <color rgb="FF000000"/>
      </right>
      <top/>
      <bottom/>
      <diagonal/>
    </border>
    <border>
      <left style="medium">
        <color indexed="64"/>
      </left>
      <right style="dashed">
        <color rgb="FF000000"/>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top style="medium">
        <color indexed="64"/>
      </top>
      <bottom/>
      <diagonal/>
    </border>
    <border>
      <left style="medium">
        <color rgb="FF000000"/>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double">
        <color indexed="64"/>
      </bottom>
      <diagonal/>
    </border>
  </borders>
  <cellStyleXfs count="15">
    <xf numFmtId="0" fontId="0" fillId="0" borderId="0"/>
    <xf numFmtId="9" fontId="1" fillId="0" borderId="0" applyFont="0" applyFill="0" applyBorder="0" applyAlignment="0" applyProtection="0"/>
    <xf numFmtId="0" fontId="5" fillId="0" borderId="0"/>
    <xf numFmtId="0" fontId="2" fillId="0" borderId="0"/>
    <xf numFmtId="0" fontId="1" fillId="0" borderId="0"/>
    <xf numFmtId="0" fontId="6" fillId="4" borderId="0" applyNumberFormat="0" applyBorder="0" applyAlignment="0" applyProtection="0"/>
    <xf numFmtId="0" fontId="5" fillId="0" borderId="0"/>
    <xf numFmtId="9" fontId="5" fillId="0" borderId="0" applyFont="0" applyFill="0" applyBorder="0" applyAlignment="0" applyProtection="0"/>
    <xf numFmtId="0" fontId="19" fillId="0" borderId="0" applyNumberFormat="0" applyFill="0" applyBorder="0" applyAlignment="0" applyProtection="0"/>
    <xf numFmtId="0" fontId="1" fillId="14" borderId="0" applyNumberFormat="0" applyBorder="0" applyAlignment="0" applyProtection="0"/>
    <xf numFmtId="0" fontId="5" fillId="0" borderId="0"/>
    <xf numFmtId="0" fontId="30" fillId="0" borderId="0"/>
    <xf numFmtId="0" fontId="5" fillId="0" borderId="0"/>
    <xf numFmtId="0" fontId="30" fillId="0" borderId="0"/>
    <xf numFmtId="0" fontId="34" fillId="0" borderId="0"/>
  </cellStyleXfs>
  <cellXfs count="930">
    <xf numFmtId="0" fontId="0" fillId="0" borderId="0" xfId="0"/>
    <xf numFmtId="0" fontId="0" fillId="0" borderId="0" xfId="0" applyAlignment="1">
      <alignment horizontal="center"/>
    </xf>
    <xf numFmtId="0" fontId="3" fillId="0" borderId="0" xfId="0" applyFont="1"/>
    <xf numFmtId="0" fontId="3" fillId="0" borderId="0" xfId="0" applyFont="1" applyAlignment="1">
      <alignment horizontal="center"/>
    </xf>
    <xf numFmtId="49" fontId="0" fillId="0" borderId="0" xfId="0" applyNumberFormat="1" applyAlignment="1">
      <alignment horizontal="center"/>
    </xf>
    <xf numFmtId="0" fontId="13" fillId="10" borderId="17" xfId="0" applyFont="1" applyFill="1" applyBorder="1" applyAlignment="1">
      <alignment horizontal="center" vertical="center"/>
    </xf>
    <xf numFmtId="0" fontId="13" fillId="7" borderId="33" xfId="0" applyFont="1" applyFill="1" applyBorder="1" applyAlignment="1">
      <alignment horizontal="center" vertical="center" wrapText="1"/>
    </xf>
    <xf numFmtId="0" fontId="13" fillId="5" borderId="34" xfId="0" applyFont="1" applyFill="1" applyBorder="1" applyAlignment="1">
      <alignment horizontal="center" vertical="center"/>
    </xf>
    <xf numFmtId="0" fontId="13" fillId="6" borderId="7" xfId="0" applyFont="1" applyFill="1" applyBorder="1" applyAlignment="1">
      <alignment horizontal="center" vertical="center" wrapText="1"/>
    </xf>
    <xf numFmtId="0" fontId="14" fillId="0" borderId="35" xfId="0" applyFont="1" applyBorder="1" applyAlignment="1">
      <alignment horizontal="center"/>
    </xf>
    <xf numFmtId="0" fontId="14" fillId="0" borderId="24" xfId="0" applyFont="1" applyBorder="1"/>
    <xf numFmtId="0" fontId="14" fillId="0" borderId="0" xfId="0" applyFont="1"/>
    <xf numFmtId="0" fontId="14" fillId="0" borderId="11" xfId="0" applyFont="1" applyBorder="1" applyAlignment="1">
      <alignment horizontal="center"/>
    </xf>
    <xf numFmtId="0" fontId="14" fillId="0" borderId="12" xfId="0" applyFont="1" applyBorder="1" applyAlignment="1">
      <alignment horizontal="center"/>
    </xf>
    <xf numFmtId="0" fontId="14" fillId="0" borderId="12" xfId="0" applyFont="1" applyBorder="1"/>
    <xf numFmtId="0" fontId="14" fillId="0" borderId="40" xfId="0" applyFont="1" applyBorder="1" applyAlignment="1">
      <alignment horizontal="center"/>
    </xf>
    <xf numFmtId="0" fontId="14" fillId="0" borderId="41" xfId="0" applyFont="1" applyBorder="1" applyAlignment="1">
      <alignment horizontal="center"/>
    </xf>
    <xf numFmtId="0" fontId="7" fillId="11" borderId="36" xfId="0" applyFont="1" applyFill="1" applyBorder="1" applyAlignment="1">
      <alignment horizontal="center"/>
    </xf>
    <xf numFmtId="0" fontId="7" fillId="11" borderId="25" xfId="0" applyFont="1" applyFill="1" applyBorder="1"/>
    <xf numFmtId="0" fontId="7" fillId="11" borderId="0" xfId="0" applyFont="1" applyFill="1"/>
    <xf numFmtId="0" fontId="7" fillId="11" borderId="11" xfId="0" applyFont="1" applyFill="1" applyBorder="1" applyAlignment="1">
      <alignment horizontal="center"/>
    </xf>
    <xf numFmtId="0" fontId="7" fillId="11" borderId="12" xfId="0" applyFont="1" applyFill="1" applyBorder="1" applyAlignment="1">
      <alignment horizontal="center"/>
    </xf>
    <xf numFmtId="0" fontId="7" fillId="11" borderId="12" xfId="0" applyFont="1" applyFill="1" applyBorder="1"/>
    <xf numFmtId="0" fontId="7" fillId="11" borderId="42" xfId="0" applyFont="1" applyFill="1" applyBorder="1" applyAlignment="1">
      <alignment horizontal="center"/>
    </xf>
    <xf numFmtId="0" fontId="7" fillId="11" borderId="43" xfId="0" applyFont="1" applyFill="1" applyBorder="1" applyAlignment="1">
      <alignment horizontal="center"/>
    </xf>
    <xf numFmtId="0" fontId="7" fillId="0" borderId="36" xfId="0" applyFont="1" applyBorder="1" applyAlignment="1" applyProtection="1">
      <alignment horizontal="center"/>
      <protection locked="0"/>
    </xf>
    <xf numFmtId="0" fontId="7" fillId="0" borderId="25" xfId="0" applyFont="1" applyBorder="1" applyProtection="1">
      <protection locked="0"/>
    </xf>
    <xf numFmtId="0" fontId="7" fillId="0" borderId="0" xfId="0" applyFont="1" applyProtection="1">
      <protection locked="0"/>
    </xf>
    <xf numFmtId="0" fontId="7" fillId="0" borderId="11" xfId="0" applyFont="1" applyBorder="1" applyAlignment="1" applyProtection="1">
      <alignment horizontal="center"/>
      <protection locked="0"/>
    </xf>
    <xf numFmtId="0" fontId="7" fillId="0" borderId="12" xfId="0" applyFont="1" applyBorder="1" applyAlignment="1" applyProtection="1">
      <alignment horizontal="center"/>
      <protection locked="0"/>
    </xf>
    <xf numFmtId="0" fontId="7" fillId="0" borderId="12" xfId="0" applyFont="1" applyBorder="1" applyProtection="1">
      <protection locked="0"/>
    </xf>
    <xf numFmtId="0" fontId="7" fillId="0" borderId="42" xfId="0" applyFont="1" applyBorder="1" applyAlignment="1" applyProtection="1">
      <alignment horizontal="center"/>
      <protection locked="0"/>
    </xf>
    <xf numFmtId="0" fontId="7" fillId="0" borderId="43" xfId="0" applyFont="1" applyBorder="1" applyAlignment="1" applyProtection="1">
      <alignment horizontal="center"/>
      <protection locked="0"/>
    </xf>
    <xf numFmtId="0" fontId="7" fillId="0" borderId="37" xfId="0" applyFont="1" applyBorder="1" applyAlignment="1" applyProtection="1">
      <alignment horizontal="center"/>
      <protection locked="0"/>
    </xf>
    <xf numFmtId="0" fontId="7" fillId="0" borderId="38" xfId="0" applyFont="1" applyBorder="1" applyProtection="1">
      <protection locked="0"/>
    </xf>
    <xf numFmtId="0" fontId="7" fillId="0" borderId="2" xfId="0" applyFont="1" applyBorder="1" applyProtection="1">
      <protection locked="0"/>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7" fillId="0" borderId="14" xfId="0" applyFont="1" applyBorder="1" applyProtection="1">
      <protection locked="0"/>
    </xf>
    <xf numFmtId="0" fontId="7" fillId="0" borderId="44" xfId="0" applyFont="1" applyBorder="1" applyAlignment="1" applyProtection="1">
      <alignment horizontal="center"/>
      <protection locked="0"/>
    </xf>
    <xf numFmtId="0" fontId="7" fillId="0" borderId="45" xfId="0" applyFont="1" applyBorder="1" applyAlignment="1" applyProtection="1">
      <alignment horizontal="center"/>
      <protection locked="0"/>
    </xf>
    <xf numFmtId="0" fontId="7" fillId="11" borderId="17" xfId="0" applyFont="1" applyFill="1" applyBorder="1" applyAlignment="1">
      <alignment horizontal="center"/>
    </xf>
    <xf numFmtId="0" fontId="7" fillId="11" borderId="18" xfId="0" applyFont="1" applyFill="1" applyBorder="1"/>
    <xf numFmtId="0" fontId="7" fillId="11" borderId="18" xfId="0" applyFont="1" applyFill="1" applyBorder="1" applyAlignment="1">
      <alignment horizontal="center"/>
    </xf>
    <xf numFmtId="0" fontId="7" fillId="11" borderId="19" xfId="0" applyFont="1" applyFill="1" applyBorder="1" applyAlignment="1">
      <alignment horizontal="center"/>
    </xf>
    <xf numFmtId="0" fontId="7" fillId="0" borderId="0" xfId="0" applyFont="1" applyAlignment="1">
      <alignment horizontal="center"/>
    </xf>
    <xf numFmtId="49" fontId="7" fillId="0" borderId="0" xfId="0" applyNumberFormat="1" applyFont="1" applyAlignment="1">
      <alignment horizontal="center"/>
    </xf>
    <xf numFmtId="0" fontId="7" fillId="0" borderId="0" xfId="0" applyFont="1"/>
    <xf numFmtId="10" fontId="7" fillId="0" borderId="0" xfId="1" applyNumberFormat="1" applyFont="1" applyFill="1" applyAlignment="1" applyProtection="1">
      <alignment horizontal="center"/>
    </xf>
    <xf numFmtId="49" fontId="13" fillId="0" borderId="13" xfId="0" applyNumberFormat="1" applyFont="1" applyBorder="1" applyAlignment="1">
      <alignment horizontal="center"/>
    </xf>
    <xf numFmtId="0" fontId="13" fillId="0" borderId="33" xfId="0" applyFont="1" applyBorder="1" applyAlignment="1">
      <alignment horizontal="center"/>
    </xf>
    <xf numFmtId="0" fontId="13" fillId="0" borderId="14" xfId="0" applyFont="1" applyBorder="1" applyAlignment="1">
      <alignment horizontal="center"/>
    </xf>
    <xf numFmtId="0" fontId="12" fillId="0" borderId="37" xfId="0" applyFont="1" applyBorder="1" applyAlignment="1">
      <alignment horizontal="center" vertical="center"/>
    </xf>
    <xf numFmtId="0" fontId="13" fillId="10" borderId="2" xfId="0" applyFont="1" applyFill="1" applyBorder="1" applyAlignment="1">
      <alignment horizontal="center" vertical="center"/>
    </xf>
    <xf numFmtId="0" fontId="13" fillId="7" borderId="33" xfId="0" applyFont="1" applyFill="1" applyBorder="1" applyAlignment="1">
      <alignment horizontal="center" vertical="center"/>
    </xf>
    <xf numFmtId="0" fontId="13" fillId="5" borderId="2" xfId="0" applyFont="1" applyFill="1" applyBorder="1" applyAlignment="1">
      <alignment horizontal="center" vertical="center"/>
    </xf>
    <xf numFmtId="0" fontId="13" fillId="10" borderId="13" xfId="0" applyFont="1" applyFill="1" applyBorder="1" applyAlignment="1">
      <alignment horizontal="center" vertical="center"/>
    </xf>
    <xf numFmtId="0" fontId="14" fillId="0" borderId="36" xfId="0" applyFont="1" applyBorder="1" applyAlignment="1">
      <alignment horizontal="center"/>
    </xf>
    <xf numFmtId="0" fontId="14" fillId="0" borderId="9" xfId="0" applyFont="1" applyBorder="1"/>
    <xf numFmtId="0" fontId="14" fillId="0" borderId="36" xfId="0" applyFont="1" applyBorder="1"/>
    <xf numFmtId="0" fontId="14" fillId="0" borderId="46" xfId="0" applyFont="1" applyBorder="1" applyAlignment="1">
      <alignment horizontal="center"/>
    </xf>
    <xf numFmtId="0" fontId="14" fillId="0" borderId="48" xfId="0" applyFont="1" applyBorder="1" applyAlignment="1">
      <alignment horizontal="center"/>
    </xf>
    <xf numFmtId="0" fontId="14" fillId="0" borderId="49" xfId="0" applyFont="1" applyBorder="1" applyAlignment="1">
      <alignment horizontal="center"/>
    </xf>
    <xf numFmtId="0" fontId="14" fillId="0" borderId="51" xfId="0" applyFont="1" applyBorder="1" applyAlignment="1">
      <alignment horizontal="center"/>
    </xf>
    <xf numFmtId="0" fontId="7" fillId="11" borderId="49" xfId="0" applyFont="1" applyFill="1" applyBorder="1" applyAlignment="1">
      <alignment horizontal="center"/>
    </xf>
    <xf numFmtId="0" fontId="7" fillId="11" borderId="36" xfId="0" applyFont="1" applyFill="1" applyBorder="1"/>
    <xf numFmtId="0" fontId="7" fillId="11" borderId="51" xfId="0" applyFont="1" applyFill="1" applyBorder="1" applyAlignment="1">
      <alignment horizontal="center"/>
    </xf>
    <xf numFmtId="0" fontId="7" fillId="0" borderId="49" xfId="0" applyFont="1" applyBorder="1" applyAlignment="1" applyProtection="1">
      <alignment horizontal="center"/>
      <protection locked="0"/>
    </xf>
    <xf numFmtId="0" fontId="7" fillId="0" borderId="36" xfId="0" applyFont="1" applyBorder="1" applyProtection="1">
      <protection locked="0"/>
    </xf>
    <xf numFmtId="0" fontId="7" fillId="0" borderId="51" xfId="0" applyFont="1" applyBorder="1" applyAlignment="1" applyProtection="1">
      <alignment horizontal="center"/>
      <protection locked="0"/>
    </xf>
    <xf numFmtId="0" fontId="7" fillId="0" borderId="52" xfId="0" applyFont="1" applyBorder="1" applyAlignment="1" applyProtection="1">
      <alignment horizontal="center"/>
      <protection locked="0"/>
    </xf>
    <xf numFmtId="0" fontId="7" fillId="0" borderId="37" xfId="0" applyFont="1" applyBorder="1" applyProtection="1">
      <protection locked="0"/>
    </xf>
    <xf numFmtId="0" fontId="7" fillId="0" borderId="54" xfId="0" applyFont="1" applyBorder="1" applyAlignment="1" applyProtection="1">
      <alignment horizontal="center"/>
      <protection locked="0"/>
    </xf>
    <xf numFmtId="10" fontId="0" fillId="0" borderId="0" xfId="1" applyNumberFormat="1" applyFont="1" applyAlignment="1">
      <alignment horizontal="center"/>
    </xf>
    <xf numFmtId="0" fontId="13" fillId="10" borderId="18" xfId="0" applyFont="1" applyFill="1" applyBorder="1" applyAlignment="1">
      <alignment horizontal="center" vertical="center"/>
    </xf>
    <xf numFmtId="0" fontId="13" fillId="5" borderId="19" xfId="0" applyFont="1" applyFill="1" applyBorder="1" applyAlignment="1">
      <alignment horizontal="center" vertical="center"/>
    </xf>
    <xf numFmtId="0" fontId="13" fillId="5" borderId="14" xfId="0" applyFont="1" applyFill="1" applyBorder="1" applyAlignment="1">
      <alignment horizontal="center" vertical="center"/>
    </xf>
    <xf numFmtId="0" fontId="14" fillId="0" borderId="11" xfId="0" applyFont="1" applyBorder="1"/>
    <xf numFmtId="3" fontId="14" fillId="0" borderId="8" xfId="0" applyNumberFormat="1" applyFont="1" applyBorder="1" applyAlignment="1">
      <alignment horizontal="center"/>
    </xf>
    <xf numFmtId="3" fontId="14" fillId="0" borderId="9" xfId="0" applyNumberFormat="1" applyFont="1" applyBorder="1" applyAlignment="1">
      <alignment horizontal="center"/>
    </xf>
    <xf numFmtId="3" fontId="14" fillId="0" borderId="10" xfId="0" applyNumberFormat="1" applyFont="1" applyBorder="1" applyAlignment="1">
      <alignment horizontal="center"/>
    </xf>
    <xf numFmtId="0" fontId="14" fillId="0" borderId="8" xfId="0" applyFont="1" applyBorder="1" applyAlignment="1">
      <alignment horizontal="center"/>
    </xf>
    <xf numFmtId="0" fontId="14" fillId="0" borderId="9" xfId="0" applyFont="1" applyBorder="1" applyAlignment="1">
      <alignment horizontal="center"/>
    </xf>
    <xf numFmtId="0" fontId="14" fillId="0" borderId="10" xfId="0" applyFont="1" applyBorder="1" applyAlignment="1">
      <alignment horizontal="center"/>
    </xf>
    <xf numFmtId="0" fontId="14" fillId="0" borderId="0" xfId="0" applyFont="1" applyAlignment="1">
      <alignment horizontal="center"/>
    </xf>
    <xf numFmtId="0" fontId="7" fillId="11" borderId="11" xfId="0" applyFont="1" applyFill="1" applyBorder="1"/>
    <xf numFmtId="0" fontId="7" fillId="11" borderId="0" xfId="0" applyFont="1" applyFill="1" applyAlignment="1">
      <alignment horizontal="center"/>
    </xf>
    <xf numFmtId="0" fontId="7" fillId="0" borderId="11" xfId="0" applyFont="1" applyBorder="1" applyProtection="1">
      <protection locked="0"/>
    </xf>
    <xf numFmtId="0" fontId="7" fillId="0" borderId="0" xfId="0" applyFont="1" applyAlignment="1" applyProtection="1">
      <alignment horizontal="center"/>
      <protection locked="0"/>
    </xf>
    <xf numFmtId="0" fontId="7" fillId="0" borderId="13" xfId="0" applyFont="1" applyBorder="1" applyProtection="1">
      <protection locked="0"/>
    </xf>
    <xf numFmtId="0" fontId="7" fillId="0" borderId="2" xfId="0" applyFont="1" applyBorder="1" applyAlignment="1" applyProtection="1">
      <alignment horizontal="center"/>
      <protection locked="0"/>
    </xf>
    <xf numFmtId="10" fontId="13" fillId="0" borderId="13" xfId="1" applyNumberFormat="1" applyFont="1" applyBorder="1" applyAlignment="1" applyProtection="1">
      <alignment horizontal="center"/>
    </xf>
    <xf numFmtId="10" fontId="13" fillId="0" borderId="23" xfId="1" applyNumberFormat="1" applyFont="1" applyBorder="1" applyAlignment="1" applyProtection="1">
      <alignment horizontal="center" vertical="center"/>
    </xf>
    <xf numFmtId="0" fontId="13" fillId="7" borderId="39" xfId="0" applyFont="1" applyFill="1" applyBorder="1" applyAlignment="1">
      <alignment horizontal="center" vertical="center"/>
    </xf>
    <xf numFmtId="49" fontId="14" fillId="0" borderId="8" xfId="0" applyNumberFormat="1" applyFont="1" applyBorder="1" applyAlignment="1">
      <alignment horizontal="center"/>
    </xf>
    <xf numFmtId="10" fontId="14" fillId="0" borderId="11" xfId="1" applyNumberFormat="1" applyFont="1" applyBorder="1" applyAlignment="1" applyProtection="1">
      <alignment horizontal="center"/>
    </xf>
    <xf numFmtId="10" fontId="14" fillId="0" borderId="12" xfId="1" applyNumberFormat="1" applyFont="1" applyBorder="1" applyAlignment="1" applyProtection="1">
      <alignment horizontal="center"/>
    </xf>
    <xf numFmtId="0" fontId="14" fillId="0" borderId="55" xfId="0" applyFont="1" applyBorder="1" applyAlignment="1">
      <alignment horizontal="center"/>
    </xf>
    <xf numFmtId="0" fontId="14" fillId="0" borderId="56" xfId="0" applyFont="1" applyBorder="1" applyAlignment="1">
      <alignment horizontal="center"/>
    </xf>
    <xf numFmtId="49" fontId="14" fillId="0" borderId="11" xfId="0" applyNumberFormat="1" applyFont="1" applyBorder="1" applyAlignment="1">
      <alignment horizontal="center"/>
    </xf>
    <xf numFmtId="0" fontId="14" fillId="0" borderId="57" xfId="0" applyFont="1" applyBorder="1" applyAlignment="1">
      <alignment horizontal="center"/>
    </xf>
    <xf numFmtId="49" fontId="7" fillId="11" borderId="11" xfId="0" applyNumberFormat="1" applyFont="1" applyFill="1" applyBorder="1" applyAlignment="1">
      <alignment horizontal="center"/>
    </xf>
    <xf numFmtId="10" fontId="7" fillId="11" borderId="11" xfId="1" applyNumberFormat="1" applyFont="1" applyFill="1" applyBorder="1" applyAlignment="1" applyProtection="1">
      <alignment horizontal="center"/>
    </xf>
    <xf numFmtId="10" fontId="7" fillId="11" borderId="12" xfId="1" applyNumberFormat="1" applyFont="1" applyFill="1" applyBorder="1" applyAlignment="1" applyProtection="1">
      <alignment horizontal="center"/>
    </xf>
    <xf numFmtId="49" fontId="7" fillId="0" borderId="11" xfId="0" applyNumberFormat="1" applyFont="1" applyBorder="1" applyAlignment="1" applyProtection="1">
      <alignment horizontal="center"/>
      <protection locked="0"/>
    </xf>
    <xf numFmtId="10" fontId="7" fillId="0" borderId="11" xfId="1" applyNumberFormat="1" applyFont="1" applyBorder="1" applyAlignment="1" applyProtection="1">
      <alignment horizontal="center"/>
      <protection locked="0"/>
    </xf>
    <xf numFmtId="10" fontId="7" fillId="0" borderId="12" xfId="1" applyNumberFormat="1" applyFont="1" applyBorder="1" applyAlignment="1" applyProtection="1">
      <alignment horizontal="center"/>
      <protection locked="0"/>
    </xf>
    <xf numFmtId="49" fontId="7" fillId="0" borderId="13" xfId="0" applyNumberFormat="1" applyFont="1" applyBorder="1" applyAlignment="1" applyProtection="1">
      <alignment horizontal="center"/>
      <protection locked="0"/>
    </xf>
    <xf numFmtId="10" fontId="7" fillId="0" borderId="13" xfId="1" applyNumberFormat="1" applyFont="1" applyBorder="1" applyAlignment="1" applyProtection="1">
      <alignment horizontal="center"/>
      <protection locked="0"/>
    </xf>
    <xf numFmtId="10" fontId="7" fillId="0" borderId="14" xfId="1" applyNumberFormat="1" applyFont="1" applyBorder="1" applyAlignment="1" applyProtection="1">
      <alignment horizontal="center"/>
      <protection locked="0"/>
    </xf>
    <xf numFmtId="11" fontId="0" fillId="0" borderId="0" xfId="0" applyNumberFormat="1" applyAlignment="1">
      <alignment horizontal="center"/>
    </xf>
    <xf numFmtId="1" fontId="7" fillId="0" borderId="42" xfId="0" applyNumberFormat="1" applyFont="1" applyBorder="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11" fontId="3" fillId="0" borderId="0" xfId="0" applyNumberFormat="1" applyFont="1" applyAlignment="1">
      <alignment horizontal="center"/>
    </xf>
    <xf numFmtId="0" fontId="4" fillId="0" borderId="12" xfId="0" applyFont="1" applyBorder="1" applyAlignment="1" applyProtection="1">
      <alignment horizontal="center"/>
      <protection locked="0"/>
    </xf>
    <xf numFmtId="11" fontId="4" fillId="0" borderId="49" xfId="0" applyNumberFormat="1" applyFont="1" applyBorder="1" applyAlignment="1" applyProtection="1">
      <alignment horizontal="center"/>
      <protection locked="0"/>
    </xf>
    <xf numFmtId="0" fontId="4" fillId="0" borderId="36" xfId="0" applyFont="1" applyBorder="1" applyProtection="1">
      <protection locked="0"/>
    </xf>
    <xf numFmtId="11" fontId="4" fillId="0" borderId="11" xfId="0" applyNumberFormat="1" applyFont="1" applyBorder="1" applyAlignment="1" applyProtection="1">
      <alignment horizontal="center"/>
      <protection locked="0"/>
    </xf>
    <xf numFmtId="11" fontId="4" fillId="0" borderId="64" xfId="0" applyNumberFormat="1" applyFont="1" applyBorder="1" applyAlignment="1" applyProtection="1">
      <alignment horizontal="center"/>
      <protection locked="0"/>
    </xf>
    <xf numFmtId="11" fontId="4" fillId="0" borderId="65" xfId="0" applyNumberFormat="1" applyFont="1" applyBorder="1" applyAlignment="1" applyProtection="1">
      <alignment horizontal="center"/>
      <protection locked="0"/>
    </xf>
    <xf numFmtId="11" fontId="4" fillId="0" borderId="63" xfId="0" applyNumberFormat="1"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0" xfId="0" applyFont="1" applyProtection="1">
      <protection locked="0"/>
    </xf>
    <xf numFmtId="0" fontId="4" fillId="0" borderId="12" xfId="0" applyFont="1" applyBorder="1" applyProtection="1">
      <protection locked="0"/>
    </xf>
    <xf numFmtId="0" fontId="4" fillId="0" borderId="36" xfId="0" applyFont="1" applyBorder="1" applyAlignment="1" applyProtection="1">
      <alignment horizontal="center"/>
      <protection locked="0"/>
    </xf>
    <xf numFmtId="10" fontId="4" fillId="0" borderId="36" xfId="1" applyNumberFormat="1" applyFont="1" applyBorder="1" applyAlignment="1" applyProtection="1">
      <alignment horizontal="center"/>
      <protection locked="0"/>
    </xf>
    <xf numFmtId="0" fontId="20" fillId="0" borderId="12" xfId="0" applyFont="1" applyBorder="1" applyAlignment="1">
      <alignment horizontal="center"/>
    </xf>
    <xf numFmtId="49" fontId="4" fillId="0" borderId="11" xfId="0" applyNumberFormat="1" applyFont="1" applyBorder="1" applyAlignment="1" applyProtection="1">
      <alignment horizontal="left"/>
      <protection locked="0"/>
    </xf>
    <xf numFmtId="11" fontId="4" fillId="0" borderId="50" xfId="0" applyNumberFormat="1" applyFont="1" applyBorder="1" applyAlignment="1" applyProtection="1">
      <alignment horizontal="center"/>
      <protection locked="0"/>
    </xf>
    <xf numFmtId="11" fontId="4" fillId="0" borderId="61" xfId="0" applyNumberFormat="1" applyFont="1" applyBorder="1" applyAlignment="1" applyProtection="1">
      <alignment horizontal="center"/>
      <protection locked="0"/>
    </xf>
    <xf numFmtId="11" fontId="4" fillId="0" borderId="58" xfId="0" applyNumberFormat="1" applyFont="1" applyBorder="1" applyAlignment="1" applyProtection="1">
      <alignment horizontal="center"/>
      <protection locked="0"/>
    </xf>
    <xf numFmtId="10" fontId="4" fillId="0" borderId="11" xfId="1" applyNumberFormat="1" applyFont="1" applyBorder="1" applyAlignment="1" applyProtection="1">
      <alignment horizontal="center"/>
      <protection locked="0"/>
    </xf>
    <xf numFmtId="11" fontId="4" fillId="0" borderId="5" xfId="0" applyNumberFormat="1" applyFont="1" applyBorder="1" applyAlignment="1" applyProtection="1">
      <alignment horizontal="center"/>
      <protection locked="0"/>
    </xf>
    <xf numFmtId="0" fontId="4" fillId="0" borderId="11" xfId="0" applyFont="1" applyBorder="1" applyAlignment="1" applyProtection="1">
      <alignment horizontal="center"/>
      <protection locked="0"/>
    </xf>
    <xf numFmtId="49" fontId="4" fillId="0" borderId="3" xfId="0" applyNumberFormat="1" applyFont="1" applyBorder="1" applyProtection="1">
      <protection locked="0"/>
    </xf>
    <xf numFmtId="0" fontId="4" fillId="0" borderId="4" xfId="0" applyFont="1" applyBorder="1" applyProtection="1">
      <protection locked="0"/>
    </xf>
    <xf numFmtId="10" fontId="4" fillId="0" borderId="12" xfId="1" applyNumberFormat="1" applyFont="1" applyBorder="1" applyAlignment="1" applyProtection="1">
      <alignment horizontal="center"/>
      <protection locked="0"/>
    </xf>
    <xf numFmtId="0" fontId="3" fillId="0" borderId="66" xfId="0" applyFont="1" applyBorder="1"/>
    <xf numFmtId="0" fontId="22" fillId="0" borderId="0" xfId="0" applyFont="1"/>
    <xf numFmtId="0" fontId="23" fillId="0" borderId="0" xfId="0" applyFont="1"/>
    <xf numFmtId="0" fontId="22" fillId="0" borderId="0" xfId="0" applyFont="1" applyAlignment="1">
      <alignment horizontal="center"/>
    </xf>
    <xf numFmtId="0" fontId="22" fillId="0" borderId="0" xfId="0" applyFont="1" applyAlignment="1">
      <alignment horizontal="center" vertical="center"/>
    </xf>
    <xf numFmtId="0" fontId="24" fillId="3" borderId="2" xfId="0" applyFont="1" applyFill="1" applyBorder="1" applyAlignment="1">
      <alignment horizontal="center" vertical="center" wrapText="1"/>
    </xf>
    <xf numFmtId="0" fontId="22" fillId="0" borderId="0" xfId="0" applyFont="1" applyAlignment="1">
      <alignment horizontal="left" vertical="center"/>
    </xf>
    <xf numFmtId="0" fontId="22" fillId="0" borderId="0" xfId="2" applyFont="1" applyAlignment="1">
      <alignment horizontal="left" vertical="top"/>
    </xf>
    <xf numFmtId="49" fontId="22" fillId="0" borderId="0" xfId="3" applyNumberFormat="1" applyFont="1" applyAlignment="1">
      <alignment horizontal="left" vertical="center"/>
    </xf>
    <xf numFmtId="0" fontId="22" fillId="0" borderId="0" xfId="3" applyFont="1" applyAlignment="1">
      <alignment horizontal="left" vertical="center"/>
    </xf>
    <xf numFmtId="14" fontId="22" fillId="0" borderId="0" xfId="0" quotePrefix="1" applyNumberFormat="1" applyFont="1" applyAlignment="1">
      <alignment horizontal="center" vertical="center"/>
    </xf>
    <xf numFmtId="49" fontId="22" fillId="0" borderId="0" xfId="0" applyNumberFormat="1" applyFont="1" applyAlignment="1">
      <alignment horizontal="center" vertical="center"/>
    </xf>
    <xf numFmtId="0" fontId="22" fillId="0" borderId="0" xfId="2" applyFont="1" applyAlignment="1">
      <alignment horizontal="left"/>
    </xf>
    <xf numFmtId="0" fontId="20" fillId="0" borderId="0" xfId="0" applyFont="1" applyAlignment="1">
      <alignment horizontal="center"/>
    </xf>
    <xf numFmtId="0" fontId="4" fillId="0" borderId="0" xfId="0" applyFont="1" applyAlignment="1" applyProtection="1">
      <alignment horizontal="center"/>
      <protection locked="0"/>
    </xf>
    <xf numFmtId="0" fontId="26" fillId="0" borderId="0" xfId="0" applyFont="1"/>
    <xf numFmtId="0" fontId="29" fillId="0" borderId="66" xfId="10" quotePrefix="1" applyFont="1" applyBorder="1"/>
    <xf numFmtId="0" fontId="28" fillId="0" borderId="31" xfId="0" applyFont="1" applyBorder="1" applyAlignment="1">
      <alignment horizontal="center" vertical="center" wrapText="1"/>
    </xf>
    <xf numFmtId="0" fontId="28" fillId="0" borderId="75" xfId="10" applyFont="1" applyBorder="1" applyAlignment="1">
      <alignment horizontal="center" vertical="center"/>
    </xf>
    <xf numFmtId="0" fontId="32" fillId="0" borderId="1" xfId="0" applyFont="1" applyBorder="1" applyAlignment="1">
      <alignment horizontal="center" vertical="center"/>
    </xf>
    <xf numFmtId="0" fontId="33" fillId="0" borderId="1" xfId="0" applyFont="1" applyBorder="1" applyAlignment="1">
      <alignment horizontal="center" vertical="center"/>
    </xf>
    <xf numFmtId="22" fontId="33" fillId="0" borderId="1" xfId="0" applyNumberFormat="1" applyFont="1" applyBorder="1" applyAlignment="1">
      <alignment horizontal="center" vertical="center"/>
    </xf>
    <xf numFmtId="2" fontId="7" fillId="0" borderId="11" xfId="0" applyNumberFormat="1" applyFont="1" applyBorder="1" applyAlignment="1" applyProtection="1">
      <alignment horizontal="center"/>
      <protection locked="0"/>
    </xf>
    <xf numFmtId="2" fontId="0" fillId="0" borderId="0" xfId="0" applyNumberFormat="1" applyAlignment="1" applyProtection="1">
      <alignment horizontal="center"/>
      <protection locked="0"/>
    </xf>
    <xf numFmtId="2" fontId="7" fillId="0" borderId="0" xfId="0" applyNumberFormat="1" applyFont="1" applyAlignment="1" applyProtection="1">
      <alignment horizontal="center"/>
      <protection locked="0"/>
    </xf>
    <xf numFmtId="2" fontId="7" fillId="0" borderId="12" xfId="0" applyNumberFormat="1" applyFont="1" applyBorder="1" applyAlignment="1" applyProtection="1">
      <alignment horizontal="center"/>
      <protection locked="0"/>
    </xf>
    <xf numFmtId="0" fontId="28" fillId="0" borderId="71" xfId="0" applyFont="1" applyBorder="1" applyAlignment="1">
      <alignment horizontal="center" wrapText="1"/>
    </xf>
    <xf numFmtId="0" fontId="28" fillId="0" borderId="31" xfId="0" applyFont="1" applyBorder="1" applyAlignment="1">
      <alignment horizontal="center" wrapText="1"/>
    </xf>
    <xf numFmtId="0" fontId="29" fillId="0" borderId="0" xfId="10" quotePrefix="1" applyFont="1"/>
    <xf numFmtId="0" fontId="29" fillId="0" borderId="0" xfId="0" applyFont="1"/>
    <xf numFmtId="0" fontId="29" fillId="0" borderId="0" xfId="0" applyFont="1" applyAlignment="1">
      <alignment horizontal="right"/>
    </xf>
    <xf numFmtId="3" fontId="29" fillId="0" borderId="0" xfId="0" applyNumberFormat="1" applyFont="1" applyAlignment="1">
      <alignment horizontal="center"/>
    </xf>
    <xf numFmtId="0" fontId="29" fillId="0" borderId="0" xfId="0" applyFont="1" applyAlignment="1">
      <alignment horizontal="center"/>
    </xf>
    <xf numFmtId="0" fontId="29" fillId="0" borderId="0" xfId="0" applyFont="1" applyAlignment="1">
      <alignment horizontal="left"/>
    </xf>
    <xf numFmtId="0" fontId="28" fillId="0" borderId="31" xfId="10" applyFont="1" applyBorder="1" applyAlignment="1">
      <alignment horizontal="center" vertical="center" wrapText="1"/>
    </xf>
    <xf numFmtId="0" fontId="28" fillId="0" borderId="70" xfId="10" applyFont="1" applyBorder="1" applyAlignment="1">
      <alignment horizontal="center" vertical="center" wrapText="1"/>
    </xf>
    <xf numFmtId="0" fontId="28" fillId="0" borderId="75" xfId="0" applyFont="1" applyBorder="1" applyAlignment="1">
      <alignment horizontal="center" vertical="center"/>
    </xf>
    <xf numFmtId="0" fontId="28" fillId="0" borderId="28" xfId="0" applyFont="1" applyBorder="1" applyAlignment="1">
      <alignment horizontal="center" vertical="center"/>
    </xf>
    <xf numFmtId="165" fontId="27" fillId="0" borderId="1" xfId="0" applyNumberFormat="1" applyFont="1" applyBorder="1" applyAlignment="1">
      <alignment horizontal="center" vertical="center"/>
    </xf>
    <xf numFmtId="165" fontId="27" fillId="0" borderId="67" xfId="0" applyNumberFormat="1" applyFont="1" applyBorder="1" applyAlignment="1">
      <alignment horizontal="center" vertical="center"/>
    </xf>
    <xf numFmtId="0" fontId="28" fillId="0" borderId="71" xfId="10" applyFont="1" applyBorder="1" applyAlignment="1">
      <alignment horizontal="center" vertical="center" wrapText="1"/>
    </xf>
    <xf numFmtId="0" fontId="28" fillId="0" borderId="68" xfId="10" applyFont="1" applyBorder="1" applyAlignment="1">
      <alignment horizontal="center" vertical="center"/>
    </xf>
    <xf numFmtId="0" fontId="28" fillId="0" borderId="28" xfId="10" applyFont="1" applyBorder="1" applyAlignment="1">
      <alignment horizontal="center" vertical="center"/>
    </xf>
    <xf numFmtId="3" fontId="27" fillId="0" borderId="67" xfId="10" applyNumberFormat="1" applyFont="1" applyBorder="1" applyAlignment="1">
      <alignment horizontal="center" vertical="center"/>
    </xf>
    <xf numFmtId="170" fontId="27" fillId="0" borderId="1" xfId="10" applyNumberFormat="1" applyFont="1" applyBorder="1" applyAlignment="1">
      <alignment horizontal="center" vertical="center"/>
    </xf>
    <xf numFmtId="169" fontId="27" fillId="0" borderId="26" xfId="10" applyNumberFormat="1" applyFont="1" applyBorder="1" applyAlignment="1">
      <alignment horizontal="center" vertical="center"/>
    </xf>
    <xf numFmtId="3" fontId="29" fillId="0" borderId="0" xfId="10" applyNumberFormat="1" applyFont="1" applyAlignment="1">
      <alignment horizontal="center"/>
    </xf>
    <xf numFmtId="0" fontId="29" fillId="0" borderId="0" xfId="10" applyFont="1" applyAlignment="1">
      <alignment horizontal="right"/>
    </xf>
    <xf numFmtId="0" fontId="29" fillId="0" borderId="0" xfId="10" applyFont="1"/>
    <xf numFmtId="2" fontId="27" fillId="0" borderId="0" xfId="10" applyNumberFormat="1" applyFont="1" applyAlignment="1">
      <alignment horizontal="center"/>
    </xf>
    <xf numFmtId="0" fontId="4" fillId="0" borderId="13" xfId="0" applyFont="1" applyBorder="1" applyAlignment="1" applyProtection="1">
      <alignment horizontal="center"/>
      <protection locked="0"/>
    </xf>
    <xf numFmtId="0" fontId="20" fillId="0" borderId="14" xfId="0" applyFont="1" applyBorder="1" applyAlignment="1">
      <alignment horizontal="center"/>
    </xf>
    <xf numFmtId="10" fontId="4" fillId="0" borderId="37" xfId="1" applyNumberFormat="1" applyFont="1" applyBorder="1" applyAlignment="1" applyProtection="1">
      <alignment horizontal="center"/>
      <protection locked="0"/>
    </xf>
    <xf numFmtId="0" fontId="4" fillId="0" borderId="35" xfId="0" applyFont="1" applyBorder="1" applyAlignment="1" applyProtection="1">
      <alignment horizontal="center"/>
      <protection locked="0"/>
    </xf>
    <xf numFmtId="0" fontId="20" fillId="0" borderId="10" xfId="0" applyFont="1" applyBorder="1" applyAlignment="1">
      <alignment horizontal="center"/>
    </xf>
    <xf numFmtId="10" fontId="4" fillId="0" borderId="35" xfId="1" applyNumberFormat="1" applyFont="1" applyBorder="1" applyAlignment="1" applyProtection="1">
      <alignment horizontal="center"/>
      <protection locked="0"/>
    </xf>
    <xf numFmtId="11" fontId="4" fillId="0" borderId="47" xfId="0" applyNumberFormat="1" applyFont="1" applyBorder="1" applyAlignment="1" applyProtection="1">
      <alignment horizontal="center"/>
      <protection locked="0"/>
    </xf>
    <xf numFmtId="0" fontId="4" fillId="0" borderId="10" xfId="0" applyFont="1" applyBorder="1" applyAlignment="1" applyProtection="1">
      <alignment horizontal="center"/>
      <protection locked="0"/>
    </xf>
    <xf numFmtId="0" fontId="4" fillId="0" borderId="35" xfId="0" applyFont="1" applyBorder="1" applyProtection="1">
      <protection locked="0"/>
    </xf>
    <xf numFmtId="11" fontId="4" fillId="0" borderId="46" xfId="0" applyNumberFormat="1" applyFont="1" applyBorder="1" applyAlignment="1" applyProtection="1">
      <alignment horizontal="center"/>
      <protection locked="0"/>
    </xf>
    <xf numFmtId="0" fontId="4" fillId="0" borderId="37" xfId="0" applyFont="1" applyBorder="1" applyAlignment="1" applyProtection="1">
      <alignment horizontal="center"/>
      <protection locked="0"/>
    </xf>
    <xf numFmtId="11" fontId="4" fillId="0" borderId="53" xfId="0" applyNumberFormat="1" applyFont="1" applyBorder="1" applyAlignment="1" applyProtection="1">
      <alignment horizontal="center"/>
      <protection locked="0"/>
    </xf>
    <xf numFmtId="0" fontId="4" fillId="0" borderId="14" xfId="0" applyFont="1" applyBorder="1" applyAlignment="1" applyProtection="1">
      <alignment horizontal="center"/>
      <protection locked="0"/>
    </xf>
    <xf numFmtId="0" fontId="4" fillId="0" borderId="37" xfId="0" applyFont="1" applyBorder="1" applyProtection="1">
      <protection locked="0"/>
    </xf>
    <xf numFmtId="11" fontId="4" fillId="0" borderId="52" xfId="0" applyNumberFormat="1" applyFont="1" applyBorder="1" applyAlignment="1" applyProtection="1">
      <alignment horizontal="center"/>
      <protection locked="0"/>
    </xf>
    <xf numFmtId="0" fontId="4" fillId="0" borderId="0" xfId="0" applyFont="1" applyAlignment="1">
      <alignment horizontal="center"/>
    </xf>
    <xf numFmtId="0" fontId="20" fillId="0" borderId="36" xfId="0" applyFont="1" applyBorder="1" applyAlignment="1">
      <alignment horizontal="center"/>
    </xf>
    <xf numFmtId="0" fontId="4" fillId="11" borderId="36" xfId="0" applyFont="1" applyFill="1" applyBorder="1" applyAlignment="1">
      <alignment horizontal="center"/>
    </xf>
    <xf numFmtId="10" fontId="4" fillId="0" borderId="0" xfId="1" applyNumberFormat="1" applyFont="1" applyFill="1" applyAlignment="1" applyProtection="1">
      <alignment horizontal="center"/>
    </xf>
    <xf numFmtId="10" fontId="20" fillId="0" borderId="35" xfId="1" applyNumberFormat="1" applyFont="1" applyBorder="1" applyAlignment="1" applyProtection="1">
      <alignment horizontal="center" vertical="center"/>
    </xf>
    <xf numFmtId="10" fontId="20" fillId="0" borderId="36" xfId="1" applyNumberFormat="1" applyFont="1" applyBorder="1" applyAlignment="1" applyProtection="1">
      <alignment horizontal="center"/>
    </xf>
    <xf numFmtId="10" fontId="4" fillId="11" borderId="36" xfId="1" applyNumberFormat="1" applyFont="1" applyFill="1" applyBorder="1" applyAlignment="1" applyProtection="1">
      <alignment horizontal="center"/>
    </xf>
    <xf numFmtId="10" fontId="3" fillId="0" borderId="0" xfId="1" applyNumberFormat="1" applyFont="1" applyAlignment="1">
      <alignment horizontal="center"/>
    </xf>
    <xf numFmtId="0" fontId="4" fillId="0" borderId="0" xfId="0" applyFont="1"/>
    <xf numFmtId="0" fontId="4" fillId="11" borderId="12" xfId="0" applyFont="1" applyFill="1" applyBorder="1" applyAlignment="1">
      <alignment horizontal="center"/>
    </xf>
    <xf numFmtId="0" fontId="4" fillId="0" borderId="2" xfId="0" applyFont="1" applyBorder="1" applyAlignment="1" applyProtection="1">
      <alignment horizontal="center"/>
      <protection locked="0"/>
    </xf>
    <xf numFmtId="0" fontId="4" fillId="0" borderId="9" xfId="0" applyFont="1" applyBorder="1" applyProtection="1">
      <protection locked="0"/>
    </xf>
    <xf numFmtId="0" fontId="3" fillId="0" borderId="0" xfId="0" applyFont="1" applyAlignment="1" applyProtection="1">
      <alignment horizontal="center"/>
      <protection locked="0"/>
    </xf>
    <xf numFmtId="0" fontId="4" fillId="0" borderId="2" xfId="0" applyFont="1" applyBorder="1" applyProtection="1">
      <protection locked="0"/>
    </xf>
    <xf numFmtId="0" fontId="21" fillId="0" borderId="33" xfId="0" applyFont="1" applyBorder="1" applyAlignment="1">
      <alignment horizontal="center"/>
    </xf>
    <xf numFmtId="0" fontId="20" fillId="0" borderId="9" xfId="0" applyFont="1" applyBorder="1"/>
    <xf numFmtId="0" fontId="20" fillId="0" borderId="0" xfId="0" applyFont="1"/>
    <xf numFmtId="0" fontId="4" fillId="11" borderId="0" xfId="0" applyFont="1" applyFill="1"/>
    <xf numFmtId="0" fontId="4" fillId="0" borderId="10" xfId="0" applyFont="1" applyBorder="1" applyProtection="1">
      <protection locked="0"/>
    </xf>
    <xf numFmtId="0" fontId="4" fillId="0" borderId="14" xfId="0" applyFont="1" applyBorder="1" applyProtection="1">
      <protection locked="0"/>
    </xf>
    <xf numFmtId="2" fontId="7" fillId="0" borderId="42" xfId="0" applyNumberFormat="1" applyFont="1" applyBorder="1" applyAlignment="1" applyProtection="1">
      <alignment horizontal="center"/>
      <protection locked="0"/>
    </xf>
    <xf numFmtId="0" fontId="21" fillId="0" borderId="0" xfId="9" applyFont="1" applyFill="1" applyBorder="1" applyAlignment="1" applyProtection="1">
      <alignment horizontal="left"/>
      <protection hidden="1"/>
    </xf>
    <xf numFmtId="0" fontId="4" fillId="0" borderId="85" xfId="0" applyFont="1" applyBorder="1" applyProtection="1">
      <protection locked="0"/>
    </xf>
    <xf numFmtId="0" fontId="4" fillId="0" borderId="85" xfId="0" applyFont="1" applyBorder="1" applyAlignment="1" applyProtection="1">
      <alignment horizontal="center"/>
      <protection locked="0"/>
    </xf>
    <xf numFmtId="0" fontId="4" fillId="0" borderId="36" xfId="9" applyNumberFormat="1" applyFont="1" applyFill="1" applyBorder="1" applyProtection="1">
      <protection hidden="1"/>
    </xf>
    <xf numFmtId="0" fontId="4" fillId="0" borderId="37" xfId="9" applyNumberFormat="1" applyFont="1" applyFill="1" applyBorder="1" applyProtection="1">
      <protection hidden="1"/>
    </xf>
    <xf numFmtId="49" fontId="4" fillId="0" borderId="91" xfId="0" applyNumberFormat="1" applyFont="1" applyBorder="1" applyProtection="1">
      <protection locked="0"/>
    </xf>
    <xf numFmtId="0" fontId="20" fillId="0" borderId="2" xfId="0" applyFont="1" applyBorder="1" applyAlignment="1">
      <alignment horizontal="center"/>
    </xf>
    <xf numFmtId="11" fontId="4" fillId="0" borderId="78" xfId="0" applyNumberFormat="1" applyFont="1" applyBorder="1" applyAlignment="1" applyProtection="1">
      <alignment horizontal="center"/>
      <protection locked="0"/>
    </xf>
    <xf numFmtId="11" fontId="4" fillId="0" borderId="13" xfId="0" applyNumberFormat="1" applyFont="1" applyBorder="1" applyAlignment="1" applyProtection="1">
      <alignment horizontal="center"/>
      <protection locked="0"/>
    </xf>
    <xf numFmtId="11" fontId="4" fillId="0" borderId="84" xfId="0" applyNumberFormat="1" applyFont="1" applyBorder="1" applyAlignment="1" applyProtection="1">
      <alignment horizontal="center"/>
      <protection locked="0"/>
    </xf>
    <xf numFmtId="11" fontId="3" fillId="0" borderId="2" xfId="0" applyNumberFormat="1" applyFont="1" applyBorder="1" applyAlignment="1">
      <alignment horizontal="center"/>
    </xf>
    <xf numFmtId="11" fontId="4" fillId="0" borderId="81" xfId="0" applyNumberFormat="1" applyFont="1" applyBorder="1" applyAlignment="1" applyProtection="1">
      <alignment horizontal="center"/>
      <protection locked="0"/>
    </xf>
    <xf numFmtId="11" fontId="4" fillId="0" borderId="82" xfId="0" applyNumberFormat="1" applyFont="1" applyBorder="1" applyAlignment="1" applyProtection="1">
      <alignment horizontal="center"/>
      <protection locked="0"/>
    </xf>
    <xf numFmtId="49" fontId="4" fillId="0" borderId="3" xfId="0" quotePrefix="1" applyNumberFormat="1" applyFont="1" applyBorder="1" applyAlignment="1" applyProtection="1">
      <alignment horizontal="left"/>
      <protection locked="0"/>
    </xf>
    <xf numFmtId="3" fontId="7" fillId="0" borderId="42" xfId="0" applyNumberFormat="1" applyFont="1" applyBorder="1" applyAlignment="1" applyProtection="1">
      <alignment horizontal="center"/>
      <protection locked="0"/>
    </xf>
    <xf numFmtId="0" fontId="4" fillId="0" borderId="17" xfId="0" applyFont="1" applyBorder="1" applyAlignment="1" applyProtection="1">
      <alignment horizontal="center"/>
      <protection locked="0"/>
    </xf>
    <xf numFmtId="0" fontId="4" fillId="0" borderId="93" xfId="0" applyFont="1" applyBorder="1" applyProtection="1">
      <protection locked="0"/>
    </xf>
    <xf numFmtId="0" fontId="20" fillId="0" borderId="18" xfId="0" applyFont="1" applyBorder="1" applyAlignment="1">
      <alignment horizontal="center"/>
    </xf>
    <xf numFmtId="10" fontId="4" fillId="0" borderId="90" xfId="1" applyNumberFormat="1" applyFont="1" applyBorder="1" applyAlignment="1" applyProtection="1">
      <alignment horizontal="center"/>
      <protection locked="0"/>
    </xf>
    <xf numFmtId="0" fontId="4" fillId="0" borderId="94" xfId="0" applyFont="1" applyBorder="1" applyAlignment="1" applyProtection="1">
      <alignment horizontal="center"/>
      <protection locked="0"/>
    </xf>
    <xf numFmtId="11" fontId="4" fillId="0" borderId="95" xfId="0" applyNumberFormat="1" applyFont="1" applyBorder="1" applyAlignment="1" applyProtection="1">
      <alignment horizontal="center"/>
      <protection locked="0"/>
    </xf>
    <xf numFmtId="0" fontId="4" fillId="0" borderId="19" xfId="0" applyFont="1" applyBorder="1" applyProtection="1">
      <protection locked="0"/>
    </xf>
    <xf numFmtId="14" fontId="0" fillId="0" borderId="0" xfId="0" applyNumberFormat="1"/>
    <xf numFmtId="10" fontId="4" fillId="0" borderId="8" xfId="1" applyNumberFormat="1" applyFont="1" applyBorder="1" applyAlignment="1" applyProtection="1">
      <alignment horizontal="center"/>
      <protection locked="0"/>
    </xf>
    <xf numFmtId="10" fontId="4" fillId="0" borderId="10" xfId="1" applyNumberFormat="1" applyFont="1" applyBorder="1" applyAlignment="1" applyProtection="1">
      <alignment horizontal="center"/>
      <protection locked="0"/>
    </xf>
    <xf numFmtId="2" fontId="3" fillId="0" borderId="9" xfId="0" applyNumberFormat="1" applyFont="1" applyBorder="1" applyAlignment="1">
      <alignment horizontal="center"/>
    </xf>
    <xf numFmtId="11" fontId="3" fillId="0" borderId="10" xfId="0" applyNumberFormat="1" applyFont="1" applyBorder="1" applyAlignment="1">
      <alignment horizontal="center"/>
    </xf>
    <xf numFmtId="11" fontId="4" fillId="0" borderId="36" xfId="0" applyNumberFormat="1" applyFont="1" applyBorder="1" applyAlignment="1" applyProtection="1">
      <alignment horizontal="center"/>
      <protection locked="0"/>
    </xf>
    <xf numFmtId="0" fontId="4" fillId="0" borderId="11" xfId="0" applyFont="1" applyBorder="1" applyProtection="1">
      <protection locked="0"/>
    </xf>
    <xf numFmtId="0" fontId="4" fillId="0" borderId="13" xfId="0" applyFont="1" applyBorder="1" applyProtection="1">
      <protection locked="0"/>
    </xf>
    <xf numFmtId="0" fontId="3" fillId="0" borderId="35" xfId="0" applyFont="1" applyBorder="1" applyAlignment="1">
      <alignment horizontal="center"/>
    </xf>
    <xf numFmtId="0" fontId="3" fillId="0" borderId="36" xfId="0" applyFont="1" applyBorder="1" applyAlignment="1">
      <alignment horizontal="center"/>
    </xf>
    <xf numFmtId="0" fontId="4" fillId="0" borderId="8" xfId="0" applyFont="1" applyBorder="1" applyProtection="1">
      <protection locked="0"/>
    </xf>
    <xf numFmtId="2" fontId="4" fillId="0" borderId="35" xfId="0" applyNumberFormat="1" applyFont="1" applyBorder="1" applyAlignment="1" applyProtection="1">
      <alignment horizontal="center"/>
      <protection locked="0"/>
    </xf>
    <xf numFmtId="2" fontId="3" fillId="0" borderId="35" xfId="0" applyNumberFormat="1" applyFont="1" applyBorder="1" applyAlignment="1">
      <alignment horizontal="center"/>
    </xf>
    <xf numFmtId="2" fontId="4" fillId="0" borderId="36" xfId="0" applyNumberFormat="1" applyFont="1" applyBorder="1" applyAlignment="1" applyProtection="1">
      <alignment horizontal="center"/>
      <protection locked="0"/>
    </xf>
    <xf numFmtId="2" fontId="4" fillId="0" borderId="8" xfId="0" applyNumberFormat="1" applyFont="1" applyBorder="1" applyAlignment="1" applyProtection="1">
      <alignment horizontal="center"/>
      <protection locked="0"/>
    </xf>
    <xf numFmtId="2" fontId="3" fillId="0" borderId="8" xfId="0" applyNumberFormat="1" applyFont="1" applyBorder="1" applyAlignment="1">
      <alignment horizontal="center"/>
    </xf>
    <xf numFmtId="2" fontId="4" fillId="0" borderId="11" xfId="0" applyNumberFormat="1" applyFont="1" applyBorder="1" applyAlignment="1" applyProtection="1">
      <alignment horizontal="center"/>
      <protection locked="0"/>
    </xf>
    <xf numFmtId="11" fontId="4" fillId="0" borderId="12" xfId="0" applyNumberFormat="1" applyFont="1" applyBorder="1" applyAlignment="1" applyProtection="1">
      <alignment horizontal="center"/>
      <protection locked="0"/>
    </xf>
    <xf numFmtId="11" fontId="4" fillId="0" borderId="35" xfId="0" applyNumberFormat="1" applyFont="1" applyBorder="1" applyAlignment="1" applyProtection="1">
      <alignment horizontal="center"/>
      <protection locked="0"/>
    </xf>
    <xf numFmtId="11" fontId="3" fillId="0" borderId="35" xfId="0" applyNumberFormat="1" applyFont="1" applyBorder="1" applyAlignment="1">
      <alignment horizontal="center"/>
    </xf>
    <xf numFmtId="11" fontId="4" fillId="0" borderId="10" xfId="0" applyNumberFormat="1" applyFont="1" applyBorder="1" applyAlignment="1" applyProtection="1">
      <alignment horizontal="center"/>
      <protection locked="0"/>
    </xf>
    <xf numFmtId="2" fontId="4" fillId="0" borderId="9" xfId="0" applyNumberFormat="1" applyFont="1" applyBorder="1" applyAlignment="1" applyProtection="1">
      <alignment horizontal="center"/>
      <protection locked="0"/>
    </xf>
    <xf numFmtId="2" fontId="4" fillId="0" borderId="0" xfId="0" applyNumberFormat="1" applyFont="1" applyAlignment="1" applyProtection="1">
      <alignment horizontal="center"/>
      <protection locked="0"/>
    </xf>
    <xf numFmtId="0" fontId="20" fillId="0" borderId="9" xfId="0" applyFont="1" applyBorder="1" applyAlignment="1">
      <alignment horizontal="center"/>
    </xf>
    <xf numFmtId="2" fontId="27" fillId="0" borderId="75" xfId="10" applyNumberFormat="1" applyFont="1" applyBorder="1" applyAlignment="1">
      <alignment horizontal="center"/>
    </xf>
    <xf numFmtId="0" fontId="3" fillId="0" borderId="8" xfId="0" applyFont="1" applyBorder="1" applyAlignment="1">
      <alignment horizontal="left"/>
    </xf>
    <xf numFmtId="0" fontId="3" fillId="0" borderId="35" xfId="0" applyFont="1" applyBorder="1"/>
    <xf numFmtId="11" fontId="4" fillId="0" borderId="60" xfId="0" applyNumberFormat="1" applyFont="1" applyBorder="1" applyAlignment="1" applyProtection="1">
      <alignment horizontal="center"/>
      <protection locked="0"/>
    </xf>
    <xf numFmtId="0" fontId="3" fillId="0" borderId="11" xfId="0" applyFont="1" applyBorder="1" applyAlignment="1">
      <alignment horizontal="left"/>
    </xf>
    <xf numFmtId="0" fontId="3" fillId="0" borderId="36" xfId="0" applyFont="1" applyBorder="1"/>
    <xf numFmtId="49" fontId="4" fillId="0" borderId="13" xfId="0" applyNumberFormat="1" applyFont="1" applyBorder="1" applyAlignment="1" applyProtection="1">
      <alignment horizontal="left"/>
      <protection locked="0"/>
    </xf>
    <xf numFmtId="11" fontId="4" fillId="0" borderId="14" xfId="0" applyNumberFormat="1" applyFont="1" applyBorder="1" applyAlignment="1" applyProtection="1">
      <alignment horizontal="center"/>
      <protection locked="0"/>
    </xf>
    <xf numFmtId="49" fontId="4" fillId="0" borderId="8" xfId="0" applyNumberFormat="1" applyFont="1" applyBorder="1" applyAlignment="1" applyProtection="1">
      <alignment horizontal="left"/>
      <protection locked="0"/>
    </xf>
    <xf numFmtId="49" fontId="4" fillId="0" borderId="11" xfId="0" applyNumberFormat="1" applyFont="1" applyBorder="1" applyProtection="1">
      <protection locked="0"/>
    </xf>
    <xf numFmtId="49" fontId="4" fillId="0" borderId="13" xfId="0" applyNumberFormat="1" applyFont="1" applyBorder="1" applyProtection="1">
      <protection locked="0"/>
    </xf>
    <xf numFmtId="11" fontId="3" fillId="0" borderId="9" xfId="0" applyNumberFormat="1" applyFont="1" applyBorder="1" applyAlignment="1">
      <alignment horizontal="center"/>
    </xf>
    <xf numFmtId="11" fontId="4" fillId="0" borderId="8" xfId="0" applyNumberFormat="1" applyFont="1" applyBorder="1" applyAlignment="1" applyProtection="1">
      <alignment horizontal="center"/>
      <protection locked="0"/>
    </xf>
    <xf numFmtId="11" fontId="4" fillId="0" borderId="79" xfId="0" applyNumberFormat="1" applyFont="1" applyBorder="1" applyAlignment="1" applyProtection="1">
      <alignment horizontal="center"/>
      <protection locked="0"/>
    </xf>
    <xf numFmtId="11" fontId="4" fillId="0" borderId="80" xfId="0" applyNumberFormat="1" applyFont="1" applyBorder="1" applyAlignment="1" applyProtection="1">
      <alignment horizontal="center"/>
      <protection locked="0"/>
    </xf>
    <xf numFmtId="49" fontId="4" fillId="0" borderId="8" xfId="0" applyNumberFormat="1" applyFont="1" applyBorder="1" applyProtection="1">
      <protection locked="0"/>
    </xf>
    <xf numFmtId="11" fontId="4" fillId="0" borderId="83" xfId="0" applyNumberFormat="1" applyFont="1" applyBorder="1" applyAlignment="1" applyProtection="1">
      <alignment horizontal="center"/>
      <protection locked="0"/>
    </xf>
    <xf numFmtId="0" fontId="4" fillId="0" borderId="23" xfId="0" applyFont="1" applyBorder="1" applyAlignment="1" applyProtection="1">
      <alignment horizontal="center"/>
      <protection locked="0"/>
    </xf>
    <xf numFmtId="11" fontId="4" fillId="0" borderId="9" xfId="0" applyNumberFormat="1" applyFont="1" applyBorder="1" applyAlignment="1" applyProtection="1">
      <alignment horizontal="center"/>
      <protection locked="0"/>
    </xf>
    <xf numFmtId="11" fontId="4" fillId="0" borderId="0" xfId="0" applyNumberFormat="1" applyFont="1" applyAlignment="1" applyProtection="1">
      <alignment horizontal="center"/>
      <protection locked="0"/>
    </xf>
    <xf numFmtId="11" fontId="4" fillId="0" borderId="2" xfId="0" applyNumberFormat="1" applyFont="1" applyBorder="1" applyAlignment="1" applyProtection="1">
      <alignment horizontal="center"/>
      <protection locked="0"/>
    </xf>
    <xf numFmtId="11" fontId="4" fillId="0" borderId="51" xfId="0" applyNumberFormat="1" applyFont="1" applyBorder="1" applyAlignment="1" applyProtection="1">
      <alignment horizontal="center"/>
      <protection locked="0"/>
    </xf>
    <xf numFmtId="11" fontId="4" fillId="0" borderId="96" xfId="0" applyNumberFormat="1" applyFont="1" applyBorder="1" applyAlignment="1" applyProtection="1">
      <alignment horizontal="center"/>
      <protection locked="0"/>
    </xf>
    <xf numFmtId="11" fontId="4" fillId="0" borderId="97" xfId="0" applyNumberFormat="1" applyFont="1" applyBorder="1" applyAlignment="1" applyProtection="1">
      <alignment horizontal="center"/>
      <protection locked="0"/>
    </xf>
    <xf numFmtId="11" fontId="4" fillId="0" borderId="19" xfId="0" applyNumberFormat="1" applyFont="1" applyBorder="1" applyAlignment="1" applyProtection="1">
      <alignment horizontal="center"/>
      <protection locked="0"/>
    </xf>
    <xf numFmtId="11" fontId="4" fillId="0" borderId="54" xfId="0" applyNumberFormat="1" applyFont="1" applyBorder="1" applyAlignment="1" applyProtection="1">
      <alignment horizontal="center"/>
      <protection locked="0"/>
    </xf>
    <xf numFmtId="171" fontId="4" fillId="0" borderId="64" xfId="0" applyNumberFormat="1" applyFont="1" applyBorder="1" applyAlignment="1" applyProtection="1">
      <alignment horizontal="center"/>
      <protection locked="0"/>
    </xf>
    <xf numFmtId="11" fontId="4" fillId="0" borderId="86" xfId="0" applyNumberFormat="1" applyFont="1" applyBorder="1" applyAlignment="1" applyProtection="1">
      <alignment horizontal="center"/>
      <protection locked="0"/>
    </xf>
    <xf numFmtId="0" fontId="4" fillId="0" borderId="35" xfId="9" applyFont="1" applyFill="1" applyBorder="1" applyProtection="1">
      <protection hidden="1"/>
    </xf>
    <xf numFmtId="11" fontId="4" fillId="0" borderId="87" xfId="0" applyNumberFormat="1" applyFont="1" applyBorder="1" applyAlignment="1" applyProtection="1">
      <alignment horizontal="center"/>
      <protection locked="0"/>
    </xf>
    <xf numFmtId="0" fontId="4" fillId="0" borderId="2" xfId="0" applyFont="1" applyBorder="1" applyAlignment="1" applyProtection="1">
      <alignment horizontal="left"/>
      <protection locked="0"/>
    </xf>
    <xf numFmtId="11" fontId="4" fillId="0" borderId="88" xfId="0" applyNumberFormat="1" applyFont="1" applyBorder="1" applyAlignment="1" applyProtection="1">
      <alignment horizontal="center"/>
      <protection locked="0"/>
    </xf>
    <xf numFmtId="11" fontId="4" fillId="0" borderId="89" xfId="0" applyNumberFormat="1" applyFont="1" applyBorder="1" applyAlignment="1" applyProtection="1">
      <alignment horizontal="center"/>
      <protection locked="0"/>
    </xf>
    <xf numFmtId="0" fontId="4" fillId="0" borderId="60" xfId="0" applyFont="1" applyBorder="1" applyAlignment="1" applyProtection="1">
      <alignment horizontal="center"/>
      <protection locked="0"/>
    </xf>
    <xf numFmtId="49" fontId="4" fillId="0" borderId="92" xfId="0" quotePrefix="1" applyNumberFormat="1" applyFont="1" applyBorder="1" applyAlignment="1" applyProtection="1">
      <alignment horizontal="left"/>
      <protection locked="0"/>
    </xf>
    <xf numFmtId="0" fontId="4" fillId="0" borderId="93" xfId="0" applyFont="1" applyBorder="1" applyAlignment="1" applyProtection="1">
      <alignment horizontal="center"/>
      <protection locked="0"/>
    </xf>
    <xf numFmtId="0" fontId="3" fillId="0" borderId="9" xfId="0" applyFont="1" applyBorder="1" applyProtection="1">
      <protection locked="0"/>
    </xf>
    <xf numFmtId="0" fontId="4" fillId="0" borderId="8"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3" fillId="0" borderId="9" xfId="0" applyFont="1" applyBorder="1" applyAlignment="1">
      <alignment horizontal="center"/>
    </xf>
    <xf numFmtId="10" fontId="3" fillId="0" borderId="8" xfId="1" applyNumberFormat="1" applyFont="1" applyBorder="1" applyAlignment="1">
      <alignment horizontal="center"/>
    </xf>
    <xf numFmtId="10" fontId="3" fillId="0" borderId="10" xfId="1" applyNumberFormat="1" applyFont="1" applyBorder="1" applyAlignment="1">
      <alignment horizontal="center"/>
    </xf>
    <xf numFmtId="0" fontId="3" fillId="0" borderId="8" xfId="0" applyFont="1" applyBorder="1"/>
    <xf numFmtId="0" fontId="3" fillId="0" borderId="8" xfId="0" applyFont="1" applyBorder="1" applyAlignment="1">
      <alignment horizontal="center"/>
    </xf>
    <xf numFmtId="0" fontId="3" fillId="0" borderId="19" xfId="0" applyFont="1" applyBorder="1" applyAlignment="1">
      <alignment horizontal="center"/>
    </xf>
    <xf numFmtId="0" fontId="4" fillId="0" borderId="18" xfId="0" applyFont="1" applyBorder="1" applyProtection="1">
      <protection locked="0"/>
    </xf>
    <xf numFmtId="0" fontId="3" fillId="0" borderId="18" xfId="0" applyFont="1" applyBorder="1" applyAlignment="1">
      <alignment horizontal="center"/>
    </xf>
    <xf numFmtId="10" fontId="3" fillId="0" borderId="17" xfId="1" applyNumberFormat="1" applyFont="1" applyBorder="1" applyAlignment="1">
      <alignment horizontal="center"/>
    </xf>
    <xf numFmtId="10" fontId="3" fillId="0" borderId="19" xfId="1" applyNumberFormat="1" applyFont="1" applyBorder="1" applyAlignment="1">
      <alignment horizontal="center"/>
    </xf>
    <xf numFmtId="0" fontId="3" fillId="0" borderId="17" xfId="0" applyFont="1" applyBorder="1"/>
    <xf numFmtId="0" fontId="3" fillId="0" borderId="17" xfId="0" applyFont="1" applyBorder="1" applyAlignment="1">
      <alignment horizontal="center"/>
    </xf>
    <xf numFmtId="0" fontId="3" fillId="0" borderId="90" xfId="0" applyFont="1" applyBorder="1" applyAlignment="1">
      <alignment horizontal="center"/>
    </xf>
    <xf numFmtId="0" fontId="3" fillId="0" borderId="2" xfId="0" applyFont="1" applyBorder="1" applyAlignment="1">
      <alignment horizontal="center"/>
    </xf>
    <xf numFmtId="49" fontId="3" fillId="0" borderId="35" xfId="0" applyNumberFormat="1" applyFont="1" applyBorder="1" applyAlignment="1">
      <alignment horizontal="center"/>
    </xf>
    <xf numFmtId="49" fontId="4" fillId="0" borderId="35" xfId="0" applyNumberFormat="1" applyFont="1" applyBorder="1" applyAlignment="1" applyProtection="1">
      <alignment horizontal="center"/>
      <protection locked="0"/>
    </xf>
    <xf numFmtId="49" fontId="4" fillId="0" borderId="90" xfId="0" applyNumberFormat="1" applyFont="1" applyBorder="1" applyAlignment="1" applyProtection="1">
      <alignment horizontal="center"/>
      <protection locked="0"/>
    </xf>
    <xf numFmtId="0" fontId="4" fillId="0" borderId="90" xfId="0" applyFont="1" applyBorder="1" applyProtection="1">
      <protection locked="0"/>
    </xf>
    <xf numFmtId="11" fontId="4" fillId="0" borderId="48" xfId="0" applyNumberFormat="1" applyFont="1" applyBorder="1" applyAlignment="1" applyProtection="1">
      <alignment horizontal="center"/>
      <protection locked="0"/>
    </xf>
    <xf numFmtId="11" fontId="4" fillId="0" borderId="98" xfId="0" applyNumberFormat="1" applyFont="1" applyBorder="1" applyAlignment="1" applyProtection="1">
      <alignment horizontal="center"/>
      <protection locked="0"/>
    </xf>
    <xf numFmtId="0" fontId="4" fillId="0" borderId="20" xfId="0" applyFont="1" applyBorder="1" applyAlignment="1" applyProtection="1">
      <alignment horizontal="center"/>
      <protection locked="0"/>
    </xf>
    <xf numFmtId="0" fontId="4" fillId="0" borderId="22" xfId="0" applyFont="1" applyBorder="1" applyAlignment="1" applyProtection="1">
      <alignment horizontal="center"/>
      <protection locked="0"/>
    </xf>
    <xf numFmtId="11" fontId="4" fillId="0" borderId="8" xfId="12" applyNumberFormat="1" applyFont="1" applyBorder="1" applyAlignment="1">
      <alignment horizontal="left"/>
    </xf>
    <xf numFmtId="0" fontId="3" fillId="0" borderId="9" xfId="0" quotePrefix="1" applyFont="1" applyBorder="1" applyAlignment="1">
      <alignment horizontal="center"/>
    </xf>
    <xf numFmtId="0" fontId="3" fillId="0" borderId="99" xfId="0" quotePrefix="1" applyFont="1" applyBorder="1" applyAlignment="1">
      <alignment horizontal="center"/>
    </xf>
    <xf numFmtId="0" fontId="3" fillId="0" borderId="35" xfId="0" quotePrefix="1" applyFont="1" applyBorder="1" applyAlignment="1">
      <alignment horizontal="center"/>
    </xf>
    <xf numFmtId="0" fontId="4" fillId="0" borderId="55" xfId="0" applyFont="1" applyBorder="1" applyAlignment="1" applyProtection="1">
      <alignment horizontal="left" vertical="top"/>
      <protection locked="0"/>
    </xf>
    <xf numFmtId="11" fontId="4" fillId="0" borderId="46" xfId="0" quotePrefix="1" applyNumberFormat="1" applyFont="1" applyBorder="1" applyAlignment="1" applyProtection="1">
      <alignment horizontal="center"/>
      <protection locked="0"/>
    </xf>
    <xf numFmtId="11" fontId="3" fillId="0" borderId="9" xfId="0" quotePrefix="1" applyNumberFormat="1" applyFont="1" applyBorder="1" applyAlignment="1">
      <alignment horizontal="center"/>
    </xf>
    <xf numFmtId="11" fontId="4" fillId="0" borderId="11" xfId="12" applyNumberFormat="1" applyFont="1" applyBorder="1" applyAlignment="1">
      <alignment horizontal="left"/>
    </xf>
    <xf numFmtId="0" fontId="3" fillId="0" borderId="0" xfId="0" quotePrefix="1" applyFont="1" applyAlignment="1">
      <alignment horizontal="center"/>
    </xf>
    <xf numFmtId="0" fontId="3" fillId="0" borderId="3" xfId="0" quotePrefix="1" applyFont="1" applyBorder="1" applyAlignment="1">
      <alignment horizontal="center"/>
    </xf>
    <xf numFmtId="0" fontId="3" fillId="0" borderId="36" xfId="0" quotePrefix="1" applyFont="1" applyBorder="1" applyAlignment="1">
      <alignment horizontal="center"/>
    </xf>
    <xf numFmtId="0" fontId="4" fillId="0" borderId="60" xfId="0" applyFont="1" applyBorder="1" applyAlignment="1" applyProtection="1">
      <alignment horizontal="left" vertical="top"/>
      <protection locked="0"/>
    </xf>
    <xf numFmtId="11" fontId="4" fillId="0" borderId="49" xfId="0" quotePrefix="1" applyNumberFormat="1" applyFont="1" applyBorder="1" applyAlignment="1" applyProtection="1">
      <alignment horizontal="center"/>
      <protection locked="0"/>
    </xf>
    <xf numFmtId="11" fontId="4" fillId="0" borderId="13" xfId="12" applyNumberFormat="1" applyFont="1" applyBorder="1" applyAlignment="1">
      <alignment horizontal="left" vertical="center"/>
    </xf>
    <xf numFmtId="0" fontId="3" fillId="0" borderId="2" xfId="0" quotePrefix="1" applyFont="1" applyBorder="1" applyAlignment="1">
      <alignment horizontal="center"/>
    </xf>
    <xf numFmtId="0" fontId="3" fillId="0" borderId="91" xfId="0" quotePrefix="1" applyFont="1" applyBorder="1" applyAlignment="1">
      <alignment horizontal="center"/>
    </xf>
    <xf numFmtId="0" fontId="3" fillId="0" borderId="37" xfId="0" quotePrefix="1" applyFont="1" applyBorder="1" applyAlignment="1">
      <alignment horizontal="center"/>
    </xf>
    <xf numFmtId="0" fontId="4" fillId="0" borderId="78" xfId="0" applyFont="1" applyBorder="1" applyAlignment="1" applyProtection="1">
      <alignment horizontal="left" vertical="top"/>
      <protection locked="0"/>
    </xf>
    <xf numFmtId="11" fontId="4" fillId="0" borderId="52" xfId="0" quotePrefix="1" applyNumberFormat="1" applyFont="1" applyBorder="1" applyAlignment="1" applyProtection="1">
      <alignment horizontal="center"/>
      <protection locked="0"/>
    </xf>
    <xf numFmtId="11" fontId="4" fillId="0" borderId="21" xfId="12" applyNumberFormat="1" applyFont="1" applyBorder="1" applyAlignment="1">
      <alignment horizontal="left"/>
    </xf>
    <xf numFmtId="11" fontId="4" fillId="0" borderId="101" xfId="12" applyNumberFormat="1" applyFont="1" applyBorder="1" applyAlignment="1">
      <alignment horizontal="left" vertical="center"/>
    </xf>
    <xf numFmtId="11" fontId="3" fillId="0" borderId="10" xfId="0" quotePrefix="1" applyNumberFormat="1" applyFont="1" applyBorder="1" applyAlignment="1">
      <alignment horizontal="center"/>
    </xf>
    <xf numFmtId="0" fontId="28" fillId="0" borderId="0" xfId="10" applyFont="1" applyAlignment="1">
      <alignment horizontal="left" vertical="top"/>
    </xf>
    <xf numFmtId="0" fontId="27" fillId="0" borderId="0" xfId="10" applyFont="1" applyAlignment="1">
      <alignment horizontal="left" vertical="top"/>
    </xf>
    <xf numFmtId="0" fontId="27" fillId="0" borderId="0" xfId="0" applyFont="1"/>
    <xf numFmtId="0" fontId="28" fillId="0" borderId="75" xfId="10" applyFont="1" applyBorder="1" applyAlignment="1">
      <alignment horizontal="center"/>
    </xf>
    <xf numFmtId="11" fontId="27" fillId="0" borderId="0" xfId="0" applyNumberFormat="1" applyFont="1"/>
    <xf numFmtId="0" fontId="27" fillId="0" borderId="68" xfId="10" applyFont="1" applyBorder="1" applyAlignment="1">
      <alignment horizontal="center"/>
    </xf>
    <xf numFmtId="11" fontId="27" fillId="0" borderId="28" xfId="10" applyNumberFormat="1" applyFont="1" applyBorder="1" applyAlignment="1">
      <alignment horizontal="center"/>
    </xf>
    <xf numFmtId="0" fontId="29" fillId="0" borderId="66" xfId="10" applyFont="1" applyBorder="1"/>
    <xf numFmtId="11" fontId="27" fillId="0" borderId="31" xfId="12" applyNumberFormat="1" applyFont="1" applyBorder="1" applyAlignment="1">
      <alignment horizontal="center"/>
    </xf>
    <xf numFmtId="11" fontId="27" fillId="0" borderId="20" xfId="12" applyNumberFormat="1" applyFont="1" applyBorder="1" applyAlignment="1">
      <alignment horizontal="center"/>
    </xf>
    <xf numFmtId="11" fontId="27" fillId="0" borderId="75" xfId="12" applyNumberFormat="1" applyFont="1" applyBorder="1" applyAlignment="1">
      <alignment horizontal="center" vertical="center"/>
    </xf>
    <xf numFmtId="0" fontId="41" fillId="0" borderId="0" xfId="0" applyFont="1"/>
    <xf numFmtId="0" fontId="41" fillId="0" borderId="0" xfId="0" applyFont="1" applyAlignment="1">
      <alignment horizontal="left"/>
    </xf>
    <xf numFmtId="0" fontId="42" fillId="0" borderId="0" xfId="0" applyFont="1"/>
    <xf numFmtId="0" fontId="43" fillId="0" borderId="0" xfId="0" applyFont="1"/>
    <xf numFmtId="0" fontId="44" fillId="0" borderId="0" xfId="0" applyFont="1"/>
    <xf numFmtId="0" fontId="42" fillId="0" borderId="0" xfId="0" applyFont="1" applyAlignment="1">
      <alignment horizontal="center"/>
    </xf>
    <xf numFmtId="0" fontId="43" fillId="0" borderId="1" xfId="0" applyFont="1" applyBorder="1" applyAlignment="1">
      <alignment horizontal="center" vertical="center"/>
    </xf>
    <xf numFmtId="0" fontId="42" fillId="0" borderId="1" xfId="0" applyFont="1" applyBorder="1"/>
    <xf numFmtId="0" fontId="42" fillId="0" borderId="1" xfId="0" applyFont="1" applyBorder="1" applyAlignment="1">
      <alignment horizontal="left"/>
    </xf>
    <xf numFmtId="0" fontId="42" fillId="0" borderId="1" xfId="0" applyFont="1" applyBorder="1" applyAlignment="1">
      <alignment horizontal="center" vertical="center"/>
    </xf>
    <xf numFmtId="0" fontId="43" fillId="0" borderId="1" xfId="0" applyFont="1" applyBorder="1" applyAlignment="1">
      <alignment horizontal="center" vertical="center" wrapText="1"/>
    </xf>
    <xf numFmtId="0" fontId="43" fillId="0" borderId="29" xfId="0" applyFont="1" applyBorder="1" applyAlignment="1">
      <alignment horizontal="center" wrapText="1"/>
    </xf>
    <xf numFmtId="0" fontId="43" fillId="0" borderId="76" xfId="0" applyFont="1" applyBorder="1" applyAlignment="1">
      <alignment horizontal="center"/>
    </xf>
    <xf numFmtId="0" fontId="46" fillId="0" borderId="0" xfId="0" applyFont="1"/>
    <xf numFmtId="0" fontId="43" fillId="0" borderId="1" xfId="0" applyFont="1" applyBorder="1" applyAlignment="1">
      <alignment vertical="center"/>
    </xf>
    <xf numFmtId="0" fontId="42" fillId="0" borderId="1" xfId="0" applyFont="1" applyBorder="1" applyAlignment="1">
      <alignment vertical="center"/>
    </xf>
    <xf numFmtId="1" fontId="42" fillId="0" borderId="1" xfId="0" applyNumberFormat="1" applyFont="1" applyBorder="1" applyAlignment="1">
      <alignment horizontal="center" vertical="center"/>
    </xf>
    <xf numFmtId="0" fontId="42" fillId="0" borderId="31" xfId="0" applyFont="1" applyBorder="1" applyAlignment="1">
      <alignment vertical="center"/>
    </xf>
    <xf numFmtId="0" fontId="42" fillId="0" borderId="31" xfId="0" applyFont="1" applyBorder="1" applyAlignment="1">
      <alignment horizontal="center" vertical="center"/>
    </xf>
    <xf numFmtId="1" fontId="42" fillId="0" borderId="31" xfId="0" applyNumberFormat="1" applyFont="1" applyBorder="1" applyAlignment="1">
      <alignment horizontal="center" vertical="center"/>
    </xf>
    <xf numFmtId="0" fontId="42" fillId="0" borderId="0" xfId="0" applyFont="1" applyAlignment="1">
      <alignment vertical="center"/>
    </xf>
    <xf numFmtId="0" fontId="42" fillId="0" borderId="0" xfId="0" applyFont="1" applyAlignment="1">
      <alignment horizontal="center" vertical="center"/>
    </xf>
    <xf numFmtId="1" fontId="42" fillId="0" borderId="0" xfId="0" applyNumberFormat="1" applyFont="1" applyAlignment="1">
      <alignment horizontal="center" vertical="center"/>
    </xf>
    <xf numFmtId="0" fontId="36" fillId="0" borderId="0" xfId="0" applyFont="1"/>
    <xf numFmtId="0" fontId="28" fillId="0" borderId="0" xfId="0" applyFont="1" applyAlignment="1">
      <alignment horizontal="left"/>
    </xf>
    <xf numFmtId="0" fontId="27" fillId="0" borderId="0" xfId="0" applyFont="1" applyAlignment="1">
      <alignment horizontal="center"/>
    </xf>
    <xf numFmtId="49" fontId="27" fillId="0" borderId="0" xfId="0" applyNumberFormat="1" applyFont="1" applyAlignment="1">
      <alignment horizontal="right"/>
    </xf>
    <xf numFmtId="0" fontId="27" fillId="0" borderId="0" xfId="0" applyFont="1" applyAlignment="1">
      <alignment horizontal="right"/>
    </xf>
    <xf numFmtId="0" fontId="28" fillId="0" borderId="1" xfId="0" applyFont="1" applyBorder="1" applyAlignment="1">
      <alignment horizontal="center" vertical="center"/>
    </xf>
    <xf numFmtId="2" fontId="28" fillId="0" borderId="1" xfId="0" applyNumberFormat="1" applyFont="1" applyBorder="1" applyAlignment="1">
      <alignment horizontal="center" vertical="center"/>
    </xf>
    <xf numFmtId="49" fontId="28" fillId="0" borderId="1" xfId="0" applyNumberFormat="1" applyFont="1" applyBorder="1" applyAlignment="1">
      <alignment horizontal="center" vertical="center"/>
    </xf>
    <xf numFmtId="0" fontId="44" fillId="0" borderId="0" xfId="0" applyFont="1" applyAlignment="1">
      <alignment vertical="center"/>
    </xf>
    <xf numFmtId="0" fontId="27" fillId="0" borderId="1" xfId="0" applyFont="1" applyBorder="1" applyAlignment="1">
      <alignment horizontal="center"/>
    </xf>
    <xf numFmtId="0" fontId="27" fillId="0" borderId="1" xfId="0" applyFont="1" applyBorder="1" applyAlignment="1">
      <alignment horizontal="right"/>
    </xf>
    <xf numFmtId="2" fontId="27" fillId="0" borderId="1" xfId="0" applyNumberFormat="1" applyFont="1" applyBorder="1" applyAlignment="1">
      <alignment horizontal="right"/>
    </xf>
    <xf numFmtId="166" fontId="27" fillId="0" borderId="1" xfId="0" applyNumberFormat="1" applyFont="1" applyBorder="1" applyAlignment="1">
      <alignment horizontal="right"/>
    </xf>
    <xf numFmtId="168" fontId="27" fillId="0" borderId="1" xfId="0" applyNumberFormat="1" applyFont="1" applyBorder="1" applyAlignment="1">
      <alignment horizontal="right"/>
    </xf>
    <xf numFmtId="10" fontId="27" fillId="0" borderId="1" xfId="0" applyNumberFormat="1" applyFont="1" applyBorder="1"/>
    <xf numFmtId="10" fontId="27" fillId="0" borderId="1" xfId="0" applyNumberFormat="1" applyFont="1" applyBorder="1" applyAlignment="1">
      <alignment horizontal="right"/>
    </xf>
    <xf numFmtId="0" fontId="47" fillId="0" borderId="0" xfId="0" applyFont="1"/>
    <xf numFmtId="166" fontId="27" fillId="0" borderId="1" xfId="1" applyNumberFormat="1" applyFont="1" applyBorder="1" applyAlignment="1">
      <alignment horizontal="right"/>
    </xf>
    <xf numFmtId="168" fontId="27" fillId="0" borderId="1" xfId="1" applyNumberFormat="1" applyFont="1" applyBorder="1" applyAlignment="1">
      <alignment horizontal="right"/>
    </xf>
    <xf numFmtId="49" fontId="27" fillId="0" borderId="0" xfId="0" applyNumberFormat="1" applyFont="1" applyAlignment="1">
      <alignment horizontal="center"/>
    </xf>
    <xf numFmtId="10" fontId="27" fillId="0" borderId="0" xfId="0" applyNumberFormat="1" applyFont="1" applyAlignment="1">
      <alignment horizontal="right"/>
    </xf>
    <xf numFmtId="0" fontId="27" fillId="0" borderId="0" xfId="0" applyFont="1" applyAlignment="1">
      <alignment horizontal="left"/>
    </xf>
    <xf numFmtId="3" fontId="27" fillId="0" borderId="0" xfId="0" applyNumberFormat="1" applyFont="1" applyAlignment="1">
      <alignment horizontal="center"/>
    </xf>
    <xf numFmtId="9" fontId="27" fillId="0" borderId="0" xfId="1" applyFont="1" applyFill="1" applyAlignment="1">
      <alignment horizontal="right"/>
    </xf>
    <xf numFmtId="0" fontId="36" fillId="0" borderId="0" xfId="0" applyFont="1" applyAlignment="1">
      <alignment horizontal="right"/>
    </xf>
    <xf numFmtId="0" fontId="48" fillId="0" borderId="0" xfId="0" applyFont="1"/>
    <xf numFmtId="0" fontId="28" fillId="0" borderId="1" xfId="0" applyFont="1" applyBorder="1" applyAlignment="1">
      <alignment horizontal="center" vertical="center" wrapText="1"/>
    </xf>
    <xf numFmtId="10" fontId="28" fillId="0" borderId="1" xfId="1" applyNumberFormat="1" applyFont="1" applyFill="1" applyBorder="1" applyAlignment="1" applyProtection="1">
      <alignment horizontal="center" vertical="center"/>
    </xf>
    <xf numFmtId="10" fontId="28" fillId="0" borderId="1" xfId="1" applyNumberFormat="1" applyFont="1" applyFill="1" applyBorder="1" applyAlignment="1" applyProtection="1">
      <alignment horizontal="center" vertical="center" wrapText="1"/>
    </xf>
    <xf numFmtId="0" fontId="27" fillId="0" borderId="1" xfId="0" applyFont="1" applyBorder="1" applyAlignment="1">
      <alignment horizontal="center" vertical="center"/>
    </xf>
    <xf numFmtId="2" fontId="27" fillId="0" borderId="1" xfId="0" applyNumberFormat="1" applyFont="1" applyBorder="1" applyAlignment="1">
      <alignment horizontal="center" vertical="center"/>
    </xf>
    <xf numFmtId="0" fontId="27" fillId="0" borderId="1" xfId="0" applyFont="1" applyBorder="1" applyAlignment="1">
      <alignment horizontal="center" vertical="center" wrapText="1"/>
    </xf>
    <xf numFmtId="0" fontId="38" fillId="0" borderId="0" xfId="0" applyFont="1"/>
    <xf numFmtId="0" fontId="44" fillId="0" borderId="0" xfId="0" applyFont="1" applyAlignment="1">
      <alignment horizontal="center"/>
    </xf>
    <xf numFmtId="10" fontId="27" fillId="0" borderId="1" xfId="0" applyNumberFormat="1" applyFont="1" applyBorder="1" applyAlignment="1">
      <alignment horizontal="center" vertical="center"/>
    </xf>
    <xf numFmtId="0" fontId="27" fillId="0" borderId="75" xfId="0" applyFont="1" applyBorder="1" applyAlignment="1">
      <alignment horizontal="center" vertical="center"/>
    </xf>
    <xf numFmtId="0" fontId="27" fillId="0" borderId="1" xfId="0" quotePrefix="1" applyFont="1" applyBorder="1" applyAlignment="1">
      <alignment horizontal="center" vertical="center"/>
    </xf>
    <xf numFmtId="0" fontId="26" fillId="0" borderId="0" xfId="0" quotePrefix="1" applyFont="1" applyAlignment="1">
      <alignment horizontal="center" vertical="center"/>
    </xf>
    <xf numFmtId="0" fontId="26" fillId="0" borderId="0" xfId="0" applyFont="1" applyAlignment="1">
      <alignment horizontal="center"/>
    </xf>
    <xf numFmtId="49" fontId="43" fillId="0" borderId="1" xfId="0" applyNumberFormat="1" applyFont="1" applyBorder="1" applyAlignment="1">
      <alignment horizontal="center" vertical="center"/>
    </xf>
    <xf numFmtId="10" fontId="43" fillId="0" borderId="1" xfId="1" applyNumberFormat="1" applyFont="1" applyFill="1" applyBorder="1" applyAlignment="1" applyProtection="1">
      <alignment horizontal="center" vertical="center"/>
    </xf>
    <xf numFmtId="10" fontId="43" fillId="0" borderId="1" xfId="1" applyNumberFormat="1" applyFont="1" applyFill="1" applyBorder="1" applyAlignment="1" applyProtection="1">
      <alignment horizontal="center" vertical="center" wrapText="1"/>
    </xf>
    <xf numFmtId="0" fontId="41" fillId="0" borderId="0" xfId="0" applyFont="1" applyAlignment="1">
      <alignment horizontal="left" vertical="center"/>
    </xf>
    <xf numFmtId="0" fontId="43" fillId="0" borderId="0" xfId="0" applyFont="1" applyAlignment="1">
      <alignment horizontal="left"/>
    </xf>
    <xf numFmtId="10" fontId="42" fillId="0" borderId="1" xfId="0" applyNumberFormat="1" applyFont="1" applyBorder="1" applyAlignment="1">
      <alignment horizontal="center" vertical="center"/>
    </xf>
    <xf numFmtId="0" fontId="42" fillId="0" borderId="0" xfId="0" applyFont="1" applyAlignment="1">
      <alignment horizontal="left" vertical="center"/>
    </xf>
    <xf numFmtId="0" fontId="44" fillId="0" borderId="0" xfId="0" applyFont="1" applyAlignment="1">
      <alignment horizontal="left" vertical="center"/>
    </xf>
    <xf numFmtId="0" fontId="40" fillId="0" borderId="0" xfId="0" applyFont="1" applyAlignment="1">
      <alignment horizontal="left" vertical="center"/>
    </xf>
    <xf numFmtId="0" fontId="49" fillId="0" borderId="0" xfId="0" applyFont="1" applyAlignment="1">
      <alignment horizontal="right" vertical="center"/>
    </xf>
    <xf numFmtId="0" fontId="49" fillId="0" borderId="0" xfId="0" applyFont="1"/>
    <xf numFmtId="0" fontId="43" fillId="0" borderId="30" xfId="0" applyFont="1" applyBorder="1" applyAlignment="1">
      <alignment horizontal="center" vertical="center" wrapText="1"/>
    </xf>
    <xf numFmtId="0" fontId="43" fillId="0" borderId="0" xfId="0" applyFont="1" applyAlignment="1">
      <alignment wrapText="1"/>
    </xf>
    <xf numFmtId="0" fontId="43" fillId="0" borderId="29" xfId="0" applyFont="1" applyBorder="1" applyAlignment="1">
      <alignment horizontal="center"/>
    </xf>
    <xf numFmtId="0" fontId="43" fillId="0" borderId="0" xfId="0" applyFont="1" applyAlignment="1">
      <alignment horizontal="center"/>
    </xf>
    <xf numFmtId="0" fontId="43" fillId="0" borderId="32" xfId="0" applyFont="1" applyBorder="1" applyAlignment="1">
      <alignment horizontal="center" wrapText="1"/>
    </xf>
    <xf numFmtId="0" fontId="43" fillId="0" borderId="0" xfId="0" applyFont="1" applyAlignment="1">
      <alignment horizontal="center" wrapText="1"/>
    </xf>
    <xf numFmtId="0" fontId="42" fillId="0" borderId="29" xfId="0" applyFont="1" applyBorder="1"/>
    <xf numFmtId="0" fontId="43" fillId="0" borderId="29" xfId="0" applyFont="1" applyBorder="1"/>
    <xf numFmtId="0" fontId="43" fillId="0" borderId="72" xfId="0" applyFont="1" applyBorder="1"/>
    <xf numFmtId="0" fontId="43" fillId="0" borderId="29" xfId="0" applyFont="1" applyBorder="1" applyAlignment="1">
      <alignment horizontal="left"/>
    </xf>
    <xf numFmtId="11" fontId="42" fillId="7" borderId="29" xfId="0" applyNumberFormat="1" applyFont="1" applyFill="1" applyBorder="1" applyAlignment="1">
      <alignment horizontal="center"/>
    </xf>
    <xf numFmtId="11" fontId="42" fillId="5" borderId="29" xfId="0" quotePrefix="1" applyNumberFormat="1" applyFont="1" applyFill="1" applyBorder="1" applyAlignment="1">
      <alignment horizontal="center"/>
    </xf>
    <xf numFmtId="11" fontId="42" fillId="2" borderId="29" xfId="0" quotePrefix="1" applyNumberFormat="1" applyFont="1" applyFill="1" applyBorder="1" applyAlignment="1">
      <alignment horizontal="center"/>
    </xf>
    <xf numFmtId="0" fontId="42" fillId="5" borderId="29" xfId="0" applyFont="1" applyFill="1" applyBorder="1" applyAlignment="1">
      <alignment horizontal="center"/>
    </xf>
    <xf numFmtId="11" fontId="42" fillId="5" borderId="29" xfId="0" applyNumberFormat="1" applyFont="1" applyFill="1" applyBorder="1" applyAlignment="1">
      <alignment horizontal="center"/>
    </xf>
    <xf numFmtId="11" fontId="42" fillId="2" borderId="29" xfId="0" applyNumberFormat="1" applyFont="1" applyFill="1" applyBorder="1" applyAlignment="1">
      <alignment horizontal="center"/>
    </xf>
    <xf numFmtId="11" fontId="42" fillId="0" borderId="0" xfId="0" applyNumberFormat="1" applyFont="1" applyAlignment="1">
      <alignment horizontal="center"/>
    </xf>
    <xf numFmtId="11" fontId="43" fillId="0" borderId="30" xfId="0" applyNumberFormat="1" applyFont="1" applyBorder="1"/>
    <xf numFmtId="11" fontId="43" fillId="0" borderId="0" xfId="0" applyNumberFormat="1" applyFont="1" applyAlignment="1">
      <alignment horizontal="center"/>
    </xf>
    <xf numFmtId="11" fontId="42" fillId="0" borderId="6" xfId="0" quotePrefix="1" applyNumberFormat="1" applyFont="1" applyBorder="1" applyAlignment="1">
      <alignment horizontal="center"/>
    </xf>
    <xf numFmtId="11" fontId="43" fillId="0" borderId="62" xfId="0" applyNumberFormat="1" applyFont="1" applyBorder="1" applyAlignment="1">
      <alignment horizontal="center"/>
    </xf>
    <xf numFmtId="11" fontId="43" fillId="0" borderId="29" xfId="0" applyNumberFormat="1" applyFont="1" applyBorder="1" applyAlignment="1">
      <alignment horizontal="left"/>
    </xf>
    <xf numFmtId="11" fontId="42" fillId="0" borderId="29" xfId="0" quotePrefix="1" applyNumberFormat="1" applyFont="1" applyBorder="1" applyAlignment="1">
      <alignment horizontal="center"/>
    </xf>
    <xf numFmtId="11" fontId="42" fillId="7" borderId="29" xfId="0" quotePrefix="1" applyNumberFormat="1" applyFont="1" applyFill="1" applyBorder="1" applyAlignment="1">
      <alignment horizontal="center"/>
    </xf>
    <xf numFmtId="11" fontId="42" fillId="0" borderId="0" xfId="0" quotePrefix="1" applyNumberFormat="1" applyFont="1" applyAlignment="1">
      <alignment horizontal="center"/>
    </xf>
    <xf numFmtId="0" fontId="41" fillId="2" borderId="0" xfId="0" applyFont="1" applyFill="1"/>
    <xf numFmtId="0" fontId="41" fillId="5" borderId="0" xfId="0" applyFont="1" applyFill="1" applyAlignment="1">
      <alignment horizontal="left"/>
    </xf>
    <xf numFmtId="0" fontId="41" fillId="0" borderId="0" xfId="0" applyFont="1" applyAlignment="1">
      <alignment wrapText="1"/>
    </xf>
    <xf numFmtId="0" fontId="42" fillId="0" borderId="29" xfId="0" applyFont="1" applyBorder="1" applyAlignment="1">
      <alignment vertical="center"/>
    </xf>
    <xf numFmtId="0" fontId="43" fillId="0" borderId="29" xfId="0" applyFont="1" applyBorder="1" applyAlignment="1">
      <alignment horizontal="center" vertical="center"/>
    </xf>
    <xf numFmtId="0" fontId="43" fillId="0" borderId="29" xfId="0" applyFont="1" applyBorder="1" applyAlignment="1">
      <alignment horizontal="center" vertical="center" wrapText="1"/>
    </xf>
    <xf numFmtId="10" fontId="42" fillId="0" borderId="29" xfId="0" applyNumberFormat="1" applyFont="1" applyBorder="1" applyAlignment="1">
      <alignment horizontal="center"/>
    </xf>
    <xf numFmtId="11" fontId="42" fillId="0" borderId="0" xfId="0" applyNumberFormat="1" applyFont="1"/>
    <xf numFmtId="0" fontId="42" fillId="0" borderId="0" xfId="0" quotePrefix="1" applyFont="1"/>
    <xf numFmtId="0" fontId="40" fillId="0" borderId="0" xfId="0" applyFont="1"/>
    <xf numFmtId="0" fontId="40" fillId="0" borderId="0" xfId="0" applyFont="1" applyAlignment="1">
      <alignment wrapText="1"/>
    </xf>
    <xf numFmtId="0" fontId="42" fillId="0" borderId="29" xfId="0" applyFont="1" applyBorder="1" applyAlignment="1">
      <alignment horizontal="center"/>
    </xf>
    <xf numFmtId="0" fontId="42" fillId="0" borderId="21" xfId="0" applyFont="1" applyBorder="1"/>
    <xf numFmtId="0" fontId="42" fillId="0" borderId="73" xfId="0" applyFont="1" applyBorder="1" applyAlignment="1">
      <alignment vertical="center"/>
    </xf>
    <xf numFmtId="0" fontId="42" fillId="0" borderId="30" xfId="0" applyFont="1" applyBorder="1" applyAlignment="1">
      <alignment horizontal="center" vertical="center"/>
    </xf>
    <xf numFmtId="0" fontId="42" fillId="0" borderId="29" xfId="0" applyFont="1" applyBorder="1" applyAlignment="1">
      <alignment horizontal="center" vertical="center"/>
    </xf>
    <xf numFmtId="0" fontId="42" fillId="0" borderId="30" xfId="0" quotePrefix="1" applyFont="1" applyBorder="1" applyAlignment="1">
      <alignment horizontal="center" vertical="center"/>
    </xf>
    <xf numFmtId="0" fontId="29" fillId="0" borderId="0" xfId="0" applyFont="1" applyAlignment="1">
      <alignment horizontal="left" vertical="top"/>
    </xf>
    <xf numFmtId="0" fontId="28" fillId="0" borderId="0" xfId="0" applyFont="1"/>
    <xf numFmtId="0" fontId="28" fillId="0" borderId="26" xfId="0" applyFont="1" applyBorder="1" applyAlignment="1">
      <alignment horizontal="center" vertical="center" wrapText="1"/>
    </xf>
    <xf numFmtId="0" fontId="27" fillId="0" borderId="1" xfId="0" applyFont="1" applyBorder="1" applyAlignment="1">
      <alignment vertical="center"/>
    </xf>
    <xf numFmtId="3" fontId="27" fillId="0" borderId="1" xfId="0" applyNumberFormat="1" applyFont="1" applyBorder="1"/>
    <xf numFmtId="0" fontId="27" fillId="0" borderId="1" xfId="0" applyFont="1" applyBorder="1"/>
    <xf numFmtId="0" fontId="27" fillId="0" borderId="71" xfId="0" applyFont="1" applyBorder="1" applyAlignment="1">
      <alignment horizontal="center"/>
    </xf>
    <xf numFmtId="0" fontId="27" fillId="0" borderId="31" xfId="0" applyFont="1" applyBorder="1" applyAlignment="1">
      <alignment horizontal="center"/>
    </xf>
    <xf numFmtId="164" fontId="27" fillId="0" borderId="70" xfId="0" applyNumberFormat="1" applyFont="1" applyBorder="1" applyAlignment="1">
      <alignment horizontal="center"/>
    </xf>
    <xf numFmtId="164" fontId="27" fillId="0" borderId="31" xfId="0" applyNumberFormat="1" applyFont="1" applyBorder="1" applyAlignment="1">
      <alignment horizontal="center"/>
    </xf>
    <xf numFmtId="164" fontId="27" fillId="0" borderId="1" xfId="0" applyNumberFormat="1" applyFont="1" applyBorder="1" applyAlignment="1">
      <alignment horizontal="center"/>
    </xf>
    <xf numFmtId="166" fontId="27" fillId="0" borderId="1" xfId="0" applyNumberFormat="1" applyFont="1" applyBorder="1" applyAlignment="1">
      <alignment horizontal="center"/>
    </xf>
    <xf numFmtId="11" fontId="27" fillId="0" borderId="1" xfId="0" applyNumberFormat="1" applyFont="1" applyBorder="1" applyAlignment="1">
      <alignment horizontal="center"/>
    </xf>
    <xf numFmtId="0" fontId="28" fillId="0" borderId="29" xfId="0" applyFont="1" applyBorder="1" applyAlignment="1">
      <alignment horizontal="center" vertical="center"/>
    </xf>
    <xf numFmtId="0" fontId="28" fillId="0" borderId="29" xfId="0" applyFont="1" applyBorder="1" applyAlignment="1">
      <alignment horizontal="center" vertical="center" wrapText="1"/>
    </xf>
    <xf numFmtId="0" fontId="27" fillId="0" borderId="29" xfId="0" applyFont="1" applyBorder="1" applyAlignment="1">
      <alignment horizontal="center" vertical="center"/>
    </xf>
    <xf numFmtId="0" fontId="27" fillId="0" borderId="29" xfId="0" applyFont="1" applyBorder="1" applyAlignment="1">
      <alignment horizontal="center"/>
    </xf>
    <xf numFmtId="10" fontId="27" fillId="0" borderId="29" xfId="0" applyNumberFormat="1" applyFont="1" applyBorder="1" applyAlignment="1">
      <alignment horizontal="center"/>
    </xf>
    <xf numFmtId="9" fontId="27" fillId="0" borderId="29" xfId="0" applyNumberFormat="1" applyFont="1" applyBorder="1" applyAlignment="1">
      <alignment horizontal="center"/>
    </xf>
    <xf numFmtId="164" fontId="27" fillId="0" borderId="29" xfId="0" applyNumberFormat="1" applyFont="1" applyBorder="1" applyAlignment="1">
      <alignment horizontal="center"/>
    </xf>
    <xf numFmtId="2" fontId="27" fillId="0" borderId="29" xfId="0" applyNumberFormat="1" applyFont="1" applyBorder="1" applyAlignment="1">
      <alignment horizontal="center"/>
    </xf>
    <xf numFmtId="0" fontId="39" fillId="0" borderId="0" xfId="0" applyFont="1"/>
    <xf numFmtId="0" fontId="27" fillId="0" borderId="1" xfId="0" applyFont="1" applyBorder="1" applyAlignment="1">
      <alignment horizontal="left"/>
    </xf>
    <xf numFmtId="0" fontId="27" fillId="0" borderId="31" xfId="0" applyFont="1" applyBorder="1"/>
    <xf numFmtId="0" fontId="27" fillId="0" borderId="26" xfId="0" applyFont="1" applyBorder="1"/>
    <xf numFmtId="0" fontId="27" fillId="0" borderId="29" xfId="0" applyFont="1" applyBorder="1"/>
    <xf numFmtId="0" fontId="27" fillId="0" borderId="75" xfId="0" applyFont="1" applyBorder="1"/>
    <xf numFmtId="0" fontId="28" fillId="0" borderId="32" xfId="0" applyFont="1" applyBorder="1" applyAlignment="1">
      <alignment horizontal="center" vertical="center"/>
    </xf>
    <xf numFmtId="0" fontId="28" fillId="0" borderId="70" xfId="0" applyFont="1" applyBorder="1" applyAlignment="1">
      <alignment horizontal="center" vertical="center"/>
    </xf>
    <xf numFmtId="0" fontId="28" fillId="0" borderId="0" xfId="0" applyFont="1" applyAlignment="1">
      <alignment horizontal="centerContinuous" vertical="center"/>
    </xf>
    <xf numFmtId="0" fontId="28" fillId="0" borderId="0" xfId="0" applyFont="1" applyAlignment="1">
      <alignment horizontal="center" vertical="center" wrapText="1"/>
    </xf>
    <xf numFmtId="0" fontId="28" fillId="0" borderId="0" xfId="0" applyFont="1" applyAlignment="1">
      <alignment horizontal="centerContinuous" vertical="center" wrapText="1"/>
    </xf>
    <xf numFmtId="0" fontId="27" fillId="0" borderId="0" xfId="0" applyFont="1" applyProtection="1">
      <protection locked="0"/>
    </xf>
    <xf numFmtId="49" fontId="27" fillId="0" borderId="0" xfId="0" applyNumberFormat="1" applyFont="1" applyAlignment="1" applyProtection="1">
      <alignment horizontal="center"/>
      <protection locked="0"/>
    </xf>
    <xf numFmtId="11" fontId="27" fillId="0" borderId="0" xfId="0" applyNumberFormat="1" applyFont="1" applyAlignment="1" applyProtection="1">
      <alignment horizontal="centerContinuous"/>
      <protection locked="0"/>
    </xf>
    <xf numFmtId="49" fontId="27" fillId="0" borderId="0" xfId="14" applyNumberFormat="1" applyFont="1" applyAlignment="1">
      <alignment horizontal="center" wrapText="1"/>
    </xf>
    <xf numFmtId="11" fontId="27" fillId="0" borderId="1" xfId="0" quotePrefix="1" applyNumberFormat="1" applyFont="1" applyBorder="1" applyAlignment="1">
      <alignment horizontal="center"/>
    </xf>
    <xf numFmtId="11" fontId="27" fillId="0" borderId="0" xfId="0" applyNumberFormat="1" applyFont="1" applyAlignment="1">
      <alignment horizontal="centerContinuous"/>
    </xf>
    <xf numFmtId="0" fontId="27" fillId="0" borderId="0" xfId="0" applyFont="1" applyAlignment="1" applyProtection="1">
      <alignment wrapText="1"/>
      <protection locked="0"/>
    </xf>
    <xf numFmtId="0" fontId="29" fillId="0" borderId="0" xfId="0" applyFont="1" applyAlignment="1">
      <alignment horizontal="left" vertical="center"/>
    </xf>
    <xf numFmtId="0" fontId="28" fillId="0" borderId="73" xfId="0" applyFont="1" applyBorder="1" applyAlignment="1">
      <alignment horizontal="center" vertical="center" wrapText="1"/>
    </xf>
    <xf numFmtId="0" fontId="28" fillId="0" borderId="0" xfId="0" applyFont="1" applyAlignment="1">
      <alignment horizontal="center"/>
    </xf>
    <xf numFmtId="0" fontId="27" fillId="0" borderId="29" xfId="0" applyFont="1" applyBorder="1" applyAlignment="1">
      <alignment vertical="center"/>
    </xf>
    <xf numFmtId="2" fontId="27" fillId="0" borderId="73" xfId="0" applyNumberFormat="1" applyFont="1" applyBorder="1" applyAlignment="1">
      <alignment horizontal="center"/>
    </xf>
    <xf numFmtId="2" fontId="27" fillId="0" borderId="1" xfId="0" applyNumberFormat="1" applyFont="1" applyBorder="1" applyAlignment="1">
      <alignment horizontal="center"/>
    </xf>
    <xf numFmtId="165" fontId="27" fillId="0" borderId="0" xfId="0" applyNumberFormat="1" applyFont="1" applyAlignment="1">
      <alignment horizontal="center"/>
    </xf>
    <xf numFmtId="0" fontId="28" fillId="0" borderId="1" xfId="0" applyFont="1" applyBorder="1" applyAlignment="1">
      <alignment horizontal="center"/>
    </xf>
    <xf numFmtId="0" fontId="27" fillId="0" borderId="1" xfId="0" applyFont="1" applyBorder="1" applyAlignment="1">
      <alignment horizontal="left" vertical="center"/>
    </xf>
    <xf numFmtId="0" fontId="28" fillId="0" borderId="1" xfId="0" applyFont="1" applyBorder="1" applyAlignment="1">
      <alignment horizontal="center" wrapText="1"/>
    </xf>
    <xf numFmtId="3" fontId="27" fillId="0" borderId="1" xfId="0" applyNumberFormat="1" applyFont="1" applyBorder="1" applyAlignment="1">
      <alignment horizontal="center" vertical="center"/>
    </xf>
    <xf numFmtId="11" fontId="27" fillId="0" borderId="1" xfId="0" applyNumberFormat="1" applyFont="1" applyBorder="1" applyAlignment="1">
      <alignment horizontal="center" vertical="center"/>
    </xf>
    <xf numFmtId="169" fontId="27" fillId="0" borderId="1" xfId="0" applyNumberFormat="1" applyFont="1" applyBorder="1" applyAlignment="1">
      <alignment horizontal="center" vertical="center"/>
    </xf>
    <xf numFmtId="0" fontId="27" fillId="0" borderId="1" xfId="0" quotePrefix="1" applyFont="1" applyBorder="1" applyAlignment="1">
      <alignment horizontal="center"/>
    </xf>
    <xf numFmtId="2" fontId="27" fillId="0" borderId="77" xfId="0" applyNumberFormat="1" applyFont="1" applyBorder="1" applyAlignment="1">
      <alignment horizontal="center"/>
    </xf>
    <xf numFmtId="2" fontId="27" fillId="0" borderId="26" xfId="0" quotePrefix="1" applyNumberFormat="1" applyFont="1" applyBorder="1" applyAlignment="1">
      <alignment horizontal="center"/>
    </xf>
    <xf numFmtId="2" fontId="27" fillId="0" borderId="0" xfId="0" applyNumberFormat="1" applyFont="1" applyAlignment="1">
      <alignment horizontal="center"/>
    </xf>
    <xf numFmtId="0" fontId="50" fillId="0" borderId="0" xfId="0" applyFont="1" applyAlignment="1">
      <alignment horizontal="center"/>
    </xf>
    <xf numFmtId="165" fontId="29" fillId="0" borderId="0" xfId="0" applyNumberFormat="1" applyFont="1" applyAlignment="1">
      <alignment horizontal="center"/>
    </xf>
    <xf numFmtId="2" fontId="29" fillId="0" borderId="0" xfId="0" applyNumberFormat="1" applyFont="1" applyAlignment="1">
      <alignment horizontal="center"/>
    </xf>
    <xf numFmtId="11" fontId="50" fillId="0" borderId="0" xfId="0" applyNumberFormat="1" applyFont="1" applyAlignment="1">
      <alignment horizontal="center"/>
    </xf>
    <xf numFmtId="11" fontId="29" fillId="0" borderId="66" xfId="0" applyNumberFormat="1" applyFont="1" applyBorder="1" applyAlignment="1">
      <alignment horizontal="center"/>
    </xf>
    <xf numFmtId="0" fontId="28" fillId="0" borderId="26" xfId="0" applyFont="1" applyBorder="1" applyAlignment="1">
      <alignment horizontal="center" vertical="center"/>
    </xf>
    <xf numFmtId="166" fontId="27" fillId="0" borderId="26" xfId="0" applyNumberFormat="1" applyFont="1" applyBorder="1" applyAlignment="1">
      <alignment horizontal="center"/>
    </xf>
    <xf numFmtId="10" fontId="29" fillId="0" borderId="0" xfId="0" applyNumberFormat="1" applyFont="1" applyAlignment="1">
      <alignment horizontal="center"/>
    </xf>
    <xf numFmtId="0" fontId="36" fillId="0" borderId="0" xfId="0" applyFont="1" applyAlignment="1">
      <alignment vertical="top"/>
    </xf>
    <xf numFmtId="0" fontId="36" fillId="0" borderId="0" xfId="0" applyFont="1" applyAlignment="1">
      <alignment horizontal="right" vertical="top"/>
    </xf>
    <xf numFmtId="0" fontId="27" fillId="0" borderId="1" xfId="0" applyFont="1" applyBorder="1" applyAlignment="1">
      <alignment horizontal="left" vertical="center" wrapText="1"/>
    </xf>
    <xf numFmtId="0" fontId="27" fillId="0" borderId="0" xfId="10" quotePrefix="1" applyFont="1"/>
    <xf numFmtId="0" fontId="27" fillId="0" borderId="0" xfId="10" quotePrefix="1" applyFont="1" applyAlignment="1">
      <alignment vertical="center" wrapText="1"/>
    </xf>
    <xf numFmtId="0" fontId="27" fillId="0" borderId="0" xfId="10" applyFont="1"/>
    <xf numFmtId="3" fontId="27" fillId="0" borderId="0" xfId="10" applyNumberFormat="1" applyFont="1" applyAlignment="1">
      <alignment horizontal="center"/>
    </xf>
    <xf numFmtId="0" fontId="27" fillId="0" borderId="0" xfId="10" applyFont="1" applyAlignment="1">
      <alignment horizontal="right"/>
    </xf>
    <xf numFmtId="167" fontId="27" fillId="0" borderId="26" xfId="10" applyNumberFormat="1" applyFont="1" applyBorder="1" applyAlignment="1">
      <alignment horizontal="center" vertical="center"/>
    </xf>
    <xf numFmtId="10" fontId="27" fillId="0" borderId="1" xfId="0" applyNumberFormat="1" applyFont="1" applyBorder="1" applyAlignment="1">
      <alignment horizontal="center" vertical="center" wrapText="1"/>
    </xf>
    <xf numFmtId="3" fontId="27" fillId="0" borderId="66" xfId="0" applyNumberFormat="1" applyFont="1" applyBorder="1" applyAlignment="1">
      <alignment horizontal="center"/>
    </xf>
    <xf numFmtId="0" fontId="27" fillId="0" borderId="70" xfId="0" applyFont="1" applyBorder="1" applyAlignment="1">
      <alignment horizontal="center"/>
    </xf>
    <xf numFmtId="0" fontId="27" fillId="0" borderId="21" xfId="0" applyFont="1" applyBorder="1" applyAlignment="1">
      <alignment horizontal="center"/>
    </xf>
    <xf numFmtId="0" fontId="27" fillId="0" borderId="58" xfId="0" applyFont="1" applyBorder="1" applyAlignment="1">
      <alignment horizontal="center"/>
    </xf>
    <xf numFmtId="0" fontId="27" fillId="0" borderId="68" xfId="0" applyFont="1" applyBorder="1" applyAlignment="1">
      <alignment horizontal="center"/>
    </xf>
    <xf numFmtId="2" fontId="27" fillId="0" borderId="69" xfId="0" applyNumberFormat="1" applyFont="1" applyBorder="1" applyAlignment="1">
      <alignment horizontal="center"/>
    </xf>
    <xf numFmtId="0" fontId="27" fillId="0" borderId="28" xfId="0" applyFont="1" applyBorder="1" applyAlignment="1">
      <alignment horizontal="center"/>
    </xf>
    <xf numFmtId="0" fontId="52" fillId="0" borderId="0" xfId="8" applyFont="1"/>
    <xf numFmtId="0" fontId="36" fillId="0" borderId="0" xfId="0" applyFont="1" applyAlignment="1">
      <alignment horizontal="right" vertical="center"/>
    </xf>
    <xf numFmtId="0" fontId="29" fillId="0" borderId="0" xfId="0" applyFont="1" applyAlignment="1">
      <alignment horizontal="right" vertical="center"/>
    </xf>
    <xf numFmtId="11" fontId="27" fillId="0" borderId="75" xfId="12" applyNumberFormat="1" applyFont="1" applyBorder="1" applyAlignment="1">
      <alignment horizontal="center" wrapText="1"/>
    </xf>
    <xf numFmtId="0" fontId="27" fillId="0" borderId="75" xfId="0" applyFont="1" applyBorder="1" applyAlignment="1">
      <alignment horizontal="center" vertical="center" wrapText="1"/>
    </xf>
    <xf numFmtId="22" fontId="27" fillId="0" borderId="75" xfId="0" applyNumberFormat="1" applyFont="1" applyBorder="1" applyAlignment="1">
      <alignment horizontal="center" vertical="center" wrapText="1"/>
    </xf>
    <xf numFmtId="2" fontId="27" fillId="0" borderId="75" xfId="0" applyNumberFormat="1" applyFont="1" applyBorder="1" applyAlignment="1">
      <alignment horizontal="center" vertical="center" wrapText="1"/>
    </xf>
    <xf numFmtId="22" fontId="27" fillId="0" borderId="75" xfId="0" applyNumberFormat="1" applyFont="1" applyBorder="1" applyAlignment="1">
      <alignment horizontal="center" vertical="center"/>
    </xf>
    <xf numFmtId="2" fontId="27" fillId="0" borderId="75" xfId="0" applyNumberFormat="1" applyFont="1" applyBorder="1" applyAlignment="1">
      <alignment horizontal="center" vertical="center"/>
    </xf>
    <xf numFmtId="0" fontId="27" fillId="0" borderId="1" xfId="0" applyFont="1" applyBorder="1" applyAlignment="1">
      <alignment wrapText="1"/>
    </xf>
    <xf numFmtId="0" fontId="27" fillId="0" borderId="0" xfId="0" applyFont="1" applyAlignment="1">
      <alignment horizontal="center" vertical="center"/>
    </xf>
    <xf numFmtId="22" fontId="27" fillId="0" borderId="0" xfId="0" applyNumberFormat="1" applyFont="1" applyAlignment="1">
      <alignment horizontal="center" vertical="center"/>
    </xf>
    <xf numFmtId="0" fontId="27" fillId="0" borderId="75" xfId="0" applyFont="1" applyBorder="1" applyAlignment="1">
      <alignment horizontal="center"/>
    </xf>
    <xf numFmtId="0" fontId="28" fillId="0" borderId="20" xfId="0" applyFont="1" applyBorder="1" applyAlignment="1">
      <alignment horizontal="center"/>
    </xf>
    <xf numFmtId="0" fontId="27" fillId="0" borderId="20" xfId="0" applyFont="1" applyBorder="1" applyAlignment="1">
      <alignment horizontal="center"/>
    </xf>
    <xf numFmtId="14" fontId="27" fillId="0" borderId="20" xfId="0" applyNumberFormat="1" applyFont="1" applyBorder="1" applyAlignment="1">
      <alignment horizontal="center"/>
    </xf>
    <xf numFmtId="1" fontId="27" fillId="0" borderId="20" xfId="0" applyNumberFormat="1" applyFont="1" applyBorder="1" applyAlignment="1">
      <alignment horizontal="center"/>
    </xf>
    <xf numFmtId="14" fontId="27" fillId="0" borderId="75" xfId="0" applyNumberFormat="1" applyFont="1" applyBorder="1" applyAlignment="1">
      <alignment horizontal="center"/>
    </xf>
    <xf numFmtId="1" fontId="27" fillId="0" borderId="75" xfId="0" applyNumberFormat="1" applyFont="1" applyBorder="1" applyAlignment="1">
      <alignment horizontal="center"/>
    </xf>
    <xf numFmtId="0" fontId="53" fillId="0" borderId="0" xfId="0" applyFont="1" applyAlignment="1">
      <alignment horizontal="left"/>
    </xf>
    <xf numFmtId="0" fontId="54" fillId="0" borderId="0" xfId="0" applyFont="1" applyAlignment="1">
      <alignment horizontal="left"/>
    </xf>
    <xf numFmtId="0" fontId="55" fillId="0" borderId="0" xfId="0" applyFont="1" applyAlignment="1">
      <alignment horizontal="center"/>
    </xf>
    <xf numFmtId="0" fontId="56" fillId="0" borderId="0" xfId="0" applyFont="1" applyAlignment="1">
      <alignment horizontal="center" vertical="center" wrapText="1"/>
    </xf>
    <xf numFmtId="0" fontId="26" fillId="0" borderId="0" xfId="0" applyFont="1" applyAlignment="1">
      <alignment vertical="center" wrapText="1"/>
    </xf>
    <xf numFmtId="0" fontId="27" fillId="15" borderId="1" xfId="0" applyFont="1" applyFill="1" applyBorder="1" applyAlignment="1">
      <alignment horizontal="center"/>
    </xf>
    <xf numFmtId="0" fontId="28" fillId="0" borderId="0" xfId="0" applyFont="1" applyAlignment="1">
      <alignment horizontal="right" vertical="center" wrapText="1"/>
    </xf>
    <xf numFmtId="0" fontId="27" fillId="0" borderId="0" xfId="0" applyFont="1" applyAlignment="1">
      <alignment vertical="center" wrapText="1"/>
    </xf>
    <xf numFmtId="11" fontId="4" fillId="0" borderId="100" xfId="0" quotePrefix="1" applyNumberFormat="1" applyFont="1" applyBorder="1" applyAlignment="1" applyProtection="1">
      <alignment horizontal="center"/>
      <protection locked="0"/>
    </xf>
    <xf numFmtId="11" fontId="4" fillId="0" borderId="16" xfId="0" quotePrefix="1" applyNumberFormat="1" applyFont="1" applyBorder="1" applyAlignment="1" applyProtection="1">
      <alignment horizontal="center"/>
      <protection locked="0"/>
    </xf>
    <xf numFmtId="11" fontId="4" fillId="0" borderId="21" xfId="0" quotePrefix="1" applyNumberFormat="1" applyFont="1" applyBorder="1" applyAlignment="1" applyProtection="1">
      <alignment horizontal="center"/>
      <protection locked="0"/>
    </xf>
    <xf numFmtId="11" fontId="4" fillId="0" borderId="20" xfId="0" quotePrefix="1" applyNumberFormat="1" applyFont="1" applyBorder="1" applyAlignment="1" applyProtection="1">
      <alignment horizontal="center"/>
      <protection locked="0"/>
    </xf>
    <xf numFmtId="11" fontId="4" fillId="0" borderId="101" xfId="0" quotePrefix="1" applyNumberFormat="1" applyFont="1" applyBorder="1" applyAlignment="1" applyProtection="1">
      <alignment horizontal="center"/>
      <protection locked="0"/>
    </xf>
    <xf numFmtId="11" fontId="4" fillId="0" borderId="22" xfId="0" quotePrefix="1" applyNumberFormat="1" applyFont="1" applyBorder="1" applyAlignment="1" applyProtection="1">
      <alignment horizontal="center"/>
      <protection locked="0"/>
    </xf>
    <xf numFmtId="0" fontId="4" fillId="0" borderId="90" xfId="0" applyFont="1" applyBorder="1" applyAlignment="1" applyProtection="1">
      <alignment horizontal="center"/>
      <protection locked="0"/>
    </xf>
    <xf numFmtId="0" fontId="43" fillId="0" borderId="30" xfId="0" applyFont="1" applyBorder="1" applyAlignment="1">
      <alignment horizontal="center"/>
    </xf>
    <xf numFmtId="0" fontId="43" fillId="0" borderId="72" xfId="0" applyFont="1" applyBorder="1" applyAlignment="1">
      <alignment horizontal="center" wrapText="1"/>
    </xf>
    <xf numFmtId="0" fontId="42" fillId="0" borderId="76" xfId="0" applyFont="1" applyBorder="1"/>
    <xf numFmtId="0" fontId="43" fillId="0" borderId="62" xfId="0" applyFont="1" applyBorder="1" applyAlignment="1">
      <alignment horizontal="center"/>
    </xf>
    <xf numFmtId="0" fontId="43" fillId="0" borderId="76" xfId="0" applyFont="1" applyBorder="1" applyAlignment="1">
      <alignment horizontal="center" wrapText="1"/>
    </xf>
    <xf numFmtId="167" fontId="27" fillId="0" borderId="0" xfId="10" applyNumberFormat="1" applyFont="1" applyAlignment="1">
      <alignment horizontal="center" vertical="center"/>
    </xf>
    <xf numFmtId="3" fontId="27" fillId="0" borderId="0" xfId="10" applyNumberFormat="1" applyFont="1" applyAlignment="1">
      <alignment horizontal="center" vertical="center"/>
    </xf>
    <xf numFmtId="170" fontId="27" fillId="0" borderId="0" xfId="10" applyNumberFormat="1" applyFont="1" applyAlignment="1">
      <alignment horizontal="center" vertical="center"/>
    </xf>
    <xf numFmtId="169" fontId="27" fillId="0" borderId="0" xfId="10" applyNumberFormat="1" applyFont="1" applyAlignment="1">
      <alignment horizontal="center" vertical="center"/>
    </xf>
    <xf numFmtId="0" fontId="58" fillId="0" borderId="0" xfId="0" applyFont="1"/>
    <xf numFmtId="0" fontId="4" fillId="0" borderId="58" xfId="0" applyFont="1" applyBorder="1" applyAlignment="1" applyProtection="1">
      <alignment horizontal="center"/>
      <protection locked="0"/>
    </xf>
    <xf numFmtId="11" fontId="4" fillId="0" borderId="20" xfId="0" applyNumberFormat="1" applyFont="1" applyBorder="1" applyAlignment="1" applyProtection="1">
      <alignment horizontal="center"/>
      <protection locked="0"/>
    </xf>
    <xf numFmtId="0" fontId="4" fillId="0" borderId="20" xfId="0" applyFont="1" applyBorder="1" applyProtection="1">
      <protection locked="0"/>
    </xf>
    <xf numFmtId="0" fontId="27" fillId="0" borderId="77" xfId="0" applyFont="1" applyBorder="1"/>
    <xf numFmtId="0" fontId="27" fillId="0" borderId="74" xfId="0" applyFont="1" applyBorder="1" applyAlignment="1">
      <alignment horizontal="center"/>
    </xf>
    <xf numFmtId="0" fontId="60" fillId="0" borderId="0" xfId="0" applyFont="1" applyAlignment="1">
      <alignment horizontal="right"/>
    </xf>
    <xf numFmtId="0" fontId="28" fillId="0" borderId="76" xfId="0" applyFont="1" applyBorder="1" applyAlignment="1">
      <alignment horizontal="center" vertical="center"/>
    </xf>
    <xf numFmtId="0" fontId="28" fillId="0" borderId="67" xfId="0" applyFont="1" applyBorder="1" applyAlignment="1">
      <alignment horizontal="center" vertical="center" wrapText="1"/>
    </xf>
    <xf numFmtId="11" fontId="27" fillId="0" borderId="29" xfId="0" applyNumberFormat="1" applyFont="1" applyBorder="1" applyAlignment="1">
      <alignment horizontal="center"/>
    </xf>
    <xf numFmtId="11" fontId="27" fillId="0" borderId="67" xfId="0" applyNumberFormat="1" applyFont="1" applyBorder="1" applyAlignment="1">
      <alignment horizontal="center" vertical="center"/>
    </xf>
    <xf numFmtId="2" fontId="27" fillId="0" borderId="31" xfId="0" applyNumberFormat="1" applyFont="1" applyBorder="1" applyAlignment="1">
      <alignment horizontal="center"/>
    </xf>
    <xf numFmtId="2" fontId="27" fillId="0" borderId="32" xfId="0" applyNumberFormat="1" applyFont="1" applyBorder="1" applyAlignment="1">
      <alignment horizontal="center"/>
    </xf>
    <xf numFmtId="1" fontId="27" fillId="0" borderId="1" xfId="0" applyNumberFormat="1" applyFont="1" applyBorder="1" applyAlignment="1">
      <alignment horizontal="center"/>
    </xf>
    <xf numFmtId="0" fontId="62" fillId="0" borderId="0" xfId="0" applyFont="1" applyAlignment="1">
      <alignment horizontal="right"/>
    </xf>
    <xf numFmtId="0" fontId="63" fillId="0" borderId="0" xfId="0" applyFont="1" applyAlignment="1">
      <alignment vertical="center"/>
    </xf>
    <xf numFmtId="0" fontId="28" fillId="0" borderId="71" xfId="0" applyFont="1" applyBorder="1" applyAlignment="1">
      <alignment horizontal="center" vertical="center" wrapText="1"/>
    </xf>
    <xf numFmtId="4" fontId="27" fillId="0" borderId="26" xfId="0" applyNumberFormat="1" applyFont="1" applyBorder="1" applyAlignment="1">
      <alignment horizontal="center" vertical="center"/>
    </xf>
    <xf numFmtId="0" fontId="28" fillId="0" borderId="26" xfId="0" applyFont="1" applyBorder="1"/>
    <xf numFmtId="0" fontId="27" fillId="0" borderId="27" xfId="0" applyFont="1" applyBorder="1"/>
    <xf numFmtId="0" fontId="27" fillId="0" borderId="67" xfId="0" applyFont="1" applyBorder="1"/>
    <xf numFmtId="0" fontId="27" fillId="0" borderId="68" xfId="0" applyFont="1" applyBorder="1"/>
    <xf numFmtId="0" fontId="27" fillId="0" borderId="69" xfId="0" applyFont="1" applyBorder="1"/>
    <xf numFmtId="0" fontId="27" fillId="0" borderId="28" xfId="0" applyFont="1" applyBorder="1"/>
    <xf numFmtId="3" fontId="27" fillId="0" borderId="1" xfId="0" applyNumberFormat="1" applyFont="1" applyBorder="1" applyAlignment="1">
      <alignment horizontal="center"/>
    </xf>
    <xf numFmtId="10" fontId="27" fillId="0" borderId="0" xfId="0" applyNumberFormat="1" applyFont="1" applyAlignment="1">
      <alignment horizontal="center"/>
    </xf>
    <xf numFmtId="14" fontId="0" fillId="0" borderId="0" xfId="0" applyNumberFormat="1" applyAlignment="1">
      <alignment horizontal="center"/>
    </xf>
    <xf numFmtId="11" fontId="0" fillId="0" borderId="0" xfId="0" applyNumberFormat="1"/>
    <xf numFmtId="19" fontId="0" fillId="0" borderId="0" xfId="0" applyNumberFormat="1" applyAlignment="1">
      <alignment horizontal="center"/>
    </xf>
    <xf numFmtId="0" fontId="64" fillId="0" borderId="0" xfId="0" applyFont="1"/>
    <xf numFmtId="0" fontId="21" fillId="0" borderId="0" xfId="0" applyFont="1"/>
    <xf numFmtId="0" fontId="21" fillId="0" borderId="0" xfId="0" applyFont="1" applyAlignment="1">
      <alignment horizontal="right"/>
    </xf>
    <xf numFmtId="0" fontId="65" fillId="0" borderId="0" xfId="0" applyFont="1"/>
    <xf numFmtId="0" fontId="66" fillId="0" borderId="0" xfId="0" applyFont="1"/>
    <xf numFmtId="0" fontId="66" fillId="0" borderId="0" xfId="0" applyFont="1" applyAlignment="1">
      <alignment horizontal="right"/>
    </xf>
    <xf numFmtId="0" fontId="66" fillId="0" borderId="0" xfId="0" applyFont="1" applyAlignment="1">
      <alignment horizontal="left"/>
    </xf>
    <xf numFmtId="0" fontId="21" fillId="0" borderId="0" xfId="0" applyFont="1" applyAlignment="1">
      <alignment horizontal="right" vertical="center"/>
    </xf>
    <xf numFmtId="0" fontId="67" fillId="0" borderId="69" xfId="0" applyFont="1" applyBorder="1" applyAlignment="1" applyProtection="1">
      <alignment horizontal="left" vertical="center"/>
      <protection locked="0"/>
    </xf>
    <xf numFmtId="0" fontId="21" fillId="0" borderId="69" xfId="0" applyFont="1" applyBorder="1" applyProtection="1">
      <protection locked="0"/>
    </xf>
    <xf numFmtId="0" fontId="68" fillId="0" borderId="0" xfId="0" applyFont="1" applyAlignment="1">
      <alignment horizontal="center"/>
    </xf>
    <xf numFmtId="0" fontId="69" fillId="0" borderId="27" xfId="0" applyFont="1" applyBorder="1" applyAlignment="1" applyProtection="1">
      <alignment horizontal="left" vertical="center"/>
      <protection locked="0"/>
    </xf>
    <xf numFmtId="0" fontId="69" fillId="0" borderId="27" xfId="0" applyFont="1" applyBorder="1" applyProtection="1">
      <protection locked="0"/>
    </xf>
    <xf numFmtId="0" fontId="21" fillId="0" borderId="27" xfId="0" applyFont="1" applyBorder="1" applyProtection="1">
      <protection locked="0"/>
    </xf>
    <xf numFmtId="0" fontId="5" fillId="0" borderId="0" xfId="0" applyFont="1" applyAlignment="1">
      <alignment horizontal="center"/>
    </xf>
    <xf numFmtId="0" fontId="5" fillId="0" borderId="0" xfId="0" applyFont="1"/>
    <xf numFmtId="0" fontId="69" fillId="0" borderId="27" xfId="0" applyFont="1" applyBorder="1" applyAlignment="1">
      <alignment horizontal="center"/>
    </xf>
    <xf numFmtId="0" fontId="70" fillId="0" borderId="0" xfId="0" applyFont="1" applyAlignment="1">
      <alignment horizontal="left"/>
    </xf>
    <xf numFmtId="0" fontId="69" fillId="0" borderId="0" xfId="0" applyFont="1" applyAlignment="1">
      <alignment horizontal="left"/>
    </xf>
    <xf numFmtId="0" fontId="69" fillId="0" borderId="0" xfId="0" applyFont="1" applyAlignment="1">
      <alignment horizontal="center"/>
    </xf>
    <xf numFmtId="0" fontId="69" fillId="0" borderId="0" xfId="0" applyFont="1" applyAlignment="1">
      <alignment horizontal="right"/>
    </xf>
    <xf numFmtId="0" fontId="69" fillId="0" borderId="69" xfId="0" applyFont="1" applyBorder="1" applyAlignment="1">
      <alignment horizontal="center"/>
    </xf>
    <xf numFmtId="0" fontId="5" fillId="0" borderId="0" xfId="0" applyFont="1" applyAlignment="1">
      <alignment horizontal="left"/>
    </xf>
    <xf numFmtId="0" fontId="21" fillId="0" borderId="69" xfId="0" applyFont="1" applyBorder="1"/>
    <xf numFmtId="0" fontId="72" fillId="0" borderId="69" xfId="0" applyFont="1" applyBorder="1" applyAlignment="1">
      <alignment horizontal="center"/>
    </xf>
    <xf numFmtId="0" fontId="5" fillId="0" borderId="0" xfId="0" applyFont="1" applyAlignment="1">
      <alignment horizontal="right"/>
    </xf>
    <xf numFmtId="0" fontId="69" fillId="0" borderId="69" xfId="0" applyFont="1" applyBorder="1" applyAlignment="1">
      <alignment horizontal="left"/>
    </xf>
    <xf numFmtId="0" fontId="69" fillId="0" borderId="0" xfId="0" applyFont="1"/>
    <xf numFmtId="0" fontId="73" fillId="0" borderId="0" xfId="0" applyFont="1"/>
    <xf numFmtId="0" fontId="21" fillId="0" borderId="69" xfId="0" applyFont="1" applyBorder="1" applyAlignment="1">
      <alignment horizontal="right"/>
    </xf>
    <xf numFmtId="10" fontId="5" fillId="0" borderId="0" xfId="0" applyNumberFormat="1" applyFont="1"/>
    <xf numFmtId="0" fontId="66" fillId="0" borderId="0" xfId="0" applyFont="1" applyAlignment="1">
      <alignment horizontal="center"/>
    </xf>
    <xf numFmtId="0" fontId="69" fillId="0" borderId="69" xfId="0" applyFont="1" applyBorder="1"/>
    <xf numFmtId="3" fontId="69" fillId="0" borderId="0" xfId="0" applyNumberFormat="1" applyFont="1"/>
    <xf numFmtId="0" fontId="74" fillId="0" borderId="0" xfId="0" applyFont="1"/>
    <xf numFmtId="3" fontId="21" fillId="0" borderId="0" xfId="0" applyNumberFormat="1" applyFont="1"/>
    <xf numFmtId="0" fontId="21" fillId="0" borderId="0" xfId="0" applyFont="1" applyAlignment="1">
      <alignment horizontal="center"/>
    </xf>
    <xf numFmtId="167" fontId="69" fillId="0" borderId="69" xfId="0" applyNumberFormat="1" applyFont="1" applyBorder="1" applyAlignment="1">
      <alignment horizontal="center"/>
    </xf>
    <xf numFmtId="0" fontId="73" fillId="0" borderId="69" xfId="0" applyFont="1" applyBorder="1"/>
    <xf numFmtId="164" fontId="69" fillId="0" borderId="27" xfId="0" applyNumberFormat="1" applyFont="1" applyBorder="1" applyAlignment="1">
      <alignment horizontal="center"/>
    </xf>
    <xf numFmtId="172" fontId="69" fillId="0" borderId="27" xfId="0" applyNumberFormat="1" applyFont="1" applyBorder="1" applyAlignment="1">
      <alignment horizontal="center"/>
    </xf>
    <xf numFmtId="0" fontId="70" fillId="0" borderId="0" xfId="0" applyFont="1"/>
    <xf numFmtId="0" fontId="21" fillId="0" borderId="27" xfId="0" applyFont="1" applyBorder="1"/>
    <xf numFmtId="11" fontId="66" fillId="0" borderId="0" xfId="0" applyNumberFormat="1" applyFont="1"/>
    <xf numFmtId="3" fontId="69" fillId="0" borderId="69" xfId="0" applyNumberFormat="1" applyFont="1" applyBorder="1" applyAlignment="1">
      <alignment horizontal="center"/>
    </xf>
    <xf numFmtId="0" fontId="73" fillId="0" borderId="0" xfId="0" applyFont="1" applyAlignment="1">
      <alignment horizontal="left"/>
    </xf>
    <xf numFmtId="3" fontId="69" fillId="0" borderId="0" xfId="0" applyNumberFormat="1" applyFont="1" applyAlignment="1">
      <alignment horizontal="center"/>
    </xf>
    <xf numFmtId="169" fontId="69" fillId="0" borderId="69" xfId="0" applyNumberFormat="1" applyFont="1" applyBorder="1" applyAlignment="1">
      <alignment horizontal="center"/>
    </xf>
    <xf numFmtId="0" fontId="21" fillId="0" borderId="0" xfId="0" applyFont="1" applyAlignment="1">
      <alignment horizontal="left"/>
    </xf>
    <xf numFmtId="165" fontId="69" fillId="0" borderId="27" xfId="0" applyNumberFormat="1" applyFont="1" applyBorder="1" applyAlignment="1">
      <alignment horizontal="center"/>
    </xf>
    <xf numFmtId="0" fontId="4" fillId="0" borderId="0" xfId="0" applyFont="1" applyAlignment="1">
      <alignment horizontal="right"/>
    </xf>
    <xf numFmtId="0" fontId="21" fillId="0" borderId="69" xfId="0" applyFont="1" applyBorder="1" applyAlignment="1">
      <alignment horizontal="center"/>
    </xf>
    <xf numFmtId="0" fontId="66" fillId="0" borderId="0" xfId="0" quotePrefix="1" applyFont="1"/>
    <xf numFmtId="2" fontId="21" fillId="0" borderId="69" xfId="0" applyNumberFormat="1" applyFont="1" applyBorder="1" applyAlignment="1">
      <alignment horizontal="center"/>
    </xf>
    <xf numFmtId="165" fontId="21" fillId="0" borderId="69" xfId="0" applyNumberFormat="1" applyFont="1" applyBorder="1" applyAlignment="1">
      <alignment horizontal="center"/>
    </xf>
    <xf numFmtId="0" fontId="76" fillId="0" borderId="0" xfId="0" applyFont="1"/>
    <xf numFmtId="0" fontId="21" fillId="0" borderId="26" xfId="0" applyFont="1" applyBorder="1"/>
    <xf numFmtId="0" fontId="69" fillId="0" borderId="27" xfId="0" applyFont="1" applyBorder="1" applyAlignment="1">
      <alignment horizontal="right"/>
    </xf>
    <xf numFmtId="0" fontId="69" fillId="0" borderId="67" xfId="0" applyFont="1" applyBorder="1" applyAlignment="1">
      <alignment horizontal="left"/>
    </xf>
    <xf numFmtId="4" fontId="69" fillId="0" borderId="69" xfId="0" applyNumberFormat="1" applyFont="1" applyBorder="1" applyAlignment="1">
      <alignment horizontal="right"/>
    </xf>
    <xf numFmtId="4" fontId="69" fillId="0" borderId="27" xfId="0" applyNumberFormat="1" applyFont="1" applyBorder="1" applyAlignment="1">
      <alignment horizontal="right"/>
    </xf>
    <xf numFmtId="167" fontId="69" fillId="0" borderId="0" xfId="0" applyNumberFormat="1" applyFont="1"/>
    <xf numFmtId="167" fontId="69" fillId="0" borderId="102" xfId="0" applyNumberFormat="1" applyFont="1" applyBorder="1"/>
    <xf numFmtId="0" fontId="21" fillId="0" borderId="102" xfId="0" applyFont="1" applyBorder="1"/>
    <xf numFmtId="0" fontId="73" fillId="0" borderId="102" xfId="0" applyFont="1" applyBorder="1"/>
    <xf numFmtId="4" fontId="21" fillId="0" borderId="0" xfId="0" applyNumberFormat="1" applyFont="1" applyAlignment="1">
      <alignment horizontal="left"/>
    </xf>
    <xf numFmtId="11" fontId="27" fillId="0" borderId="31" xfId="11" applyNumberFormat="1" applyFont="1" applyBorder="1" applyAlignment="1">
      <alignment horizontal="center"/>
    </xf>
    <xf numFmtId="11" fontId="27" fillId="0" borderId="20" xfId="11" applyNumberFormat="1" applyFont="1" applyBorder="1" applyAlignment="1">
      <alignment horizontal="center"/>
    </xf>
    <xf numFmtId="11" fontId="27" fillId="0" borderId="75" xfId="11" applyNumberFormat="1" applyFont="1" applyBorder="1" applyAlignment="1">
      <alignment horizontal="center" vertical="center"/>
    </xf>
    <xf numFmtId="9" fontId="27" fillId="0" borderId="1" xfId="0" applyNumberFormat="1" applyFont="1" applyBorder="1" applyAlignment="1">
      <alignment horizontal="center"/>
    </xf>
    <xf numFmtId="0" fontId="28" fillId="0" borderId="68" xfId="10" applyFont="1" applyBorder="1" applyAlignment="1">
      <alignment horizontal="center" vertical="center" wrapText="1"/>
    </xf>
    <xf numFmtId="0" fontId="28" fillId="0" borderId="75" xfId="10" applyFont="1" applyBorder="1" applyAlignment="1">
      <alignment horizontal="center" vertical="center" wrapText="1"/>
    </xf>
    <xf numFmtId="11" fontId="27" fillId="0" borderId="75" xfId="10" applyNumberFormat="1" applyFont="1" applyBorder="1" applyAlignment="1">
      <alignment horizontal="center"/>
    </xf>
    <xf numFmtId="11" fontId="29" fillId="0" borderId="0" xfId="10" applyNumberFormat="1" applyFont="1"/>
    <xf numFmtId="3" fontId="29" fillId="0" borderId="0" xfId="10" applyNumberFormat="1" applyFont="1"/>
    <xf numFmtId="0" fontId="29" fillId="0" borderId="0" xfId="10" quotePrefix="1" applyFont="1" applyAlignment="1">
      <alignment horizontal="right"/>
    </xf>
    <xf numFmtId="0" fontId="28" fillId="0" borderId="71" xfId="0" applyFont="1" applyBorder="1" applyAlignment="1">
      <alignment horizontal="center" vertical="center"/>
    </xf>
    <xf numFmtId="11" fontId="29" fillId="0" borderId="0" xfId="0" applyNumberFormat="1" applyFont="1" applyAlignment="1">
      <alignment horizontal="center"/>
    </xf>
    <xf numFmtId="11" fontId="29" fillId="0" borderId="20" xfId="0" applyNumberFormat="1" applyFont="1" applyBorder="1" applyAlignment="1">
      <alignment horizontal="center"/>
    </xf>
    <xf numFmtId="0" fontId="3" fillId="0" borderId="0" xfId="0" applyFont="1" applyAlignment="1">
      <alignment vertical="center" wrapText="1"/>
    </xf>
    <xf numFmtId="11" fontId="29" fillId="0" borderId="75" xfId="0" applyNumberFormat="1" applyFont="1" applyBorder="1" applyAlignment="1">
      <alignment horizontal="center"/>
    </xf>
    <xf numFmtId="1" fontId="29" fillId="0" borderId="0" xfId="10" applyNumberFormat="1" applyFont="1"/>
    <xf numFmtId="0" fontId="3" fillId="0" borderId="0" xfId="0" applyFont="1" applyAlignment="1">
      <alignment wrapText="1"/>
    </xf>
    <xf numFmtId="14" fontId="3" fillId="0" borderId="0" xfId="0" applyNumberFormat="1" applyFont="1"/>
    <xf numFmtId="49" fontId="3" fillId="0" borderId="0" xfId="0" applyNumberFormat="1" applyFont="1" applyAlignment="1">
      <alignment horizontal="center"/>
    </xf>
    <xf numFmtId="49" fontId="4" fillId="0" borderId="0" xfId="0" applyNumberFormat="1" applyFont="1" applyAlignment="1">
      <alignment horizontal="center"/>
    </xf>
    <xf numFmtId="11" fontId="4" fillId="0" borderId="0" xfId="0" applyNumberFormat="1" applyFont="1"/>
    <xf numFmtId="49" fontId="21" fillId="0" borderId="13" xfId="0" applyNumberFormat="1" applyFont="1" applyBorder="1" applyAlignment="1">
      <alignment horizontal="center"/>
    </xf>
    <xf numFmtId="0" fontId="21" fillId="0" borderId="14" xfId="0" applyFont="1" applyBorder="1" applyAlignment="1">
      <alignment horizontal="center"/>
    </xf>
    <xf numFmtId="0" fontId="4" fillId="3" borderId="13" xfId="0" applyFont="1" applyFill="1" applyBorder="1" applyAlignment="1">
      <alignment horizontal="center" wrapText="1"/>
    </xf>
    <xf numFmtId="11" fontId="4" fillId="12" borderId="39" xfId="0" applyNumberFormat="1" applyFont="1" applyFill="1" applyBorder="1" applyAlignment="1">
      <alignment horizontal="center"/>
    </xf>
    <xf numFmtId="11" fontId="21" fillId="10" borderId="2" xfId="0" applyNumberFormat="1" applyFont="1" applyFill="1" applyBorder="1" applyAlignment="1">
      <alignment horizontal="center" vertical="center"/>
    </xf>
    <xf numFmtId="11" fontId="21" fillId="7" borderId="33" xfId="0" applyNumberFormat="1" applyFont="1" applyFill="1" applyBorder="1" applyAlignment="1">
      <alignment horizontal="center" vertical="center"/>
    </xf>
    <xf numFmtId="11" fontId="21" fillId="5" borderId="2" xfId="0" applyNumberFormat="1" applyFont="1" applyFill="1" applyBorder="1" applyAlignment="1">
      <alignment horizontal="center" vertical="center"/>
    </xf>
    <xf numFmtId="11" fontId="21" fillId="10" borderId="13" xfId="0" applyNumberFormat="1" applyFont="1" applyFill="1" applyBorder="1" applyAlignment="1">
      <alignment horizontal="center" vertical="center"/>
    </xf>
    <xf numFmtId="11" fontId="21" fillId="5" borderId="34" xfId="0" applyNumberFormat="1" applyFont="1" applyFill="1" applyBorder="1" applyAlignment="1">
      <alignment horizontal="center" vertical="center"/>
    </xf>
    <xf numFmtId="49" fontId="20" fillId="0" borderId="8" xfId="0" applyNumberFormat="1" applyFont="1" applyBorder="1" applyAlignment="1">
      <alignment horizontal="left"/>
    </xf>
    <xf numFmtId="0" fontId="20" fillId="0" borderId="46" xfId="0" applyFont="1" applyBorder="1" applyAlignment="1">
      <alignment horizontal="center" vertical="center"/>
    </xf>
    <xf numFmtId="11" fontId="20" fillId="0" borderId="47" xfId="0" applyNumberFormat="1" applyFont="1" applyBorder="1" applyAlignment="1">
      <alignment horizontal="center"/>
    </xf>
    <xf numFmtId="0" fontId="20" fillId="0" borderId="36" xfId="0" applyFont="1" applyBorder="1"/>
    <xf numFmtId="11" fontId="20" fillId="0" borderId="46" xfId="0" applyNumberFormat="1" applyFont="1" applyBorder="1" applyAlignment="1">
      <alignment horizontal="center"/>
    </xf>
    <xf numFmtId="11" fontId="20" fillId="0" borderId="48" xfId="0" applyNumberFormat="1" applyFont="1" applyBorder="1" applyAlignment="1">
      <alignment horizontal="center"/>
    </xf>
    <xf numFmtId="11" fontId="20" fillId="0" borderId="12" xfId="0" applyNumberFormat="1" applyFont="1" applyBorder="1" applyAlignment="1">
      <alignment horizontal="center"/>
    </xf>
    <xf numFmtId="49" fontId="20" fillId="0" borderId="11" xfId="0" applyNumberFormat="1" applyFont="1" applyBorder="1" applyAlignment="1">
      <alignment horizontal="left"/>
    </xf>
    <xf numFmtId="0" fontId="20" fillId="0" borderId="49" xfId="0" applyFont="1" applyBorder="1" applyAlignment="1">
      <alignment horizontal="center"/>
    </xf>
    <xf numFmtId="11" fontId="20" fillId="0" borderId="50" xfId="0" applyNumberFormat="1" applyFont="1" applyBorder="1" applyAlignment="1">
      <alignment horizontal="center"/>
    </xf>
    <xf numFmtId="11" fontId="20" fillId="0" borderId="49" xfId="0" applyNumberFormat="1" applyFont="1" applyBorder="1" applyAlignment="1">
      <alignment horizontal="center"/>
    </xf>
    <xf numFmtId="11" fontId="20" fillId="0" borderId="51" xfId="0" applyNumberFormat="1" applyFont="1" applyBorder="1" applyAlignment="1">
      <alignment horizontal="center"/>
    </xf>
    <xf numFmtId="49" fontId="4" fillId="11" borderId="11" xfId="0" applyNumberFormat="1" applyFont="1" applyFill="1" applyBorder="1" applyAlignment="1">
      <alignment horizontal="left"/>
    </xf>
    <xf numFmtId="0" fontId="4" fillId="11" borderId="49" xfId="0" applyFont="1" applyFill="1" applyBorder="1" applyAlignment="1">
      <alignment horizontal="center"/>
    </xf>
    <xf numFmtId="11" fontId="4" fillId="11" borderId="50" xfId="0" applyNumberFormat="1" applyFont="1" applyFill="1" applyBorder="1" applyAlignment="1">
      <alignment horizontal="center"/>
    </xf>
    <xf numFmtId="0" fontId="4" fillId="11" borderId="36" xfId="0" applyFont="1" applyFill="1" applyBorder="1"/>
    <xf numFmtId="11" fontId="4" fillId="11" borderId="49" xfId="0" applyNumberFormat="1" applyFont="1" applyFill="1" applyBorder="1" applyAlignment="1">
      <alignment horizontal="center"/>
    </xf>
    <xf numFmtId="11" fontId="4" fillId="11" borderId="51" xfId="0" applyNumberFormat="1" applyFont="1" applyFill="1" applyBorder="1" applyAlignment="1">
      <alignment horizontal="center"/>
    </xf>
    <xf numFmtId="11" fontId="4" fillId="11" borderId="12" xfId="0" applyNumberFormat="1" applyFont="1" applyFill="1" applyBorder="1" applyAlignment="1">
      <alignment horizontal="center"/>
    </xf>
    <xf numFmtId="0" fontId="3" fillId="0" borderId="69" xfId="0" applyFont="1" applyBorder="1"/>
    <xf numFmtId="0" fontId="3" fillId="0" borderId="59" xfId="0" applyFont="1" applyBorder="1"/>
    <xf numFmtId="0" fontId="3" fillId="0" borderId="2" xfId="0" applyFont="1" applyBorder="1"/>
    <xf numFmtId="0" fontId="4" fillId="0" borderId="49" xfId="0" applyFont="1" applyBorder="1" applyAlignment="1" applyProtection="1">
      <alignment horizontal="center"/>
      <protection locked="0"/>
    </xf>
    <xf numFmtId="0" fontId="4" fillId="0" borderId="52" xfId="0" applyFont="1" applyBorder="1" applyAlignment="1" applyProtection="1">
      <alignment horizontal="center"/>
      <protection locked="0"/>
    </xf>
    <xf numFmtId="0" fontId="79" fillId="0" borderId="31" xfId="0" applyFont="1" applyBorder="1" applyAlignment="1">
      <alignment horizontal="center" vertical="center" wrapText="1"/>
    </xf>
    <xf numFmtId="0" fontId="29" fillId="0" borderId="0" xfId="0" applyFont="1" applyAlignment="1">
      <alignment horizontal="left" vertical="center" wrapText="1"/>
    </xf>
    <xf numFmtId="0" fontId="29" fillId="0" borderId="66" xfId="13" applyFont="1" applyBorder="1" applyAlignment="1">
      <alignment horizontal="left" vertical="top" wrapText="1"/>
    </xf>
    <xf numFmtId="0" fontId="28" fillId="0" borderId="31" xfId="11" applyFont="1" applyBorder="1" applyAlignment="1">
      <alignment horizontal="center" vertical="center"/>
    </xf>
    <xf numFmtId="0" fontId="28" fillId="0" borderId="75" xfId="11" applyFont="1" applyBorder="1" applyAlignment="1">
      <alignment horizontal="center" vertical="center"/>
    </xf>
    <xf numFmtId="2" fontId="28" fillId="0" borderId="71" xfId="10" applyNumberFormat="1" applyFont="1" applyBorder="1" applyAlignment="1">
      <alignment horizontal="center" vertical="center"/>
    </xf>
    <xf numFmtId="2" fontId="28" fillId="0" borderId="68" xfId="10" applyNumberFormat="1" applyFont="1" applyBorder="1" applyAlignment="1">
      <alignment horizontal="center" vertical="center"/>
    </xf>
    <xf numFmtId="0" fontId="28" fillId="0" borderId="31" xfId="10" applyFont="1" applyBorder="1" applyAlignment="1">
      <alignment horizontal="center" vertical="center"/>
    </xf>
    <xf numFmtId="0" fontId="28" fillId="0" borderId="75" xfId="10" applyFont="1" applyBorder="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27" fillId="0" borderId="1" xfId="0" applyFont="1" applyBorder="1" applyAlignment="1">
      <alignment horizontal="center" vertical="center"/>
    </xf>
    <xf numFmtId="0" fontId="28" fillId="0" borderId="31" xfId="0" applyFont="1" applyBorder="1" applyAlignment="1">
      <alignment horizontal="center" vertical="center" wrapText="1"/>
    </xf>
    <xf numFmtId="0" fontId="28" fillId="0" borderId="75" xfId="0" applyFont="1" applyBorder="1" applyAlignment="1">
      <alignment horizontal="center" vertical="center" wrapText="1"/>
    </xf>
    <xf numFmtId="0" fontId="27" fillId="0" borderId="31" xfId="0" applyFont="1" applyBorder="1" applyAlignment="1">
      <alignment horizontal="center" vertical="center"/>
    </xf>
    <xf numFmtId="0" fontId="27" fillId="0" borderId="20" xfId="0" applyFont="1" applyBorder="1" applyAlignment="1">
      <alignment horizontal="center" vertical="center"/>
    </xf>
    <xf numFmtId="0" fontId="27" fillId="0" borderId="75" xfId="0" applyFont="1" applyBorder="1" applyAlignment="1">
      <alignment horizontal="center" vertical="center"/>
    </xf>
    <xf numFmtId="0" fontId="27" fillId="0" borderId="1" xfId="0" applyFont="1" applyBorder="1" applyAlignment="1">
      <alignment horizontal="center" vertical="center" wrapText="1"/>
    </xf>
    <xf numFmtId="2" fontId="27" fillId="0" borderId="1" xfId="0" applyNumberFormat="1" applyFont="1" applyBorder="1" applyAlignment="1">
      <alignment horizontal="center" vertical="center"/>
    </xf>
    <xf numFmtId="0" fontId="42" fillId="0" borderId="1" xfId="0" quotePrefix="1" applyFont="1" applyBorder="1" applyAlignment="1">
      <alignment horizontal="center" vertical="center"/>
    </xf>
    <xf numFmtId="0" fontId="42" fillId="0" borderId="31" xfId="0" quotePrefix="1" applyFont="1" applyBorder="1" applyAlignment="1">
      <alignment horizontal="center" vertical="center"/>
    </xf>
    <xf numFmtId="0" fontId="42" fillId="0" borderId="20" xfId="0" quotePrefix="1" applyFont="1" applyBorder="1" applyAlignment="1">
      <alignment horizontal="center" vertical="center"/>
    </xf>
    <xf numFmtId="0" fontId="42" fillId="0" borderId="75" xfId="0" quotePrefix="1" applyFont="1" applyBorder="1" applyAlignment="1">
      <alignment horizontal="center" vertical="center"/>
    </xf>
    <xf numFmtId="0" fontId="42" fillId="0" borderId="31" xfId="0" applyFont="1" applyBorder="1" applyAlignment="1">
      <alignment horizontal="center" vertical="center"/>
    </xf>
    <xf numFmtId="0" fontId="42" fillId="0" borderId="20" xfId="0" applyFont="1" applyBorder="1" applyAlignment="1">
      <alignment horizontal="center" vertical="center"/>
    </xf>
    <xf numFmtId="0" fontId="42" fillId="0" borderId="75" xfId="0" applyFont="1" applyBorder="1" applyAlignment="1">
      <alignment horizontal="center" vertical="center"/>
    </xf>
    <xf numFmtId="0" fontId="42" fillId="0" borderId="1" xfId="0" applyFont="1" applyBorder="1" applyAlignment="1">
      <alignment horizontal="center" vertical="center" wrapText="1"/>
    </xf>
    <xf numFmtId="0" fontId="42" fillId="0" borderId="1" xfId="0" applyFont="1" applyBorder="1" applyAlignment="1">
      <alignment horizontal="center" vertical="center"/>
    </xf>
    <xf numFmtId="0" fontId="43" fillId="0" borderId="1" xfId="0" applyFont="1" applyBorder="1" applyAlignment="1">
      <alignment horizontal="center" vertical="center" wrapText="1"/>
    </xf>
    <xf numFmtId="0" fontId="43" fillId="0" borderId="1" xfId="0" applyFont="1" applyBorder="1" applyAlignment="1">
      <alignment horizontal="center" vertical="center"/>
    </xf>
    <xf numFmtId="0" fontId="43" fillId="0" borderId="31" xfId="0" applyFont="1" applyBorder="1" applyAlignment="1">
      <alignment horizontal="center" vertical="center" wrapText="1"/>
    </xf>
    <xf numFmtId="0" fontId="43" fillId="0" borderId="75" xfId="0" applyFont="1" applyBorder="1" applyAlignment="1">
      <alignment horizontal="center" vertical="center" wrapText="1"/>
    </xf>
    <xf numFmtId="0" fontId="42" fillId="0" borderId="71" xfId="0" applyFont="1" applyBorder="1" applyAlignment="1">
      <alignment horizontal="center"/>
    </xf>
    <xf numFmtId="0" fontId="42" fillId="0" borderId="70" xfId="0" applyFont="1" applyBorder="1" applyAlignment="1">
      <alignment horizontal="center"/>
    </xf>
    <xf numFmtId="0" fontId="42" fillId="0" borderId="68" xfId="0" applyFont="1" applyBorder="1" applyAlignment="1">
      <alignment horizontal="center"/>
    </xf>
    <xf numFmtId="0" fontId="42" fillId="0" borderId="28" xfId="0" applyFont="1" applyBorder="1" applyAlignment="1">
      <alignment horizontal="center"/>
    </xf>
    <xf numFmtId="0" fontId="43" fillId="0" borderId="0" xfId="0" applyFont="1"/>
    <xf numFmtId="0" fontId="41" fillId="7" borderId="0" xfId="0" applyFont="1" applyFill="1" applyAlignment="1">
      <alignment horizontal="left" vertical="center" wrapText="1"/>
    </xf>
    <xf numFmtId="0" fontId="41" fillId="5" borderId="0" xfId="0" applyFont="1" applyFill="1" applyAlignment="1">
      <alignment horizontal="left"/>
    </xf>
    <xf numFmtId="0" fontId="43" fillId="0" borderId="29" xfId="0" applyFont="1" applyBorder="1" applyAlignment="1">
      <alignment horizontal="center" vertical="center" wrapText="1"/>
    </xf>
    <xf numFmtId="0" fontId="43" fillId="0" borderId="73" xfId="0" applyFont="1" applyBorder="1" applyAlignment="1">
      <alignment horizontal="center" vertical="center" wrapText="1"/>
    </xf>
    <xf numFmtId="0" fontId="43" fillId="0" borderId="74" xfId="0" applyFont="1" applyBorder="1" applyAlignment="1">
      <alignment horizontal="center" vertical="center" wrapText="1"/>
    </xf>
    <xf numFmtId="0" fontId="43" fillId="0" borderId="30" xfId="0" applyFont="1" applyBorder="1" applyAlignment="1">
      <alignment horizontal="center" vertical="center" wrapText="1"/>
    </xf>
    <xf numFmtId="0" fontId="27" fillId="0" borderId="1" xfId="0" applyFont="1" applyBorder="1" applyAlignment="1">
      <alignment horizontal="left"/>
    </xf>
    <xf numFmtId="0" fontId="28" fillId="0" borderId="1" xfId="0" applyFont="1" applyBorder="1" applyAlignment="1">
      <alignment horizontal="center"/>
    </xf>
    <xf numFmtId="0" fontId="27" fillId="0" borderId="26" xfId="0" applyFont="1" applyBorder="1" applyAlignment="1">
      <alignment horizontal="center"/>
    </xf>
    <xf numFmtId="0" fontId="27" fillId="0" borderId="27" xfId="0" applyFont="1" applyBorder="1" applyAlignment="1">
      <alignment horizontal="center"/>
    </xf>
    <xf numFmtId="0" fontId="27" fillId="0" borderId="67" xfId="0" applyFont="1" applyBorder="1" applyAlignment="1">
      <alignment horizontal="center"/>
    </xf>
    <xf numFmtId="0" fontId="28" fillId="0" borderId="71" xfId="0" applyFont="1" applyBorder="1" applyAlignment="1">
      <alignment horizontal="center" vertical="center" wrapText="1"/>
    </xf>
    <xf numFmtId="0" fontId="28" fillId="0" borderId="68" xfId="0" applyFont="1" applyBorder="1" applyAlignment="1">
      <alignment horizontal="center" vertical="center" wrapText="1"/>
    </xf>
    <xf numFmtId="0" fontId="28" fillId="0" borderId="29" xfId="0" applyFont="1" applyBorder="1" applyAlignment="1">
      <alignment horizontal="center" wrapText="1"/>
    </xf>
    <xf numFmtId="0" fontId="28" fillId="0" borderId="70"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26" xfId="0" applyFont="1" applyBorder="1" applyAlignment="1">
      <alignment horizontal="right" vertical="center"/>
    </xf>
    <xf numFmtId="0" fontId="28" fillId="0" borderId="27" xfId="0" applyFont="1" applyBorder="1" applyAlignment="1">
      <alignment horizontal="right" vertical="center"/>
    </xf>
    <xf numFmtId="0" fontId="28" fillId="0" borderId="67" xfId="0" applyFont="1" applyBorder="1" applyAlignment="1">
      <alignment horizontal="right" vertical="center"/>
    </xf>
    <xf numFmtId="0" fontId="27" fillId="0" borderId="29" xfId="0" applyFont="1" applyBorder="1" applyAlignment="1">
      <alignment horizontal="left"/>
    </xf>
    <xf numFmtId="0" fontId="28" fillId="0" borderId="1" xfId="0" applyFont="1" applyBorder="1" applyAlignment="1">
      <alignment horizontal="center" wrapText="1"/>
    </xf>
    <xf numFmtId="0" fontId="27" fillId="0" borderId="0" xfId="0" applyFont="1" applyAlignment="1">
      <alignment horizontal="left"/>
    </xf>
    <xf numFmtId="0" fontId="27" fillId="0" borderId="31" xfId="0" applyFont="1" applyBorder="1" applyAlignment="1">
      <alignment horizontal="left"/>
    </xf>
    <xf numFmtId="0" fontId="28" fillId="0" borderId="0" xfId="0" applyFont="1" applyAlignment="1">
      <alignment horizontal="center"/>
    </xf>
    <xf numFmtId="0" fontId="28" fillId="0" borderId="0" xfId="0" applyFont="1" applyAlignment="1">
      <alignment horizontal="center" vertical="center"/>
    </xf>
    <xf numFmtId="0" fontId="50" fillId="0" borderId="0" xfId="0" applyFont="1" applyAlignment="1">
      <alignment horizontal="center" vertical="center"/>
    </xf>
    <xf numFmtId="0" fontId="29" fillId="0" borderId="66" xfId="0" applyFont="1" applyBorder="1" applyAlignment="1">
      <alignment horizontal="left" wrapText="1"/>
    </xf>
    <xf numFmtId="0" fontId="27" fillId="0" borderId="0" xfId="10" quotePrefix="1" applyFont="1"/>
    <xf numFmtId="0" fontId="28" fillId="0" borderId="71" xfId="10" applyFont="1" applyBorder="1" applyAlignment="1">
      <alignment horizontal="center" vertical="center" wrapText="1"/>
    </xf>
    <xf numFmtId="0" fontId="28" fillId="0" borderId="68" xfId="10" applyFont="1" applyBorder="1" applyAlignment="1">
      <alignment horizontal="center" vertical="center" wrapText="1"/>
    </xf>
    <xf numFmtId="0" fontId="28" fillId="0" borderId="70" xfId="10" applyFont="1" applyBorder="1" applyAlignment="1">
      <alignment horizontal="center" vertical="center" wrapText="1"/>
    </xf>
    <xf numFmtId="0" fontId="28" fillId="0" borderId="28" xfId="10" applyFont="1" applyBorder="1" applyAlignment="1">
      <alignment horizontal="center" vertical="center" wrapText="1"/>
    </xf>
    <xf numFmtId="0" fontId="29" fillId="0" borderId="0" xfId="10" applyFont="1"/>
    <xf numFmtId="0" fontId="27" fillId="0" borderId="26" xfId="0" applyFont="1" applyBorder="1" applyAlignment="1">
      <alignment horizontal="left"/>
    </xf>
    <xf numFmtId="0" fontId="27" fillId="0" borderId="27" xfId="0" applyFont="1" applyBorder="1" applyAlignment="1">
      <alignment horizontal="left"/>
    </xf>
    <xf numFmtId="0" fontId="27" fillId="0" borderId="67" xfId="0" applyFont="1" applyBorder="1" applyAlignment="1">
      <alignment horizontal="left"/>
    </xf>
    <xf numFmtId="0" fontId="27" fillId="0" borderId="26" xfId="0" applyFont="1" applyBorder="1" applyAlignment="1">
      <alignment horizontal="left" wrapText="1"/>
    </xf>
    <xf numFmtId="0" fontId="27" fillId="0" borderId="27" xfId="0" applyFont="1" applyBorder="1" applyAlignment="1">
      <alignment horizontal="left" wrapText="1"/>
    </xf>
    <xf numFmtId="0" fontId="27" fillId="0" borderId="67" xfId="0" applyFont="1" applyBorder="1" applyAlignment="1">
      <alignment horizontal="left" wrapText="1"/>
    </xf>
    <xf numFmtId="0" fontId="27" fillId="0" borderId="26" xfId="10" quotePrefix="1" applyFont="1" applyBorder="1" applyAlignment="1">
      <alignment horizontal="left"/>
    </xf>
    <xf numFmtId="0" fontId="27" fillId="0" borderId="27" xfId="10" quotePrefix="1" applyFont="1" applyBorder="1" applyAlignment="1">
      <alignment horizontal="left"/>
    </xf>
    <xf numFmtId="0" fontId="27" fillId="0" borderId="67" xfId="10" quotePrefix="1" applyFont="1" applyBorder="1" applyAlignment="1">
      <alignment horizontal="left"/>
    </xf>
    <xf numFmtId="0" fontId="69" fillId="0" borderId="27" xfId="0" applyFont="1" applyBorder="1" applyAlignment="1">
      <alignment horizontal="center"/>
    </xf>
    <xf numFmtId="3" fontId="69" fillId="0" borderId="69" xfId="0" applyNumberFormat="1" applyFont="1" applyBorder="1" applyAlignment="1">
      <alignment horizontal="center"/>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12" fillId="9" borderId="19"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11" fillId="8" borderId="35" xfId="0" applyFont="1" applyFill="1" applyBorder="1" applyAlignment="1">
      <alignment horizontal="center" vertical="center" wrapText="1"/>
    </xf>
    <xf numFmtId="0" fontId="11" fillId="8" borderId="37" xfId="0" applyFont="1" applyFill="1" applyBorder="1" applyAlignment="1">
      <alignment horizontal="center" vertical="center"/>
    </xf>
    <xf numFmtId="0" fontId="11" fillId="0" borderId="24" xfId="0" applyFont="1" applyBorder="1" applyAlignment="1">
      <alignment horizontal="center" vertical="center"/>
    </xf>
    <xf numFmtId="0" fontId="11" fillId="0" borderId="38" xfId="0" applyFont="1" applyBorder="1" applyAlignment="1">
      <alignment horizontal="center" vertical="center"/>
    </xf>
    <xf numFmtId="0" fontId="11" fillId="0" borderId="9" xfId="0" applyFont="1" applyBorder="1" applyAlignment="1">
      <alignment horizontal="center" vertical="center"/>
    </xf>
    <xf numFmtId="0" fontId="11" fillId="0" borderId="2" xfId="0" applyFont="1" applyBorder="1" applyAlignment="1">
      <alignment horizontal="center" vertical="center"/>
    </xf>
    <xf numFmtId="0" fontId="12" fillId="0" borderId="8"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3" xfId="0" applyFont="1" applyBorder="1" applyAlignment="1">
      <alignment horizontal="center" vertical="center" wrapText="1"/>
    </xf>
    <xf numFmtId="0" fontId="78" fillId="2" borderId="8" xfId="0" applyFont="1" applyFill="1" applyBorder="1" applyAlignment="1">
      <alignment horizontal="left" vertical="center"/>
    </xf>
    <xf numFmtId="0" fontId="78" fillId="2" borderId="9" xfId="0" applyFont="1" applyFill="1" applyBorder="1" applyAlignment="1">
      <alignment horizontal="left" vertical="center"/>
    </xf>
    <xf numFmtId="0" fontId="78" fillId="2" borderId="10" xfId="0" applyFont="1" applyFill="1" applyBorder="1" applyAlignment="1">
      <alignment horizontal="left" vertical="center"/>
    </xf>
    <xf numFmtId="0" fontId="78" fillId="2" borderId="11" xfId="0" applyFont="1" applyFill="1" applyBorder="1" applyAlignment="1">
      <alignment horizontal="left" vertical="center"/>
    </xf>
    <xf numFmtId="0" fontId="78" fillId="2" borderId="0" xfId="0" applyFont="1" applyFill="1" applyAlignment="1">
      <alignment horizontal="left" vertical="center"/>
    </xf>
    <xf numFmtId="0" fontId="78" fillId="2" borderId="12" xfId="0" applyFont="1" applyFill="1" applyBorder="1" applyAlignment="1">
      <alignment horizontal="left" vertical="center"/>
    </xf>
    <xf numFmtId="0" fontId="78" fillId="2" borderId="13" xfId="0" applyFont="1" applyFill="1" applyBorder="1" applyAlignment="1">
      <alignment horizontal="left" vertical="center"/>
    </xf>
    <xf numFmtId="0" fontId="78" fillId="2" borderId="2" xfId="0" applyFont="1" applyFill="1" applyBorder="1" applyAlignment="1">
      <alignment horizontal="left" vertical="center"/>
    </xf>
    <xf numFmtId="0" fontId="78" fillId="2" borderId="14" xfId="0" applyFont="1" applyFill="1" applyBorder="1" applyAlignment="1">
      <alignment horizontal="left" vertical="center"/>
    </xf>
    <xf numFmtId="11" fontId="37" fillId="0" borderId="17" xfId="0" applyNumberFormat="1" applyFont="1" applyBorder="1" applyAlignment="1">
      <alignment horizontal="center"/>
    </xf>
    <xf numFmtId="11" fontId="37" fillId="0" borderId="18" xfId="0" applyNumberFormat="1" applyFont="1" applyBorder="1" applyAlignment="1">
      <alignment horizontal="center"/>
    </xf>
    <xf numFmtId="11" fontId="37" fillId="0" borderId="19" xfId="0" applyNumberFormat="1" applyFont="1" applyBorder="1" applyAlignment="1">
      <alignment horizontal="center"/>
    </xf>
    <xf numFmtId="0" fontId="18" fillId="8" borderId="35" xfId="0" applyFont="1" applyFill="1" applyBorder="1" applyAlignment="1">
      <alignment horizontal="center" vertical="center" wrapText="1"/>
    </xf>
    <xf numFmtId="0" fontId="18" fillId="8" borderId="36" xfId="0" applyFont="1" applyFill="1" applyBorder="1" applyAlignment="1">
      <alignment horizontal="center" vertical="center" wrapText="1"/>
    </xf>
    <xf numFmtId="0" fontId="18" fillId="8" borderId="37" xfId="0" applyFont="1" applyFill="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37" fillId="0" borderId="10" xfId="0" applyFont="1" applyBorder="1" applyAlignment="1">
      <alignment horizontal="center" vertical="center"/>
    </xf>
    <xf numFmtId="0" fontId="37" fillId="0" borderId="13" xfId="0" applyFont="1" applyBorder="1" applyAlignment="1">
      <alignment horizontal="center" vertical="center"/>
    </xf>
    <xf numFmtId="0" fontId="37" fillId="0" borderId="2" xfId="0" applyFont="1" applyBorder="1" applyAlignment="1">
      <alignment horizontal="center" vertical="center"/>
    </xf>
    <xf numFmtId="0" fontId="37" fillId="0" borderId="14" xfId="0" applyFont="1" applyBorder="1" applyAlignment="1">
      <alignment horizontal="center" vertical="center"/>
    </xf>
    <xf numFmtId="10" fontId="37" fillId="0" borderId="35" xfId="1" applyNumberFormat="1" applyFont="1" applyBorder="1" applyAlignment="1" applyProtection="1">
      <alignment horizontal="center" vertical="center" wrapText="1"/>
    </xf>
    <xf numFmtId="10" fontId="37" fillId="0" borderId="36" xfId="1" applyNumberFormat="1" applyFont="1" applyBorder="1" applyAlignment="1" applyProtection="1">
      <alignment horizontal="center" vertical="center" wrapText="1"/>
    </xf>
    <xf numFmtId="10" fontId="37" fillId="0" borderId="37" xfId="1" applyNumberFormat="1" applyFont="1" applyBorder="1" applyAlignment="1" applyProtection="1">
      <alignment horizontal="center" vertical="center" wrapText="1"/>
    </xf>
    <xf numFmtId="0" fontId="37" fillId="0" borderId="17" xfId="0" applyFont="1" applyBorder="1" applyAlignment="1">
      <alignment horizontal="center" vertical="center"/>
    </xf>
    <xf numFmtId="0" fontId="37" fillId="0" borderId="18" xfId="0" applyFont="1" applyBorder="1" applyAlignment="1">
      <alignment horizontal="center" vertical="center"/>
    </xf>
    <xf numFmtId="0" fontId="37" fillId="0" borderId="19" xfId="0" applyFont="1" applyBorder="1" applyAlignment="1">
      <alignment horizontal="center" vertical="center"/>
    </xf>
    <xf numFmtId="11" fontId="18" fillId="3" borderId="8" xfId="0" applyNumberFormat="1" applyFont="1" applyFill="1" applyBorder="1" applyAlignment="1">
      <alignment horizontal="center" vertical="center"/>
    </xf>
    <xf numFmtId="11" fontId="18" fillId="3" borderId="9" xfId="0" applyNumberFormat="1" applyFont="1" applyFill="1" applyBorder="1" applyAlignment="1">
      <alignment horizontal="center" vertical="center"/>
    </xf>
    <xf numFmtId="11" fontId="18" fillId="3" borderId="10" xfId="0" applyNumberFormat="1" applyFont="1" applyFill="1" applyBorder="1" applyAlignment="1">
      <alignment horizontal="center" vertical="center"/>
    </xf>
    <xf numFmtId="11" fontId="18" fillId="3" borderId="13" xfId="0" applyNumberFormat="1" applyFont="1" applyFill="1" applyBorder="1" applyAlignment="1">
      <alignment horizontal="center" vertical="center"/>
    </xf>
    <xf numFmtId="11" fontId="18" fillId="3" borderId="2" xfId="0" applyNumberFormat="1" applyFont="1" applyFill="1" applyBorder="1" applyAlignment="1">
      <alignment horizontal="center" vertical="center"/>
    </xf>
    <xf numFmtId="11" fontId="18" fillId="3" borderId="14" xfId="0" applyNumberFormat="1" applyFont="1" applyFill="1" applyBorder="1" applyAlignment="1">
      <alignment horizontal="center" vertical="center"/>
    </xf>
    <xf numFmtId="11" fontId="18" fillId="9" borderId="8" xfId="0" applyNumberFormat="1" applyFont="1" applyFill="1" applyBorder="1" applyAlignment="1">
      <alignment horizontal="center" vertical="center"/>
    </xf>
    <xf numFmtId="11" fontId="18" fillId="9" borderId="9" xfId="0" applyNumberFormat="1" applyFont="1" applyFill="1" applyBorder="1" applyAlignment="1">
      <alignment horizontal="center" vertical="center"/>
    </xf>
    <xf numFmtId="11" fontId="18" fillId="9" borderId="10" xfId="0" applyNumberFormat="1" applyFont="1" applyFill="1" applyBorder="1" applyAlignment="1">
      <alignment horizontal="center" vertical="center"/>
    </xf>
    <xf numFmtId="11" fontId="18" fillId="9" borderId="13" xfId="0" applyNumberFormat="1" applyFont="1" applyFill="1" applyBorder="1" applyAlignment="1">
      <alignment horizontal="center" vertical="center"/>
    </xf>
    <xf numFmtId="11" fontId="18" fillId="9" borderId="2" xfId="0" applyNumberFormat="1" applyFont="1" applyFill="1" applyBorder="1" applyAlignment="1">
      <alignment horizontal="center" vertical="center"/>
    </xf>
    <xf numFmtId="11" fontId="18" fillId="9" borderId="14" xfId="0" applyNumberFormat="1" applyFont="1" applyFill="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17" xfId="0" applyFont="1" applyBorder="1" applyAlignment="1">
      <alignment horizontal="center" vertical="center"/>
    </xf>
    <xf numFmtId="0" fontId="11" fillId="0" borderId="8" xfId="0" applyFont="1" applyBorder="1" applyAlignment="1">
      <alignment horizontal="center" vertical="center"/>
    </xf>
    <xf numFmtId="0" fontId="11" fillId="0" borderId="13" xfId="0" applyFont="1" applyBorder="1" applyAlignment="1">
      <alignment horizontal="center" vertical="center"/>
    </xf>
    <xf numFmtId="0" fontId="12" fillId="13" borderId="16" xfId="0" applyFont="1" applyFill="1" applyBorder="1" applyAlignment="1">
      <alignment horizontal="center" vertical="center"/>
    </xf>
    <xf numFmtId="0" fontId="12" fillId="13" borderId="22" xfId="0" applyFont="1" applyFill="1" applyBorder="1" applyAlignment="1">
      <alignment horizontal="center" vertical="center"/>
    </xf>
    <xf numFmtId="0" fontId="12" fillId="0" borderId="10" xfId="0" applyFont="1" applyBorder="1" applyAlignment="1">
      <alignment horizontal="center" vertical="center"/>
    </xf>
    <xf numFmtId="0" fontId="12" fillId="0" borderId="14" xfId="0" applyFont="1" applyBorder="1" applyAlignment="1">
      <alignment horizontal="center" vertical="center"/>
    </xf>
    <xf numFmtId="0" fontId="15" fillId="2" borderId="8" xfId="0" applyFont="1" applyFill="1" applyBorder="1" applyAlignment="1">
      <alignment horizontal="left" vertical="center"/>
    </xf>
    <xf numFmtId="0" fontId="15" fillId="2" borderId="9"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0" xfId="0" applyFont="1" applyFill="1" applyAlignment="1">
      <alignment horizontal="left" vertical="center"/>
    </xf>
    <xf numFmtId="0" fontId="15" fillId="2" borderId="13" xfId="0" applyFont="1" applyFill="1" applyBorder="1" applyAlignment="1">
      <alignment horizontal="left" vertical="center"/>
    </xf>
    <xf numFmtId="0" fontId="15" fillId="2" borderId="2" xfId="0" applyFont="1" applyFill="1" applyBorder="1" applyAlignment="1">
      <alignment horizontal="left" vertical="center"/>
    </xf>
    <xf numFmtId="0" fontId="11" fillId="0" borderId="17"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2" fillId="8" borderId="35" xfId="0" applyFont="1" applyFill="1" applyBorder="1" applyAlignment="1">
      <alignment horizontal="center" vertical="center" wrapText="1"/>
    </xf>
    <xf numFmtId="0" fontId="12" fillId="8" borderId="37" xfId="0" applyFont="1" applyFill="1" applyBorder="1" applyAlignment="1">
      <alignment horizontal="center" vertical="center"/>
    </xf>
    <xf numFmtId="0" fontId="12" fillId="13" borderId="35" xfId="0" applyFont="1" applyFill="1" applyBorder="1" applyAlignment="1">
      <alignment horizontal="center" vertical="center"/>
    </xf>
    <xf numFmtId="0" fontId="12" fillId="13" borderId="37" xfId="0" applyFont="1" applyFill="1" applyBorder="1" applyAlignment="1">
      <alignment horizontal="center" vertical="center"/>
    </xf>
    <xf numFmtId="0" fontId="12" fillId="0" borderId="17" xfId="0" applyFont="1" applyBorder="1" applyAlignment="1">
      <alignment horizontal="center"/>
    </xf>
    <xf numFmtId="0" fontId="12" fillId="0" borderId="18" xfId="0" applyFont="1" applyBorder="1" applyAlignment="1">
      <alignment horizontal="center"/>
    </xf>
    <xf numFmtId="0" fontId="12" fillId="0" borderId="19" xfId="0" applyFont="1" applyBorder="1" applyAlignment="1">
      <alignment horizont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cellXfs>
  <cellStyles count="15">
    <cellStyle name="20% - Accent1" xfId="9" builtinId="30"/>
    <cellStyle name="Bad 16" xfId="5" xr:uid="{621D1FE3-CDF2-4C2C-A887-57F4D3C08268}"/>
    <cellStyle name="Hyperlink" xfId="8" builtinId="8"/>
    <cellStyle name="Normal" xfId="0" builtinId="0"/>
    <cellStyle name="Normal 10 10 12" xfId="6" xr:uid="{8C683204-5707-4F7C-97B5-C01CC408A924}"/>
    <cellStyle name="Normal 14 2" xfId="13" xr:uid="{D4A7FA92-C4F2-4E4F-BDE4-535188CDB49F}"/>
    <cellStyle name="Normal 2" xfId="10" xr:uid="{6E6C049C-1D5D-46E9-9B89-7EF6CAF08BD9}"/>
    <cellStyle name="Normal 3" xfId="3" xr:uid="{AE549749-DFFD-45F1-894D-D307BA99A3A9}"/>
    <cellStyle name="Normal 4" xfId="2" xr:uid="{DAF0AB52-AF5F-46CE-AE1C-D4FC09C3536E}"/>
    <cellStyle name="Normal 56" xfId="4" xr:uid="{4863EF75-E0BB-4E89-960E-53FAB9315769}"/>
    <cellStyle name="Normal_HAP emissions" xfId="12" xr:uid="{B9B0431E-1C81-4021-939A-502698D56CF9}"/>
    <cellStyle name="Normal_Sheet1" xfId="14" xr:uid="{2716E50D-1173-4552-B6CE-2289D68F3D48}"/>
    <cellStyle name="Normal_Turbine-SCR" xfId="11" xr:uid="{B5E21F31-B452-4F07-96B8-CF211CAE5842}"/>
    <cellStyle name="Percent" xfId="1" builtinId="5"/>
    <cellStyle name="Percent 2" xfId="7" xr:uid="{8DD3A090-807E-4407-90BD-716D560AD1D7}"/>
  </cellStyles>
  <dxfs count="5">
    <dxf>
      <fill>
        <patternFill patternType="gray125">
          <fgColor auto="1"/>
          <bgColor rgb="FFFFE07D"/>
        </patternFill>
      </fill>
    </dxf>
    <dxf>
      <fill>
        <patternFill patternType="gray125">
          <fgColor auto="1"/>
          <bgColor rgb="FFFFE07D"/>
        </patternFill>
      </fill>
    </dxf>
    <dxf>
      <font>
        <color rgb="FF9C0006"/>
      </font>
      <fill>
        <patternFill>
          <bgColor rgb="FFFFC7CE"/>
        </patternFill>
      </fill>
    </dxf>
    <dxf>
      <font>
        <color rgb="FFA50021"/>
      </font>
    </dxf>
    <dxf>
      <fill>
        <patternFill patternType="solid">
          <bgColor rgb="FFFFFF00"/>
        </patternFill>
      </fill>
    </dxf>
  </dxfs>
  <tableStyles count="0" defaultTableStyle="TableStyleMedium2" defaultPivotStyle="PivotStyleLight16"/>
  <colors>
    <mruColors>
      <color rgb="FFD2D5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19049</xdr:colOff>
      <xdr:row>123</xdr:row>
      <xdr:rowOff>57148</xdr:rowOff>
    </xdr:from>
    <xdr:to>
      <xdr:col>2</xdr:col>
      <xdr:colOff>2695575</xdr:colOff>
      <xdr:row>141</xdr:row>
      <xdr:rowOff>133349</xdr:rowOff>
    </xdr:to>
    <xdr:grpSp>
      <xdr:nvGrpSpPr>
        <xdr:cNvPr id="9" name="Group 8">
          <a:extLst>
            <a:ext uri="{FF2B5EF4-FFF2-40B4-BE49-F238E27FC236}">
              <a16:creationId xmlns:a16="http://schemas.microsoft.com/office/drawing/2014/main" id="{F282DFF7-71CF-071A-DF7E-6CC7A70E9658}"/>
            </a:ext>
          </a:extLst>
        </xdr:cNvPr>
        <xdr:cNvGrpSpPr/>
      </xdr:nvGrpSpPr>
      <xdr:grpSpPr>
        <a:xfrm>
          <a:off x="288924" y="23028273"/>
          <a:ext cx="5915026" cy="3219451"/>
          <a:chOff x="11811000" y="21859875"/>
          <a:chExt cx="3865747" cy="2266950"/>
        </a:xfrm>
      </xdr:grpSpPr>
      <xdr:pic>
        <xdr:nvPicPr>
          <xdr:cNvPr id="3" name="Picture 2">
            <a:extLst>
              <a:ext uri="{FF2B5EF4-FFF2-40B4-BE49-F238E27FC236}">
                <a16:creationId xmlns:a16="http://schemas.microsoft.com/office/drawing/2014/main" id="{03F808E5-339D-C72F-7A9A-C8E9CC5D49F8}"/>
              </a:ext>
            </a:extLst>
          </xdr:cNvPr>
          <xdr:cNvPicPr>
            <a:picLocks noChangeAspect="1"/>
          </xdr:cNvPicPr>
        </xdr:nvPicPr>
        <xdr:blipFill>
          <a:blip xmlns:r="http://schemas.openxmlformats.org/officeDocument/2006/relationships" r:embed="rId1"/>
          <a:stretch>
            <a:fillRect/>
          </a:stretch>
        </xdr:blipFill>
        <xdr:spPr>
          <a:xfrm>
            <a:off x="11811000" y="21859875"/>
            <a:ext cx="3865747" cy="2266950"/>
          </a:xfrm>
          <a:prstGeom prst="rect">
            <a:avLst/>
          </a:prstGeom>
        </xdr:spPr>
      </xdr:pic>
      <xdr:sp macro="" textlink="">
        <xdr:nvSpPr>
          <xdr:cNvPr id="6" name="Oval 5">
            <a:extLst>
              <a:ext uri="{FF2B5EF4-FFF2-40B4-BE49-F238E27FC236}">
                <a16:creationId xmlns:a16="http://schemas.microsoft.com/office/drawing/2014/main" id="{21E15638-ED4D-FF10-9FF8-477922B09D88}"/>
              </a:ext>
            </a:extLst>
          </xdr:cNvPr>
          <xdr:cNvSpPr/>
        </xdr:nvSpPr>
        <xdr:spPr>
          <a:xfrm>
            <a:off x="12617450" y="22374225"/>
            <a:ext cx="590550" cy="1133474"/>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3</xdr:col>
      <xdr:colOff>66675</xdr:colOff>
      <xdr:row>123</xdr:row>
      <xdr:rowOff>38099</xdr:rowOff>
    </xdr:from>
    <xdr:to>
      <xdr:col>5</xdr:col>
      <xdr:colOff>1266824</xdr:colOff>
      <xdr:row>141</xdr:row>
      <xdr:rowOff>107949</xdr:rowOff>
    </xdr:to>
    <xdr:grpSp>
      <xdr:nvGrpSpPr>
        <xdr:cNvPr id="8" name="Group 7">
          <a:extLst>
            <a:ext uri="{FF2B5EF4-FFF2-40B4-BE49-F238E27FC236}">
              <a16:creationId xmlns:a16="http://schemas.microsoft.com/office/drawing/2014/main" id="{BBAE0D0D-751A-52DE-F939-7313D08E48FA}"/>
            </a:ext>
          </a:extLst>
        </xdr:cNvPr>
        <xdr:cNvGrpSpPr/>
      </xdr:nvGrpSpPr>
      <xdr:grpSpPr>
        <a:xfrm>
          <a:off x="6305550" y="23009224"/>
          <a:ext cx="5248274" cy="3213100"/>
          <a:chOff x="11811000" y="24212550"/>
          <a:chExt cx="4181690" cy="2914800"/>
        </a:xfrm>
      </xdr:grpSpPr>
      <xdr:pic>
        <xdr:nvPicPr>
          <xdr:cNvPr id="4" name="Picture 3">
            <a:extLst>
              <a:ext uri="{FF2B5EF4-FFF2-40B4-BE49-F238E27FC236}">
                <a16:creationId xmlns:a16="http://schemas.microsoft.com/office/drawing/2014/main" id="{148674E1-6466-3B73-E939-A6F8A9058A3D}"/>
              </a:ext>
            </a:extLst>
          </xdr:cNvPr>
          <xdr:cNvPicPr>
            <a:picLocks noChangeAspect="1"/>
          </xdr:cNvPicPr>
        </xdr:nvPicPr>
        <xdr:blipFill>
          <a:blip xmlns:r="http://schemas.openxmlformats.org/officeDocument/2006/relationships" r:embed="rId2"/>
          <a:stretch>
            <a:fillRect/>
          </a:stretch>
        </xdr:blipFill>
        <xdr:spPr>
          <a:xfrm>
            <a:off x="11811000" y="24212550"/>
            <a:ext cx="4181690" cy="2914800"/>
          </a:xfrm>
          <a:prstGeom prst="rect">
            <a:avLst/>
          </a:prstGeom>
        </xdr:spPr>
      </xdr:pic>
      <xdr:sp macro="" textlink="">
        <xdr:nvSpPr>
          <xdr:cNvPr id="7" name="Oval 6">
            <a:extLst>
              <a:ext uri="{FF2B5EF4-FFF2-40B4-BE49-F238E27FC236}">
                <a16:creationId xmlns:a16="http://schemas.microsoft.com/office/drawing/2014/main" id="{6CA01B60-51A7-43AF-8F69-6D4880E931E4}"/>
              </a:ext>
            </a:extLst>
          </xdr:cNvPr>
          <xdr:cNvSpPr/>
        </xdr:nvSpPr>
        <xdr:spPr>
          <a:xfrm>
            <a:off x="12731750" y="25193624"/>
            <a:ext cx="603250" cy="130492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9</xdr:col>
      <xdr:colOff>38100</xdr:colOff>
      <xdr:row>123</xdr:row>
      <xdr:rowOff>66675</xdr:rowOff>
    </xdr:from>
    <xdr:to>
      <xdr:col>11</xdr:col>
      <xdr:colOff>1095375</xdr:colOff>
      <xdr:row>141</xdr:row>
      <xdr:rowOff>152400</xdr:rowOff>
    </xdr:to>
    <xdr:grpSp>
      <xdr:nvGrpSpPr>
        <xdr:cNvPr id="16" name="Group 15">
          <a:extLst>
            <a:ext uri="{FF2B5EF4-FFF2-40B4-BE49-F238E27FC236}">
              <a16:creationId xmlns:a16="http://schemas.microsoft.com/office/drawing/2014/main" id="{DBEF39CF-4E47-4AC7-18F5-1CCCB3F2A45A}"/>
            </a:ext>
          </a:extLst>
        </xdr:cNvPr>
        <xdr:cNvGrpSpPr/>
      </xdr:nvGrpSpPr>
      <xdr:grpSpPr>
        <a:xfrm>
          <a:off x="17500600" y="23037800"/>
          <a:ext cx="5073650" cy="3228975"/>
          <a:chOff x="15817850" y="21859875"/>
          <a:chExt cx="4614916" cy="3295650"/>
        </a:xfrm>
      </xdr:grpSpPr>
      <xdr:pic>
        <xdr:nvPicPr>
          <xdr:cNvPr id="10" name="Picture 9">
            <a:extLst>
              <a:ext uri="{FF2B5EF4-FFF2-40B4-BE49-F238E27FC236}">
                <a16:creationId xmlns:a16="http://schemas.microsoft.com/office/drawing/2014/main" id="{BC721E5D-D5FA-5617-4485-2A3EF29E9857}"/>
              </a:ext>
            </a:extLst>
          </xdr:cNvPr>
          <xdr:cNvPicPr>
            <a:picLocks noChangeAspect="1"/>
          </xdr:cNvPicPr>
        </xdr:nvPicPr>
        <xdr:blipFill>
          <a:blip xmlns:r="http://schemas.openxmlformats.org/officeDocument/2006/relationships" r:embed="rId3"/>
          <a:stretch>
            <a:fillRect/>
          </a:stretch>
        </xdr:blipFill>
        <xdr:spPr>
          <a:xfrm>
            <a:off x="15817850" y="21859875"/>
            <a:ext cx="4614916" cy="3295650"/>
          </a:xfrm>
          <a:prstGeom prst="rect">
            <a:avLst/>
          </a:prstGeom>
        </xdr:spPr>
      </xdr:pic>
      <xdr:sp macro="" textlink="">
        <xdr:nvSpPr>
          <xdr:cNvPr id="13" name="Oval 12">
            <a:extLst>
              <a:ext uri="{FF2B5EF4-FFF2-40B4-BE49-F238E27FC236}">
                <a16:creationId xmlns:a16="http://schemas.microsoft.com/office/drawing/2014/main" id="{CE8C47A1-0EB8-E141-15B9-33E7194B61F6}"/>
              </a:ext>
            </a:extLst>
          </xdr:cNvPr>
          <xdr:cNvSpPr/>
        </xdr:nvSpPr>
        <xdr:spPr>
          <a:xfrm>
            <a:off x="16725900" y="22679025"/>
            <a:ext cx="962025" cy="190182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6</xdr:col>
      <xdr:colOff>92076</xdr:colOff>
      <xdr:row>123</xdr:row>
      <xdr:rowOff>66674</xdr:rowOff>
    </xdr:from>
    <xdr:to>
      <xdr:col>8</xdr:col>
      <xdr:colOff>1524000</xdr:colOff>
      <xdr:row>141</xdr:row>
      <xdr:rowOff>126999</xdr:rowOff>
    </xdr:to>
    <xdr:grpSp>
      <xdr:nvGrpSpPr>
        <xdr:cNvPr id="15" name="Group 14">
          <a:extLst>
            <a:ext uri="{FF2B5EF4-FFF2-40B4-BE49-F238E27FC236}">
              <a16:creationId xmlns:a16="http://schemas.microsoft.com/office/drawing/2014/main" id="{4ADAE535-D824-B2FA-7DEF-32F3EEE3D005}"/>
            </a:ext>
          </a:extLst>
        </xdr:cNvPr>
        <xdr:cNvGrpSpPr/>
      </xdr:nvGrpSpPr>
      <xdr:grpSpPr>
        <a:xfrm>
          <a:off x="12030076" y="23037799"/>
          <a:ext cx="5337174" cy="3203575"/>
          <a:chOff x="20450175" y="21904325"/>
          <a:chExt cx="5026306" cy="3242285"/>
        </a:xfrm>
      </xdr:grpSpPr>
      <xdr:pic>
        <xdr:nvPicPr>
          <xdr:cNvPr id="11" name="Picture 10">
            <a:extLst>
              <a:ext uri="{FF2B5EF4-FFF2-40B4-BE49-F238E27FC236}">
                <a16:creationId xmlns:a16="http://schemas.microsoft.com/office/drawing/2014/main" id="{48538615-70DF-231A-D8F2-5E4779D937E9}"/>
              </a:ext>
            </a:extLst>
          </xdr:cNvPr>
          <xdr:cNvPicPr>
            <a:picLocks noChangeAspect="1"/>
          </xdr:cNvPicPr>
        </xdr:nvPicPr>
        <xdr:blipFill>
          <a:blip xmlns:r="http://schemas.openxmlformats.org/officeDocument/2006/relationships" r:embed="rId4"/>
          <a:stretch>
            <a:fillRect/>
          </a:stretch>
        </xdr:blipFill>
        <xdr:spPr>
          <a:xfrm>
            <a:off x="20450175" y="21904325"/>
            <a:ext cx="5026306" cy="3242285"/>
          </a:xfrm>
          <a:prstGeom prst="rect">
            <a:avLst/>
          </a:prstGeom>
        </xdr:spPr>
      </xdr:pic>
      <xdr:sp macro="" textlink="">
        <xdr:nvSpPr>
          <xdr:cNvPr id="14" name="Oval 13">
            <a:extLst>
              <a:ext uri="{FF2B5EF4-FFF2-40B4-BE49-F238E27FC236}">
                <a16:creationId xmlns:a16="http://schemas.microsoft.com/office/drawing/2014/main" id="{32BAE44D-F477-4A3A-B99B-7F5AD7ED62B9}"/>
              </a:ext>
            </a:extLst>
          </xdr:cNvPr>
          <xdr:cNvSpPr/>
        </xdr:nvSpPr>
        <xdr:spPr>
          <a:xfrm>
            <a:off x="21669375" y="22755225"/>
            <a:ext cx="914400" cy="181927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85224</xdr:colOff>
      <xdr:row>144</xdr:row>
      <xdr:rowOff>57485</xdr:rowOff>
    </xdr:from>
    <xdr:to>
      <xdr:col>3</xdr:col>
      <xdr:colOff>38936</xdr:colOff>
      <xdr:row>160</xdr:row>
      <xdr:rowOff>166834</xdr:rowOff>
    </xdr:to>
    <xdr:grpSp>
      <xdr:nvGrpSpPr>
        <xdr:cNvPr id="21" name="Group 20">
          <a:extLst>
            <a:ext uri="{FF2B5EF4-FFF2-40B4-BE49-F238E27FC236}">
              <a16:creationId xmlns:a16="http://schemas.microsoft.com/office/drawing/2014/main" id="{49CAA483-1A7C-857A-516E-602E325321F9}"/>
            </a:ext>
          </a:extLst>
        </xdr:cNvPr>
        <xdr:cNvGrpSpPr/>
      </xdr:nvGrpSpPr>
      <xdr:grpSpPr>
        <a:xfrm>
          <a:off x="355099" y="26695735"/>
          <a:ext cx="5922712" cy="2903349"/>
          <a:chOff x="352425" y="26108025"/>
          <a:chExt cx="6067425" cy="3007288"/>
        </a:xfrm>
      </xdr:grpSpPr>
      <xdr:pic>
        <xdr:nvPicPr>
          <xdr:cNvPr id="17" name="Picture 16">
            <a:extLst>
              <a:ext uri="{FF2B5EF4-FFF2-40B4-BE49-F238E27FC236}">
                <a16:creationId xmlns:a16="http://schemas.microsoft.com/office/drawing/2014/main" id="{83EC0FBC-07C0-8816-50A1-D48991D6A072}"/>
              </a:ext>
            </a:extLst>
          </xdr:cNvPr>
          <xdr:cNvPicPr>
            <a:picLocks noChangeAspect="1"/>
          </xdr:cNvPicPr>
        </xdr:nvPicPr>
        <xdr:blipFill rotWithShape="1">
          <a:blip xmlns:r="http://schemas.openxmlformats.org/officeDocument/2006/relationships" r:embed="rId5"/>
          <a:srcRect t="5676"/>
          <a:stretch>
            <a:fillRect/>
          </a:stretch>
        </xdr:blipFill>
        <xdr:spPr>
          <a:xfrm>
            <a:off x="352425" y="26108025"/>
            <a:ext cx="6067425" cy="3007288"/>
          </a:xfrm>
          <a:prstGeom prst="rect">
            <a:avLst/>
          </a:prstGeom>
        </xdr:spPr>
      </xdr:pic>
      <xdr:sp macro="" textlink="">
        <xdr:nvSpPr>
          <xdr:cNvPr id="18" name="Oval 17">
            <a:extLst>
              <a:ext uri="{FF2B5EF4-FFF2-40B4-BE49-F238E27FC236}">
                <a16:creationId xmlns:a16="http://schemas.microsoft.com/office/drawing/2014/main" id="{FB7324C0-451E-3656-0230-29F301C4BF65}"/>
              </a:ext>
            </a:extLst>
          </xdr:cNvPr>
          <xdr:cNvSpPr/>
        </xdr:nvSpPr>
        <xdr:spPr>
          <a:xfrm>
            <a:off x="1276350" y="27473274"/>
            <a:ext cx="1933575" cy="69215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3</xdr:col>
      <xdr:colOff>47625</xdr:colOff>
      <xdr:row>144</xdr:row>
      <xdr:rowOff>76200</xdr:rowOff>
    </xdr:from>
    <xdr:to>
      <xdr:col>5</xdr:col>
      <xdr:colOff>1428750</xdr:colOff>
      <xdr:row>161</xdr:row>
      <xdr:rowOff>47625</xdr:rowOff>
    </xdr:to>
    <xdr:grpSp>
      <xdr:nvGrpSpPr>
        <xdr:cNvPr id="22" name="Group 21">
          <a:extLst>
            <a:ext uri="{FF2B5EF4-FFF2-40B4-BE49-F238E27FC236}">
              <a16:creationId xmlns:a16="http://schemas.microsoft.com/office/drawing/2014/main" id="{FB68BCEA-2A19-86A7-8D9E-C5BAF232686E}"/>
            </a:ext>
          </a:extLst>
        </xdr:cNvPr>
        <xdr:cNvGrpSpPr/>
      </xdr:nvGrpSpPr>
      <xdr:grpSpPr>
        <a:xfrm>
          <a:off x="6286500" y="26714450"/>
          <a:ext cx="5429250" cy="2940050"/>
          <a:chOff x="6800850" y="26000075"/>
          <a:chExt cx="5629275" cy="3051175"/>
        </a:xfrm>
      </xdr:grpSpPr>
      <xdr:pic>
        <xdr:nvPicPr>
          <xdr:cNvPr id="19" name="Picture 18">
            <a:extLst>
              <a:ext uri="{FF2B5EF4-FFF2-40B4-BE49-F238E27FC236}">
                <a16:creationId xmlns:a16="http://schemas.microsoft.com/office/drawing/2014/main" id="{DCF49B78-CC2C-BECE-C023-649735871456}"/>
              </a:ext>
            </a:extLst>
          </xdr:cNvPr>
          <xdr:cNvPicPr>
            <a:picLocks noChangeAspect="1"/>
          </xdr:cNvPicPr>
        </xdr:nvPicPr>
        <xdr:blipFill rotWithShape="1">
          <a:blip xmlns:r="http://schemas.openxmlformats.org/officeDocument/2006/relationships" r:embed="rId6"/>
          <a:srcRect l="4387" t="2834" r="2967"/>
          <a:stretch>
            <a:fillRect/>
          </a:stretch>
        </xdr:blipFill>
        <xdr:spPr>
          <a:xfrm>
            <a:off x="6800850" y="26000075"/>
            <a:ext cx="5629275" cy="3051175"/>
          </a:xfrm>
          <a:prstGeom prst="rect">
            <a:avLst/>
          </a:prstGeom>
        </xdr:spPr>
      </xdr:pic>
      <xdr:sp macro="" textlink="">
        <xdr:nvSpPr>
          <xdr:cNvPr id="20" name="Oval 19">
            <a:extLst>
              <a:ext uri="{FF2B5EF4-FFF2-40B4-BE49-F238E27FC236}">
                <a16:creationId xmlns:a16="http://schemas.microsoft.com/office/drawing/2014/main" id="{19EDAFEA-EEFA-4D7D-871C-D96265D5F9EE}"/>
              </a:ext>
            </a:extLst>
          </xdr:cNvPr>
          <xdr:cNvSpPr/>
        </xdr:nvSpPr>
        <xdr:spPr>
          <a:xfrm>
            <a:off x="7664450" y="27428825"/>
            <a:ext cx="1936750" cy="63817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9</xdr:col>
      <xdr:colOff>73025</xdr:colOff>
      <xdr:row>144</xdr:row>
      <xdr:rowOff>66675</xdr:rowOff>
    </xdr:from>
    <xdr:to>
      <xdr:col>11</xdr:col>
      <xdr:colOff>1162050</xdr:colOff>
      <xdr:row>161</xdr:row>
      <xdr:rowOff>57150</xdr:rowOff>
    </xdr:to>
    <xdr:grpSp>
      <xdr:nvGrpSpPr>
        <xdr:cNvPr id="28" name="Group 27">
          <a:extLst>
            <a:ext uri="{FF2B5EF4-FFF2-40B4-BE49-F238E27FC236}">
              <a16:creationId xmlns:a16="http://schemas.microsoft.com/office/drawing/2014/main" id="{36690E93-A48B-A557-B706-94D8CC2EE199}"/>
            </a:ext>
          </a:extLst>
        </xdr:cNvPr>
        <xdr:cNvGrpSpPr/>
      </xdr:nvGrpSpPr>
      <xdr:grpSpPr>
        <a:xfrm>
          <a:off x="17535525" y="26704925"/>
          <a:ext cx="5105400" cy="2959100"/>
          <a:chOff x="17799050" y="25908000"/>
          <a:chExt cx="5289550" cy="3067050"/>
        </a:xfrm>
      </xdr:grpSpPr>
      <xdr:pic>
        <xdr:nvPicPr>
          <xdr:cNvPr id="23" name="Picture 22">
            <a:extLst>
              <a:ext uri="{FF2B5EF4-FFF2-40B4-BE49-F238E27FC236}">
                <a16:creationId xmlns:a16="http://schemas.microsoft.com/office/drawing/2014/main" id="{FEBEFB80-0909-DA09-05EF-37936E2DBEAC}"/>
              </a:ext>
            </a:extLst>
          </xdr:cNvPr>
          <xdr:cNvPicPr>
            <a:picLocks noChangeAspect="1"/>
          </xdr:cNvPicPr>
        </xdr:nvPicPr>
        <xdr:blipFill rotWithShape="1">
          <a:blip xmlns:r="http://schemas.openxmlformats.org/officeDocument/2006/relationships" r:embed="rId7"/>
          <a:srcRect l="8290" r="6558"/>
          <a:stretch>
            <a:fillRect/>
          </a:stretch>
        </xdr:blipFill>
        <xdr:spPr>
          <a:xfrm>
            <a:off x="17799050" y="25908000"/>
            <a:ext cx="5289550" cy="3067050"/>
          </a:xfrm>
          <a:prstGeom prst="rect">
            <a:avLst/>
          </a:prstGeom>
        </xdr:spPr>
      </xdr:pic>
      <xdr:sp macro="" textlink="">
        <xdr:nvSpPr>
          <xdr:cNvPr id="24" name="Oval 23">
            <a:extLst>
              <a:ext uri="{FF2B5EF4-FFF2-40B4-BE49-F238E27FC236}">
                <a16:creationId xmlns:a16="http://schemas.microsoft.com/office/drawing/2014/main" id="{A43C5743-131D-55B9-0BDD-9E8501900BF4}"/>
              </a:ext>
            </a:extLst>
          </xdr:cNvPr>
          <xdr:cNvSpPr/>
        </xdr:nvSpPr>
        <xdr:spPr>
          <a:xfrm>
            <a:off x="18145125" y="27136725"/>
            <a:ext cx="2381250" cy="108267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5</xdr:col>
      <xdr:colOff>1639468</xdr:colOff>
      <xdr:row>144</xdr:row>
      <xdr:rowOff>101600</xdr:rowOff>
    </xdr:from>
    <xdr:to>
      <xdr:col>8</xdr:col>
      <xdr:colOff>1556584</xdr:colOff>
      <xdr:row>161</xdr:row>
      <xdr:rowOff>15875</xdr:rowOff>
    </xdr:to>
    <xdr:grpSp>
      <xdr:nvGrpSpPr>
        <xdr:cNvPr id="27" name="Group 26">
          <a:extLst>
            <a:ext uri="{FF2B5EF4-FFF2-40B4-BE49-F238E27FC236}">
              <a16:creationId xmlns:a16="http://schemas.microsoft.com/office/drawing/2014/main" id="{C4DC17BD-79B5-3353-7925-5E8DC97DB10D}"/>
            </a:ext>
          </a:extLst>
        </xdr:cNvPr>
        <xdr:cNvGrpSpPr/>
      </xdr:nvGrpSpPr>
      <xdr:grpSpPr>
        <a:xfrm>
          <a:off x="11926468" y="26739850"/>
          <a:ext cx="5473366" cy="2882900"/>
          <a:chOff x="12338049" y="25942925"/>
          <a:chExt cx="5311775" cy="2990850"/>
        </a:xfrm>
      </xdr:grpSpPr>
      <xdr:pic>
        <xdr:nvPicPr>
          <xdr:cNvPr id="25" name="Picture 24">
            <a:extLst>
              <a:ext uri="{FF2B5EF4-FFF2-40B4-BE49-F238E27FC236}">
                <a16:creationId xmlns:a16="http://schemas.microsoft.com/office/drawing/2014/main" id="{9191651C-D44F-649E-9B31-41E54EE4FDA6}"/>
              </a:ext>
            </a:extLst>
          </xdr:cNvPr>
          <xdr:cNvPicPr>
            <a:picLocks noChangeAspect="1"/>
          </xdr:cNvPicPr>
        </xdr:nvPicPr>
        <xdr:blipFill rotWithShape="1">
          <a:blip xmlns:r="http://schemas.openxmlformats.org/officeDocument/2006/relationships" r:embed="rId8"/>
          <a:srcRect l="7718" r="10034" b="6267"/>
          <a:stretch>
            <a:fillRect/>
          </a:stretch>
        </xdr:blipFill>
        <xdr:spPr>
          <a:xfrm>
            <a:off x="12338049" y="25942925"/>
            <a:ext cx="5311775" cy="2990850"/>
          </a:xfrm>
          <a:prstGeom prst="rect">
            <a:avLst/>
          </a:prstGeom>
        </xdr:spPr>
      </xdr:pic>
      <xdr:sp macro="" textlink="">
        <xdr:nvSpPr>
          <xdr:cNvPr id="26" name="Oval 25">
            <a:extLst>
              <a:ext uri="{FF2B5EF4-FFF2-40B4-BE49-F238E27FC236}">
                <a16:creationId xmlns:a16="http://schemas.microsoft.com/office/drawing/2014/main" id="{A3A262BB-E888-4E32-9846-DE7610540E9A}"/>
              </a:ext>
            </a:extLst>
          </xdr:cNvPr>
          <xdr:cNvSpPr/>
        </xdr:nvSpPr>
        <xdr:spPr>
          <a:xfrm>
            <a:off x="12760325" y="27203400"/>
            <a:ext cx="2384425" cy="108267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A6506C3F-B860-4FA0-855E-347EFE97953E}"/>
            </a:ext>
          </a:extLst>
        </xdr:cNvPr>
        <xdr:cNvSpPr txBox="1"/>
      </xdr:nvSpPr>
      <xdr:spPr>
        <a:xfrm>
          <a:off x="82550"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BA4FD9BA-5E3E-40B5-9683-8B4871F08793}"/>
            </a:ext>
          </a:extLst>
        </xdr:cNvPr>
        <xdr:cNvSpPr txBox="1"/>
      </xdr:nvSpPr>
      <xdr:spPr>
        <a:xfrm>
          <a:off x="8341361" y="88265"/>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A9DB2DBB-87FA-4733-AE07-DD766FDA5001}"/>
            </a:ext>
          </a:extLst>
        </xdr:cNvPr>
        <xdr:cNvSpPr txBox="1"/>
      </xdr:nvSpPr>
      <xdr:spPr>
        <a:xfrm>
          <a:off x="69849" y="82550"/>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80EF4F95-DFD0-4D36-A564-A77531C4DDFC}"/>
            </a:ext>
          </a:extLst>
        </xdr:cNvPr>
        <xdr:cNvSpPr txBox="1"/>
      </xdr:nvSpPr>
      <xdr:spPr>
        <a:xfrm>
          <a:off x="12162155"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B3E59D9D-B358-4AAB-B337-052799CFEF3D}"/>
            </a:ext>
          </a:extLst>
        </xdr:cNvPr>
        <xdr:cNvSpPr txBox="1"/>
      </xdr:nvSpPr>
      <xdr:spPr>
        <a:xfrm>
          <a:off x="82550" y="101600"/>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DB5D117D-0DD9-4A4B-A9A0-4BFBE710EA58}"/>
            </a:ext>
          </a:extLst>
        </xdr:cNvPr>
        <xdr:cNvSpPr txBox="1"/>
      </xdr:nvSpPr>
      <xdr:spPr>
        <a:xfrm>
          <a:off x="9455785"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8239125" cy="1504950"/>
    <xdr:sp macro="" textlink="">
      <xdr:nvSpPr>
        <xdr:cNvPr id="5" name="TextBox 1">
          <a:extLst>
            <a:ext uri="{FF2B5EF4-FFF2-40B4-BE49-F238E27FC236}">
              <a16:creationId xmlns:a16="http://schemas.microsoft.com/office/drawing/2014/main" id="{DF1C3E00-2CAB-4A87-945E-B5EAD91768BA}"/>
            </a:ext>
          </a:extLst>
        </xdr:cNvPr>
        <xdr:cNvSpPr txBox="1"/>
      </xdr:nvSpPr>
      <xdr:spPr>
        <a:xfrm>
          <a:off x="0" y="0"/>
          <a:ext cx="8239125" cy="1504950"/>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D98918C3-CF83-4179-AC4B-BBF6D3B4A0B6}"/>
            </a:ext>
          </a:extLst>
        </xdr:cNvPr>
        <xdr:cNvSpPr txBox="1"/>
      </xdr:nvSpPr>
      <xdr:spPr>
        <a:xfrm>
          <a:off x="10450195" y="48260"/>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xdr:col>
      <xdr:colOff>222250</xdr:colOff>
      <xdr:row>5</xdr:row>
      <xdr:rowOff>82550</xdr:rowOff>
    </xdr:from>
    <xdr:to>
      <xdr:col>7</xdr:col>
      <xdr:colOff>180340</xdr:colOff>
      <xdr:row>8</xdr:row>
      <xdr:rowOff>105723</xdr:rowOff>
    </xdr:to>
    <xdr:sp macro="" textlink="">
      <xdr:nvSpPr>
        <xdr:cNvPr id="2" name="TextBox 1">
          <a:extLst>
            <a:ext uri="{FF2B5EF4-FFF2-40B4-BE49-F238E27FC236}">
              <a16:creationId xmlns:a16="http://schemas.microsoft.com/office/drawing/2014/main" id="{A0DD8C91-F870-486D-8EE5-7E62F55834D0}"/>
            </a:ext>
          </a:extLst>
        </xdr:cNvPr>
        <xdr:cNvSpPr txBox="1"/>
      </xdr:nvSpPr>
      <xdr:spPr>
        <a:xfrm>
          <a:off x="5003800" y="8255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9.bin"/><Relationship Id="rId4" Type="http://schemas.openxmlformats.org/officeDocument/2006/relationships/comments" Target="../comments1.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0.bin"/><Relationship Id="rId4" Type="http://schemas.openxmlformats.org/officeDocument/2006/relationships/comments" Target="../comments2.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21.bin"/><Relationship Id="rId4" Type="http://schemas.openxmlformats.org/officeDocument/2006/relationships/comments" Target="../comments3.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1355A-9575-47F7-B307-F8917EE41E7A}">
  <dimension ref="A2:H12"/>
  <sheetViews>
    <sheetView zoomScaleNormal="100" workbookViewId="0">
      <selection activeCell="E28" sqref="E28"/>
    </sheetView>
  </sheetViews>
  <sheetFormatPr defaultColWidth="8.85546875" defaultRowHeight="12.75" x14ac:dyDescent="0.2"/>
  <cols>
    <col min="1" max="1" width="8.85546875" style="368"/>
    <col min="2" max="2" width="23.85546875" style="366" bestFit="1" customWidth="1"/>
    <col min="3" max="5" width="15.140625" style="369" customWidth="1"/>
    <col min="6" max="6" width="20.140625" style="369" customWidth="1"/>
    <col min="7" max="7" width="18.42578125" style="369" customWidth="1"/>
    <col min="8" max="8" width="15.140625" style="369" customWidth="1"/>
    <col min="9" max="10" width="8.85546875" style="368"/>
    <col min="11" max="11" width="10" style="368" bestFit="1" customWidth="1"/>
    <col min="12" max="16384" width="8.85546875" style="368"/>
  </cols>
  <sheetData>
    <row r="2" spans="1:8" x14ac:dyDescent="0.2">
      <c r="A2" s="355"/>
      <c r="B2" s="367" t="s">
        <v>0</v>
      </c>
    </row>
    <row r="3" spans="1:8" ht="14.25" x14ac:dyDescent="0.2">
      <c r="A3" s="355"/>
      <c r="B3" s="378" t="s">
        <v>1</v>
      </c>
      <c r="C3" s="370" t="s">
        <v>2</v>
      </c>
      <c r="D3" s="370" t="s">
        <v>3</v>
      </c>
      <c r="E3" s="370" t="s">
        <v>4</v>
      </c>
      <c r="F3" s="370" t="s">
        <v>5</v>
      </c>
      <c r="G3" s="370" t="s">
        <v>6</v>
      </c>
      <c r="H3" s="370" t="s">
        <v>4</v>
      </c>
    </row>
    <row r="4" spans="1:8" x14ac:dyDescent="0.2">
      <c r="A4" s="355"/>
      <c r="B4" s="379" t="s">
        <v>7</v>
      </c>
      <c r="C4" s="373">
        <v>173068</v>
      </c>
      <c r="D4" s="373">
        <v>408000</v>
      </c>
      <c r="E4" s="373" t="s">
        <v>8</v>
      </c>
      <c r="F4" s="380">
        <f>G4</f>
        <v>1117.8082191780823</v>
      </c>
      <c r="G4" s="380">
        <f>D4/365</f>
        <v>1117.8082191780823</v>
      </c>
      <c r="H4" s="373" t="s">
        <v>9</v>
      </c>
    </row>
    <row r="5" spans="1:8" x14ac:dyDescent="0.2">
      <c r="A5" s="355"/>
      <c r="B5" s="379" t="s">
        <v>10</v>
      </c>
      <c r="C5" s="373">
        <v>110989</v>
      </c>
      <c r="D5" s="373">
        <v>262800</v>
      </c>
      <c r="E5" s="373" t="s">
        <v>11</v>
      </c>
      <c r="F5" s="380">
        <f>G5</f>
        <v>800</v>
      </c>
      <c r="G5" s="373">
        <v>800</v>
      </c>
      <c r="H5" s="373" t="s">
        <v>12</v>
      </c>
    </row>
    <row r="6" spans="1:8" x14ac:dyDescent="0.2">
      <c r="A6" s="355"/>
      <c r="B6" s="379" t="s">
        <v>13</v>
      </c>
      <c r="C6" s="373">
        <v>110989</v>
      </c>
      <c r="D6" s="373">
        <v>262800</v>
      </c>
      <c r="E6" s="373" t="s">
        <v>11</v>
      </c>
      <c r="F6" s="380">
        <f t="shared" ref="F6:F7" si="0">G6</f>
        <v>800</v>
      </c>
      <c r="G6" s="373">
        <v>800</v>
      </c>
      <c r="H6" s="373" t="s">
        <v>12</v>
      </c>
    </row>
    <row r="7" spans="1:8" x14ac:dyDescent="0.2">
      <c r="A7" s="355"/>
      <c r="B7" s="379" t="s">
        <v>14</v>
      </c>
      <c r="C7" s="373">
        <v>110989</v>
      </c>
      <c r="D7" s="373">
        <v>262800</v>
      </c>
      <c r="E7" s="373" t="s">
        <v>11</v>
      </c>
      <c r="F7" s="380">
        <f t="shared" si="0"/>
        <v>800</v>
      </c>
      <c r="G7" s="373">
        <v>800</v>
      </c>
      <c r="H7" s="373" t="s">
        <v>12</v>
      </c>
    </row>
    <row r="8" spans="1:8" x14ac:dyDescent="0.2">
      <c r="A8" s="355"/>
      <c r="B8" s="381" t="s">
        <v>15</v>
      </c>
      <c r="C8" s="382">
        <f>C6</f>
        <v>110989</v>
      </c>
      <c r="D8" s="382">
        <v>262800</v>
      </c>
      <c r="E8" s="382" t="s">
        <v>11</v>
      </c>
      <c r="F8" s="383">
        <v>800</v>
      </c>
      <c r="G8" s="382">
        <v>800</v>
      </c>
      <c r="H8" s="382" t="s">
        <v>12</v>
      </c>
    </row>
    <row r="9" spans="1:8" x14ac:dyDescent="0.2">
      <c r="A9" s="355"/>
      <c r="B9" s="379" t="s">
        <v>16</v>
      </c>
      <c r="C9" s="373">
        <v>110989</v>
      </c>
      <c r="D9" s="373">
        <v>262800</v>
      </c>
      <c r="E9" s="373" t="s">
        <v>11</v>
      </c>
      <c r="F9" s="380">
        <v>800</v>
      </c>
      <c r="G9" s="373">
        <v>800</v>
      </c>
      <c r="H9" s="373" t="s">
        <v>12</v>
      </c>
    </row>
    <row r="10" spans="1:8" x14ac:dyDescent="0.2">
      <c r="A10" s="355"/>
      <c r="B10" s="379" t="s">
        <v>17</v>
      </c>
      <c r="C10" s="373">
        <f t="shared" ref="C10:H10" si="1">C4</f>
        <v>173068</v>
      </c>
      <c r="D10" s="373">
        <f t="shared" si="1"/>
        <v>408000</v>
      </c>
      <c r="E10" s="373" t="str">
        <f t="shared" si="1"/>
        <v>gal/year</v>
      </c>
      <c r="F10" s="380">
        <f t="shared" si="1"/>
        <v>1117.8082191780823</v>
      </c>
      <c r="G10" s="380">
        <f t="shared" si="1"/>
        <v>1117.8082191780823</v>
      </c>
      <c r="H10" s="373" t="str">
        <f t="shared" si="1"/>
        <v>gal/day</v>
      </c>
    </row>
    <row r="11" spans="1:8" ht="13.5" x14ac:dyDescent="0.2">
      <c r="A11" s="387">
        <v>1</v>
      </c>
      <c r="B11" s="364" t="s">
        <v>18</v>
      </c>
      <c r="C11" s="385"/>
      <c r="D11" s="385"/>
      <c r="E11" s="385"/>
      <c r="F11" s="386"/>
      <c r="G11" s="385"/>
      <c r="H11" s="385"/>
    </row>
    <row r="12" spans="1:8" x14ac:dyDescent="0.2">
      <c r="B12" s="368"/>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238E-B41F-4302-B18A-D023AA0B71A0}">
  <dimension ref="A1:S77"/>
  <sheetViews>
    <sheetView view="pageBreakPreview" zoomScale="60" zoomScaleNormal="100" workbookViewId="0"/>
  </sheetViews>
  <sheetFormatPr defaultColWidth="8.85546875" defaultRowHeight="12.75" x14ac:dyDescent="0.2"/>
  <cols>
    <col min="1" max="1" width="2.140625" style="355" customWidth="1"/>
    <col min="2" max="2" width="35.140625" style="355" customWidth="1"/>
    <col min="3" max="3" width="22.5703125" style="355" customWidth="1"/>
    <col min="4" max="4" width="18.7109375" style="355" customWidth="1"/>
    <col min="5" max="5" width="14.5703125" style="355" bestFit="1" customWidth="1"/>
    <col min="6" max="6" width="23.7109375" style="355" customWidth="1"/>
    <col min="7" max="7" width="23.140625" style="355" customWidth="1"/>
    <col min="8" max="8" width="31.7109375" style="355" customWidth="1"/>
    <col min="9" max="9" width="19.7109375" style="355" customWidth="1"/>
    <col min="10" max="10" width="16.7109375" style="355" customWidth="1"/>
    <col min="11" max="11" width="21.28515625" style="355" customWidth="1"/>
    <col min="12" max="12" width="35.140625" style="355" customWidth="1"/>
    <col min="13" max="13" width="19.5703125" style="355" customWidth="1"/>
    <col min="14" max="14" width="35.140625" style="355" customWidth="1"/>
    <col min="15" max="15" width="22.5703125" style="355" customWidth="1"/>
    <col min="16" max="16" width="16.5703125" style="355" customWidth="1"/>
    <col min="17" max="17" width="14.5703125" style="355" bestFit="1" customWidth="1"/>
    <col min="18" max="18" width="23.7109375" style="355" customWidth="1"/>
    <col min="19" max="19" width="8.85546875" style="355"/>
    <col min="20" max="16384" width="8.85546875" style="368"/>
  </cols>
  <sheetData>
    <row r="1" spans="1:19" x14ac:dyDescent="0.2">
      <c r="B1" s="480" t="s">
        <v>320</v>
      </c>
      <c r="C1" s="480"/>
    </row>
    <row r="2" spans="1:19" x14ac:dyDescent="0.2">
      <c r="B2" s="480" t="s">
        <v>321</v>
      </c>
    </row>
    <row r="3" spans="1:19" ht="34.5" customHeight="1" x14ac:dyDescent="0.2">
      <c r="B3" s="392" t="s">
        <v>322</v>
      </c>
      <c r="C3" s="413" t="s">
        <v>323</v>
      </c>
      <c r="D3" s="413" t="s">
        <v>324</v>
      </c>
      <c r="E3" s="392" t="s">
        <v>21</v>
      </c>
      <c r="F3" s="413" t="s">
        <v>325</v>
      </c>
      <c r="G3" s="481" t="s">
        <v>326</v>
      </c>
      <c r="H3" s="413" t="s">
        <v>327</v>
      </c>
    </row>
    <row r="4" spans="1:19" x14ac:dyDescent="0.2">
      <c r="B4" s="482" t="s">
        <v>328</v>
      </c>
      <c r="C4" s="483">
        <f>Throughputs!D5</f>
        <v>262800</v>
      </c>
      <c r="D4" s="484">
        <f>Throughputs!G5</f>
        <v>800</v>
      </c>
      <c r="E4" s="485" t="s">
        <v>329</v>
      </c>
      <c r="F4" s="485">
        <v>3.5999999999999997E-2</v>
      </c>
      <c r="G4" s="486">
        <f>$C$4*F4/2000</f>
        <v>4.7303999999999995</v>
      </c>
      <c r="H4" s="487">
        <f>($D$4*F4*365)/2000</f>
        <v>5.2559999999999993</v>
      </c>
    </row>
    <row r="5" spans="1:19" x14ac:dyDescent="0.2">
      <c r="B5" s="482" t="s">
        <v>330</v>
      </c>
      <c r="C5" s="483">
        <f>Throughputs!D6</f>
        <v>262800</v>
      </c>
      <c r="D5" s="484">
        <f>Throughputs!G6</f>
        <v>800</v>
      </c>
      <c r="E5" s="396" t="s">
        <v>329</v>
      </c>
      <c r="F5" s="396">
        <v>0.02</v>
      </c>
      <c r="G5" s="396">
        <f>$C$5*F5/2000</f>
        <v>2.6280000000000001</v>
      </c>
      <c r="H5" s="487">
        <f>($D$5*F5*365)/2000</f>
        <v>2.92</v>
      </c>
    </row>
    <row r="6" spans="1:19" x14ac:dyDescent="0.2">
      <c r="B6" s="482" t="s">
        <v>331</v>
      </c>
      <c r="C6" s="483">
        <f>Throughputs!D7</f>
        <v>262800</v>
      </c>
      <c r="D6" s="484">
        <f>Throughputs!G7</f>
        <v>800</v>
      </c>
      <c r="E6" s="396" t="s">
        <v>329</v>
      </c>
      <c r="F6" s="396">
        <v>8.6999999999999994E-3</v>
      </c>
      <c r="G6" s="396">
        <f>$C$6*F6/2000</f>
        <v>1.1431799999999999</v>
      </c>
      <c r="H6" s="488">
        <f>(D$6*F6*365)/2000</f>
        <v>1.2701999999999998</v>
      </c>
    </row>
    <row r="7" spans="1:19" ht="15.95" customHeight="1" x14ac:dyDescent="0.2">
      <c r="B7" s="805" t="s">
        <v>332</v>
      </c>
      <c r="C7" s="806"/>
      <c r="D7" s="806"/>
      <c r="E7" s="807"/>
      <c r="F7" s="396" t="s">
        <v>329</v>
      </c>
      <c r="G7" s="396">
        <f>SUM(G4,G5,G6)</f>
        <v>8.5015799999999988</v>
      </c>
      <c r="H7" s="489">
        <f>SUM(H4,H5,H6)</f>
        <v>9.4461999999999975</v>
      </c>
    </row>
    <row r="8" spans="1:19" ht="13.5" x14ac:dyDescent="0.2">
      <c r="A8" s="387">
        <v>1</v>
      </c>
      <c r="B8" s="167" t="s">
        <v>333</v>
      </c>
    </row>
    <row r="11" spans="1:19" s="153" customFormat="1" x14ac:dyDescent="0.2">
      <c r="B11" s="480" t="s">
        <v>334</v>
      </c>
      <c r="C11" s="355"/>
      <c r="D11" s="355"/>
      <c r="E11" s="355"/>
      <c r="F11" s="355"/>
      <c r="G11" s="355"/>
      <c r="H11" s="480" t="s">
        <v>335</v>
      </c>
      <c r="I11" s="355"/>
      <c r="J11" s="355"/>
      <c r="K11" s="355"/>
      <c r="L11" s="355"/>
      <c r="M11" s="355"/>
      <c r="N11" s="480" t="s">
        <v>336</v>
      </c>
      <c r="O11" s="355"/>
      <c r="P11" s="355"/>
      <c r="Q11" s="355"/>
      <c r="R11" s="355"/>
      <c r="S11" s="355"/>
    </row>
    <row r="12" spans="1:19" s="153" customFormat="1" ht="38.25" x14ac:dyDescent="0.2">
      <c r="B12" s="392" t="s">
        <v>298</v>
      </c>
      <c r="C12" s="392" t="s">
        <v>299</v>
      </c>
      <c r="D12" s="392" t="s">
        <v>337</v>
      </c>
      <c r="E12" s="413" t="s">
        <v>301</v>
      </c>
      <c r="F12" s="413" t="s">
        <v>302</v>
      </c>
      <c r="G12" s="355"/>
      <c r="H12" s="392" t="s">
        <v>298</v>
      </c>
      <c r="I12" s="392" t="s">
        <v>299</v>
      </c>
      <c r="J12" s="392" t="s">
        <v>337</v>
      </c>
      <c r="K12" s="413" t="s">
        <v>301</v>
      </c>
      <c r="L12" s="413" t="s">
        <v>302</v>
      </c>
      <c r="M12" s="389"/>
      <c r="N12" s="392" t="s">
        <v>298</v>
      </c>
      <c r="O12" s="392" t="s">
        <v>299</v>
      </c>
      <c r="P12" s="392" t="s">
        <v>337</v>
      </c>
      <c r="Q12" s="413" t="s">
        <v>301</v>
      </c>
      <c r="R12" s="413" t="s">
        <v>302</v>
      </c>
      <c r="S12" s="355"/>
    </row>
    <row r="13" spans="1:19" s="153" customFormat="1" x14ac:dyDescent="0.2">
      <c r="B13" s="396" t="s">
        <v>33</v>
      </c>
      <c r="C13" s="396" t="s">
        <v>305</v>
      </c>
      <c r="D13" s="490">
        <f>'Perlite Concentrations'!$M$4</f>
        <v>2.5000000000000002E-8</v>
      </c>
      <c r="E13" s="491">
        <f>D13*$F$4</f>
        <v>8.9999999999999999E-10</v>
      </c>
      <c r="F13" s="491">
        <f>E13*$C$4</f>
        <v>2.3651999999999999E-4</v>
      </c>
      <c r="G13" s="355"/>
      <c r="H13" s="396" t="s">
        <v>33</v>
      </c>
      <c r="I13" s="396" t="s">
        <v>305</v>
      </c>
      <c r="J13" s="490">
        <f>'Perlite Concentrations'!$M4</f>
        <v>2.5000000000000002E-8</v>
      </c>
      <c r="K13" s="491">
        <f>J13*$F$5</f>
        <v>5.0000000000000003E-10</v>
      </c>
      <c r="L13" s="491">
        <f>K13*$C$5</f>
        <v>1.314E-4</v>
      </c>
      <c r="M13" s="389"/>
      <c r="N13" s="396" t="s">
        <v>33</v>
      </c>
      <c r="O13" s="396" t="s">
        <v>305</v>
      </c>
      <c r="P13" s="490">
        <f>'Perlite Concentrations'!$M4</f>
        <v>2.5000000000000002E-8</v>
      </c>
      <c r="Q13" s="491">
        <f>P13*$F$6</f>
        <v>2.175E-10</v>
      </c>
      <c r="R13" s="491">
        <f>Q13*$C$6</f>
        <v>5.7158999999999999E-5</v>
      </c>
      <c r="S13" s="355"/>
    </row>
    <row r="14" spans="1:19" s="153" customFormat="1" x14ac:dyDescent="0.2">
      <c r="B14" s="396" t="s">
        <v>36</v>
      </c>
      <c r="C14" s="396" t="s">
        <v>190</v>
      </c>
      <c r="D14" s="490">
        <f>'Perlite Concentrations'!$M$5</f>
        <v>6.372499999999999E-2</v>
      </c>
      <c r="E14" s="491">
        <f t="shared" ref="E14:E36" si="0">D14*$F$4</f>
        <v>2.2940999999999994E-3</v>
      </c>
      <c r="F14" s="491">
        <f t="shared" ref="F14:F36" si="1">E14*$C$4</f>
        <v>602.88947999999982</v>
      </c>
      <c r="G14" s="355"/>
      <c r="H14" s="396" t="s">
        <v>36</v>
      </c>
      <c r="I14" s="396" t="s">
        <v>190</v>
      </c>
      <c r="J14" s="490">
        <f>'Perlite Concentrations'!$M5</f>
        <v>6.372499999999999E-2</v>
      </c>
      <c r="K14" s="491">
        <f>J14*$F$5</f>
        <v>1.2744999999999998E-3</v>
      </c>
      <c r="L14" s="491">
        <f>K14*$C$5</f>
        <v>334.93859999999995</v>
      </c>
      <c r="M14" s="389"/>
      <c r="N14" s="396" t="s">
        <v>36</v>
      </c>
      <c r="O14" s="396" t="s">
        <v>190</v>
      </c>
      <c r="P14" s="490">
        <f>'Perlite Concentrations'!$M5</f>
        <v>6.372499999999999E-2</v>
      </c>
      <c r="Q14" s="491">
        <f t="shared" ref="Q14:Q36" si="2">P14*$F$6</f>
        <v>5.5440749999999988E-4</v>
      </c>
      <c r="R14" s="491">
        <f t="shared" ref="R14:R36" si="3">Q14*$C$6</f>
        <v>145.69829099999995</v>
      </c>
      <c r="S14" s="355"/>
    </row>
    <row r="15" spans="1:19" s="153" customFormat="1" x14ac:dyDescent="0.2">
      <c r="B15" s="396" t="s">
        <v>38</v>
      </c>
      <c r="C15" s="396" t="s">
        <v>306</v>
      </c>
      <c r="D15" s="490">
        <f>'Perlite Concentrations'!$M$6</f>
        <v>2.6000000000000005E-6</v>
      </c>
      <c r="E15" s="491">
        <f t="shared" si="0"/>
        <v>9.3600000000000018E-8</v>
      </c>
      <c r="F15" s="491">
        <f t="shared" si="1"/>
        <v>2.4598080000000005E-2</v>
      </c>
      <c r="G15" s="355"/>
      <c r="H15" s="396" t="s">
        <v>38</v>
      </c>
      <c r="I15" s="396" t="s">
        <v>306</v>
      </c>
      <c r="J15" s="490">
        <f>'Perlite Concentrations'!$M6</f>
        <v>2.6000000000000005E-6</v>
      </c>
      <c r="K15" s="491">
        <f t="shared" ref="K15:K36" si="4">J15*$F$5</f>
        <v>5.2000000000000009E-8</v>
      </c>
      <c r="L15" s="491">
        <f t="shared" ref="L15:L36" si="5">K15*$C$5</f>
        <v>1.3665600000000002E-2</v>
      </c>
      <c r="M15" s="389"/>
      <c r="N15" s="396" t="s">
        <v>38</v>
      </c>
      <c r="O15" s="396" t="s">
        <v>306</v>
      </c>
      <c r="P15" s="490">
        <f>'Perlite Concentrations'!$M6</f>
        <v>2.6000000000000005E-6</v>
      </c>
      <c r="Q15" s="491">
        <f t="shared" si="2"/>
        <v>2.2620000000000003E-8</v>
      </c>
      <c r="R15" s="491">
        <f t="shared" si="3"/>
        <v>5.9445360000000011E-3</v>
      </c>
      <c r="S15" s="355"/>
    </row>
    <row r="16" spans="1:19" s="153" customFormat="1" x14ac:dyDescent="0.2">
      <c r="B16" s="396" t="s">
        <v>40</v>
      </c>
      <c r="C16" s="396" t="s">
        <v>142</v>
      </c>
      <c r="D16" s="490">
        <f>'Perlite Concentrations'!$M$7</f>
        <v>2.8000000000000003E-4</v>
      </c>
      <c r="E16" s="491">
        <f t="shared" si="0"/>
        <v>1.008E-5</v>
      </c>
      <c r="F16" s="491">
        <f t="shared" si="1"/>
        <v>2.6490239999999998</v>
      </c>
      <c r="G16" s="355"/>
      <c r="H16" s="396" t="s">
        <v>40</v>
      </c>
      <c r="I16" s="396" t="s">
        <v>142</v>
      </c>
      <c r="J16" s="490">
        <f>'Perlite Concentrations'!$M7</f>
        <v>2.8000000000000003E-4</v>
      </c>
      <c r="K16" s="491">
        <f t="shared" si="4"/>
        <v>5.6000000000000006E-6</v>
      </c>
      <c r="L16" s="491">
        <f t="shared" si="5"/>
        <v>1.4716800000000001</v>
      </c>
      <c r="M16" s="389"/>
      <c r="N16" s="396" t="s">
        <v>40</v>
      </c>
      <c r="O16" s="396" t="s">
        <v>142</v>
      </c>
      <c r="P16" s="490">
        <f>'Perlite Concentrations'!$M7</f>
        <v>2.8000000000000003E-4</v>
      </c>
      <c r="Q16" s="491">
        <f t="shared" si="2"/>
        <v>2.4360000000000001E-6</v>
      </c>
      <c r="R16" s="491">
        <f t="shared" si="3"/>
        <v>0.64018079999999999</v>
      </c>
      <c r="S16" s="355"/>
    </row>
    <row r="17" spans="2:19" s="153" customFormat="1" x14ac:dyDescent="0.2">
      <c r="B17" s="396" t="s">
        <v>42</v>
      </c>
      <c r="C17" s="396" t="s">
        <v>307</v>
      </c>
      <c r="D17" s="490">
        <f>'Perlite Concentrations'!$M$8</f>
        <v>3.0599999999999999E-6</v>
      </c>
      <c r="E17" s="491">
        <f t="shared" si="0"/>
        <v>1.1015999999999999E-7</v>
      </c>
      <c r="F17" s="491">
        <f t="shared" si="1"/>
        <v>2.8950047999999996E-2</v>
      </c>
      <c r="G17" s="355"/>
      <c r="H17" s="396" t="s">
        <v>42</v>
      </c>
      <c r="I17" s="396" t="s">
        <v>307</v>
      </c>
      <c r="J17" s="490">
        <f>'Perlite Concentrations'!$M8</f>
        <v>3.0599999999999999E-6</v>
      </c>
      <c r="K17" s="491">
        <f t="shared" si="4"/>
        <v>6.1200000000000005E-8</v>
      </c>
      <c r="L17" s="491">
        <f t="shared" si="5"/>
        <v>1.6083360000000001E-2</v>
      </c>
      <c r="M17" s="389"/>
      <c r="N17" s="396" t="s">
        <v>42</v>
      </c>
      <c r="O17" s="396" t="s">
        <v>307</v>
      </c>
      <c r="P17" s="490">
        <f>'Perlite Concentrations'!$M8</f>
        <v>3.0599999999999999E-6</v>
      </c>
      <c r="Q17" s="491">
        <f t="shared" si="2"/>
        <v>2.6621999999999998E-8</v>
      </c>
      <c r="R17" s="491">
        <f t="shared" si="3"/>
        <v>6.9962615999999995E-3</v>
      </c>
      <c r="S17" s="355"/>
    </row>
    <row r="18" spans="2:19" s="153" customFormat="1" x14ac:dyDescent="0.2">
      <c r="B18" s="396" t="s">
        <v>44</v>
      </c>
      <c r="C18" s="396" t="s">
        <v>308</v>
      </c>
      <c r="D18" s="490">
        <f>'Perlite Concentrations'!$M$9</f>
        <v>8.0000000000000002E-8</v>
      </c>
      <c r="E18" s="491">
        <f t="shared" si="0"/>
        <v>2.88E-9</v>
      </c>
      <c r="F18" s="491">
        <f t="shared" si="1"/>
        <v>7.56864E-4</v>
      </c>
      <c r="G18" s="355"/>
      <c r="H18" s="396" t="s">
        <v>44</v>
      </c>
      <c r="I18" s="396" t="s">
        <v>308</v>
      </c>
      <c r="J18" s="490">
        <f>'Perlite Concentrations'!$M9</f>
        <v>8.0000000000000002E-8</v>
      </c>
      <c r="K18" s="491">
        <f t="shared" si="4"/>
        <v>1.6000000000000001E-9</v>
      </c>
      <c r="L18" s="491">
        <f t="shared" si="5"/>
        <v>4.2048000000000004E-4</v>
      </c>
      <c r="M18" s="389"/>
      <c r="N18" s="396" t="s">
        <v>44</v>
      </c>
      <c r="O18" s="396" t="s">
        <v>308</v>
      </c>
      <c r="P18" s="490">
        <f>'Perlite Concentrations'!$M9</f>
        <v>8.0000000000000002E-8</v>
      </c>
      <c r="Q18" s="491">
        <f t="shared" si="2"/>
        <v>6.9599999999999997E-10</v>
      </c>
      <c r="R18" s="491">
        <f t="shared" si="3"/>
        <v>1.8290879999999999E-4</v>
      </c>
      <c r="S18" s="355"/>
    </row>
    <row r="19" spans="2:19" s="153" customFormat="1" x14ac:dyDescent="0.2">
      <c r="B19" s="396" t="s">
        <v>46</v>
      </c>
      <c r="C19" s="396" t="s">
        <v>147</v>
      </c>
      <c r="D19" s="490">
        <f>'Perlite Concentrations'!$M$10</f>
        <v>1.0000000000000001E-7</v>
      </c>
      <c r="E19" s="491">
        <f t="shared" si="0"/>
        <v>3.6E-9</v>
      </c>
      <c r="F19" s="491">
        <f t="shared" si="1"/>
        <v>9.4607999999999997E-4</v>
      </c>
      <c r="G19" s="355"/>
      <c r="H19" s="396" t="s">
        <v>46</v>
      </c>
      <c r="I19" s="396" t="s">
        <v>147</v>
      </c>
      <c r="J19" s="490">
        <f>'Perlite Concentrations'!$M10</f>
        <v>1.0000000000000001E-7</v>
      </c>
      <c r="K19" s="491">
        <f t="shared" si="4"/>
        <v>2.0000000000000001E-9</v>
      </c>
      <c r="L19" s="491">
        <f t="shared" si="5"/>
        <v>5.2559999999999998E-4</v>
      </c>
      <c r="M19" s="389"/>
      <c r="N19" s="396" t="s">
        <v>46</v>
      </c>
      <c r="O19" s="396" t="s">
        <v>147</v>
      </c>
      <c r="P19" s="490">
        <f>'Perlite Concentrations'!$M10</f>
        <v>1.0000000000000001E-7</v>
      </c>
      <c r="Q19" s="491">
        <f t="shared" si="2"/>
        <v>8.6999999999999999E-10</v>
      </c>
      <c r="R19" s="491">
        <f t="shared" si="3"/>
        <v>2.28636E-4</v>
      </c>
      <c r="S19" s="355"/>
    </row>
    <row r="20" spans="2:19" s="153" customFormat="1" x14ac:dyDescent="0.2">
      <c r="B20" s="396" t="s">
        <v>49</v>
      </c>
      <c r="C20" s="396" t="s">
        <v>205</v>
      </c>
      <c r="D20" s="490">
        <f>'Perlite Concentrations'!$M$11</f>
        <v>5.200000000000001E-6</v>
      </c>
      <c r="E20" s="491">
        <f t="shared" si="0"/>
        <v>1.8720000000000004E-7</v>
      </c>
      <c r="F20" s="491">
        <f t="shared" si="1"/>
        <v>4.919616000000001E-2</v>
      </c>
      <c r="G20" s="355"/>
      <c r="H20" s="396" t="s">
        <v>49</v>
      </c>
      <c r="I20" s="396" t="s">
        <v>205</v>
      </c>
      <c r="J20" s="490">
        <f>'Perlite Concentrations'!$M11</f>
        <v>5.200000000000001E-6</v>
      </c>
      <c r="K20" s="491">
        <f t="shared" si="4"/>
        <v>1.0400000000000002E-7</v>
      </c>
      <c r="L20" s="491">
        <f t="shared" si="5"/>
        <v>2.7331200000000003E-2</v>
      </c>
      <c r="M20" s="389"/>
      <c r="N20" s="396" t="s">
        <v>49</v>
      </c>
      <c r="O20" s="396" t="s">
        <v>205</v>
      </c>
      <c r="P20" s="490">
        <f>'Perlite Concentrations'!$M11</f>
        <v>5.200000000000001E-6</v>
      </c>
      <c r="Q20" s="491">
        <f t="shared" si="2"/>
        <v>4.5240000000000007E-8</v>
      </c>
      <c r="R20" s="491">
        <f t="shared" si="3"/>
        <v>1.1889072000000002E-2</v>
      </c>
      <c r="S20" s="355"/>
    </row>
    <row r="21" spans="2:19" s="153" customFormat="1" x14ac:dyDescent="0.2">
      <c r="B21" s="396" t="s">
        <v>54</v>
      </c>
      <c r="C21" s="396" t="s">
        <v>55</v>
      </c>
      <c r="D21" s="490">
        <f>'Perlite Concentrations'!$M$13</f>
        <v>7.9660000000000013E-6</v>
      </c>
      <c r="E21" s="491">
        <f t="shared" si="0"/>
        <v>2.8677600000000003E-7</v>
      </c>
      <c r="F21" s="491">
        <f t="shared" si="1"/>
        <v>7.5364732800000001E-2</v>
      </c>
      <c r="G21" s="355"/>
      <c r="H21" s="396" t="s">
        <v>54</v>
      </c>
      <c r="I21" s="396" t="s">
        <v>55</v>
      </c>
      <c r="J21" s="490">
        <f>'Perlite Concentrations'!$M13</f>
        <v>7.9660000000000013E-6</v>
      </c>
      <c r="K21" s="491">
        <f t="shared" si="4"/>
        <v>1.5932000000000003E-7</v>
      </c>
      <c r="L21" s="491">
        <f t="shared" si="5"/>
        <v>4.1869296000000007E-2</v>
      </c>
      <c r="M21" s="389"/>
      <c r="N21" s="396" t="s">
        <v>54</v>
      </c>
      <c r="O21" s="396" t="s">
        <v>55</v>
      </c>
      <c r="P21" s="490">
        <f>'Perlite Concentrations'!$M13</f>
        <v>7.9660000000000013E-6</v>
      </c>
      <c r="Q21" s="491">
        <f t="shared" si="2"/>
        <v>6.9304200000000007E-8</v>
      </c>
      <c r="R21" s="491">
        <f t="shared" si="3"/>
        <v>1.8213143760000002E-2</v>
      </c>
      <c r="S21" s="355"/>
    </row>
    <row r="22" spans="2:19" s="153" customFormat="1" x14ac:dyDescent="0.2">
      <c r="B22" s="396" t="s">
        <v>57</v>
      </c>
      <c r="C22" s="396" t="s">
        <v>309</v>
      </c>
      <c r="D22" s="490">
        <f>'Perlite Concentrations'!$M$14</f>
        <v>2E-8</v>
      </c>
      <c r="E22" s="491">
        <f t="shared" si="0"/>
        <v>7.2E-10</v>
      </c>
      <c r="F22" s="491">
        <f t="shared" si="1"/>
        <v>1.89216E-4</v>
      </c>
      <c r="G22" s="355"/>
      <c r="H22" s="396" t="s">
        <v>57</v>
      </c>
      <c r="I22" s="396" t="s">
        <v>309</v>
      </c>
      <c r="J22" s="490">
        <f>'Perlite Concentrations'!$M14</f>
        <v>2E-8</v>
      </c>
      <c r="K22" s="491">
        <f t="shared" si="4"/>
        <v>4.0000000000000001E-10</v>
      </c>
      <c r="L22" s="491">
        <f t="shared" si="5"/>
        <v>1.0512000000000001E-4</v>
      </c>
      <c r="M22" s="389"/>
      <c r="N22" s="396" t="s">
        <v>57</v>
      </c>
      <c r="O22" s="396" t="s">
        <v>309</v>
      </c>
      <c r="P22" s="490">
        <f>'Perlite Concentrations'!$M14</f>
        <v>2E-8</v>
      </c>
      <c r="Q22" s="491">
        <f t="shared" si="2"/>
        <v>1.7399999999999999E-10</v>
      </c>
      <c r="R22" s="491">
        <f t="shared" si="3"/>
        <v>4.5727199999999998E-5</v>
      </c>
      <c r="S22" s="355"/>
    </row>
    <row r="23" spans="2:19" s="153" customFormat="1" x14ac:dyDescent="0.2">
      <c r="B23" s="396" t="s">
        <v>60</v>
      </c>
      <c r="C23" s="396" t="s">
        <v>181</v>
      </c>
      <c r="D23" s="490">
        <f>'Perlite Concentrations'!$M$15</f>
        <v>5.0299999999999997E-4</v>
      </c>
      <c r="E23" s="491">
        <f t="shared" si="0"/>
        <v>1.8107999999999997E-5</v>
      </c>
      <c r="F23" s="491">
        <f t="shared" si="1"/>
        <v>4.7587823999999994</v>
      </c>
      <c r="G23" s="355"/>
      <c r="H23" s="396" t="s">
        <v>60</v>
      </c>
      <c r="I23" s="396" t="s">
        <v>181</v>
      </c>
      <c r="J23" s="490">
        <f>'Perlite Concentrations'!$M15</f>
        <v>5.0299999999999997E-4</v>
      </c>
      <c r="K23" s="491">
        <f t="shared" si="4"/>
        <v>1.006E-5</v>
      </c>
      <c r="L23" s="491">
        <f t="shared" si="5"/>
        <v>2.6437680000000001</v>
      </c>
      <c r="M23" s="389"/>
      <c r="N23" s="396" t="s">
        <v>60</v>
      </c>
      <c r="O23" s="396" t="s">
        <v>181</v>
      </c>
      <c r="P23" s="490">
        <f>'Perlite Concentrations'!$M15</f>
        <v>5.0299999999999997E-4</v>
      </c>
      <c r="Q23" s="491">
        <f t="shared" si="2"/>
        <v>4.3760999999999995E-6</v>
      </c>
      <c r="R23" s="491">
        <f t="shared" si="3"/>
        <v>1.1500390799999998</v>
      </c>
      <c r="S23" s="355"/>
    </row>
    <row r="24" spans="2:19" s="153" customFormat="1" x14ac:dyDescent="0.2">
      <c r="B24" s="396" t="s">
        <v>65</v>
      </c>
      <c r="C24" s="396" t="s">
        <v>66</v>
      </c>
      <c r="D24" s="490">
        <f>'Perlite Concentrations'!$M$17</f>
        <v>9.295523661156416E-6</v>
      </c>
      <c r="E24" s="491">
        <f t="shared" si="0"/>
        <v>3.3463885180163097E-7</v>
      </c>
      <c r="F24" s="491">
        <f t="shared" si="1"/>
        <v>8.7943090253468623E-2</v>
      </c>
      <c r="G24" s="355"/>
      <c r="H24" s="396" t="s">
        <v>65</v>
      </c>
      <c r="I24" s="396" t="s">
        <v>66</v>
      </c>
      <c r="J24" s="490">
        <f>'Perlite Concentrations'!$M17</f>
        <v>9.295523661156416E-6</v>
      </c>
      <c r="K24" s="491">
        <f t="shared" si="4"/>
        <v>1.8591047322312833E-7</v>
      </c>
      <c r="L24" s="491">
        <f t="shared" si="5"/>
        <v>4.8857272363038128E-2</v>
      </c>
      <c r="M24" s="389"/>
      <c r="N24" s="396" t="s">
        <v>65</v>
      </c>
      <c r="O24" s="396" t="s">
        <v>66</v>
      </c>
      <c r="P24" s="490">
        <f>'Perlite Concentrations'!$M17</f>
        <v>9.295523661156416E-6</v>
      </c>
      <c r="Q24" s="491">
        <f t="shared" si="2"/>
        <v>8.0871055852060813E-8</v>
      </c>
      <c r="R24" s="491">
        <f t="shared" si="3"/>
        <v>2.1252913477921583E-2</v>
      </c>
      <c r="S24" s="355"/>
    </row>
    <row r="25" spans="2:19" s="153" customFormat="1" x14ac:dyDescent="0.2">
      <c r="B25" s="396" t="s">
        <v>68</v>
      </c>
      <c r="C25" s="396" t="s">
        <v>212</v>
      </c>
      <c r="D25" s="490">
        <f>'Perlite Concentrations'!$M$18</f>
        <v>1.9999999999999999E-6</v>
      </c>
      <c r="E25" s="491">
        <f t="shared" si="0"/>
        <v>7.1999999999999996E-8</v>
      </c>
      <c r="F25" s="491">
        <f t="shared" si="1"/>
        <v>1.89216E-2</v>
      </c>
      <c r="G25" s="355"/>
      <c r="H25" s="396" t="s">
        <v>68</v>
      </c>
      <c r="I25" s="396" t="s">
        <v>212</v>
      </c>
      <c r="J25" s="490">
        <f>'Perlite Concentrations'!$M18</f>
        <v>1.9999999999999999E-6</v>
      </c>
      <c r="K25" s="491">
        <f t="shared" si="4"/>
        <v>4.0000000000000001E-8</v>
      </c>
      <c r="L25" s="491">
        <f t="shared" si="5"/>
        <v>1.0512000000000001E-2</v>
      </c>
      <c r="M25" s="389"/>
      <c r="N25" s="396" t="s">
        <v>68</v>
      </c>
      <c r="O25" s="396" t="s">
        <v>212</v>
      </c>
      <c r="P25" s="490">
        <f>'Perlite Concentrations'!$M18</f>
        <v>1.9999999999999999E-6</v>
      </c>
      <c r="Q25" s="491">
        <f t="shared" si="2"/>
        <v>1.7399999999999997E-8</v>
      </c>
      <c r="R25" s="491">
        <f t="shared" si="3"/>
        <v>4.5727199999999989E-3</v>
      </c>
      <c r="S25" s="355"/>
    </row>
    <row r="26" spans="2:19" s="153" customFormat="1" x14ac:dyDescent="0.2">
      <c r="B26" s="396" t="s">
        <v>72</v>
      </c>
      <c r="C26" s="396" t="s">
        <v>310</v>
      </c>
      <c r="D26" s="490">
        <f>'Perlite Concentrations'!$M$20</f>
        <v>2.5000000000000001E-5</v>
      </c>
      <c r="E26" s="491">
        <f t="shared" si="0"/>
        <v>8.9999999999999996E-7</v>
      </c>
      <c r="F26" s="491">
        <f t="shared" si="1"/>
        <v>0.23651999999999998</v>
      </c>
      <c r="G26" s="355"/>
      <c r="H26" s="396" t="s">
        <v>72</v>
      </c>
      <c r="I26" s="396" t="s">
        <v>310</v>
      </c>
      <c r="J26" s="490">
        <f>'Perlite Concentrations'!$M20</f>
        <v>2.5000000000000001E-5</v>
      </c>
      <c r="K26" s="491">
        <f t="shared" si="4"/>
        <v>5.0000000000000008E-7</v>
      </c>
      <c r="L26" s="491">
        <f t="shared" si="5"/>
        <v>0.13140000000000002</v>
      </c>
      <c r="M26" s="389"/>
      <c r="N26" s="396" t="s">
        <v>72</v>
      </c>
      <c r="O26" s="396" t="s">
        <v>310</v>
      </c>
      <c r="P26" s="490">
        <f>'Perlite Concentrations'!$M20</f>
        <v>2.5000000000000001E-5</v>
      </c>
      <c r="Q26" s="491">
        <f t="shared" si="2"/>
        <v>2.1749999999999998E-7</v>
      </c>
      <c r="R26" s="491">
        <f t="shared" si="3"/>
        <v>5.7158999999999995E-2</v>
      </c>
      <c r="S26" s="355"/>
    </row>
    <row r="27" spans="2:19" s="153" customFormat="1" x14ac:dyDescent="0.2">
      <c r="B27" s="396" t="s">
        <v>74</v>
      </c>
      <c r="C27" s="396" t="s">
        <v>311</v>
      </c>
      <c r="D27" s="490">
        <f>'Perlite Concentrations'!$M$21</f>
        <v>3.7E-7</v>
      </c>
      <c r="E27" s="491">
        <f t="shared" si="0"/>
        <v>1.3319999999999999E-8</v>
      </c>
      <c r="F27" s="491">
        <f t="shared" si="1"/>
        <v>3.5004960000000001E-3</v>
      </c>
      <c r="G27" s="355"/>
      <c r="H27" s="396" t="s">
        <v>74</v>
      </c>
      <c r="I27" s="396" t="s">
        <v>311</v>
      </c>
      <c r="J27" s="490">
        <f>'Perlite Concentrations'!$M21</f>
        <v>3.7E-7</v>
      </c>
      <c r="K27" s="491">
        <f t="shared" si="4"/>
        <v>7.4000000000000001E-9</v>
      </c>
      <c r="L27" s="491">
        <f t="shared" si="5"/>
        <v>1.94472E-3</v>
      </c>
      <c r="M27" s="389"/>
      <c r="N27" s="396" t="s">
        <v>74</v>
      </c>
      <c r="O27" s="396" t="s">
        <v>311</v>
      </c>
      <c r="P27" s="490">
        <f>'Perlite Concentrations'!$M21</f>
        <v>3.7E-7</v>
      </c>
      <c r="Q27" s="491">
        <f t="shared" si="2"/>
        <v>3.2189999999999997E-9</v>
      </c>
      <c r="R27" s="491">
        <f t="shared" si="3"/>
        <v>8.4595319999999994E-4</v>
      </c>
      <c r="S27" s="355"/>
    </row>
    <row r="28" spans="2:19" s="153" customFormat="1" x14ac:dyDescent="0.2">
      <c r="B28" s="396" t="s">
        <v>76</v>
      </c>
      <c r="C28" s="396" t="s">
        <v>312</v>
      </c>
      <c r="D28" s="490">
        <f>'Perlite Concentrations'!$M$22</f>
        <v>1.9000000000000001E-7</v>
      </c>
      <c r="E28" s="491">
        <f t="shared" si="0"/>
        <v>6.8399999999999995E-9</v>
      </c>
      <c r="F28" s="491">
        <f t="shared" si="1"/>
        <v>1.7975519999999998E-3</v>
      </c>
      <c r="G28" s="355"/>
      <c r="H28" s="396" t="s">
        <v>76</v>
      </c>
      <c r="I28" s="396" t="s">
        <v>312</v>
      </c>
      <c r="J28" s="490">
        <f>'Perlite Concentrations'!$M22</f>
        <v>1.9000000000000001E-7</v>
      </c>
      <c r="K28" s="491">
        <f t="shared" si="4"/>
        <v>3.8000000000000001E-9</v>
      </c>
      <c r="L28" s="491">
        <f t="shared" si="5"/>
        <v>9.9864000000000007E-4</v>
      </c>
      <c r="M28" s="389"/>
      <c r="N28" s="396" t="s">
        <v>76</v>
      </c>
      <c r="O28" s="396" t="s">
        <v>312</v>
      </c>
      <c r="P28" s="490">
        <f>'Perlite Concentrations'!$M22</f>
        <v>1.9000000000000001E-7</v>
      </c>
      <c r="Q28" s="491">
        <f t="shared" si="2"/>
        <v>1.653E-9</v>
      </c>
      <c r="R28" s="491">
        <f t="shared" si="3"/>
        <v>4.3440839999999998E-4</v>
      </c>
      <c r="S28" s="355"/>
    </row>
    <row r="29" spans="2:19" s="153" customFormat="1" x14ac:dyDescent="0.2">
      <c r="B29" s="396" t="s">
        <v>78</v>
      </c>
      <c r="C29" s="396" t="s">
        <v>314</v>
      </c>
      <c r="D29" s="490">
        <f>'Perlite Concentrations'!$M$23</f>
        <v>4.3900000000000005E-7</v>
      </c>
      <c r="E29" s="491">
        <f t="shared" si="0"/>
        <v>1.5804E-8</v>
      </c>
      <c r="F29" s="491">
        <f t="shared" si="1"/>
        <v>4.1532912E-3</v>
      </c>
      <c r="G29" s="355"/>
      <c r="H29" s="396" t="s">
        <v>78</v>
      </c>
      <c r="I29" s="396" t="s">
        <v>314</v>
      </c>
      <c r="J29" s="490">
        <f>'Perlite Concentrations'!$M23</f>
        <v>4.3900000000000005E-7</v>
      </c>
      <c r="K29" s="491">
        <f t="shared" si="4"/>
        <v>8.7800000000000015E-9</v>
      </c>
      <c r="L29" s="491">
        <f t="shared" si="5"/>
        <v>2.3073840000000004E-3</v>
      </c>
      <c r="M29" s="389"/>
      <c r="N29" s="396" t="s">
        <v>78</v>
      </c>
      <c r="O29" s="396" t="s">
        <v>314</v>
      </c>
      <c r="P29" s="490">
        <f>'Perlite Concentrations'!$M23</f>
        <v>4.3900000000000005E-7</v>
      </c>
      <c r="Q29" s="491">
        <f t="shared" si="2"/>
        <v>3.8192999999999998E-9</v>
      </c>
      <c r="R29" s="491">
        <f t="shared" si="3"/>
        <v>1.00371204E-3</v>
      </c>
      <c r="S29" s="355"/>
    </row>
    <row r="30" spans="2:19" s="153" customFormat="1" x14ac:dyDescent="0.2">
      <c r="B30" s="396" t="s">
        <v>83</v>
      </c>
      <c r="C30" s="396" t="s">
        <v>315</v>
      </c>
      <c r="D30" s="490">
        <f>'Perlite Concentrations'!$M$25</f>
        <v>3.0000000000000001E-5</v>
      </c>
      <c r="E30" s="491">
        <f t="shared" si="0"/>
        <v>1.08E-6</v>
      </c>
      <c r="F30" s="491">
        <f t="shared" si="1"/>
        <v>0.28382400000000002</v>
      </c>
      <c r="G30" s="355"/>
      <c r="H30" s="396" t="s">
        <v>83</v>
      </c>
      <c r="I30" s="396" t="s">
        <v>315</v>
      </c>
      <c r="J30" s="490">
        <f>'Perlite Concentrations'!$M25</f>
        <v>3.0000000000000001E-5</v>
      </c>
      <c r="K30" s="491">
        <f t="shared" si="4"/>
        <v>6.0000000000000008E-7</v>
      </c>
      <c r="L30" s="491">
        <f t="shared" si="5"/>
        <v>0.15768000000000001</v>
      </c>
      <c r="M30" s="389"/>
      <c r="N30" s="396" t="s">
        <v>83</v>
      </c>
      <c r="O30" s="396" t="s">
        <v>315</v>
      </c>
      <c r="P30" s="490">
        <f>'Perlite Concentrations'!$M25</f>
        <v>3.0000000000000001E-5</v>
      </c>
      <c r="Q30" s="491">
        <f t="shared" si="2"/>
        <v>2.6099999999999997E-7</v>
      </c>
      <c r="R30" s="491">
        <f t="shared" si="3"/>
        <v>6.8590799999999993E-2</v>
      </c>
      <c r="S30" s="355"/>
    </row>
    <row r="31" spans="2:19" s="153" customFormat="1" x14ac:dyDescent="0.2">
      <c r="B31" s="396" t="s">
        <v>40</v>
      </c>
      <c r="C31" s="396" t="s">
        <v>142</v>
      </c>
      <c r="D31" s="490">
        <f>'Perlite Concentrations'!$M$26</f>
        <v>2.0000000000000001E-4</v>
      </c>
      <c r="E31" s="491">
        <f t="shared" si="0"/>
        <v>7.1999999999999997E-6</v>
      </c>
      <c r="F31" s="491">
        <f t="shared" si="1"/>
        <v>1.8921599999999998</v>
      </c>
      <c r="G31" s="355"/>
      <c r="H31" s="396" t="s">
        <v>40</v>
      </c>
      <c r="I31" s="396" t="s">
        <v>142</v>
      </c>
      <c r="J31" s="490">
        <f>'Perlite Concentrations'!$M26</f>
        <v>2.0000000000000001E-4</v>
      </c>
      <c r="K31" s="491">
        <f t="shared" si="4"/>
        <v>4.0000000000000007E-6</v>
      </c>
      <c r="L31" s="491">
        <f t="shared" si="5"/>
        <v>1.0512000000000001</v>
      </c>
      <c r="M31" s="389"/>
      <c r="N31" s="396" t="s">
        <v>40</v>
      </c>
      <c r="O31" s="396" t="s">
        <v>142</v>
      </c>
      <c r="P31" s="490">
        <f>'Perlite Concentrations'!$M26</f>
        <v>2.0000000000000001E-4</v>
      </c>
      <c r="Q31" s="491">
        <f t="shared" si="2"/>
        <v>1.7399999999999999E-6</v>
      </c>
      <c r="R31" s="491">
        <f t="shared" si="3"/>
        <v>0.45727199999999996</v>
      </c>
      <c r="S31" s="355"/>
    </row>
    <row r="32" spans="2:19" s="153" customFormat="1" x14ac:dyDescent="0.2">
      <c r="B32" s="396" t="s">
        <v>70</v>
      </c>
      <c r="C32" s="396">
        <v>504</v>
      </c>
      <c r="D32" s="490">
        <f>'Perlite Concentrations'!$M$19</f>
        <v>3.3000000000000003E-5</v>
      </c>
      <c r="E32" s="491">
        <f t="shared" si="0"/>
        <v>1.1880000000000001E-6</v>
      </c>
      <c r="F32" s="491">
        <f t="shared" si="1"/>
        <v>0.31220640000000005</v>
      </c>
      <c r="G32" s="355"/>
      <c r="H32" s="396" t="s">
        <v>70</v>
      </c>
      <c r="I32" s="396">
        <v>504</v>
      </c>
      <c r="J32" s="490">
        <f>'Perlite Concentrations'!$M19</f>
        <v>3.3000000000000003E-5</v>
      </c>
      <c r="K32" s="491">
        <f t="shared" si="4"/>
        <v>6.6000000000000003E-7</v>
      </c>
      <c r="L32" s="491">
        <f t="shared" si="5"/>
        <v>0.17344800000000002</v>
      </c>
      <c r="M32" s="389"/>
      <c r="N32" s="396" t="s">
        <v>70</v>
      </c>
      <c r="O32" s="396">
        <v>504</v>
      </c>
      <c r="P32" s="490">
        <f>'Perlite Concentrations'!$M19</f>
        <v>3.3000000000000003E-5</v>
      </c>
      <c r="Q32" s="491">
        <f t="shared" si="2"/>
        <v>2.8710000000000002E-7</v>
      </c>
      <c r="R32" s="491">
        <f t="shared" si="3"/>
        <v>7.5449880000000011E-2</v>
      </c>
      <c r="S32" s="355"/>
    </row>
    <row r="33" spans="1:19" s="153" customFormat="1" x14ac:dyDescent="0.2">
      <c r="B33" s="396" t="s">
        <v>87</v>
      </c>
      <c r="C33" s="396" t="s">
        <v>316</v>
      </c>
      <c r="D33" s="490">
        <f>'Perlite Concentrations'!$M$27</f>
        <v>8.0000000000000007E-5</v>
      </c>
      <c r="E33" s="491">
        <f t="shared" si="0"/>
        <v>2.88E-6</v>
      </c>
      <c r="F33" s="491">
        <f t="shared" si="1"/>
        <v>0.75686399999999998</v>
      </c>
      <c r="G33" s="355"/>
      <c r="H33" s="396" t="s">
        <v>87</v>
      </c>
      <c r="I33" s="396" t="s">
        <v>316</v>
      </c>
      <c r="J33" s="490">
        <f>'Perlite Concentrations'!$M27</f>
        <v>8.0000000000000007E-5</v>
      </c>
      <c r="K33" s="491">
        <f t="shared" si="4"/>
        <v>1.6000000000000001E-6</v>
      </c>
      <c r="L33" s="491">
        <f t="shared" si="5"/>
        <v>0.42048000000000002</v>
      </c>
      <c r="M33" s="389"/>
      <c r="N33" s="396" t="s">
        <v>87</v>
      </c>
      <c r="O33" s="396" t="s">
        <v>316</v>
      </c>
      <c r="P33" s="490">
        <f>'Perlite Concentrations'!$M27</f>
        <v>8.0000000000000007E-5</v>
      </c>
      <c r="Q33" s="491">
        <f t="shared" si="2"/>
        <v>6.9599999999999999E-7</v>
      </c>
      <c r="R33" s="491">
        <f t="shared" si="3"/>
        <v>0.18290879999999998</v>
      </c>
      <c r="S33" s="355"/>
    </row>
    <row r="34" spans="1:19" s="153" customFormat="1" x14ac:dyDescent="0.2">
      <c r="B34" s="396" t="s">
        <v>90</v>
      </c>
      <c r="C34" s="396" t="s">
        <v>183</v>
      </c>
      <c r="D34" s="490">
        <f>'Perlite Concentrations'!$M$28</f>
        <v>3.7265E-2</v>
      </c>
      <c r="E34" s="491">
        <f t="shared" si="0"/>
        <v>1.3415399999999998E-3</v>
      </c>
      <c r="F34" s="491">
        <f t="shared" si="1"/>
        <v>352.55671199999995</v>
      </c>
      <c r="G34" s="355"/>
      <c r="H34" s="396" t="s">
        <v>90</v>
      </c>
      <c r="I34" s="396" t="s">
        <v>183</v>
      </c>
      <c r="J34" s="490">
        <f>'Perlite Concentrations'!$M28</f>
        <v>3.7265E-2</v>
      </c>
      <c r="K34" s="491">
        <f t="shared" si="4"/>
        <v>7.4529999999999996E-4</v>
      </c>
      <c r="L34" s="491">
        <f t="shared" si="5"/>
        <v>195.86483999999999</v>
      </c>
      <c r="M34" s="389"/>
      <c r="N34" s="396" t="s">
        <v>90</v>
      </c>
      <c r="O34" s="396" t="s">
        <v>183</v>
      </c>
      <c r="P34" s="490">
        <f>'Perlite Concentrations'!$M28</f>
        <v>3.7265E-2</v>
      </c>
      <c r="Q34" s="491">
        <f t="shared" si="2"/>
        <v>3.242055E-4</v>
      </c>
      <c r="R34" s="491">
        <f t="shared" si="3"/>
        <v>85.201205400000006</v>
      </c>
      <c r="S34" s="355"/>
    </row>
    <row r="35" spans="1:19" s="153" customFormat="1" x14ac:dyDescent="0.2">
      <c r="B35" s="396" t="s">
        <v>92</v>
      </c>
      <c r="C35" s="396" t="s">
        <v>317</v>
      </c>
      <c r="D35" s="490">
        <f>'Perlite Concentrations'!$M$29</f>
        <v>2.5000000000000001E-5</v>
      </c>
      <c r="E35" s="491">
        <f t="shared" si="0"/>
        <v>8.9999999999999996E-7</v>
      </c>
      <c r="F35" s="491">
        <f t="shared" si="1"/>
        <v>0.23651999999999998</v>
      </c>
      <c r="G35" s="355"/>
      <c r="H35" s="396" t="s">
        <v>92</v>
      </c>
      <c r="I35" s="396" t="s">
        <v>317</v>
      </c>
      <c r="J35" s="490">
        <f>'Perlite Concentrations'!$M29</f>
        <v>2.5000000000000001E-5</v>
      </c>
      <c r="K35" s="491">
        <f t="shared" si="4"/>
        <v>5.0000000000000008E-7</v>
      </c>
      <c r="L35" s="491">
        <f t="shared" si="5"/>
        <v>0.13140000000000002</v>
      </c>
      <c r="M35" s="389"/>
      <c r="N35" s="396" t="s">
        <v>92</v>
      </c>
      <c r="O35" s="396" t="s">
        <v>317</v>
      </c>
      <c r="P35" s="490">
        <f>'Perlite Concentrations'!$M29</f>
        <v>2.5000000000000001E-5</v>
      </c>
      <c r="Q35" s="491">
        <f t="shared" si="2"/>
        <v>2.1749999999999998E-7</v>
      </c>
      <c r="R35" s="491">
        <f t="shared" si="3"/>
        <v>5.7158999999999995E-2</v>
      </c>
      <c r="S35" s="355"/>
    </row>
    <row r="36" spans="1:19" s="153" customFormat="1" x14ac:dyDescent="0.2">
      <c r="B36" s="396" t="s">
        <v>94</v>
      </c>
      <c r="C36" s="396" t="s">
        <v>318</v>
      </c>
      <c r="D36" s="490">
        <f>'Perlite Concentrations'!$M$30</f>
        <v>2.5000000000000001E-5</v>
      </c>
      <c r="E36" s="491">
        <f t="shared" si="0"/>
        <v>8.9999999999999996E-7</v>
      </c>
      <c r="F36" s="491">
        <f t="shared" si="1"/>
        <v>0.23651999999999998</v>
      </c>
      <c r="G36" s="355"/>
      <c r="H36" s="396" t="s">
        <v>94</v>
      </c>
      <c r="I36" s="396" t="s">
        <v>318</v>
      </c>
      <c r="J36" s="490">
        <f>'Perlite Concentrations'!$M30</f>
        <v>2.5000000000000001E-5</v>
      </c>
      <c r="K36" s="491">
        <f t="shared" si="4"/>
        <v>5.0000000000000008E-7</v>
      </c>
      <c r="L36" s="491">
        <f t="shared" si="5"/>
        <v>0.13140000000000002</v>
      </c>
      <c r="M36" s="389"/>
      <c r="N36" s="396" t="s">
        <v>94</v>
      </c>
      <c r="O36" s="396" t="s">
        <v>318</v>
      </c>
      <c r="P36" s="490">
        <f>'Perlite Concentrations'!$M30</f>
        <v>2.5000000000000001E-5</v>
      </c>
      <c r="Q36" s="491">
        <f t="shared" si="2"/>
        <v>2.1749999999999998E-7</v>
      </c>
      <c r="R36" s="491">
        <f t="shared" si="3"/>
        <v>5.7158999999999995E-2</v>
      </c>
      <c r="S36" s="355"/>
    </row>
    <row r="37" spans="1:19" s="153" customFormat="1" ht="13.5" x14ac:dyDescent="0.2">
      <c r="A37" s="387">
        <v>1</v>
      </c>
      <c r="B37" s="171" t="s">
        <v>319</v>
      </c>
      <c r="C37" s="389"/>
      <c r="D37" s="389"/>
      <c r="E37" s="355"/>
      <c r="F37" s="355"/>
      <c r="G37" s="387">
        <v>1</v>
      </c>
      <c r="H37" s="171" t="s">
        <v>319</v>
      </c>
      <c r="I37" s="355"/>
      <c r="J37" s="355"/>
      <c r="K37" s="355"/>
      <c r="L37" s="355"/>
      <c r="M37" s="355">
        <v>1</v>
      </c>
      <c r="N37" s="408" t="s">
        <v>319</v>
      </c>
      <c r="O37" s="355"/>
      <c r="P37" s="355"/>
      <c r="Q37" s="355"/>
      <c r="R37" s="355"/>
      <c r="S37" s="355"/>
    </row>
    <row r="39" spans="1:19" x14ac:dyDescent="0.2">
      <c r="B39" s="480" t="s">
        <v>338</v>
      </c>
    </row>
    <row r="40" spans="1:19" x14ac:dyDescent="0.2">
      <c r="B40" s="480" t="s">
        <v>339</v>
      </c>
    </row>
    <row r="41" spans="1:19" ht="52.5" x14ac:dyDescent="0.2">
      <c r="B41" s="492" t="s">
        <v>322</v>
      </c>
      <c r="C41" s="493" t="s">
        <v>340</v>
      </c>
      <c r="D41" s="492" t="s">
        <v>341</v>
      </c>
      <c r="E41" s="493" t="s">
        <v>342</v>
      </c>
      <c r="F41" s="467" t="s">
        <v>343</v>
      </c>
      <c r="G41" s="493" t="s">
        <v>344</v>
      </c>
      <c r="H41" s="493" t="s">
        <v>345</v>
      </c>
      <c r="I41" s="493" t="s">
        <v>346</v>
      </c>
      <c r="J41" s="493" t="s">
        <v>347</v>
      </c>
    </row>
    <row r="42" spans="1:19" x14ac:dyDescent="0.2">
      <c r="B42" s="494" t="s">
        <v>328</v>
      </c>
      <c r="C42" s="495">
        <v>3.5999999999999997E-2</v>
      </c>
      <c r="D42" s="496">
        <v>0.99</v>
      </c>
      <c r="E42" s="495">
        <f>C42/(1-D42)</f>
        <v>3.5999999999999965</v>
      </c>
      <c r="F42" s="496">
        <f>5/32</f>
        <v>0.15625</v>
      </c>
      <c r="G42" s="497">
        <v>1</v>
      </c>
      <c r="H42" s="498">
        <f>E42*F42*(1-G42)</f>
        <v>0</v>
      </c>
      <c r="I42" s="499">
        <f>H42*C4/2000</f>
        <v>0</v>
      </c>
      <c r="J42" s="499">
        <f>H42*D4</f>
        <v>0</v>
      </c>
    </row>
    <row r="43" spans="1:19" x14ac:dyDescent="0.2">
      <c r="B43" s="494" t="s">
        <v>330</v>
      </c>
      <c r="C43" s="495">
        <v>0.02</v>
      </c>
      <c r="D43" s="496">
        <v>0.99</v>
      </c>
      <c r="E43" s="495">
        <f>C43/(1-D43)</f>
        <v>1.9999999999999982</v>
      </c>
      <c r="F43" s="496">
        <f t="shared" ref="F43:F44" si="6">5/32</f>
        <v>0.15625</v>
      </c>
      <c r="G43" s="497">
        <v>0.9</v>
      </c>
      <c r="H43" s="498">
        <f>E43*F43*(1-G43)</f>
        <v>3.1249999999999965E-2</v>
      </c>
      <c r="I43" s="499">
        <f>H43*C5/2000</f>
        <v>4.1062499999999957</v>
      </c>
      <c r="J43" s="499">
        <f>H43*D5</f>
        <v>24.999999999999972</v>
      </c>
    </row>
    <row r="44" spans="1:19" x14ac:dyDescent="0.2">
      <c r="B44" s="494" t="s">
        <v>331</v>
      </c>
      <c r="C44" s="495">
        <v>8.6999999999999994E-3</v>
      </c>
      <c r="D44" s="496">
        <v>0.99</v>
      </c>
      <c r="E44" s="495">
        <f>C44/(1-D44)</f>
        <v>0.86999999999999922</v>
      </c>
      <c r="F44" s="496">
        <f t="shared" si="6"/>
        <v>0.15625</v>
      </c>
      <c r="G44" s="497">
        <v>0.9</v>
      </c>
      <c r="H44" s="498">
        <f>E44*F44*(1-G44)</f>
        <v>1.3593749999999984E-2</v>
      </c>
      <c r="I44" s="499">
        <f>H44*C6/2000</f>
        <v>1.786218749999998</v>
      </c>
      <c r="J44" s="499">
        <f>H44*D5</f>
        <v>10.874999999999988</v>
      </c>
    </row>
    <row r="45" spans="1:19" ht="13.5" x14ac:dyDescent="0.2">
      <c r="A45" s="387">
        <v>1</v>
      </c>
      <c r="B45" s="167" t="s">
        <v>333</v>
      </c>
    </row>
    <row r="46" spans="1:19" ht="13.5" x14ac:dyDescent="0.2">
      <c r="A46" s="387">
        <v>2</v>
      </c>
      <c r="B46" s="167" t="s">
        <v>348</v>
      </c>
    </row>
    <row r="47" spans="1:19" ht="13.5" x14ac:dyDescent="0.2">
      <c r="A47" s="387">
        <v>3</v>
      </c>
      <c r="B47" s="479" t="s">
        <v>349</v>
      </c>
    </row>
    <row r="48" spans="1:19" ht="13.5" x14ac:dyDescent="0.2">
      <c r="A48" s="387">
        <v>4</v>
      </c>
      <c r="B48" s="479" t="s">
        <v>350</v>
      </c>
      <c r="C48" s="471"/>
      <c r="D48" s="471"/>
      <c r="E48" s="471"/>
    </row>
    <row r="49" spans="1:14" x14ac:dyDescent="0.2">
      <c r="A49" s="500"/>
    </row>
    <row r="50" spans="1:14" x14ac:dyDescent="0.2">
      <c r="B50" s="480" t="s">
        <v>351</v>
      </c>
      <c r="H50" s="480" t="s">
        <v>352</v>
      </c>
      <c r="N50" s="368"/>
    </row>
    <row r="51" spans="1:14" ht="38.25" x14ac:dyDescent="0.2">
      <c r="B51" s="392" t="s">
        <v>298</v>
      </c>
      <c r="C51" s="392" t="s">
        <v>299</v>
      </c>
      <c r="D51" s="392" t="s">
        <v>337</v>
      </c>
      <c r="E51" s="413" t="s">
        <v>301</v>
      </c>
      <c r="F51" s="413" t="s">
        <v>302</v>
      </c>
      <c r="G51" s="389"/>
      <c r="H51" s="392" t="s">
        <v>298</v>
      </c>
      <c r="I51" s="392" t="s">
        <v>299</v>
      </c>
      <c r="J51" s="392" t="s">
        <v>337</v>
      </c>
      <c r="K51" s="413" t="s">
        <v>301</v>
      </c>
      <c r="L51" s="413" t="s">
        <v>302</v>
      </c>
      <c r="N51" s="368"/>
    </row>
    <row r="52" spans="1:14" x14ac:dyDescent="0.2">
      <c r="B52" s="396" t="s">
        <v>33</v>
      </c>
      <c r="C52" s="396" t="s">
        <v>305</v>
      </c>
      <c r="D52" s="490">
        <f>'Perlite Concentrations'!$M$4</f>
        <v>2.5000000000000002E-8</v>
      </c>
      <c r="E52" s="491">
        <f>D52*$H$43</f>
        <v>7.8124999999999924E-10</v>
      </c>
      <c r="F52" s="491">
        <f>E52*$C$5</f>
        <v>2.0531249999999979E-4</v>
      </c>
      <c r="G52" s="389"/>
      <c r="H52" s="396" t="s">
        <v>33</v>
      </c>
      <c r="I52" s="396" t="s">
        <v>305</v>
      </c>
      <c r="J52" s="490">
        <f>'Perlite Concentrations'!$M$4</f>
        <v>2.5000000000000002E-8</v>
      </c>
      <c r="K52" s="491">
        <f>J52*$H$44</f>
        <v>3.3984374999999963E-10</v>
      </c>
      <c r="L52" s="491">
        <f>K52*$C$6</f>
        <v>8.9310937499999897E-5</v>
      </c>
      <c r="N52" s="368"/>
    </row>
    <row r="53" spans="1:14" x14ac:dyDescent="0.2">
      <c r="B53" s="396" t="s">
        <v>36</v>
      </c>
      <c r="C53" s="396" t="s">
        <v>190</v>
      </c>
      <c r="D53" s="490">
        <f>'Perlite Concentrations'!$M$5</f>
        <v>6.372499999999999E-2</v>
      </c>
      <c r="E53" s="491">
        <f t="shared" ref="E53:E75" si="7">D53*$H$43</f>
        <v>1.9914062499999975E-3</v>
      </c>
      <c r="F53" s="491">
        <f>E53*$C$5</f>
        <v>523.34156249999933</v>
      </c>
      <c r="G53" s="389"/>
      <c r="H53" s="396" t="s">
        <v>36</v>
      </c>
      <c r="I53" s="396" t="s">
        <v>190</v>
      </c>
      <c r="J53" s="490">
        <f>'Perlite Concentrations'!$M$5</f>
        <v>6.372499999999999E-2</v>
      </c>
      <c r="K53" s="491">
        <f t="shared" ref="K53:K75" si="8">J53*$H$44</f>
        <v>8.6626171874999887E-4</v>
      </c>
      <c r="L53" s="491">
        <f t="shared" ref="L53:L75" si="9">K53*$C$6</f>
        <v>227.6535796874997</v>
      </c>
      <c r="N53" s="368"/>
    </row>
    <row r="54" spans="1:14" x14ac:dyDescent="0.2">
      <c r="B54" s="396" t="s">
        <v>38</v>
      </c>
      <c r="C54" s="396" t="s">
        <v>306</v>
      </c>
      <c r="D54" s="490">
        <f>'Perlite Concentrations'!$M$6</f>
        <v>2.6000000000000005E-6</v>
      </c>
      <c r="E54" s="491">
        <f t="shared" si="7"/>
        <v>8.1249999999999924E-8</v>
      </c>
      <c r="F54" s="491">
        <f t="shared" ref="F54:F75" si="10">E54*$C$5</f>
        <v>2.1352499999999979E-2</v>
      </c>
      <c r="G54" s="389"/>
      <c r="H54" s="396" t="s">
        <v>38</v>
      </c>
      <c r="I54" s="396" t="s">
        <v>306</v>
      </c>
      <c r="J54" s="490">
        <f>'Perlite Concentrations'!$M$6</f>
        <v>2.6000000000000005E-6</v>
      </c>
      <c r="K54" s="491">
        <f t="shared" si="8"/>
        <v>3.5343749999999969E-8</v>
      </c>
      <c r="L54" s="491">
        <f t="shared" si="9"/>
        <v>9.2883374999999917E-3</v>
      </c>
      <c r="N54" s="368"/>
    </row>
    <row r="55" spans="1:14" x14ac:dyDescent="0.2">
      <c r="B55" s="396" t="s">
        <v>40</v>
      </c>
      <c r="C55" s="396" t="s">
        <v>142</v>
      </c>
      <c r="D55" s="490">
        <f>'Perlite Concentrations'!$M$7</f>
        <v>2.8000000000000003E-4</v>
      </c>
      <c r="E55" s="491">
        <f t="shared" si="7"/>
        <v>8.7499999999999908E-6</v>
      </c>
      <c r="F55" s="491">
        <f t="shared" si="10"/>
        <v>2.2994999999999974</v>
      </c>
      <c r="G55" s="389"/>
      <c r="H55" s="396" t="s">
        <v>40</v>
      </c>
      <c r="I55" s="396" t="s">
        <v>142</v>
      </c>
      <c r="J55" s="490">
        <f>'Perlite Concentrations'!$M$7</f>
        <v>2.8000000000000003E-4</v>
      </c>
      <c r="K55" s="491">
        <f t="shared" si="8"/>
        <v>3.806249999999996E-6</v>
      </c>
      <c r="L55" s="491">
        <f t="shared" si="9"/>
        <v>1.0002824999999989</v>
      </c>
      <c r="N55" s="368"/>
    </row>
    <row r="56" spans="1:14" x14ac:dyDescent="0.2">
      <c r="B56" s="396" t="s">
        <v>42</v>
      </c>
      <c r="C56" s="396" t="s">
        <v>307</v>
      </c>
      <c r="D56" s="490">
        <f>'Perlite Concentrations'!$M$8</f>
        <v>3.0599999999999999E-6</v>
      </c>
      <c r="E56" s="491">
        <f t="shared" si="7"/>
        <v>9.5624999999999892E-8</v>
      </c>
      <c r="F56" s="491">
        <f t="shared" si="10"/>
        <v>2.5130249999999972E-2</v>
      </c>
      <c r="G56" s="389"/>
      <c r="H56" s="396" t="s">
        <v>42</v>
      </c>
      <c r="I56" s="396" t="s">
        <v>307</v>
      </c>
      <c r="J56" s="490">
        <f>'Perlite Concentrations'!$M$8</f>
        <v>3.0599999999999999E-6</v>
      </c>
      <c r="K56" s="491">
        <f t="shared" si="8"/>
        <v>4.1596874999999949E-8</v>
      </c>
      <c r="L56" s="491">
        <f t="shared" si="9"/>
        <v>1.0931658749999986E-2</v>
      </c>
      <c r="N56" s="368"/>
    </row>
    <row r="57" spans="1:14" x14ac:dyDescent="0.2">
      <c r="B57" s="396" t="s">
        <v>44</v>
      </c>
      <c r="C57" s="396" t="s">
        <v>308</v>
      </c>
      <c r="D57" s="490">
        <f>'Perlite Concentrations'!$M$9</f>
        <v>8.0000000000000002E-8</v>
      </c>
      <c r="E57" s="491">
        <f t="shared" si="7"/>
        <v>2.4999999999999972E-9</v>
      </c>
      <c r="F57" s="491">
        <f t="shared" si="10"/>
        <v>6.5699999999999927E-4</v>
      </c>
      <c r="G57" s="389"/>
      <c r="H57" s="396" t="s">
        <v>44</v>
      </c>
      <c r="I57" s="396" t="s">
        <v>308</v>
      </c>
      <c r="J57" s="490">
        <f>'Perlite Concentrations'!$M$9</f>
        <v>8.0000000000000002E-8</v>
      </c>
      <c r="K57" s="491">
        <f t="shared" si="8"/>
        <v>1.0874999999999988E-9</v>
      </c>
      <c r="L57" s="491">
        <f t="shared" si="9"/>
        <v>2.8579499999999966E-4</v>
      </c>
      <c r="N57" s="368"/>
    </row>
    <row r="58" spans="1:14" x14ac:dyDescent="0.2">
      <c r="B58" s="396" t="s">
        <v>46</v>
      </c>
      <c r="C58" s="396" t="s">
        <v>147</v>
      </c>
      <c r="D58" s="490">
        <f>'Perlite Concentrations'!$M$10</f>
        <v>1.0000000000000001E-7</v>
      </c>
      <c r="E58" s="491">
        <f t="shared" si="7"/>
        <v>3.124999999999997E-9</v>
      </c>
      <c r="F58" s="491">
        <f t="shared" si="10"/>
        <v>8.2124999999999917E-4</v>
      </c>
      <c r="G58" s="389"/>
      <c r="H58" s="396" t="s">
        <v>46</v>
      </c>
      <c r="I58" s="396" t="s">
        <v>147</v>
      </c>
      <c r="J58" s="490">
        <f>'Perlite Concentrations'!$M$10</f>
        <v>1.0000000000000001E-7</v>
      </c>
      <c r="K58" s="491">
        <f t="shared" si="8"/>
        <v>1.3593749999999985E-9</v>
      </c>
      <c r="L58" s="491">
        <f t="shared" si="9"/>
        <v>3.5724374999999959E-4</v>
      </c>
      <c r="N58" s="368"/>
    </row>
    <row r="59" spans="1:14" x14ac:dyDescent="0.2">
      <c r="B59" s="396" t="s">
        <v>49</v>
      </c>
      <c r="C59" s="396" t="s">
        <v>205</v>
      </c>
      <c r="D59" s="490">
        <f>'Perlite Concentrations'!$M$11</f>
        <v>5.200000000000001E-6</v>
      </c>
      <c r="E59" s="491">
        <f t="shared" si="7"/>
        <v>1.6249999999999985E-7</v>
      </c>
      <c r="F59" s="491">
        <f t="shared" si="10"/>
        <v>4.2704999999999958E-2</v>
      </c>
      <c r="G59" s="389"/>
      <c r="H59" s="396" t="s">
        <v>49</v>
      </c>
      <c r="I59" s="396" t="s">
        <v>205</v>
      </c>
      <c r="J59" s="490">
        <f>'Perlite Concentrations'!$M$11</f>
        <v>5.200000000000001E-6</v>
      </c>
      <c r="K59" s="491">
        <f t="shared" si="8"/>
        <v>7.0687499999999937E-8</v>
      </c>
      <c r="L59" s="491">
        <f t="shared" si="9"/>
        <v>1.8576674999999983E-2</v>
      </c>
      <c r="N59" s="368"/>
    </row>
    <row r="60" spans="1:14" x14ac:dyDescent="0.2">
      <c r="B60" s="396" t="s">
        <v>54</v>
      </c>
      <c r="C60" s="396" t="s">
        <v>55</v>
      </c>
      <c r="D60" s="490">
        <f>'Perlite Concentrations'!$M$13</f>
        <v>7.9660000000000013E-6</v>
      </c>
      <c r="E60" s="491">
        <f t="shared" si="7"/>
        <v>2.4893749999999978E-7</v>
      </c>
      <c r="F60" s="491">
        <f t="shared" si="10"/>
        <v>6.5420774999999945E-2</v>
      </c>
      <c r="G60" s="389"/>
      <c r="H60" s="396" t="s">
        <v>54</v>
      </c>
      <c r="I60" s="396" t="s">
        <v>55</v>
      </c>
      <c r="J60" s="490">
        <f>'Perlite Concentrations'!$M$13</f>
        <v>7.9660000000000013E-6</v>
      </c>
      <c r="K60" s="491">
        <f t="shared" si="8"/>
        <v>1.082878124999999E-7</v>
      </c>
      <c r="L60" s="491">
        <f t="shared" si="9"/>
        <v>2.8458037124999974E-2</v>
      </c>
      <c r="N60" s="368"/>
    </row>
    <row r="61" spans="1:14" x14ac:dyDescent="0.2">
      <c r="B61" s="396" t="s">
        <v>57</v>
      </c>
      <c r="C61" s="396" t="s">
        <v>309</v>
      </c>
      <c r="D61" s="490">
        <f>'Perlite Concentrations'!$M$14</f>
        <v>2E-8</v>
      </c>
      <c r="E61" s="491">
        <f t="shared" si="7"/>
        <v>6.2499999999999929E-10</v>
      </c>
      <c r="F61" s="491">
        <f t="shared" si="10"/>
        <v>1.6424999999999982E-4</v>
      </c>
      <c r="G61" s="389"/>
      <c r="H61" s="396" t="s">
        <v>57</v>
      </c>
      <c r="I61" s="396" t="s">
        <v>309</v>
      </c>
      <c r="J61" s="490">
        <f>'Perlite Concentrations'!$M$14</f>
        <v>2E-8</v>
      </c>
      <c r="K61" s="491">
        <f t="shared" si="8"/>
        <v>2.7187499999999969E-10</v>
      </c>
      <c r="L61" s="491">
        <f t="shared" si="9"/>
        <v>7.1448749999999915E-5</v>
      </c>
      <c r="N61" s="368"/>
    </row>
    <row r="62" spans="1:14" x14ac:dyDescent="0.2">
      <c r="B62" s="396" t="s">
        <v>60</v>
      </c>
      <c r="C62" s="396" t="s">
        <v>181</v>
      </c>
      <c r="D62" s="490">
        <f>'Perlite Concentrations'!$M$15</f>
        <v>5.0299999999999997E-4</v>
      </c>
      <c r="E62" s="491">
        <f t="shared" si="7"/>
        <v>1.5718749999999982E-5</v>
      </c>
      <c r="F62" s="491">
        <f t="shared" si="10"/>
        <v>4.1308874999999956</v>
      </c>
      <c r="G62" s="389"/>
      <c r="H62" s="396" t="s">
        <v>60</v>
      </c>
      <c r="I62" s="396" t="s">
        <v>181</v>
      </c>
      <c r="J62" s="490">
        <f>'Perlite Concentrations'!$M$15</f>
        <v>5.0299999999999997E-4</v>
      </c>
      <c r="K62" s="491">
        <f t="shared" si="8"/>
        <v>6.8376562499999916E-6</v>
      </c>
      <c r="L62" s="491">
        <f t="shared" si="9"/>
        <v>1.7969360624999977</v>
      </c>
      <c r="N62" s="368"/>
    </row>
    <row r="63" spans="1:14" x14ac:dyDescent="0.2">
      <c r="B63" s="396" t="s">
        <v>65</v>
      </c>
      <c r="C63" s="396" t="s">
        <v>66</v>
      </c>
      <c r="D63" s="490">
        <f>'Perlite Concentrations'!$M$17</f>
        <v>9.295523661156416E-6</v>
      </c>
      <c r="E63" s="491">
        <f t="shared" si="7"/>
        <v>2.9048511441113768E-7</v>
      </c>
      <c r="F63" s="491">
        <f t="shared" si="10"/>
        <v>7.6339488067246983E-2</v>
      </c>
      <c r="G63" s="389"/>
      <c r="H63" s="396" t="s">
        <v>65</v>
      </c>
      <c r="I63" s="396" t="s">
        <v>66</v>
      </c>
      <c r="J63" s="490">
        <f>'Perlite Concentrations'!$M$17</f>
        <v>9.295523661156416E-6</v>
      </c>
      <c r="K63" s="491">
        <f t="shared" si="8"/>
        <v>1.2636102476884488E-7</v>
      </c>
      <c r="L63" s="491">
        <f t="shared" si="9"/>
        <v>3.3207677309252434E-2</v>
      </c>
      <c r="N63" s="368"/>
    </row>
    <row r="64" spans="1:14" x14ac:dyDescent="0.2">
      <c r="B64" s="396" t="s">
        <v>68</v>
      </c>
      <c r="C64" s="396" t="s">
        <v>212</v>
      </c>
      <c r="D64" s="490">
        <f>'Perlite Concentrations'!$M$18</f>
        <v>1.9999999999999999E-6</v>
      </c>
      <c r="E64" s="491">
        <f t="shared" si="7"/>
        <v>6.2499999999999931E-8</v>
      </c>
      <c r="F64" s="491">
        <f t="shared" si="10"/>
        <v>1.6424999999999981E-2</v>
      </c>
      <c r="G64" s="389"/>
      <c r="H64" s="396" t="s">
        <v>68</v>
      </c>
      <c r="I64" s="396" t="s">
        <v>212</v>
      </c>
      <c r="J64" s="490">
        <f>'Perlite Concentrations'!$M$18</f>
        <v>1.9999999999999999E-6</v>
      </c>
      <c r="K64" s="491">
        <f t="shared" si="8"/>
        <v>2.7187499999999968E-8</v>
      </c>
      <c r="L64" s="491">
        <f t="shared" si="9"/>
        <v>7.1448749999999915E-3</v>
      </c>
      <c r="N64" s="368"/>
    </row>
    <row r="65" spans="1:14" x14ac:dyDescent="0.2">
      <c r="B65" s="396" t="s">
        <v>72</v>
      </c>
      <c r="C65" s="396" t="s">
        <v>310</v>
      </c>
      <c r="D65" s="490">
        <f>'Perlite Concentrations'!$M$20</f>
        <v>2.5000000000000001E-5</v>
      </c>
      <c r="E65" s="491">
        <f t="shared" si="7"/>
        <v>7.8124999999999919E-7</v>
      </c>
      <c r="F65" s="491">
        <f t="shared" si="10"/>
        <v>0.20531249999999979</v>
      </c>
      <c r="G65" s="389"/>
      <c r="H65" s="396" t="s">
        <v>72</v>
      </c>
      <c r="I65" s="396" t="s">
        <v>310</v>
      </c>
      <c r="J65" s="490">
        <f>'Perlite Concentrations'!$M$20</f>
        <v>2.5000000000000001E-5</v>
      </c>
      <c r="K65" s="491">
        <f t="shared" si="8"/>
        <v>3.3984374999999963E-7</v>
      </c>
      <c r="L65" s="491">
        <f t="shared" si="9"/>
        <v>8.9310937499999909E-2</v>
      </c>
      <c r="N65" s="368"/>
    </row>
    <row r="66" spans="1:14" x14ac:dyDescent="0.2">
      <c r="B66" s="396" t="s">
        <v>74</v>
      </c>
      <c r="C66" s="396" t="s">
        <v>311</v>
      </c>
      <c r="D66" s="490">
        <f>'Perlite Concentrations'!$M$21</f>
        <v>3.7E-7</v>
      </c>
      <c r="E66" s="491">
        <f t="shared" si="7"/>
        <v>1.1562499999999987E-8</v>
      </c>
      <c r="F66" s="491">
        <f t="shared" si="10"/>
        <v>3.0386249999999966E-3</v>
      </c>
      <c r="G66" s="389"/>
      <c r="H66" s="396" t="s">
        <v>74</v>
      </c>
      <c r="I66" s="396" t="s">
        <v>311</v>
      </c>
      <c r="J66" s="490">
        <f>'Perlite Concentrations'!$M$21</f>
        <v>3.7E-7</v>
      </c>
      <c r="K66" s="491">
        <f t="shared" si="8"/>
        <v>5.0296874999999941E-9</v>
      </c>
      <c r="L66" s="491">
        <f t="shared" si="9"/>
        <v>1.3218018749999985E-3</v>
      </c>
      <c r="N66" s="368"/>
    </row>
    <row r="67" spans="1:14" x14ac:dyDescent="0.2">
      <c r="B67" s="396" t="s">
        <v>76</v>
      </c>
      <c r="C67" s="396" t="s">
        <v>312</v>
      </c>
      <c r="D67" s="490">
        <f>'Perlite Concentrations'!$M$22</f>
        <v>1.9000000000000001E-7</v>
      </c>
      <c r="E67" s="491">
        <f t="shared" si="7"/>
        <v>5.9374999999999936E-9</v>
      </c>
      <c r="F67" s="491">
        <f t="shared" si="10"/>
        <v>1.5603749999999984E-3</v>
      </c>
      <c r="G67" s="389"/>
      <c r="H67" s="396" t="s">
        <v>76</v>
      </c>
      <c r="I67" s="396" t="s">
        <v>312</v>
      </c>
      <c r="J67" s="490">
        <f>'Perlite Concentrations'!$M$22</f>
        <v>1.9000000000000001E-7</v>
      </c>
      <c r="K67" s="491">
        <f t="shared" si="8"/>
        <v>2.5828124999999972E-9</v>
      </c>
      <c r="L67" s="491">
        <f t="shared" si="9"/>
        <v>6.7876312499999926E-4</v>
      </c>
      <c r="N67" s="368"/>
    </row>
    <row r="68" spans="1:14" x14ac:dyDescent="0.2">
      <c r="B68" s="396" t="s">
        <v>78</v>
      </c>
      <c r="C68" s="396" t="s">
        <v>314</v>
      </c>
      <c r="D68" s="490">
        <f>'Perlite Concentrations'!$M$23</f>
        <v>4.3900000000000005E-7</v>
      </c>
      <c r="E68" s="491">
        <f t="shared" si="7"/>
        <v>1.3718749999999987E-8</v>
      </c>
      <c r="F68" s="491">
        <f t="shared" si="10"/>
        <v>3.6052874999999967E-3</v>
      </c>
      <c r="G68" s="389"/>
      <c r="H68" s="396" t="s">
        <v>78</v>
      </c>
      <c r="I68" s="396" t="s">
        <v>314</v>
      </c>
      <c r="J68" s="490">
        <f>'Perlite Concentrations'!$M$23</f>
        <v>4.3900000000000005E-7</v>
      </c>
      <c r="K68" s="491">
        <f t="shared" si="8"/>
        <v>5.9676562499999939E-9</v>
      </c>
      <c r="L68" s="491">
        <f t="shared" si="9"/>
        <v>1.5683000624999984E-3</v>
      </c>
      <c r="N68" s="368"/>
    </row>
    <row r="69" spans="1:14" x14ac:dyDescent="0.2">
      <c r="B69" s="396" t="s">
        <v>83</v>
      </c>
      <c r="C69" s="396" t="s">
        <v>315</v>
      </c>
      <c r="D69" s="490">
        <f>'Perlite Concentrations'!$M$25</f>
        <v>3.0000000000000001E-5</v>
      </c>
      <c r="E69" s="491">
        <f t="shared" si="7"/>
        <v>9.3749999999999896E-7</v>
      </c>
      <c r="F69" s="491">
        <f t="shared" si="10"/>
        <v>0.24637499999999973</v>
      </c>
      <c r="G69" s="389"/>
      <c r="H69" s="396" t="s">
        <v>83</v>
      </c>
      <c r="I69" s="396" t="s">
        <v>315</v>
      </c>
      <c r="J69" s="490">
        <f>'Perlite Concentrations'!$M$25</f>
        <v>3.0000000000000001E-5</v>
      </c>
      <c r="K69" s="491">
        <f t="shared" si="8"/>
        <v>4.0781249999999954E-7</v>
      </c>
      <c r="L69" s="491">
        <f t="shared" si="9"/>
        <v>0.10717312499999988</v>
      </c>
      <c r="N69" s="368"/>
    </row>
    <row r="70" spans="1:14" x14ac:dyDescent="0.2">
      <c r="B70" s="396" t="s">
        <v>40</v>
      </c>
      <c r="C70" s="396" t="s">
        <v>142</v>
      </c>
      <c r="D70" s="490">
        <f>'Perlite Concentrations'!$M$26</f>
        <v>2.0000000000000001E-4</v>
      </c>
      <c r="E70" s="491">
        <f t="shared" si="7"/>
        <v>6.2499999999999935E-6</v>
      </c>
      <c r="F70" s="491">
        <f t="shared" si="10"/>
        <v>1.6424999999999983</v>
      </c>
      <c r="G70" s="389"/>
      <c r="H70" s="396" t="s">
        <v>40</v>
      </c>
      <c r="I70" s="396" t="s">
        <v>142</v>
      </c>
      <c r="J70" s="490">
        <f>'Perlite Concentrations'!$M$26</f>
        <v>2.0000000000000001E-4</v>
      </c>
      <c r="K70" s="491">
        <f t="shared" si="8"/>
        <v>2.7187499999999971E-6</v>
      </c>
      <c r="L70" s="491">
        <f t="shared" si="9"/>
        <v>0.71448749999999928</v>
      </c>
      <c r="N70" s="368"/>
    </row>
    <row r="71" spans="1:14" x14ac:dyDescent="0.2">
      <c r="B71" s="396" t="s">
        <v>70</v>
      </c>
      <c r="C71" s="396">
        <v>504</v>
      </c>
      <c r="D71" s="490">
        <f>'Perlite Concentrations'!$M$19</f>
        <v>3.3000000000000003E-5</v>
      </c>
      <c r="E71" s="491">
        <f t="shared" si="7"/>
        <v>1.031249999999999E-6</v>
      </c>
      <c r="F71" s="491">
        <f t="shared" si="10"/>
        <v>0.27101249999999977</v>
      </c>
      <c r="G71" s="389"/>
      <c r="H71" s="396" t="s">
        <v>70</v>
      </c>
      <c r="I71" s="396">
        <v>504</v>
      </c>
      <c r="J71" s="490">
        <f>'Perlite Concentrations'!$M$19</f>
        <v>3.3000000000000003E-5</v>
      </c>
      <c r="K71" s="491">
        <f t="shared" si="8"/>
        <v>4.4859374999999954E-7</v>
      </c>
      <c r="L71" s="491">
        <f t="shared" si="9"/>
        <v>0.11789043749999988</v>
      </c>
      <c r="N71" s="368"/>
    </row>
    <row r="72" spans="1:14" x14ac:dyDescent="0.2">
      <c r="B72" s="396" t="s">
        <v>87</v>
      </c>
      <c r="C72" s="396" t="s">
        <v>316</v>
      </c>
      <c r="D72" s="490">
        <f>'Perlite Concentrations'!$M$27</f>
        <v>8.0000000000000007E-5</v>
      </c>
      <c r="E72" s="491">
        <f t="shared" si="7"/>
        <v>2.4999999999999972E-6</v>
      </c>
      <c r="F72" s="491">
        <f t="shared" si="10"/>
        <v>0.65699999999999925</v>
      </c>
      <c r="G72" s="389"/>
      <c r="H72" s="396" t="s">
        <v>87</v>
      </c>
      <c r="I72" s="396" t="s">
        <v>316</v>
      </c>
      <c r="J72" s="490">
        <f>'Perlite Concentrations'!$M$27</f>
        <v>8.0000000000000007E-5</v>
      </c>
      <c r="K72" s="491">
        <f t="shared" si="8"/>
        <v>1.0874999999999989E-6</v>
      </c>
      <c r="L72" s="491">
        <f t="shared" si="9"/>
        <v>0.28579499999999969</v>
      </c>
      <c r="N72" s="368"/>
    </row>
    <row r="73" spans="1:14" x14ac:dyDescent="0.2">
      <c r="B73" s="396" t="s">
        <v>90</v>
      </c>
      <c r="C73" s="396" t="s">
        <v>183</v>
      </c>
      <c r="D73" s="490">
        <f>'Perlite Concentrations'!$M$28</f>
        <v>3.7265E-2</v>
      </c>
      <c r="E73" s="491">
        <f t="shared" si="7"/>
        <v>1.1645312499999987E-3</v>
      </c>
      <c r="F73" s="491">
        <f t="shared" si="10"/>
        <v>306.03881249999966</v>
      </c>
      <c r="G73" s="389"/>
      <c r="H73" s="396" t="s">
        <v>90</v>
      </c>
      <c r="I73" s="396" t="s">
        <v>183</v>
      </c>
      <c r="J73" s="490">
        <f>'Perlite Concentrations'!$M$28</f>
        <v>3.7265E-2</v>
      </c>
      <c r="K73" s="491">
        <f t="shared" si="8"/>
        <v>5.0657109374999945E-4</v>
      </c>
      <c r="L73" s="491">
        <f t="shared" si="9"/>
        <v>133.12688343749986</v>
      </c>
      <c r="N73" s="368"/>
    </row>
    <row r="74" spans="1:14" x14ac:dyDescent="0.2">
      <c r="B74" s="396" t="s">
        <v>92</v>
      </c>
      <c r="C74" s="396" t="s">
        <v>317</v>
      </c>
      <c r="D74" s="490">
        <f>'Perlite Concentrations'!$M$29</f>
        <v>2.5000000000000001E-5</v>
      </c>
      <c r="E74" s="491">
        <f t="shared" si="7"/>
        <v>7.8124999999999919E-7</v>
      </c>
      <c r="F74" s="491">
        <f t="shared" si="10"/>
        <v>0.20531249999999979</v>
      </c>
      <c r="G74" s="389"/>
      <c r="H74" s="396" t="s">
        <v>92</v>
      </c>
      <c r="I74" s="396" t="s">
        <v>317</v>
      </c>
      <c r="J74" s="490">
        <f>'Perlite Concentrations'!$M$29</f>
        <v>2.5000000000000001E-5</v>
      </c>
      <c r="K74" s="491">
        <f t="shared" si="8"/>
        <v>3.3984374999999963E-7</v>
      </c>
      <c r="L74" s="491">
        <f t="shared" si="9"/>
        <v>8.9310937499999909E-2</v>
      </c>
      <c r="N74" s="368"/>
    </row>
    <row r="75" spans="1:14" x14ac:dyDescent="0.2">
      <c r="B75" s="396" t="s">
        <v>94</v>
      </c>
      <c r="C75" s="396" t="s">
        <v>318</v>
      </c>
      <c r="D75" s="490">
        <f>'Perlite Concentrations'!$M$30</f>
        <v>2.5000000000000001E-5</v>
      </c>
      <c r="E75" s="491">
        <f t="shared" si="7"/>
        <v>7.8124999999999919E-7</v>
      </c>
      <c r="F75" s="491">
        <f t="shared" si="10"/>
        <v>0.20531249999999979</v>
      </c>
      <c r="G75" s="389"/>
      <c r="H75" s="396" t="s">
        <v>94</v>
      </c>
      <c r="I75" s="396" t="s">
        <v>318</v>
      </c>
      <c r="J75" s="490">
        <f>'Perlite Concentrations'!$M$30</f>
        <v>2.5000000000000001E-5</v>
      </c>
      <c r="K75" s="491">
        <f t="shared" si="8"/>
        <v>3.3984374999999963E-7</v>
      </c>
      <c r="L75" s="491">
        <f t="shared" si="9"/>
        <v>8.9310937499999909E-2</v>
      </c>
      <c r="N75" s="368"/>
    </row>
    <row r="76" spans="1:14" s="377" customFormat="1" ht="16.5" customHeight="1" x14ac:dyDescent="0.15">
      <c r="A76" s="387">
        <v>1</v>
      </c>
      <c r="B76" s="171" t="s">
        <v>319</v>
      </c>
      <c r="C76" s="167"/>
      <c r="D76" s="167"/>
      <c r="E76" s="167"/>
      <c r="F76" s="167"/>
      <c r="G76" s="387">
        <v>1</v>
      </c>
      <c r="H76" s="171" t="s">
        <v>319</v>
      </c>
      <c r="I76" s="167"/>
      <c r="J76" s="167"/>
      <c r="K76" s="167"/>
      <c r="L76" s="167"/>
      <c r="M76" s="167"/>
    </row>
    <row r="77" spans="1:14" x14ac:dyDescent="0.2">
      <c r="N77" s="368"/>
    </row>
  </sheetData>
  <mergeCells count="1">
    <mergeCell ref="B7:E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497DB-C935-47B9-A917-27E816EDE5B3}">
  <dimension ref="A1:K56"/>
  <sheetViews>
    <sheetView view="pageBreakPreview" zoomScale="60" zoomScaleNormal="100" workbookViewId="0"/>
  </sheetViews>
  <sheetFormatPr defaultColWidth="8.85546875" defaultRowHeight="15" customHeight="1" x14ac:dyDescent="0.2"/>
  <cols>
    <col min="1" max="1" width="4" style="355" customWidth="1"/>
    <col min="2" max="2" width="46.140625" style="355" customWidth="1"/>
    <col min="3" max="3" width="24.85546875" style="355" bestFit="1" customWidth="1"/>
    <col min="4" max="4" width="16.42578125" style="355" customWidth="1"/>
    <col min="5" max="5" width="47" style="355" customWidth="1"/>
    <col min="6" max="6" width="25.140625" style="355" customWidth="1"/>
    <col min="7" max="7" width="14.7109375" style="355" customWidth="1"/>
    <col min="8" max="16384" width="8.85546875" style="355"/>
  </cols>
  <sheetData>
    <row r="1" spans="1:11" ht="12.75" x14ac:dyDescent="0.2">
      <c r="B1" s="480" t="s">
        <v>353</v>
      </c>
    </row>
    <row r="2" spans="1:11" ht="12.75" x14ac:dyDescent="0.2">
      <c r="B2" s="480"/>
    </row>
    <row r="3" spans="1:11" ht="15" customHeight="1" x14ac:dyDescent="0.2">
      <c r="B3" s="480" t="s">
        <v>354</v>
      </c>
    </row>
    <row r="4" spans="1:11" ht="12.75" x14ac:dyDescent="0.2">
      <c r="B4" s="484" t="s">
        <v>355</v>
      </c>
      <c r="C4" s="484" t="s">
        <v>356</v>
      </c>
      <c r="D4" s="396" t="s">
        <v>357</v>
      </c>
      <c r="E4" s="484" t="s">
        <v>358</v>
      </c>
      <c r="F4" s="484" t="s">
        <v>359</v>
      </c>
      <c r="G4" s="484" t="s">
        <v>4</v>
      </c>
    </row>
    <row r="5" spans="1:11" ht="12.75" x14ac:dyDescent="0.2">
      <c r="B5" s="484" t="s">
        <v>360</v>
      </c>
      <c r="C5" s="501" t="s">
        <v>361</v>
      </c>
      <c r="D5" s="484">
        <v>1</v>
      </c>
      <c r="E5" s="484" t="s">
        <v>32</v>
      </c>
      <c r="F5" s="484">
        <f>D5/2/1000000*$C$11*1000</f>
        <v>3.9399999999999999E-3</v>
      </c>
      <c r="G5" s="484" t="s">
        <v>362</v>
      </c>
    </row>
    <row r="6" spans="1:11" ht="12.75" x14ac:dyDescent="0.2">
      <c r="B6" s="484" t="s">
        <v>363</v>
      </c>
      <c r="C6" s="501" t="s">
        <v>364</v>
      </c>
      <c r="D6" s="484">
        <v>0.1</v>
      </c>
      <c r="E6" s="484" t="s">
        <v>32</v>
      </c>
      <c r="F6" s="484">
        <f>D6/1000000*$C$11/2*1000</f>
        <v>3.9399999999999998E-4</v>
      </c>
      <c r="G6" s="484" t="s">
        <v>362</v>
      </c>
    </row>
    <row r="7" spans="1:11" ht="12.75" x14ac:dyDescent="0.2">
      <c r="B7" s="484" t="s">
        <v>365</v>
      </c>
      <c r="C7" s="501" t="s">
        <v>366</v>
      </c>
      <c r="D7" s="484">
        <v>4</v>
      </c>
      <c r="E7" s="484" t="s">
        <v>32</v>
      </c>
      <c r="F7" s="484">
        <f>D7/1000000*$C$11/2*1000</f>
        <v>1.576E-2</v>
      </c>
      <c r="G7" s="502" t="s">
        <v>362</v>
      </c>
    </row>
    <row r="8" spans="1:11" ht="12.75" x14ac:dyDescent="0.2">
      <c r="B8" s="484" t="s">
        <v>367</v>
      </c>
      <c r="C8" s="501">
        <v>14.3</v>
      </c>
      <c r="D8" s="484">
        <v>1</v>
      </c>
      <c r="E8" s="484" t="s">
        <v>32</v>
      </c>
      <c r="F8" s="503">
        <f>C8/1000000*C11*1000</f>
        <v>0.11268400000000001</v>
      </c>
      <c r="G8" s="504" t="s">
        <v>368</v>
      </c>
    </row>
    <row r="9" spans="1:11" ht="12.75" x14ac:dyDescent="0.2">
      <c r="B9" s="484" t="s">
        <v>369</v>
      </c>
      <c r="C9" s="501" t="s">
        <v>361</v>
      </c>
      <c r="D9" s="484">
        <v>1</v>
      </c>
      <c r="E9" s="484" t="s">
        <v>32</v>
      </c>
      <c r="F9" s="484">
        <f>(D9/2)/1000000*C11*1000</f>
        <v>3.9399999999999999E-3</v>
      </c>
      <c r="G9" s="505" t="s">
        <v>362</v>
      </c>
    </row>
    <row r="10" spans="1:11" s="167" customFormat="1" ht="12.75" x14ac:dyDescent="0.15">
      <c r="A10" s="387">
        <v>1</v>
      </c>
      <c r="B10" s="167" t="s">
        <v>370</v>
      </c>
      <c r="C10" s="171"/>
    </row>
    <row r="11" spans="1:11" s="167" customFormat="1" ht="12.75" x14ac:dyDescent="0.15">
      <c r="A11" s="387"/>
      <c r="B11" s="167" t="s">
        <v>371</v>
      </c>
      <c r="C11" s="167">
        <v>7.88</v>
      </c>
      <c r="D11" s="167" t="s">
        <v>372</v>
      </c>
      <c r="E11" s="167" t="s">
        <v>373</v>
      </c>
    </row>
    <row r="13" spans="1:11" ht="12.75" x14ac:dyDescent="0.2">
      <c r="B13" s="480" t="s">
        <v>374</v>
      </c>
    </row>
    <row r="14" spans="1:11" ht="27" x14ac:dyDescent="0.2">
      <c r="B14" s="506" t="s">
        <v>375</v>
      </c>
      <c r="C14" s="507" t="s">
        <v>299</v>
      </c>
      <c r="D14" s="155" t="s">
        <v>376</v>
      </c>
      <c r="E14" s="155" t="s">
        <v>377</v>
      </c>
      <c r="H14" s="508"/>
      <c r="I14" s="508"/>
      <c r="J14" s="509"/>
      <c r="K14" s="510"/>
    </row>
    <row r="15" spans="1:11" ht="12.75" x14ac:dyDescent="0.2">
      <c r="B15" s="396" t="s">
        <v>378</v>
      </c>
      <c r="C15" s="396" t="str">
        <f>INDEX('DEQ Pollutant List'!$A$7:$A$611, MATCH(B15, 'DEQ Pollutant List'!$B$7:$B$611,0))</f>
        <v>71-55-6</v>
      </c>
      <c r="D15" s="491">
        <v>2.3599999999999999E-4</v>
      </c>
      <c r="E15" s="396" t="s">
        <v>379</v>
      </c>
      <c r="G15" s="511"/>
      <c r="H15" s="511"/>
      <c r="I15" s="512"/>
      <c r="J15" s="513"/>
    </row>
    <row r="16" spans="1:11" ht="12.75" x14ac:dyDescent="0.2">
      <c r="B16" s="396" t="s">
        <v>380</v>
      </c>
      <c r="C16" s="396" t="str">
        <f>INDEX('DEQ Pollutant List'!$A$7:$A$611, MATCH(B16, 'DEQ Pollutant List'!$B$7:$B$611,0))</f>
        <v>83-32-9</v>
      </c>
      <c r="D16" s="491">
        <v>2.1100000000000001E-5</v>
      </c>
      <c r="E16" s="396" t="s">
        <v>379</v>
      </c>
      <c r="G16" s="511"/>
      <c r="H16" s="511"/>
      <c r="I16" s="512"/>
      <c r="J16" s="513"/>
    </row>
    <row r="17" spans="2:10" ht="12.75" x14ac:dyDescent="0.2">
      <c r="B17" s="396" t="s">
        <v>381</v>
      </c>
      <c r="C17" s="396" t="str">
        <f>INDEX('DEQ Pollutant List'!$A$7:$A$611, MATCH(B17, 'DEQ Pollutant List'!$B$7:$B$611,0))</f>
        <v>208-96-8</v>
      </c>
      <c r="D17" s="491">
        <v>2.53E-7</v>
      </c>
      <c r="E17" s="396" t="s">
        <v>379</v>
      </c>
      <c r="G17" s="511"/>
      <c r="H17" s="511"/>
      <c r="I17" s="512"/>
      <c r="J17" s="513"/>
    </row>
    <row r="18" spans="2:10" ht="12.75" x14ac:dyDescent="0.2">
      <c r="B18" s="396" t="s">
        <v>382</v>
      </c>
      <c r="C18" s="396" t="str">
        <f>INDEX('DEQ Pollutant List'!$A$7:$A$611, MATCH(B18, 'DEQ Pollutant List'!$B$7:$B$611,0))</f>
        <v>120-12-7</v>
      </c>
      <c r="D18" s="491">
        <v>1.22E-6</v>
      </c>
      <c r="E18" s="396" t="s">
        <v>379</v>
      </c>
      <c r="G18" s="511"/>
      <c r="H18" s="511"/>
      <c r="I18" s="512"/>
      <c r="J18" s="513"/>
    </row>
    <row r="19" spans="2:10" ht="12.75" x14ac:dyDescent="0.2">
      <c r="B19" s="396" t="s">
        <v>74</v>
      </c>
      <c r="C19" s="396" t="str">
        <f>INDEX('DEQ Pollutant List'!$A$7:$A$611, MATCH(B19, 'DEQ Pollutant List'!$B$7:$B$611,0))</f>
        <v>7440-36-0</v>
      </c>
      <c r="D19" s="491">
        <v>5.2500000000000003E-3</v>
      </c>
      <c r="E19" s="396" t="s">
        <v>379</v>
      </c>
      <c r="G19" s="511"/>
      <c r="H19" s="511"/>
      <c r="I19" s="512"/>
      <c r="J19" s="513"/>
    </row>
    <row r="20" spans="2:10" ht="12.75" x14ac:dyDescent="0.2">
      <c r="B20" s="396" t="s">
        <v>38</v>
      </c>
      <c r="C20" s="396" t="str">
        <f>INDEX('DEQ Pollutant List'!$A$7:$A$611, MATCH(B20, 'DEQ Pollutant List'!$B$7:$B$611,0))</f>
        <v>7440-38-2</v>
      </c>
      <c r="D20" s="491">
        <f>F5</f>
        <v>3.9399999999999999E-3</v>
      </c>
      <c r="E20" s="396" t="s">
        <v>383</v>
      </c>
      <c r="G20" s="511"/>
      <c r="H20" s="511"/>
      <c r="I20" s="512"/>
      <c r="J20" s="513"/>
    </row>
    <row r="21" spans="2:10" ht="12.75" x14ac:dyDescent="0.2">
      <c r="B21" s="396" t="s">
        <v>40</v>
      </c>
      <c r="C21" s="396" t="str">
        <f>INDEX('DEQ Pollutant List'!$A$7:$A$611, MATCH(B21, 'DEQ Pollutant List'!$B$7:$B$611,0))</f>
        <v>7440-39-3</v>
      </c>
      <c r="D21" s="491">
        <v>2.5699999999999998E-3</v>
      </c>
      <c r="E21" s="396" t="s">
        <v>379</v>
      </c>
      <c r="G21" s="511"/>
      <c r="H21" s="511"/>
      <c r="I21" s="512"/>
      <c r="J21" s="513"/>
    </row>
    <row r="22" spans="2:10" ht="12.75" x14ac:dyDescent="0.2">
      <c r="B22" s="396" t="s">
        <v>384</v>
      </c>
      <c r="C22" s="396" t="str">
        <f>INDEX('DEQ Pollutant List'!$A$7:$A$611, MATCH(B22, 'DEQ Pollutant List'!$B$7:$B$611,0))</f>
        <v>56-55-3</v>
      </c>
      <c r="D22" s="491">
        <v>4.0099999999999997E-6</v>
      </c>
      <c r="E22" s="396" t="s">
        <v>379</v>
      </c>
      <c r="G22" s="511"/>
      <c r="H22" s="511"/>
      <c r="I22" s="512"/>
      <c r="J22" s="513"/>
    </row>
    <row r="23" spans="2:10" ht="12.75" x14ac:dyDescent="0.2">
      <c r="B23" s="396" t="s">
        <v>385</v>
      </c>
      <c r="C23" s="396" t="str">
        <f>INDEX('DEQ Pollutant List'!$A$7:$A$611, MATCH(B23, 'DEQ Pollutant List'!$B$7:$B$611,0))</f>
        <v>71-43-2</v>
      </c>
      <c r="D23" s="491">
        <v>2.14E-4</v>
      </c>
      <c r="E23" s="396" t="s">
        <v>379</v>
      </c>
      <c r="G23" s="511"/>
      <c r="H23" s="511"/>
      <c r="I23" s="512"/>
      <c r="J23" s="513"/>
    </row>
    <row r="24" spans="2:10" ht="12.75" x14ac:dyDescent="0.2">
      <c r="B24" s="396" t="s">
        <v>386</v>
      </c>
      <c r="C24" s="396" t="str">
        <f>INDEX('DEQ Pollutant List'!$A$7:$A$611, MATCH(B24, 'DEQ Pollutant List'!$B$7:$B$611,0))</f>
        <v>205-99-2</v>
      </c>
      <c r="D24" s="491">
        <v>1.48E-6</v>
      </c>
      <c r="E24" s="396" t="s">
        <v>379</v>
      </c>
      <c r="G24" s="511"/>
      <c r="H24" s="511"/>
      <c r="I24" s="514"/>
      <c r="J24" s="513"/>
    </row>
    <row r="25" spans="2:10" ht="12.75" x14ac:dyDescent="0.2">
      <c r="B25" s="396" t="s">
        <v>387</v>
      </c>
      <c r="C25" s="396" t="str">
        <f>INDEX('DEQ Pollutant List'!$A$7:$A$611, MATCH(B25, 'DEQ Pollutant List'!$B$7:$B$611,0))</f>
        <v>191-24-2</v>
      </c>
      <c r="D25" s="515">
        <v>2.26E-6</v>
      </c>
      <c r="E25" s="396" t="s">
        <v>379</v>
      </c>
      <c r="G25" s="511"/>
      <c r="H25" s="511"/>
      <c r="I25" s="512"/>
      <c r="J25" s="513"/>
    </row>
    <row r="26" spans="2:10" ht="12.75" x14ac:dyDescent="0.2">
      <c r="B26" s="396" t="s">
        <v>42</v>
      </c>
      <c r="C26" s="396" t="str">
        <f>INDEX('DEQ Pollutant List'!$A$7:$A$611, MATCH(B26, 'DEQ Pollutant List'!$B$7:$B$611,0))</f>
        <v>7440-41-7</v>
      </c>
      <c r="D26" s="491">
        <v>2.7800000000000001E-5</v>
      </c>
      <c r="E26" s="396" t="s">
        <v>379</v>
      </c>
      <c r="G26" s="511"/>
      <c r="H26" s="511"/>
      <c r="I26" s="512"/>
      <c r="J26" s="513"/>
    </row>
    <row r="27" spans="2:10" ht="12.75" x14ac:dyDescent="0.2">
      <c r="B27" s="396" t="s">
        <v>44</v>
      </c>
      <c r="C27" s="396" t="str">
        <f>INDEX('DEQ Pollutant List'!$A$7:$A$611, MATCH(B27, 'DEQ Pollutant List'!$B$7:$B$611,0))</f>
        <v>7440-43-9</v>
      </c>
      <c r="D27" s="515">
        <f>F6</f>
        <v>3.9399999999999998E-4</v>
      </c>
      <c r="E27" s="396" t="s">
        <v>388</v>
      </c>
      <c r="G27" s="511"/>
      <c r="H27" s="511"/>
      <c r="I27" s="512"/>
      <c r="J27" s="516"/>
    </row>
    <row r="28" spans="2:10" ht="16.5" customHeight="1" x14ac:dyDescent="0.2">
      <c r="B28" s="396" t="s">
        <v>228</v>
      </c>
      <c r="C28" s="396" t="str">
        <f>INDEX('DEQ Pollutant List'!$A$7:$A$611, MATCH(B28, 'DEQ Pollutant List'!$B$7:$B$611,0))</f>
        <v>18540-29-9</v>
      </c>
      <c r="D28" s="491">
        <v>2.4800000000000001E-4</v>
      </c>
      <c r="E28" s="396" t="s">
        <v>379</v>
      </c>
      <c r="G28" s="517"/>
      <c r="H28" s="517"/>
      <c r="I28" s="512"/>
      <c r="J28" s="513"/>
    </row>
    <row r="29" spans="2:10" ht="12.75" x14ac:dyDescent="0.2">
      <c r="B29" s="396" t="s">
        <v>389</v>
      </c>
      <c r="C29" s="396" t="str">
        <f>INDEX('DEQ Pollutant List'!$A$7:$A$611, MATCH(B29, 'DEQ Pollutant List'!$B$7:$B$611,0))</f>
        <v>218-01-9</v>
      </c>
      <c r="D29" s="491">
        <v>2.3800000000000001E-6</v>
      </c>
      <c r="E29" s="396" t="s">
        <v>379</v>
      </c>
      <c r="G29" s="511"/>
      <c r="H29" s="511"/>
      <c r="I29" s="512"/>
      <c r="J29" s="513"/>
    </row>
    <row r="30" spans="2:10" ht="15.75" customHeight="1" x14ac:dyDescent="0.2">
      <c r="B30" s="396" t="s">
        <v>46</v>
      </c>
      <c r="C30" s="396" t="str">
        <f>INDEX('DEQ Pollutant List'!$A$7:$A$611, MATCH(B30, 'DEQ Pollutant List'!$B$7:$B$611,0))</f>
        <v>7440-48-4</v>
      </c>
      <c r="D30" s="515">
        <v>6.0200000000000002E-3</v>
      </c>
      <c r="E30" s="396" t="s">
        <v>379</v>
      </c>
      <c r="G30" s="511"/>
      <c r="H30" s="511"/>
      <c r="I30" s="514"/>
      <c r="J30" s="516"/>
    </row>
    <row r="31" spans="2:10" ht="12.75" x14ac:dyDescent="0.2">
      <c r="B31" s="396" t="s">
        <v>49</v>
      </c>
      <c r="C31" s="396" t="str">
        <f>INDEX('DEQ Pollutant List'!$A$7:$A$611, MATCH(B31, 'DEQ Pollutant List'!$B$7:$B$611,0))</f>
        <v>7440-50-8</v>
      </c>
      <c r="D31" s="515">
        <v>1.7600000000000001E-3</v>
      </c>
      <c r="E31" s="396" t="s">
        <v>379</v>
      </c>
      <c r="G31" s="511"/>
      <c r="H31" s="511"/>
      <c r="I31" s="512"/>
      <c r="J31" s="513"/>
    </row>
    <row r="32" spans="2:10" ht="12.75" x14ac:dyDescent="0.2">
      <c r="B32" s="396" t="s">
        <v>390</v>
      </c>
      <c r="C32" s="396" t="str">
        <f>INDEX('DEQ Pollutant List'!$A$7:$A$611, MATCH(B32, 'DEQ Pollutant List'!$B$7:$B$611,0))</f>
        <v>53-70-3</v>
      </c>
      <c r="D32" s="515">
        <v>1.6700000000000001E-6</v>
      </c>
      <c r="E32" s="396" t="s">
        <v>379</v>
      </c>
      <c r="G32" s="511"/>
      <c r="H32" s="511"/>
      <c r="I32" s="512"/>
      <c r="J32" s="513"/>
    </row>
    <row r="33" spans="2:10" ht="12.75" x14ac:dyDescent="0.2">
      <c r="B33" s="396" t="s">
        <v>391</v>
      </c>
      <c r="C33" s="396" t="str">
        <f>INDEX('DEQ Pollutant List'!$A$7:$A$611, MATCH(B33, 'DEQ Pollutant List'!$B$7:$B$611,0))</f>
        <v>100-41-4</v>
      </c>
      <c r="D33" s="491">
        <v>6.3600000000000001E-5</v>
      </c>
      <c r="E33" s="396" t="s">
        <v>379</v>
      </c>
      <c r="G33" s="511"/>
      <c r="H33" s="511"/>
      <c r="I33" s="512"/>
      <c r="J33" s="513"/>
    </row>
    <row r="34" spans="2:10" ht="12.75" x14ac:dyDescent="0.2">
      <c r="B34" s="396" t="s">
        <v>392</v>
      </c>
      <c r="C34" s="396" t="str">
        <f>INDEX('DEQ Pollutant List'!$A$7:$A$611, MATCH(B34, 'DEQ Pollutant List'!$B$7:$B$611,0))</f>
        <v>206-44-0</v>
      </c>
      <c r="D34" s="491">
        <v>4.8400000000000002E-6</v>
      </c>
      <c r="E34" s="396" t="s">
        <v>379</v>
      </c>
      <c r="G34" s="511"/>
      <c r="H34" s="511"/>
      <c r="I34" s="512"/>
      <c r="J34" s="513"/>
    </row>
    <row r="35" spans="2:10" ht="12.75" x14ac:dyDescent="0.2">
      <c r="B35" s="396" t="s">
        <v>393</v>
      </c>
      <c r="C35" s="396" t="str">
        <f>INDEX('DEQ Pollutant List'!$A$7:$A$611, MATCH(B35, 'DEQ Pollutant List'!$B$7:$B$611,0))</f>
        <v>86-73-7</v>
      </c>
      <c r="D35" s="491">
        <v>4.4700000000000004E-6</v>
      </c>
      <c r="E35" s="396" t="s">
        <v>379</v>
      </c>
      <c r="G35" s="511"/>
      <c r="H35" s="511"/>
      <c r="I35" s="512"/>
      <c r="J35" s="513"/>
    </row>
    <row r="36" spans="2:10" ht="12.75" x14ac:dyDescent="0.2">
      <c r="B36" s="396" t="s">
        <v>226</v>
      </c>
      <c r="C36" s="396">
        <f>INDEX('DEQ Pollutant List'!$A$7:$A$611, MATCH(B36, 'DEQ Pollutant List'!$B$7:$B$611,0))</f>
        <v>239</v>
      </c>
      <c r="D36" s="491">
        <v>3.73E-2</v>
      </c>
      <c r="E36" s="396" t="s">
        <v>379</v>
      </c>
      <c r="G36" s="511"/>
      <c r="H36" s="511"/>
      <c r="I36" s="512"/>
      <c r="J36" s="513"/>
    </row>
    <row r="37" spans="2:10" ht="15" customHeight="1" x14ac:dyDescent="0.2">
      <c r="B37" s="396" t="s">
        <v>394</v>
      </c>
      <c r="C37" s="396" t="str">
        <f>INDEX('DEQ Pollutant List'!$A$7:$A$611, MATCH(B37, 'DEQ Pollutant List'!$B$7:$B$611,0))</f>
        <v>50-00-0</v>
      </c>
      <c r="D37" s="491">
        <v>3.3000000000000002E-2</v>
      </c>
      <c r="E37" s="396" t="s">
        <v>379</v>
      </c>
      <c r="G37" s="511"/>
      <c r="H37" s="511"/>
      <c r="I37" s="512"/>
      <c r="J37" s="513"/>
    </row>
    <row r="38" spans="2:10" ht="15" customHeight="1" x14ac:dyDescent="0.2">
      <c r="B38" s="396" t="s">
        <v>395</v>
      </c>
      <c r="C38" s="396" t="str">
        <f>INDEX('DEQ Pollutant List'!$A$7:$A$611, MATCH(B38, 'DEQ Pollutant List'!$B$7:$B$611,0))</f>
        <v>193-39-5</v>
      </c>
      <c r="D38" s="491">
        <v>2.1399999999999998E-6</v>
      </c>
      <c r="E38" s="396" t="s">
        <v>379</v>
      </c>
      <c r="G38" s="511"/>
      <c r="H38" s="511"/>
      <c r="I38" s="512"/>
      <c r="J38" s="513"/>
    </row>
    <row r="39" spans="2:10" ht="15" customHeight="1" x14ac:dyDescent="0.2">
      <c r="B39" s="396" t="s">
        <v>72</v>
      </c>
      <c r="C39" s="396" t="str">
        <f>INDEX('DEQ Pollutant List'!$A$7:$A$611, MATCH(B39, 'DEQ Pollutant List'!$B$7:$B$611,0))</f>
        <v>7439-92-1</v>
      </c>
      <c r="D39" s="491">
        <f>F8</f>
        <v>0.11268400000000001</v>
      </c>
      <c r="E39" s="396" t="s">
        <v>383</v>
      </c>
      <c r="G39" s="511"/>
      <c r="H39" s="511"/>
      <c r="I39" s="512"/>
      <c r="J39" s="513"/>
    </row>
    <row r="40" spans="2:10" ht="15" customHeight="1" x14ac:dyDescent="0.2">
      <c r="B40" s="396" t="s">
        <v>60</v>
      </c>
      <c r="C40" s="396" t="str">
        <f>INDEX('DEQ Pollutant List'!$A$7:$A$611, MATCH(B40, 'DEQ Pollutant List'!$B$7:$B$611,0))</f>
        <v>7439-96-5</v>
      </c>
      <c r="D40" s="491">
        <v>3.0000000000000001E-3</v>
      </c>
      <c r="E40" s="396" t="s">
        <v>379</v>
      </c>
      <c r="G40" s="511"/>
      <c r="H40" s="511"/>
      <c r="I40" s="514"/>
      <c r="J40" s="516"/>
    </row>
    <row r="41" spans="2:10" ht="15" customHeight="1" x14ac:dyDescent="0.2">
      <c r="B41" s="396" t="s">
        <v>57</v>
      </c>
      <c r="C41" s="396" t="str">
        <f>INDEX('DEQ Pollutant List'!$A$7:$A$611, MATCH(B41, 'DEQ Pollutant List'!$B$7:$B$611,0))</f>
        <v>7439-97-6</v>
      </c>
      <c r="D41" s="491">
        <v>1.13E-4</v>
      </c>
      <c r="E41" s="396" t="s">
        <v>379</v>
      </c>
      <c r="G41" s="511"/>
      <c r="H41" s="511"/>
      <c r="I41" s="512"/>
      <c r="J41" s="513"/>
    </row>
    <row r="42" spans="2:10" ht="15" customHeight="1" x14ac:dyDescent="0.2">
      <c r="B42" s="396" t="s">
        <v>65</v>
      </c>
      <c r="C42" s="396" t="str">
        <f>INDEX('DEQ Pollutant List'!$A$7:$A$611, MATCH(B42, 'DEQ Pollutant List'!$B$7:$B$611,0))</f>
        <v>1313-27-5</v>
      </c>
      <c r="D42" s="491">
        <v>1.1805000000000001E-3</v>
      </c>
      <c r="E42" s="396" t="s">
        <v>379</v>
      </c>
      <c r="G42" s="511"/>
      <c r="H42" s="511"/>
      <c r="I42" s="512"/>
      <c r="J42" s="513"/>
    </row>
    <row r="43" spans="2:10" ht="15" customHeight="1" x14ac:dyDescent="0.2">
      <c r="B43" s="396" t="s">
        <v>396</v>
      </c>
      <c r="C43" s="396" t="str">
        <f>INDEX('DEQ Pollutant List'!$A$7:$A$611, MATCH(B43, 'DEQ Pollutant List'!$B$7:$B$611,0))</f>
        <v>91-20-3</v>
      </c>
      <c r="D43" s="491">
        <v>1.1299999999999999E-3</v>
      </c>
      <c r="E43" s="396" t="s">
        <v>379</v>
      </c>
      <c r="G43" s="511"/>
      <c r="H43" s="511"/>
      <c r="I43" s="512"/>
      <c r="J43" s="513"/>
    </row>
    <row r="44" spans="2:10" ht="15" customHeight="1" x14ac:dyDescent="0.2">
      <c r="B44" s="396" t="s">
        <v>68</v>
      </c>
      <c r="C44" s="396" t="str">
        <f>INDEX('DEQ Pollutant List'!$A$7:$A$611, MATCH(B44, 'DEQ Pollutant List'!$B$7:$B$611,0))</f>
        <v>7440-02-0</v>
      </c>
      <c r="D44" s="491">
        <v>8.4500000000000006E-2</v>
      </c>
      <c r="E44" s="396" t="s">
        <v>379</v>
      </c>
      <c r="G44" s="511"/>
      <c r="H44" s="511"/>
      <c r="I44" s="512"/>
      <c r="J44" s="513"/>
    </row>
    <row r="45" spans="2:10" ht="15" customHeight="1" x14ac:dyDescent="0.2">
      <c r="B45" s="396" t="s">
        <v>397</v>
      </c>
      <c r="C45" s="396" t="str">
        <f>INDEX('DEQ Pollutant List'!$A$7:$A$611, MATCH(B45, 'DEQ Pollutant List'!$B$7:$B$611,0))</f>
        <v>3268-87-9</v>
      </c>
      <c r="D45" s="491">
        <v>3.1E-9</v>
      </c>
      <c r="E45" s="396" t="s">
        <v>379</v>
      </c>
      <c r="G45" s="511"/>
      <c r="H45" s="511"/>
      <c r="I45" s="512"/>
      <c r="J45" s="513"/>
    </row>
    <row r="46" spans="2:10" ht="15" customHeight="1" x14ac:dyDescent="0.2">
      <c r="B46" s="396" t="s">
        <v>398</v>
      </c>
      <c r="C46" s="396" t="str">
        <f>INDEX('DEQ Pollutant List'!$A$7:$A$611, MATCH(B46, 'DEQ Pollutant List'!$B$7:$B$611,0))</f>
        <v>1330-20-7</v>
      </c>
      <c r="D46" s="491">
        <v>1.0900000000000001E-4</v>
      </c>
      <c r="E46" s="396" t="s">
        <v>379</v>
      </c>
      <c r="G46" s="511"/>
      <c r="H46" s="511"/>
      <c r="I46" s="512"/>
      <c r="J46" s="513"/>
    </row>
    <row r="47" spans="2:10" ht="15" customHeight="1" x14ac:dyDescent="0.2">
      <c r="B47" s="396" t="s">
        <v>399</v>
      </c>
      <c r="C47" s="396" t="str">
        <f>INDEX('DEQ Pollutant List'!$A$7:$A$611, MATCH(B47, 'DEQ Pollutant List'!$B$7:$B$611,0))</f>
        <v>1336-36-3</v>
      </c>
      <c r="D47" s="491">
        <f>F9</f>
        <v>3.9399999999999999E-3</v>
      </c>
      <c r="E47" s="396" t="s">
        <v>383</v>
      </c>
      <c r="G47" s="511"/>
      <c r="H47" s="511"/>
      <c r="I47" s="512"/>
      <c r="J47" s="513"/>
    </row>
    <row r="48" spans="2:10" ht="15" customHeight="1" x14ac:dyDescent="0.2">
      <c r="B48" s="396" t="s">
        <v>400</v>
      </c>
      <c r="C48" s="396" t="str">
        <f>INDEX('DEQ Pollutant List'!$A$7:$A$611, MATCH(B48, 'DEQ Pollutant List'!$B$7:$B$611,0))</f>
        <v>85-01-8</v>
      </c>
      <c r="D48" s="491">
        <v>1.0499999999999999E-5</v>
      </c>
      <c r="E48" s="396" t="s">
        <v>379</v>
      </c>
      <c r="G48" s="511"/>
      <c r="H48" s="511"/>
      <c r="I48" s="512"/>
      <c r="J48" s="513"/>
    </row>
    <row r="49" spans="1:10" ht="15" customHeight="1" x14ac:dyDescent="0.2">
      <c r="B49" s="396" t="s">
        <v>70</v>
      </c>
      <c r="C49" s="396">
        <f>INDEX('DEQ Pollutant List'!$A$7:$A$611, MATCH(B49, 'DEQ Pollutant List'!$B$7:$B$611,0))</f>
        <v>504</v>
      </c>
      <c r="D49" s="491">
        <v>9.4599999999999997E-3</v>
      </c>
      <c r="E49" s="396" t="s">
        <v>379</v>
      </c>
      <c r="G49" s="511"/>
      <c r="H49" s="511"/>
      <c r="I49" s="512"/>
      <c r="J49" s="513"/>
    </row>
    <row r="50" spans="1:10" ht="15" customHeight="1" x14ac:dyDescent="0.2">
      <c r="B50" s="396" t="s">
        <v>401</v>
      </c>
      <c r="C50" s="396" t="str">
        <f>INDEX('DEQ Pollutant List'!$A$7:$A$611, MATCH(B50, 'DEQ Pollutant List'!$B$7:$B$611,0))</f>
        <v>129-00-0</v>
      </c>
      <c r="D50" s="491">
        <v>4.25E-6</v>
      </c>
      <c r="E50" s="396" t="s">
        <v>379</v>
      </c>
      <c r="G50" s="511"/>
      <c r="H50" s="511"/>
      <c r="I50" s="512"/>
      <c r="J50" s="513"/>
    </row>
    <row r="51" spans="1:10" ht="15" customHeight="1" x14ac:dyDescent="0.2">
      <c r="B51" s="396" t="s">
        <v>76</v>
      </c>
      <c r="C51" s="396" t="str">
        <f>INDEX('DEQ Pollutant List'!$A$7:$A$611, MATCH(B51, 'DEQ Pollutant List'!$B$7:$B$611,0))</f>
        <v>7782-49-2</v>
      </c>
      <c r="D51" s="491">
        <v>6.8300000000000001E-4</v>
      </c>
      <c r="E51" s="396" t="s">
        <v>379</v>
      </c>
      <c r="G51" s="511"/>
      <c r="H51" s="511"/>
      <c r="I51" s="512"/>
      <c r="J51" s="513"/>
    </row>
    <row r="52" spans="1:10" ht="15" customHeight="1" x14ac:dyDescent="0.2">
      <c r="B52" s="396" t="s">
        <v>402</v>
      </c>
      <c r="C52" s="396" t="str">
        <f>INDEX('DEQ Pollutant List'!$A$7:$A$611, MATCH(B52, 'DEQ Pollutant List'!$B$7:$B$611,0))</f>
        <v>108-88-3</v>
      </c>
      <c r="D52" s="491">
        <v>6.1999999999999998E-3</v>
      </c>
      <c r="E52" s="396" t="s">
        <v>379</v>
      </c>
      <c r="G52" s="511"/>
      <c r="H52" s="511"/>
      <c r="I52" s="512"/>
      <c r="J52" s="513"/>
    </row>
    <row r="53" spans="1:10" ht="15" customHeight="1" x14ac:dyDescent="0.2">
      <c r="B53" s="396" t="s">
        <v>80</v>
      </c>
      <c r="C53" s="396" t="str">
        <f>INDEX('DEQ Pollutant List'!$A$7:$A$611, MATCH(B53, 'DEQ Pollutant List'!$B$7:$B$611,0))</f>
        <v>7440-62-2</v>
      </c>
      <c r="D53" s="491">
        <v>3.1800000000000002E-2</v>
      </c>
      <c r="E53" s="396" t="s">
        <v>379</v>
      </c>
      <c r="G53" s="511"/>
      <c r="H53" s="511"/>
      <c r="I53" s="512"/>
      <c r="J53" s="513"/>
    </row>
    <row r="54" spans="1:10" ht="15" customHeight="1" x14ac:dyDescent="0.2">
      <c r="B54" s="396" t="s">
        <v>83</v>
      </c>
      <c r="C54" s="396" t="str">
        <f>INDEX('DEQ Pollutant List'!$A$7:$A$611, MATCH(B54, 'DEQ Pollutant List'!$B$7:$B$611,0))</f>
        <v>7440-66-6</v>
      </c>
      <c r="D54" s="491">
        <v>2.9100000000000001E-2</v>
      </c>
      <c r="E54" s="396" t="s">
        <v>379</v>
      </c>
      <c r="G54" s="511"/>
      <c r="H54" s="511"/>
      <c r="I54" s="512"/>
      <c r="J54" s="513"/>
    </row>
    <row r="55" spans="1:10" ht="15" customHeight="1" x14ac:dyDescent="0.2">
      <c r="A55" s="387">
        <v>1</v>
      </c>
      <c r="B55" s="167" t="s">
        <v>403</v>
      </c>
    </row>
    <row r="56" spans="1:10" ht="15" customHeight="1" x14ac:dyDescent="0.2">
      <c r="A56" s="387">
        <v>2</v>
      </c>
      <c r="B56" s="167" t="s">
        <v>404</v>
      </c>
    </row>
  </sheetData>
  <conditionalFormatting sqref="C15:C54">
    <cfRule type="cellIs" dxfId="4" priority="1" operator="equal">
      <formula>"Yes"</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A6429-2A19-4F62-8482-C1C0C4E2BF2D}">
  <dimension ref="A1:P144"/>
  <sheetViews>
    <sheetView view="pageBreakPreview" topLeftCell="C100" zoomScale="60" zoomScaleNormal="100" workbookViewId="0">
      <selection activeCell="G112" sqref="G112"/>
    </sheetView>
  </sheetViews>
  <sheetFormatPr defaultColWidth="8.85546875" defaultRowHeight="14.25" x14ac:dyDescent="0.2"/>
  <cols>
    <col min="1" max="1" width="4.140625" style="419" customWidth="1"/>
    <col min="2" max="2" width="48.5703125" style="355" customWidth="1"/>
    <col min="3" max="3" width="40.85546875" style="355" customWidth="1"/>
    <col min="4" max="4" width="32" style="355" customWidth="1"/>
    <col min="5" max="5" width="28.7109375" style="355" bestFit="1" customWidth="1"/>
    <col min="6" max="6" width="24.7109375" style="355" customWidth="1"/>
    <col min="7" max="7" width="26" style="355" customWidth="1"/>
    <col min="8" max="8" width="32.7109375" style="355" customWidth="1"/>
    <col min="9" max="9" width="24.28515625" style="355" bestFit="1" customWidth="1"/>
    <col min="10" max="10" width="28.28515625" style="355" customWidth="1"/>
    <col min="11" max="11" width="31.85546875" style="355" bestFit="1" customWidth="1"/>
    <col min="12" max="13" width="29.140625" style="355" customWidth="1"/>
    <col min="14" max="14" width="24.140625" style="355" customWidth="1"/>
    <col min="15" max="15" width="21.85546875" style="355" customWidth="1"/>
    <col min="16" max="16" width="14.28515625" style="355" customWidth="1"/>
    <col min="17" max="16384" width="8.85546875" style="355"/>
  </cols>
  <sheetData>
    <row r="1" spans="1:15" x14ac:dyDescent="0.2">
      <c r="B1" s="480" t="s">
        <v>405</v>
      </c>
    </row>
    <row r="2" spans="1:15" x14ac:dyDescent="0.2">
      <c r="B2" s="480" t="s">
        <v>406</v>
      </c>
    </row>
    <row r="3" spans="1:15" ht="27" x14ac:dyDescent="0.2">
      <c r="B3" s="492" t="s">
        <v>322</v>
      </c>
      <c r="C3" s="519" t="s">
        <v>407</v>
      </c>
      <c r="D3" s="413" t="s">
        <v>408</v>
      </c>
      <c r="F3" s="509"/>
      <c r="I3" s="520"/>
      <c r="J3" s="520"/>
      <c r="K3" s="520"/>
      <c r="L3" s="812"/>
      <c r="M3" s="812"/>
      <c r="N3" s="812"/>
      <c r="O3" s="812"/>
    </row>
    <row r="4" spans="1:15" x14ac:dyDescent="0.2">
      <c r="B4" s="521" t="s">
        <v>409</v>
      </c>
      <c r="C4" s="522">
        <f>117003.11*1.3</f>
        <v>152104.04300000001</v>
      </c>
      <c r="D4" s="523">
        <f>1730.66*1.3</f>
        <v>2249.8580000000002</v>
      </c>
      <c r="F4" s="524"/>
      <c r="I4" s="813"/>
      <c r="J4" s="813"/>
      <c r="K4" s="813"/>
      <c r="L4" s="813"/>
      <c r="M4" s="813"/>
      <c r="N4" s="813"/>
      <c r="O4" s="813"/>
    </row>
    <row r="5" spans="1:15" x14ac:dyDescent="0.2">
      <c r="B5" s="521" t="s">
        <v>410</v>
      </c>
      <c r="C5" s="522">
        <f>13526.67*1.3</f>
        <v>17584.671000000002</v>
      </c>
      <c r="D5" s="523">
        <f>1063.42*1.3</f>
        <v>1382.4460000000001</v>
      </c>
      <c r="F5" s="524"/>
      <c r="J5" s="409"/>
      <c r="K5" s="389"/>
      <c r="L5" s="810"/>
      <c r="M5" s="810"/>
      <c r="N5" s="810"/>
      <c r="O5" s="810"/>
    </row>
    <row r="6" spans="1:15" s="167" customFormat="1" x14ac:dyDescent="0.2">
      <c r="A6" s="419">
        <v>1</v>
      </c>
      <c r="B6" s="518" t="s">
        <v>411</v>
      </c>
      <c r="D6" s="535"/>
      <c r="E6" s="170"/>
      <c r="F6" s="536"/>
      <c r="I6" s="814"/>
      <c r="J6" s="814"/>
      <c r="K6" s="814"/>
      <c r="L6" s="814"/>
      <c r="M6" s="814"/>
      <c r="N6" s="814"/>
      <c r="O6" s="814"/>
    </row>
    <row r="7" spans="1:15" x14ac:dyDescent="0.2">
      <c r="J7" s="389"/>
      <c r="K7" s="389"/>
      <c r="L7" s="810"/>
      <c r="M7" s="810"/>
      <c r="N7" s="810"/>
      <c r="O7" s="810"/>
    </row>
    <row r="8" spans="1:15" x14ac:dyDescent="0.2">
      <c r="I8" s="520"/>
      <c r="J8" s="520"/>
      <c r="K8" s="520"/>
      <c r="L8" s="520"/>
      <c r="M8" s="520"/>
      <c r="N8" s="520"/>
      <c r="O8" s="520"/>
    </row>
    <row r="9" spans="1:15" x14ac:dyDescent="0.2">
      <c r="B9" s="480" t="s">
        <v>412</v>
      </c>
      <c r="J9" s="389"/>
      <c r="L9" s="810"/>
      <c r="M9" s="810"/>
      <c r="N9" s="810"/>
      <c r="O9" s="810"/>
    </row>
    <row r="10" spans="1:15" x14ac:dyDescent="0.2">
      <c r="B10" s="525" t="s">
        <v>261</v>
      </c>
      <c r="C10" s="525" t="s">
        <v>262</v>
      </c>
      <c r="D10" s="525" t="s">
        <v>4</v>
      </c>
      <c r="E10" s="796" t="s">
        <v>263</v>
      </c>
      <c r="F10" s="796"/>
      <c r="G10" s="796"/>
      <c r="H10" s="796"/>
      <c r="J10" s="389"/>
      <c r="L10" s="408"/>
      <c r="M10" s="408"/>
      <c r="N10" s="408"/>
      <c r="O10" s="408"/>
    </row>
    <row r="11" spans="1:15" x14ac:dyDescent="0.2">
      <c r="B11" s="761" t="s">
        <v>269</v>
      </c>
      <c r="C11" s="761"/>
      <c r="D11" s="761"/>
      <c r="E11" s="761"/>
      <c r="F11" s="761"/>
      <c r="G11" s="761"/>
      <c r="H11" s="761"/>
      <c r="J11" s="389"/>
      <c r="L11" s="408"/>
      <c r="M11" s="408"/>
      <c r="N11" s="408"/>
      <c r="O11" s="408"/>
    </row>
    <row r="12" spans="1:15" x14ac:dyDescent="0.2">
      <c r="B12" s="526" t="s">
        <v>413</v>
      </c>
      <c r="C12" s="416">
        <v>4</v>
      </c>
      <c r="D12" s="416" t="s">
        <v>271</v>
      </c>
      <c r="E12" s="795" t="s">
        <v>272</v>
      </c>
      <c r="F12" s="795"/>
      <c r="G12" s="795"/>
      <c r="H12" s="795"/>
      <c r="J12" s="389"/>
      <c r="L12" s="408"/>
      <c r="M12" s="408"/>
      <c r="N12" s="408"/>
      <c r="O12" s="408"/>
    </row>
    <row r="13" spans="1:15" x14ac:dyDescent="0.2">
      <c r="B13" s="484" t="s">
        <v>414</v>
      </c>
      <c r="C13" s="396">
        <v>4</v>
      </c>
      <c r="D13" s="396" t="s">
        <v>271</v>
      </c>
      <c r="E13" s="795" t="s">
        <v>272</v>
      </c>
      <c r="F13" s="795"/>
      <c r="G13" s="795"/>
      <c r="H13" s="795"/>
      <c r="J13" s="389"/>
      <c r="L13" s="408"/>
      <c r="M13" s="408"/>
      <c r="N13" s="408"/>
      <c r="O13" s="408"/>
    </row>
    <row r="14" spans="1:15" x14ac:dyDescent="0.2">
      <c r="B14" s="796" t="s">
        <v>415</v>
      </c>
      <c r="C14" s="796"/>
      <c r="D14" s="796"/>
      <c r="E14" s="796"/>
      <c r="F14" s="796"/>
      <c r="G14" s="796"/>
      <c r="H14" s="796"/>
      <c r="J14" s="389"/>
      <c r="L14" s="408"/>
      <c r="M14" s="408"/>
      <c r="N14" s="408"/>
      <c r="O14" s="408"/>
    </row>
    <row r="15" spans="1:15" x14ac:dyDescent="0.2">
      <c r="B15" s="484" t="s">
        <v>284</v>
      </c>
      <c r="C15" s="396">
        <v>0.74</v>
      </c>
      <c r="D15" s="416" t="s">
        <v>285</v>
      </c>
      <c r="E15" s="795" t="s">
        <v>286</v>
      </c>
      <c r="F15" s="795"/>
      <c r="G15" s="795"/>
      <c r="H15" s="795"/>
      <c r="J15" s="389"/>
      <c r="L15" s="408"/>
      <c r="M15" s="408"/>
      <c r="N15" s="408"/>
      <c r="O15" s="408"/>
    </row>
    <row r="16" spans="1:15" x14ac:dyDescent="0.2">
      <c r="B16" s="484" t="s">
        <v>416</v>
      </c>
      <c r="C16" s="396">
        <v>0.35</v>
      </c>
      <c r="D16" s="396" t="s">
        <v>285</v>
      </c>
      <c r="E16" s="795" t="s">
        <v>286</v>
      </c>
      <c r="F16" s="795"/>
      <c r="G16" s="795"/>
      <c r="H16" s="795"/>
      <c r="J16" s="389"/>
      <c r="L16" s="408"/>
    </row>
    <row r="17" spans="2:12" x14ac:dyDescent="0.2">
      <c r="B17" s="484" t="s">
        <v>417</v>
      </c>
      <c r="C17" s="396">
        <v>5.2999999999999999E-2</v>
      </c>
      <c r="D17" s="396" t="s">
        <v>285</v>
      </c>
      <c r="E17" s="795" t="s">
        <v>286</v>
      </c>
      <c r="F17" s="795"/>
      <c r="G17" s="795"/>
      <c r="H17" s="795"/>
      <c r="J17" s="389"/>
      <c r="L17" s="408"/>
    </row>
    <row r="18" spans="2:12" x14ac:dyDescent="0.2">
      <c r="B18" s="796" t="s">
        <v>418</v>
      </c>
      <c r="C18" s="796"/>
      <c r="D18" s="796"/>
      <c r="E18" s="796"/>
      <c r="F18" s="796"/>
      <c r="G18" s="796"/>
      <c r="H18" s="796"/>
      <c r="J18" s="389"/>
      <c r="L18" s="408"/>
    </row>
    <row r="19" spans="2:12" x14ac:dyDescent="0.2">
      <c r="B19" s="484" t="s">
        <v>284</v>
      </c>
      <c r="C19" s="396">
        <v>1</v>
      </c>
      <c r="D19" s="416" t="s">
        <v>285</v>
      </c>
      <c r="E19" s="795" t="s">
        <v>419</v>
      </c>
      <c r="F19" s="795"/>
      <c r="G19" s="795"/>
      <c r="H19" s="795"/>
      <c r="J19" s="389"/>
      <c r="L19" s="408"/>
    </row>
    <row r="20" spans="2:12" x14ac:dyDescent="0.2">
      <c r="B20" s="484" t="s">
        <v>416</v>
      </c>
      <c r="C20" s="396">
        <v>0.5</v>
      </c>
      <c r="D20" s="396" t="s">
        <v>285</v>
      </c>
      <c r="E20" s="795" t="s">
        <v>419</v>
      </c>
      <c r="F20" s="795"/>
      <c r="G20" s="795"/>
      <c r="H20" s="795"/>
      <c r="J20" s="389"/>
      <c r="L20" s="408"/>
    </row>
    <row r="21" spans="2:12" x14ac:dyDescent="0.2">
      <c r="B21" s="484" t="s">
        <v>417</v>
      </c>
      <c r="C21" s="396">
        <v>7.4999999999999997E-2</v>
      </c>
      <c r="D21" s="396" t="s">
        <v>285</v>
      </c>
      <c r="E21" s="795" t="s">
        <v>419</v>
      </c>
      <c r="F21" s="795"/>
      <c r="G21" s="795"/>
      <c r="H21" s="795"/>
      <c r="J21" s="389"/>
      <c r="L21" s="408"/>
    </row>
    <row r="22" spans="2:12" x14ac:dyDescent="0.2">
      <c r="B22" s="761" t="s">
        <v>277</v>
      </c>
      <c r="C22" s="761"/>
      <c r="D22" s="761"/>
      <c r="E22" s="761"/>
      <c r="F22" s="761"/>
      <c r="G22" s="761"/>
      <c r="H22" s="761"/>
      <c r="J22" s="389"/>
      <c r="L22" s="408"/>
    </row>
    <row r="23" spans="2:12" x14ac:dyDescent="0.2">
      <c r="B23" s="484" t="s">
        <v>278</v>
      </c>
      <c r="C23" s="523">
        <f>CONVERT(3.83,"m/sec","mph")</f>
        <v>8.5674659985683608</v>
      </c>
      <c r="D23" s="396" t="s">
        <v>279</v>
      </c>
      <c r="E23" s="795" t="s">
        <v>420</v>
      </c>
      <c r="F23" s="795"/>
      <c r="G23" s="795"/>
      <c r="H23" s="795"/>
      <c r="J23" s="389"/>
      <c r="L23" s="408"/>
    </row>
    <row r="24" spans="2:12" x14ac:dyDescent="0.2">
      <c r="B24" s="502" t="s">
        <v>421</v>
      </c>
      <c r="C24" s="614">
        <f>CONVERT(10.28,"m/sec","mph")</f>
        <v>22.995705082319255</v>
      </c>
      <c r="D24" s="486" t="s">
        <v>279</v>
      </c>
      <c r="E24" s="811" t="s">
        <v>422</v>
      </c>
      <c r="F24" s="811"/>
      <c r="G24" s="811"/>
      <c r="H24" s="811"/>
      <c r="J24" s="389"/>
      <c r="L24" s="408"/>
    </row>
    <row r="25" spans="2:12" x14ac:dyDescent="0.2">
      <c r="B25" s="607" t="s">
        <v>423</v>
      </c>
      <c r="C25" s="615">
        <v>20.49</v>
      </c>
      <c r="D25" s="608" t="s">
        <v>271</v>
      </c>
      <c r="E25" s="808" t="s">
        <v>424</v>
      </c>
      <c r="F25" s="808"/>
      <c r="G25" s="808"/>
      <c r="H25" s="808"/>
      <c r="J25" s="389"/>
      <c r="L25" s="408"/>
    </row>
    <row r="26" spans="2:12" x14ac:dyDescent="0.2">
      <c r="B26" s="484" t="s">
        <v>425</v>
      </c>
      <c r="C26" s="523">
        <v>100</v>
      </c>
      <c r="D26" s="608" t="s">
        <v>271</v>
      </c>
      <c r="E26" s="808" t="s">
        <v>424</v>
      </c>
      <c r="F26" s="808"/>
      <c r="G26" s="808"/>
      <c r="H26" s="808"/>
      <c r="J26" s="389"/>
      <c r="L26" s="408"/>
    </row>
    <row r="27" spans="2:12" x14ac:dyDescent="0.2">
      <c r="C27" s="389"/>
      <c r="D27" s="389"/>
      <c r="E27" s="408"/>
      <c r="F27" s="408"/>
      <c r="G27" s="408"/>
      <c r="H27" s="408"/>
      <c r="J27" s="389"/>
      <c r="L27" s="408"/>
    </row>
    <row r="28" spans="2:12" x14ac:dyDescent="0.2">
      <c r="B28" s="480" t="s">
        <v>426</v>
      </c>
      <c r="G28" s="408"/>
      <c r="H28" s="408"/>
      <c r="J28" s="389"/>
      <c r="L28" s="408"/>
    </row>
    <row r="29" spans="2:12" ht="16.5" customHeight="1" x14ac:dyDescent="0.2">
      <c r="B29" s="761" t="s">
        <v>290</v>
      </c>
      <c r="C29" s="762" t="s">
        <v>427</v>
      </c>
      <c r="D29" s="764" t="s">
        <v>292</v>
      </c>
      <c r="E29" s="809" t="s">
        <v>428</v>
      </c>
      <c r="F29" s="764" t="s">
        <v>294</v>
      </c>
      <c r="G29" s="762" t="s">
        <v>429</v>
      </c>
      <c r="I29" s="389"/>
      <c r="K29" s="408"/>
    </row>
    <row r="30" spans="2:12" ht="29.25" customHeight="1" x14ac:dyDescent="0.2">
      <c r="B30" s="761"/>
      <c r="C30" s="762"/>
      <c r="D30" s="765"/>
      <c r="E30" s="796"/>
      <c r="F30" s="765"/>
      <c r="G30" s="762"/>
      <c r="I30" s="389"/>
      <c r="K30" s="408"/>
    </row>
    <row r="31" spans="2:12" x14ac:dyDescent="0.2">
      <c r="B31" s="761"/>
      <c r="C31" s="762"/>
      <c r="D31" s="413" t="s">
        <v>295</v>
      </c>
      <c r="E31" s="413" t="s">
        <v>295</v>
      </c>
      <c r="F31" s="413" t="s">
        <v>295</v>
      </c>
      <c r="G31" s="525" t="s">
        <v>295</v>
      </c>
      <c r="I31" s="389"/>
      <c r="K31" s="408"/>
    </row>
    <row r="32" spans="2:12" x14ac:dyDescent="0.2">
      <c r="B32" s="526" t="s">
        <v>413</v>
      </c>
      <c r="C32" s="528">
        <f>C4</f>
        <v>152104.04300000001</v>
      </c>
      <c r="D32" s="529">
        <f>(C16)*0.0032*(($C$23/5)^1.3)/((C12)/2)^1.4</f>
        <v>8.5471854984670763E-4</v>
      </c>
      <c r="E32" s="491">
        <f>C32*D32/365</f>
        <v>0.35618122481857883</v>
      </c>
      <c r="F32" s="529">
        <f>D32*$C$32/2000</f>
        <v>6.5003073529390637E-2</v>
      </c>
      <c r="G32" s="701">
        <v>0.9</v>
      </c>
      <c r="I32" s="389"/>
      <c r="K32" s="408"/>
    </row>
    <row r="33" spans="1:14" x14ac:dyDescent="0.2">
      <c r="B33" s="484" t="s">
        <v>414</v>
      </c>
      <c r="C33" s="528">
        <f>C5</f>
        <v>17584.671000000002</v>
      </c>
      <c r="D33" s="529">
        <f>(C16)*0.0032*(($C$23/5)^1.3)/((C13)/2)^1.4</f>
        <v>8.5471854984670763E-4</v>
      </c>
      <c r="E33" s="491">
        <f>C33*D33/365</f>
        <v>4.1177930127812207E-2</v>
      </c>
      <c r="F33" s="529">
        <f>D33*$C$33/2000</f>
        <v>7.514972248325728E-3</v>
      </c>
      <c r="G33" s="701">
        <v>0.9</v>
      </c>
      <c r="I33" s="389"/>
      <c r="K33" s="408"/>
    </row>
    <row r="34" spans="1:14" x14ac:dyDescent="0.2">
      <c r="B34" s="526" t="s">
        <v>430</v>
      </c>
      <c r="C34" s="530">
        <f>D4</f>
        <v>2249.8580000000002</v>
      </c>
      <c r="D34" s="529">
        <f>(C16)*0.0032*(($C$24/5)^1.3)/((C12)/2)^1.4</f>
        <v>3.0850042906954101E-3</v>
      </c>
      <c r="E34" s="491">
        <f>C34*D34</f>
        <v>6.9408215834553948</v>
      </c>
      <c r="F34" s="531" t="s">
        <v>155</v>
      </c>
      <c r="G34" s="701">
        <v>0.9</v>
      </c>
      <c r="I34" s="389"/>
      <c r="K34" s="408"/>
    </row>
    <row r="35" spans="1:14" x14ac:dyDescent="0.2">
      <c r="B35" s="484" t="s">
        <v>431</v>
      </c>
      <c r="C35" s="530">
        <f>D5</f>
        <v>1382.4460000000001</v>
      </c>
      <c r="D35" s="529">
        <f>(C16)*0.0032*(($C$24/5)^1.3)/((C13)/2)^1.4</f>
        <v>3.0850042906954101E-3</v>
      </c>
      <c r="E35" s="491">
        <f>C35*D35</f>
        <v>4.264851841654707</v>
      </c>
      <c r="F35" s="531" t="s">
        <v>155</v>
      </c>
      <c r="G35" s="701">
        <v>0.9</v>
      </c>
      <c r="I35" s="389"/>
      <c r="K35" s="408"/>
    </row>
    <row r="36" spans="1:14" s="167" customFormat="1" x14ac:dyDescent="0.2">
      <c r="A36" s="419">
        <v>1</v>
      </c>
      <c r="B36" s="167" t="s">
        <v>296</v>
      </c>
      <c r="G36" s="171"/>
      <c r="H36" s="171"/>
      <c r="J36" s="170"/>
      <c r="L36" s="171"/>
    </row>
    <row r="37" spans="1:14" ht="15" x14ac:dyDescent="0.25">
      <c r="A37" s="609" t="s">
        <v>432</v>
      </c>
      <c r="B37" s="355" t="s">
        <v>433</v>
      </c>
      <c r="C37" s="389"/>
      <c r="D37" s="389"/>
      <c r="E37" s="408"/>
      <c r="F37" s="408"/>
      <c r="G37" s="408"/>
      <c r="H37" s="408"/>
      <c r="J37" s="389"/>
      <c r="L37" s="408"/>
    </row>
    <row r="38" spans="1:14" x14ac:dyDescent="0.2">
      <c r="B38" s="480" t="s">
        <v>434</v>
      </c>
    </row>
    <row r="39" spans="1:14" x14ac:dyDescent="0.2">
      <c r="B39" s="396"/>
      <c r="C39" s="396" t="s">
        <v>435</v>
      </c>
      <c r="D39" s="396" t="s">
        <v>436</v>
      </c>
      <c r="E39" s="396" t="s">
        <v>437</v>
      </c>
      <c r="F39" s="396" t="s">
        <v>438</v>
      </c>
      <c r="G39" s="396" t="s">
        <v>439</v>
      </c>
      <c r="H39" s="396" t="s">
        <v>440</v>
      </c>
      <c r="I39" s="396" t="s">
        <v>441</v>
      </c>
      <c r="J39" s="396" t="s">
        <v>442</v>
      </c>
      <c r="K39" s="396" t="s">
        <v>443</v>
      </c>
      <c r="L39" s="396" t="s">
        <v>444</v>
      </c>
      <c r="M39" s="396" t="s">
        <v>445</v>
      </c>
      <c r="N39" s="396" t="s">
        <v>446</v>
      </c>
    </row>
    <row r="40" spans="1:14" x14ac:dyDescent="0.2">
      <c r="B40" s="396" t="s">
        <v>413</v>
      </c>
      <c r="C40" s="523">
        <f>CONVERT(10,"ft","m")</f>
        <v>3.048</v>
      </c>
      <c r="D40" s="396">
        <v>50.44</v>
      </c>
      <c r="E40" s="396">
        <v>17.309999999999999</v>
      </c>
      <c r="F40" s="616">
        <f>PI()*(3*(D40+E40)-SQRT((3*D40+E40)*(3*E40+D40)))</f>
        <v>225.76296576101433</v>
      </c>
      <c r="G40" s="523">
        <f>CONVERT(250,"ft","m")</f>
        <v>76.2</v>
      </c>
      <c r="H40" s="523">
        <v>28.39</v>
      </c>
      <c r="I40" s="616">
        <f>PI()*(3*(G40+H40)-SQRT((3*G40+H40)*(3*H40+G40)))</f>
        <v>345.97413674378981</v>
      </c>
      <c r="J40" s="523">
        <f>SQRT(C40^2+((D40/2)-(G40/2))^2)</f>
        <v>13.235735869229186</v>
      </c>
      <c r="K40" s="616">
        <f>PI()*(D40/2)*(E40/2)</f>
        <v>685.74401699219175</v>
      </c>
      <c r="L40" s="616">
        <f>J40*(F40+I40)/2</f>
        <v>3783.6806376960003</v>
      </c>
      <c r="M40" s="616">
        <f>K40+L40</f>
        <v>4469.4246546881923</v>
      </c>
      <c r="N40" s="523">
        <f>M40/4046.78</f>
        <v>1.1044397409021969</v>
      </c>
    </row>
    <row r="41" spans="1:14" x14ac:dyDescent="0.2">
      <c r="B41" s="396" t="s">
        <v>414</v>
      </c>
      <c r="C41" s="523">
        <f>CONVERT(AVERAGE(10,15),"ft","m")</f>
        <v>3.81</v>
      </c>
      <c r="D41" s="523">
        <v>42.89</v>
      </c>
      <c r="E41" s="523">
        <v>18.48</v>
      </c>
      <c r="F41" s="616">
        <f>PI()*(3*(D41+E41)-SQRT((3*D41+E41)*(3*E41+D41)))</f>
        <v>200.5019877943258</v>
      </c>
      <c r="G41" s="523">
        <f>CONVERT(300,"ft","m")</f>
        <v>91.44</v>
      </c>
      <c r="H41" s="523">
        <f>CONVERT(100,"ft","m")</f>
        <v>30.48</v>
      </c>
      <c r="I41" s="616">
        <f>PI()*(3*(G41+H41)-SQRT((3*G41+H41)*(3*H41+G41)))</f>
        <v>407.3481247149486</v>
      </c>
      <c r="J41" s="523">
        <f>SQRT(C41^2+((D41/2)-(G41/2))^2)</f>
        <v>24.572173794762236</v>
      </c>
      <c r="K41" s="616">
        <f>PI()*(D41/2)*(E41/2)</f>
        <v>622.512239175594</v>
      </c>
      <c r="L41" s="616">
        <f>J41*(F41+I41)/2</f>
        <v>7468.099302871834</v>
      </c>
      <c r="M41" s="616">
        <f>K41+L41</f>
        <v>8090.611542047428</v>
      </c>
      <c r="N41" s="523">
        <f>M41/4046.78</f>
        <v>1.999271406413847</v>
      </c>
    </row>
    <row r="42" spans="1:14" x14ac:dyDescent="0.2">
      <c r="A42" s="419">
        <v>1</v>
      </c>
      <c r="B42" s="355" t="s">
        <v>447</v>
      </c>
    </row>
    <row r="43" spans="1:14" ht="15" x14ac:dyDescent="0.25">
      <c r="A43" s="419">
        <v>2</v>
      </c>
      <c r="B43" s="355" t="s">
        <v>448</v>
      </c>
    </row>
    <row r="44" spans="1:14" ht="15" x14ac:dyDescent="0.25">
      <c r="A44" s="419">
        <v>3</v>
      </c>
      <c r="B44" s="355" t="s">
        <v>449</v>
      </c>
      <c r="G44" s="355">
        <f>CONVERT(C40,"m","ft")</f>
        <v>10</v>
      </c>
    </row>
    <row r="45" spans="1:14" ht="15" x14ac:dyDescent="0.25">
      <c r="A45" s="419">
        <v>4</v>
      </c>
      <c r="B45" s="355" t="s">
        <v>450</v>
      </c>
      <c r="G45" s="355">
        <f>CONVERT(C41,"m","ft")</f>
        <v>12.5</v>
      </c>
    </row>
    <row r="46" spans="1:14" x14ac:dyDescent="0.2">
      <c r="A46" s="419">
        <v>5</v>
      </c>
      <c r="B46" s="355" t="s">
        <v>451</v>
      </c>
    </row>
    <row r="47" spans="1:14" ht="15" x14ac:dyDescent="0.2">
      <c r="A47" s="617" t="s">
        <v>452</v>
      </c>
      <c r="B47" s="618" t="s">
        <v>453</v>
      </c>
    </row>
    <row r="48" spans="1:14" x14ac:dyDescent="0.2">
      <c r="A48" s="419">
        <v>7</v>
      </c>
      <c r="B48" s="355" t="s">
        <v>454</v>
      </c>
    </row>
    <row r="49" spans="1:8" ht="15" x14ac:dyDescent="0.2">
      <c r="A49" s="617"/>
      <c r="B49" s="618"/>
    </row>
    <row r="50" spans="1:8" x14ac:dyDescent="0.2">
      <c r="B50" s="480" t="s">
        <v>455</v>
      </c>
    </row>
    <row r="51" spans="1:8" ht="33" customHeight="1" x14ac:dyDescent="0.2">
      <c r="B51" s="761" t="s">
        <v>290</v>
      </c>
      <c r="C51" s="762" t="s">
        <v>456</v>
      </c>
      <c r="D51" s="764" t="s">
        <v>457</v>
      </c>
      <c r="E51" s="764" t="s">
        <v>458</v>
      </c>
      <c r="F51" s="764" t="s">
        <v>428</v>
      </c>
      <c r="G51" s="764" t="s">
        <v>459</v>
      </c>
      <c r="H51" s="764" t="s">
        <v>460</v>
      </c>
    </row>
    <row r="52" spans="1:8" ht="35.25" customHeight="1" x14ac:dyDescent="0.2">
      <c r="B52" s="761"/>
      <c r="C52" s="762"/>
      <c r="D52" s="765"/>
      <c r="E52" s="765"/>
      <c r="F52" s="765"/>
      <c r="G52" s="765"/>
      <c r="H52" s="765"/>
    </row>
    <row r="53" spans="1:8" x14ac:dyDescent="0.2">
      <c r="B53" s="761"/>
      <c r="C53" s="762"/>
      <c r="D53" s="155" t="s">
        <v>461</v>
      </c>
      <c r="E53" s="155" t="s">
        <v>295</v>
      </c>
      <c r="F53" s="155" t="s">
        <v>295</v>
      </c>
      <c r="G53" s="619" t="s">
        <v>295</v>
      </c>
      <c r="H53" s="525" t="s">
        <v>295</v>
      </c>
    </row>
    <row r="54" spans="1:8" x14ac:dyDescent="0.2">
      <c r="B54" s="526" t="s">
        <v>413</v>
      </c>
      <c r="C54" s="620">
        <f>N40</f>
        <v>1.1044397409021969</v>
      </c>
      <c r="D54" s="499">
        <f>1.7*($D$61/1.5)*((365-D62)/235)*($C$25/15)</f>
        <v>18.030812482269504</v>
      </c>
      <c r="E54" s="499">
        <f>D54*$C$20</f>
        <v>9.0154062411347518</v>
      </c>
      <c r="F54" s="499">
        <f>(C54*$E54)</f>
        <v>9.956972933086913</v>
      </c>
      <c r="G54" s="522">
        <f>F54*365</f>
        <v>3634.2951205767231</v>
      </c>
      <c r="H54" s="701">
        <v>0.9</v>
      </c>
    </row>
    <row r="55" spans="1:8" x14ac:dyDescent="0.2">
      <c r="B55" s="484" t="s">
        <v>414</v>
      </c>
      <c r="C55" s="620">
        <f>N41</f>
        <v>1.999271406413847</v>
      </c>
      <c r="D55" s="499">
        <f>1.7*($D$61/1.5)*((365-D62)/235)*($C$25/15)</f>
        <v>18.030812482269504</v>
      </c>
      <c r="E55" s="499">
        <f t="shared" ref="E55:E57" si="0">D55*$C$20</f>
        <v>9.0154062411347518</v>
      </c>
      <c r="F55" s="499">
        <f t="shared" ref="F55:F57" si="1">(C55*$E55)</f>
        <v>18.02424391510565</v>
      </c>
      <c r="G55" s="532">
        <f>F55*365</f>
        <v>6578.8490290135624</v>
      </c>
      <c r="H55" s="701">
        <v>0.9</v>
      </c>
    </row>
    <row r="56" spans="1:8" x14ac:dyDescent="0.2">
      <c r="B56" s="526" t="s">
        <v>462</v>
      </c>
      <c r="C56" s="620">
        <f>N40</f>
        <v>1.1044397409021969</v>
      </c>
      <c r="D56" s="499">
        <f>1.7*($D$61/1.5)*((365-0)/235)*($C$26/15)</f>
        <v>117.35224586288416</v>
      </c>
      <c r="E56" s="499">
        <f t="shared" si="0"/>
        <v>58.67612293144208</v>
      </c>
      <c r="F56" s="499">
        <f t="shared" si="1"/>
        <v>64.804242007547344</v>
      </c>
      <c r="G56" s="533" t="s">
        <v>155</v>
      </c>
      <c r="H56" s="701">
        <v>0.9</v>
      </c>
    </row>
    <row r="57" spans="1:8" x14ac:dyDescent="0.2">
      <c r="B57" s="484" t="s">
        <v>463</v>
      </c>
      <c r="C57" s="620">
        <f>N41</f>
        <v>1.999271406413847</v>
      </c>
      <c r="D57" s="499">
        <f>1.7*($D$61/1.5)*((365-0)/235)*($C$26/15)</f>
        <v>117.35224586288416</v>
      </c>
      <c r="E57" s="499">
        <f t="shared" si="0"/>
        <v>58.67612293144208</v>
      </c>
      <c r="F57" s="499">
        <f t="shared" si="1"/>
        <v>117.30949481605599</v>
      </c>
      <c r="G57" s="533" t="s">
        <v>155</v>
      </c>
      <c r="H57" s="701">
        <v>0.9</v>
      </c>
    </row>
    <row r="58" spans="1:8" s="167" customFormat="1" ht="12.75" x14ac:dyDescent="0.15">
      <c r="A58" s="387">
        <v>1</v>
      </c>
      <c r="B58" s="167" t="s">
        <v>464</v>
      </c>
    </row>
    <row r="59" spans="1:8" s="167" customFormat="1" ht="12.75" x14ac:dyDescent="0.15">
      <c r="A59" s="387">
        <v>2</v>
      </c>
      <c r="B59" s="167" t="s">
        <v>465</v>
      </c>
    </row>
    <row r="60" spans="1:8" s="167" customFormat="1" ht="12.75" x14ac:dyDescent="0.15">
      <c r="A60" s="387">
        <v>3</v>
      </c>
      <c r="B60" s="167" t="s">
        <v>466</v>
      </c>
    </row>
    <row r="61" spans="1:8" s="167" customFormat="1" ht="12.75" x14ac:dyDescent="0.15">
      <c r="A61" s="387">
        <v>4</v>
      </c>
      <c r="B61" s="167" t="s">
        <v>467</v>
      </c>
      <c r="D61" s="170">
        <v>10</v>
      </c>
    </row>
    <row r="62" spans="1:8" s="167" customFormat="1" ht="12.75" x14ac:dyDescent="0.15">
      <c r="A62" s="387">
        <v>5</v>
      </c>
      <c r="B62" s="167" t="s">
        <v>468</v>
      </c>
      <c r="D62" s="170">
        <v>91.3</v>
      </c>
      <c r="E62" s="167" t="s">
        <v>469</v>
      </c>
    </row>
    <row r="63" spans="1:8" s="167" customFormat="1" ht="12" customHeight="1" x14ac:dyDescent="0.15">
      <c r="A63" s="387">
        <v>6</v>
      </c>
      <c r="B63" s="167" t="s">
        <v>470</v>
      </c>
      <c r="D63" s="170"/>
    </row>
    <row r="64" spans="1:8" s="167" customFormat="1" ht="12" customHeight="1" x14ac:dyDescent="0.2">
      <c r="A64" s="387">
        <v>7</v>
      </c>
      <c r="B64" s="355" t="s">
        <v>433</v>
      </c>
      <c r="D64" s="170"/>
    </row>
    <row r="65" spans="2:16" x14ac:dyDescent="0.2">
      <c r="D65" s="389"/>
    </row>
    <row r="66" spans="2:16" x14ac:dyDescent="0.2">
      <c r="B66" s="480" t="s">
        <v>471</v>
      </c>
      <c r="J66" s="480" t="s">
        <v>472</v>
      </c>
    </row>
    <row r="67" spans="2:16" ht="38.25" x14ac:dyDescent="0.2">
      <c r="B67" s="392" t="s">
        <v>298</v>
      </c>
      <c r="C67" s="392" t="s">
        <v>299</v>
      </c>
      <c r="D67" s="392" t="s">
        <v>337</v>
      </c>
      <c r="E67" s="413" t="s">
        <v>473</v>
      </c>
      <c r="F67" s="413" t="s">
        <v>302</v>
      </c>
      <c r="G67" s="413" t="s">
        <v>474</v>
      </c>
      <c r="H67" s="413" t="s">
        <v>475</v>
      </c>
      <c r="J67" s="392" t="s">
        <v>298</v>
      </c>
      <c r="K67" s="392" t="s">
        <v>299</v>
      </c>
      <c r="L67" s="392" t="s">
        <v>337</v>
      </c>
      <c r="M67" s="413" t="s">
        <v>301</v>
      </c>
      <c r="N67" s="413" t="s">
        <v>302</v>
      </c>
      <c r="O67" s="413" t="s">
        <v>474</v>
      </c>
      <c r="P67" s="413" t="s">
        <v>475</v>
      </c>
    </row>
    <row r="68" spans="2:16" x14ac:dyDescent="0.2">
      <c r="B68" s="396" t="s">
        <v>33</v>
      </c>
      <c r="C68" s="396" t="s">
        <v>305</v>
      </c>
      <c r="D68" s="490">
        <f>'Perlite Concentrations'!$I$4</f>
        <v>2.5000000000000002E-8</v>
      </c>
      <c r="E68" s="491">
        <f>D68*$D$32*(1-$G$32)</f>
        <v>2.1367963746167689E-12</v>
      </c>
      <c r="F68" s="491">
        <f>E68*$C$32</f>
        <v>3.2501536764695313E-7</v>
      </c>
      <c r="G68" s="491">
        <f>D68*$D$34*(1-$G$34)</f>
        <v>7.7125107267385247E-12</v>
      </c>
      <c r="H68" s="491">
        <f>G68*$C$34</f>
        <v>1.7352053958638484E-8</v>
      </c>
      <c r="J68" s="396" t="s">
        <v>33</v>
      </c>
      <c r="K68" s="396" t="s">
        <v>305</v>
      </c>
      <c r="L68" s="490">
        <f>'Perlite Concentrations'!$M$4</f>
        <v>2.5000000000000002E-8</v>
      </c>
      <c r="M68" s="491">
        <f>L68*$D$33*(1-$G$33)</f>
        <v>2.1367963746167689E-12</v>
      </c>
      <c r="N68" s="491">
        <f>M68*$C$33</f>
        <v>3.7574861241628638E-8</v>
      </c>
      <c r="O68" s="491">
        <f>L68*$D$35*(1-$G$35)</f>
        <v>7.7125107267385247E-12</v>
      </c>
      <c r="P68" s="491">
        <f>O68*$C$35</f>
        <v>1.0662129604136768E-8</v>
      </c>
    </row>
    <row r="69" spans="2:16" x14ac:dyDescent="0.2">
      <c r="B69" s="396" t="s">
        <v>36</v>
      </c>
      <c r="C69" s="396" t="s">
        <v>190</v>
      </c>
      <c r="D69" s="490">
        <f>'Perlite Concentrations'!$I$5</f>
        <v>6.2446000000000002E-2</v>
      </c>
      <c r="E69" s="491">
        <f t="shared" ref="E69:E91" si="2">D69*$D$32*(1-$G$32)</f>
        <v>5.3373754563727494E-6</v>
      </c>
      <c r="F69" s="491">
        <f t="shared" ref="F69:F91" si="3">E69*$C$32</f>
        <v>0.81183638592326535</v>
      </c>
      <c r="G69" s="491">
        <f t="shared" ref="G69:G91" si="4">D69*$D$34*(1-$G$34)</f>
        <v>1.9264617793676555E-5</v>
      </c>
      <c r="H69" s="491">
        <f t="shared" ref="H69:H91" si="5">G69*$C$34</f>
        <v>4.3342654460045552E-2</v>
      </c>
      <c r="J69" s="396" t="s">
        <v>36</v>
      </c>
      <c r="K69" s="396" t="s">
        <v>190</v>
      </c>
      <c r="L69" s="490">
        <f>'Perlite Concentrations'!$M$5</f>
        <v>6.372499999999999E-2</v>
      </c>
      <c r="M69" s="491">
        <f t="shared" ref="M69:M91" si="6">L69*$D$33*(1-$G$33)</f>
        <v>5.4466939588981423E-6</v>
      </c>
      <c r="N69" s="491">
        <f t="shared" ref="N69:N91" si="7">M69*$C$33</f>
        <v>9.577832130491136E-2</v>
      </c>
      <c r="O69" s="491">
        <f t="shared" ref="O69:O91" si="8">L69*$D$35*(1-$G$35)</f>
        <v>1.9659189842456492E-5</v>
      </c>
      <c r="P69" s="491">
        <f t="shared" ref="P69:P91" si="9">O69*$C$35</f>
        <v>2.7177768360944609E-2</v>
      </c>
    </row>
    <row r="70" spans="2:16" x14ac:dyDescent="0.2">
      <c r="B70" s="396" t="s">
        <v>38</v>
      </c>
      <c r="C70" s="396" t="s">
        <v>306</v>
      </c>
      <c r="D70" s="490">
        <f>'Perlite Concentrations'!$I$6</f>
        <v>2.6000000000000005E-6</v>
      </c>
      <c r="E70" s="491">
        <f t="shared" si="2"/>
        <v>2.2222682296014396E-10</v>
      </c>
      <c r="F70" s="491">
        <f t="shared" si="3"/>
        <v>3.3801598235283126E-5</v>
      </c>
      <c r="G70" s="491">
        <f t="shared" si="4"/>
        <v>8.0210111558080658E-10</v>
      </c>
      <c r="H70" s="491">
        <f t="shared" si="5"/>
        <v>1.8046136116984024E-6</v>
      </c>
      <c r="J70" s="396" t="s">
        <v>38</v>
      </c>
      <c r="K70" s="396" t="s">
        <v>306</v>
      </c>
      <c r="L70" s="490">
        <f>'Perlite Concentrations'!$M$6</f>
        <v>2.6000000000000005E-6</v>
      </c>
      <c r="M70" s="491">
        <f t="shared" si="6"/>
        <v>2.2222682296014396E-10</v>
      </c>
      <c r="N70" s="491">
        <f>M70*$C$33</f>
        <v>3.9077855691293781E-6</v>
      </c>
      <c r="O70" s="491">
        <f t="shared" si="8"/>
        <v>8.0210111558080658E-10</v>
      </c>
      <c r="P70" s="491">
        <f t="shared" si="9"/>
        <v>1.1088614788302239E-6</v>
      </c>
    </row>
    <row r="71" spans="2:16" x14ac:dyDescent="0.2">
      <c r="B71" s="396" t="s">
        <v>40</v>
      </c>
      <c r="C71" s="396" t="s">
        <v>142</v>
      </c>
      <c r="D71" s="490">
        <f>'Perlite Concentrations'!$I$7</f>
        <v>2.7799999999999998E-4</v>
      </c>
      <c r="E71" s="491">
        <f t="shared" si="2"/>
        <v>2.3761175685738465E-8</v>
      </c>
      <c r="F71" s="491">
        <f t="shared" si="3"/>
        <v>3.6141708882341181E-3</v>
      </c>
      <c r="G71" s="491">
        <f t="shared" si="4"/>
        <v>8.5763119281332378E-8</v>
      </c>
      <c r="H71" s="491">
        <f t="shared" si="5"/>
        <v>1.9295484002005992E-4</v>
      </c>
      <c r="J71" s="396" t="s">
        <v>40</v>
      </c>
      <c r="K71" s="396" t="s">
        <v>142</v>
      </c>
      <c r="L71" s="490">
        <f>'Perlite Concentrations'!$M$7</f>
        <v>2.8000000000000003E-4</v>
      </c>
      <c r="M71" s="491">
        <f t="shared" si="6"/>
        <v>2.3932119395707813E-8</v>
      </c>
      <c r="N71" s="491">
        <f t="shared" si="7"/>
        <v>4.2083844590624074E-4</v>
      </c>
      <c r="O71" s="491">
        <f t="shared" si="8"/>
        <v>8.6380120139471474E-8</v>
      </c>
      <c r="P71" s="491">
        <f t="shared" si="9"/>
        <v>1.1941585156633179E-4</v>
      </c>
    </row>
    <row r="72" spans="2:16" x14ac:dyDescent="0.2">
      <c r="B72" s="396" t="s">
        <v>42</v>
      </c>
      <c r="C72" s="396" t="s">
        <v>307</v>
      </c>
      <c r="D72" s="490">
        <f>'Perlite Concentrations'!$I$8</f>
        <v>3.0299999999999998E-6</v>
      </c>
      <c r="E72" s="491">
        <f t="shared" si="2"/>
        <v>2.5897972060355235E-10</v>
      </c>
      <c r="F72" s="491">
        <f t="shared" si="3"/>
        <v>3.9391862558810716E-5</v>
      </c>
      <c r="G72" s="491">
        <f t="shared" si="4"/>
        <v>9.3475630008070889E-10</v>
      </c>
      <c r="H72" s="491">
        <f t="shared" si="5"/>
        <v>2.1030689397869837E-6</v>
      </c>
      <c r="J72" s="396" t="s">
        <v>42</v>
      </c>
      <c r="K72" s="396" t="s">
        <v>307</v>
      </c>
      <c r="L72" s="490">
        <f>'Perlite Concentrations'!$M$8</f>
        <v>3.0599999999999999E-6</v>
      </c>
      <c r="M72" s="491">
        <f t="shared" si="6"/>
        <v>2.615438762530925E-10</v>
      </c>
      <c r="N72" s="491">
        <f t="shared" si="7"/>
        <v>4.599163015975345E-6</v>
      </c>
      <c r="O72" s="491">
        <f t="shared" si="8"/>
        <v>9.4401131295279529E-10</v>
      </c>
      <c r="P72" s="491">
        <f t="shared" si="9"/>
        <v>1.3050446635463402E-6</v>
      </c>
    </row>
    <row r="73" spans="2:16" x14ac:dyDescent="0.2">
      <c r="B73" s="396" t="s">
        <v>44</v>
      </c>
      <c r="C73" s="396" t="s">
        <v>308</v>
      </c>
      <c r="D73" s="490">
        <f>'Perlite Concentrations'!$I$9</f>
        <v>8.0000000000000002E-8</v>
      </c>
      <c r="E73" s="491">
        <f t="shared" si="2"/>
        <v>6.8377483987736602E-12</v>
      </c>
      <c r="F73" s="491">
        <f t="shared" si="3"/>
        <v>1.0400491764702499E-6</v>
      </c>
      <c r="G73" s="491">
        <f t="shared" si="4"/>
        <v>2.468003432556328E-11</v>
      </c>
      <c r="H73" s="491">
        <f t="shared" si="5"/>
        <v>5.5526572667643155E-8</v>
      </c>
      <c r="J73" s="396" t="s">
        <v>44</v>
      </c>
      <c r="K73" s="396" t="s">
        <v>308</v>
      </c>
      <c r="L73" s="490">
        <f>'Perlite Concentrations'!$M$9</f>
        <v>8.0000000000000002E-8</v>
      </c>
      <c r="M73" s="491">
        <f t="shared" si="6"/>
        <v>6.8377483987736602E-12</v>
      </c>
      <c r="N73" s="491">
        <f t="shared" si="7"/>
        <v>1.2023955597321163E-7</v>
      </c>
      <c r="O73" s="491">
        <f t="shared" si="8"/>
        <v>2.468003432556328E-11</v>
      </c>
      <c r="P73" s="491">
        <f t="shared" si="9"/>
        <v>3.411881473323766E-8</v>
      </c>
    </row>
    <row r="74" spans="2:16" x14ac:dyDescent="0.2">
      <c r="B74" s="396" t="s">
        <v>46</v>
      </c>
      <c r="C74" s="396" t="s">
        <v>147</v>
      </c>
      <c r="D74" s="490">
        <f>'Perlite Concentrations'!$I$10</f>
        <v>1.0000000000000001E-7</v>
      </c>
      <c r="E74" s="491">
        <f t="shared" si="2"/>
        <v>8.5471854984670755E-12</v>
      </c>
      <c r="F74" s="491">
        <f t="shared" si="3"/>
        <v>1.3000614705878125E-6</v>
      </c>
      <c r="G74" s="491">
        <f t="shared" si="4"/>
        <v>3.0850042906954099E-11</v>
      </c>
      <c r="H74" s="491">
        <f t="shared" si="5"/>
        <v>6.9408215834553936E-8</v>
      </c>
      <c r="J74" s="396" t="s">
        <v>46</v>
      </c>
      <c r="K74" s="396" t="s">
        <v>147</v>
      </c>
      <c r="L74" s="490">
        <f>'Perlite Concentrations'!$M$10</f>
        <v>1.0000000000000001E-7</v>
      </c>
      <c r="M74" s="491">
        <f t="shared" si="6"/>
        <v>8.5471854984670755E-12</v>
      </c>
      <c r="N74" s="491">
        <f t="shared" si="7"/>
        <v>1.5029944496651455E-7</v>
      </c>
      <c r="O74" s="491">
        <f t="shared" si="8"/>
        <v>3.0850042906954099E-11</v>
      </c>
      <c r="P74" s="491">
        <f t="shared" si="9"/>
        <v>4.2648518416547072E-8</v>
      </c>
    </row>
    <row r="75" spans="2:16" x14ac:dyDescent="0.2">
      <c r="B75" s="396" t="s">
        <v>49</v>
      </c>
      <c r="C75" s="396" t="s">
        <v>205</v>
      </c>
      <c r="D75" s="490">
        <f>'Perlite Concentrations'!$I$11</f>
        <v>5.200000000000001E-6</v>
      </c>
      <c r="E75" s="491">
        <f t="shared" si="2"/>
        <v>4.4445364592028791E-10</v>
      </c>
      <c r="F75" s="491">
        <f t="shared" si="3"/>
        <v>6.7603196470566253E-5</v>
      </c>
      <c r="G75" s="491">
        <f t="shared" si="4"/>
        <v>1.6042022311616132E-9</v>
      </c>
      <c r="H75" s="491">
        <f t="shared" si="5"/>
        <v>3.6092272233968047E-6</v>
      </c>
      <c r="J75" s="396" t="s">
        <v>49</v>
      </c>
      <c r="K75" s="396" t="s">
        <v>205</v>
      </c>
      <c r="L75" s="490">
        <f>'Perlite Concentrations'!$M$11</f>
        <v>5.200000000000001E-6</v>
      </c>
      <c r="M75" s="491">
        <f t="shared" si="6"/>
        <v>4.4445364592028791E-10</v>
      </c>
      <c r="N75" s="491">
        <f t="shared" si="7"/>
        <v>7.8155711382587562E-6</v>
      </c>
      <c r="O75" s="491">
        <f t="shared" si="8"/>
        <v>1.6042022311616132E-9</v>
      </c>
      <c r="P75" s="491">
        <f t="shared" si="9"/>
        <v>2.2177229576604478E-6</v>
      </c>
    </row>
    <row r="76" spans="2:16" x14ac:dyDescent="0.2">
      <c r="B76" s="396" t="s">
        <v>54</v>
      </c>
      <c r="C76" s="396" t="s">
        <v>55</v>
      </c>
      <c r="D76" s="490">
        <f>'Perlite Concentrations'!$I$13</f>
        <v>7.9660000000000013E-6</v>
      </c>
      <c r="E76" s="491">
        <f t="shared" si="2"/>
        <v>6.8086879680788725E-10</v>
      </c>
      <c r="F76" s="491">
        <f t="shared" si="3"/>
        <v>1.0356289674702514E-4</v>
      </c>
      <c r="G76" s="491">
        <f t="shared" si="4"/>
        <v>2.4575144179679638E-9</v>
      </c>
      <c r="H76" s="491">
        <f t="shared" si="5"/>
        <v>5.5290584733805674E-6</v>
      </c>
      <c r="J76" s="396" t="s">
        <v>54</v>
      </c>
      <c r="K76" s="396" t="s">
        <v>55</v>
      </c>
      <c r="L76" s="490">
        <f>'Perlite Concentrations'!$M$13</f>
        <v>7.9660000000000013E-6</v>
      </c>
      <c r="M76" s="491">
        <f t="shared" si="6"/>
        <v>6.8086879680788725E-10</v>
      </c>
      <c r="N76" s="491">
        <f t="shared" si="7"/>
        <v>1.1972853786032548E-5</v>
      </c>
      <c r="O76" s="491">
        <f t="shared" si="8"/>
        <v>2.4575144179679638E-9</v>
      </c>
      <c r="P76" s="491">
        <f t="shared" si="9"/>
        <v>3.3973809770621398E-6</v>
      </c>
    </row>
    <row r="77" spans="2:16" x14ac:dyDescent="0.2">
      <c r="B77" s="396" t="s">
        <v>57</v>
      </c>
      <c r="C77" s="396" t="s">
        <v>309</v>
      </c>
      <c r="D77" s="490">
        <f>'Perlite Concentrations'!$I$14</f>
        <v>2E-8</v>
      </c>
      <c r="E77" s="491">
        <f t="shared" si="2"/>
        <v>1.7094370996934151E-12</v>
      </c>
      <c r="F77" s="491">
        <f t="shared" si="3"/>
        <v>2.6001229411756248E-7</v>
      </c>
      <c r="G77" s="491">
        <f t="shared" si="4"/>
        <v>6.1700085813908199E-12</v>
      </c>
      <c r="H77" s="491">
        <f t="shared" si="5"/>
        <v>1.3881643166910789E-8</v>
      </c>
      <c r="J77" s="396" t="s">
        <v>57</v>
      </c>
      <c r="K77" s="396" t="s">
        <v>309</v>
      </c>
      <c r="L77" s="490">
        <f>'Perlite Concentrations'!$M$14</f>
        <v>2E-8</v>
      </c>
      <c r="M77" s="491">
        <f t="shared" si="6"/>
        <v>1.7094370996934151E-12</v>
      </c>
      <c r="N77" s="491">
        <f t="shared" si="7"/>
        <v>3.0059888993302908E-8</v>
      </c>
      <c r="O77" s="491">
        <f t="shared" si="8"/>
        <v>6.1700085813908199E-12</v>
      </c>
      <c r="P77" s="491">
        <f t="shared" si="9"/>
        <v>8.5297036833094151E-9</v>
      </c>
    </row>
    <row r="78" spans="2:16" x14ac:dyDescent="0.2">
      <c r="B78" s="396" t="s">
        <v>60</v>
      </c>
      <c r="C78" s="396" t="s">
        <v>181</v>
      </c>
      <c r="D78" s="490">
        <f>'Perlite Concentrations'!$I$15</f>
        <v>5.0299999999999997E-4</v>
      </c>
      <c r="E78" s="491">
        <f t="shared" si="2"/>
        <v>4.2992343057289383E-8</v>
      </c>
      <c r="F78" s="491">
        <f t="shared" si="3"/>
        <v>6.5393091970566957E-3</v>
      </c>
      <c r="G78" s="491">
        <f t="shared" si="4"/>
        <v>1.5517571582197907E-7</v>
      </c>
      <c r="H78" s="491">
        <f t="shared" si="5"/>
        <v>3.491233256478062E-4</v>
      </c>
      <c r="J78" s="396" t="s">
        <v>60</v>
      </c>
      <c r="K78" s="396" t="s">
        <v>181</v>
      </c>
      <c r="L78" s="490">
        <f>'Perlite Concentrations'!$M$15</f>
        <v>5.0299999999999997E-4</v>
      </c>
      <c r="M78" s="491">
        <f t="shared" si="6"/>
        <v>4.2992343057289383E-8</v>
      </c>
      <c r="N78" s="491">
        <f t="shared" si="7"/>
        <v>7.5600620818156805E-4</v>
      </c>
      <c r="O78" s="491">
        <f t="shared" si="8"/>
        <v>1.5517571582197907E-7</v>
      </c>
      <c r="P78" s="491">
        <f t="shared" si="9"/>
        <v>2.145220476352317E-4</v>
      </c>
    </row>
    <row r="79" spans="2:16" x14ac:dyDescent="0.2">
      <c r="B79" s="396" t="s">
        <v>65</v>
      </c>
      <c r="C79" s="396" t="s">
        <v>66</v>
      </c>
      <c r="D79" s="490">
        <f>'Perlite Concentrations'!$I$17</f>
        <v>9.295523661156416E-6</v>
      </c>
      <c r="E79" s="491">
        <f t="shared" si="2"/>
        <v>7.945056503729369E-10</v>
      </c>
      <c r="F79" s="491">
        <f t="shared" si="3"/>
        <v>1.2084752160806817E-4</v>
      </c>
      <c r="G79" s="491">
        <f t="shared" si="4"/>
        <v>2.8676730378928246E-9</v>
      </c>
      <c r="H79" s="491">
        <f t="shared" si="5"/>
        <v>6.451857125687475E-6</v>
      </c>
      <c r="J79" s="396" t="s">
        <v>65</v>
      </c>
      <c r="K79" s="396" t="s">
        <v>63</v>
      </c>
      <c r="L79" s="490">
        <f>'Perlite Concentrations'!$M$17</f>
        <v>9.295523661156416E-6</v>
      </c>
      <c r="M79" s="491">
        <f t="shared" si="6"/>
        <v>7.945056503729369E-10</v>
      </c>
      <c r="N79" s="491">
        <f t="shared" si="7"/>
        <v>1.3971120469449124E-5</v>
      </c>
      <c r="O79" s="491">
        <f t="shared" si="8"/>
        <v>2.8676730378928246E-9</v>
      </c>
      <c r="P79" s="491">
        <f t="shared" si="9"/>
        <v>3.9644031205427838E-6</v>
      </c>
    </row>
    <row r="80" spans="2:16" x14ac:dyDescent="0.2">
      <c r="B80" s="396" t="s">
        <v>68</v>
      </c>
      <c r="C80" s="396" t="s">
        <v>212</v>
      </c>
      <c r="D80" s="490">
        <f>'Perlite Concentrations'!$I$18</f>
        <v>1.9999999999999999E-6</v>
      </c>
      <c r="E80" s="491">
        <f t="shared" si="2"/>
        <v>1.7094370996934147E-10</v>
      </c>
      <c r="F80" s="491">
        <f t="shared" si="3"/>
        <v>2.6001229411756245E-5</v>
      </c>
      <c r="G80" s="491">
        <f t="shared" si="4"/>
        <v>6.170008581390819E-10</v>
      </c>
      <c r="H80" s="491">
        <f t="shared" si="5"/>
        <v>1.3881643166910786E-6</v>
      </c>
      <c r="J80" s="396" t="s">
        <v>68</v>
      </c>
      <c r="K80" s="396" t="s">
        <v>212</v>
      </c>
      <c r="L80" s="490">
        <f>'Perlite Concentrations'!$M$18</f>
        <v>1.9999999999999999E-6</v>
      </c>
      <c r="M80" s="491">
        <f t="shared" si="6"/>
        <v>1.7094370996934147E-10</v>
      </c>
      <c r="N80" s="491">
        <f t="shared" si="7"/>
        <v>3.0059888993302901E-6</v>
      </c>
      <c r="O80" s="491">
        <f t="shared" si="8"/>
        <v>6.170008581390819E-10</v>
      </c>
      <c r="P80" s="491">
        <f t="shared" si="9"/>
        <v>8.5297036833094128E-7</v>
      </c>
    </row>
    <row r="81" spans="1:16" x14ac:dyDescent="0.2">
      <c r="B81" s="396" t="s">
        <v>72</v>
      </c>
      <c r="C81" s="396" t="s">
        <v>310</v>
      </c>
      <c r="D81" s="490">
        <f>'Perlite Concentrations'!$I$20</f>
        <v>2.5000000000000001E-5</v>
      </c>
      <c r="E81" s="491">
        <f t="shared" si="2"/>
        <v>2.1367963746167689E-9</v>
      </c>
      <c r="F81" s="491">
        <f t="shared" si="3"/>
        <v>3.2501536764695314E-4</v>
      </c>
      <c r="G81" s="491">
        <f t="shared" si="4"/>
        <v>7.7125107267385245E-9</v>
      </c>
      <c r="H81" s="491">
        <f t="shared" si="5"/>
        <v>1.7352053958638484E-5</v>
      </c>
      <c r="J81" s="396" t="s">
        <v>72</v>
      </c>
      <c r="K81" s="396" t="s">
        <v>310</v>
      </c>
      <c r="L81" s="490">
        <f>'Perlite Concentrations'!$M$20</f>
        <v>2.5000000000000001E-5</v>
      </c>
      <c r="M81" s="491">
        <f t="shared" si="6"/>
        <v>2.1367963746167689E-9</v>
      </c>
      <c r="N81" s="491">
        <f t="shared" si="7"/>
        <v>3.7574861241628635E-5</v>
      </c>
      <c r="O81" s="491">
        <f t="shared" si="8"/>
        <v>7.7125107267385245E-9</v>
      </c>
      <c r="P81" s="491">
        <f t="shared" si="9"/>
        <v>1.0662129604136768E-5</v>
      </c>
    </row>
    <row r="82" spans="1:16" x14ac:dyDescent="0.2">
      <c r="B82" s="396" t="s">
        <v>74</v>
      </c>
      <c r="C82" s="396" t="s">
        <v>311</v>
      </c>
      <c r="D82" s="490">
        <f>'Perlite Concentrations'!$I$21</f>
        <v>3.7E-7</v>
      </c>
      <c r="E82" s="491">
        <f t="shared" si="2"/>
        <v>3.1624586344328174E-11</v>
      </c>
      <c r="F82" s="491">
        <f t="shared" si="3"/>
        <v>4.8102274411749056E-6</v>
      </c>
      <c r="G82" s="491">
        <f t="shared" si="4"/>
        <v>1.1414515875573016E-10</v>
      </c>
      <c r="H82" s="491">
        <f t="shared" si="5"/>
        <v>2.5681039858784954E-7</v>
      </c>
      <c r="J82" s="396" t="s">
        <v>74</v>
      </c>
      <c r="K82" s="396" t="s">
        <v>311</v>
      </c>
      <c r="L82" s="490">
        <f>'Perlite Concentrations'!$M$21</f>
        <v>3.7E-7</v>
      </c>
      <c r="M82" s="491">
        <f t="shared" si="6"/>
        <v>3.1624586344328174E-11</v>
      </c>
      <c r="N82" s="491">
        <f t="shared" si="7"/>
        <v>5.5610794637610368E-7</v>
      </c>
      <c r="O82" s="491">
        <f t="shared" si="8"/>
        <v>1.1414515875573016E-10</v>
      </c>
      <c r="P82" s="491">
        <f t="shared" si="9"/>
        <v>1.5779951814122416E-7</v>
      </c>
    </row>
    <row r="83" spans="1:16" x14ac:dyDescent="0.2">
      <c r="B83" s="396" t="s">
        <v>76</v>
      </c>
      <c r="C83" s="396" t="s">
        <v>312</v>
      </c>
      <c r="D83" s="490">
        <f>'Perlite Concentrations'!$I$22</f>
        <v>1.9000000000000001E-7</v>
      </c>
      <c r="E83" s="491">
        <f t="shared" si="2"/>
        <v>1.6239652447087444E-11</v>
      </c>
      <c r="F83" s="491">
        <f t="shared" si="3"/>
        <v>2.470116794116844E-6</v>
      </c>
      <c r="G83" s="491">
        <f t="shared" si="4"/>
        <v>5.8615081523212789E-11</v>
      </c>
      <c r="H83" s="491">
        <f t="shared" si="5"/>
        <v>1.318756100856525E-7</v>
      </c>
      <c r="J83" s="396" t="s">
        <v>76</v>
      </c>
      <c r="K83" s="396" t="s">
        <v>312</v>
      </c>
      <c r="L83" s="490">
        <f>'Perlite Concentrations'!$M$22</f>
        <v>1.9000000000000001E-7</v>
      </c>
      <c r="M83" s="491">
        <f t="shared" si="6"/>
        <v>1.6239652447087444E-11</v>
      </c>
      <c r="N83" s="491">
        <f t="shared" si="7"/>
        <v>2.8556894543637763E-7</v>
      </c>
      <c r="O83" s="491">
        <f t="shared" si="8"/>
        <v>5.8615081523212789E-11</v>
      </c>
      <c r="P83" s="491">
        <f t="shared" si="9"/>
        <v>8.1032184991439438E-8</v>
      </c>
    </row>
    <row r="84" spans="1:16" x14ac:dyDescent="0.2">
      <c r="B84" s="396" t="s">
        <v>78</v>
      </c>
      <c r="C84" s="396" t="s">
        <v>314</v>
      </c>
      <c r="D84" s="490">
        <f>'Perlite Concentrations'!$I$23</f>
        <v>4.3900000000000005E-7</v>
      </c>
      <c r="E84" s="491">
        <f t="shared" si="2"/>
        <v>3.7522144338270458E-11</v>
      </c>
      <c r="F84" s="491">
        <f t="shared" si="3"/>
        <v>5.7072698558804967E-6</v>
      </c>
      <c r="G84" s="491">
        <f t="shared" si="4"/>
        <v>1.354316883615285E-10</v>
      </c>
      <c r="H84" s="491">
        <f t="shared" si="5"/>
        <v>3.0470206751369182E-7</v>
      </c>
      <c r="J84" s="396" t="s">
        <v>78</v>
      </c>
      <c r="K84" s="396" t="s">
        <v>314</v>
      </c>
      <c r="L84" s="490">
        <f>'Perlite Concentrations'!$M$23</f>
        <v>4.3900000000000005E-7</v>
      </c>
      <c r="M84" s="491">
        <f t="shared" si="6"/>
        <v>3.7522144338270458E-11</v>
      </c>
      <c r="N84" s="491">
        <f t="shared" si="7"/>
        <v>6.5981456340299881E-7</v>
      </c>
      <c r="O84" s="491">
        <f t="shared" si="8"/>
        <v>1.354316883615285E-10</v>
      </c>
      <c r="P84" s="491">
        <f t="shared" si="9"/>
        <v>1.8722699584864164E-7</v>
      </c>
    </row>
    <row r="85" spans="1:16" x14ac:dyDescent="0.2">
      <c r="B85" s="396" t="s">
        <v>83</v>
      </c>
      <c r="C85" s="396" t="s">
        <v>315</v>
      </c>
      <c r="D85" s="490">
        <f>'Perlite Concentrations'!$I$25</f>
        <v>2.8999999999999997E-5</v>
      </c>
      <c r="E85" s="491">
        <f t="shared" si="2"/>
        <v>2.4786837945554512E-9</v>
      </c>
      <c r="F85" s="491">
        <f t="shared" si="3"/>
        <v>3.7701782647046552E-4</v>
      </c>
      <c r="G85" s="491">
        <f t="shared" si="4"/>
        <v>8.9465124430166864E-9</v>
      </c>
      <c r="H85" s="491">
        <f t="shared" si="5"/>
        <v>2.0128382592020637E-5</v>
      </c>
      <c r="J85" s="396" t="s">
        <v>83</v>
      </c>
      <c r="K85" s="396" t="s">
        <v>315</v>
      </c>
      <c r="L85" s="490">
        <f>'Perlite Concentrations'!$M$25</f>
        <v>3.0000000000000001E-5</v>
      </c>
      <c r="M85" s="491">
        <f t="shared" si="6"/>
        <v>2.5641556495401221E-9</v>
      </c>
      <c r="N85" s="491">
        <f t="shared" si="7"/>
        <v>4.5089833489954357E-5</v>
      </c>
      <c r="O85" s="491">
        <f t="shared" si="8"/>
        <v>9.2550128720862277E-9</v>
      </c>
      <c r="P85" s="491">
        <f t="shared" si="9"/>
        <v>1.2794555524964119E-5</v>
      </c>
    </row>
    <row r="86" spans="1:16" x14ac:dyDescent="0.2">
      <c r="B86" s="396" t="s">
        <v>40</v>
      </c>
      <c r="C86" s="396" t="s">
        <v>142</v>
      </c>
      <c r="D86" s="490">
        <f>'Perlite Concentrations'!$I$26</f>
        <v>2.0000000000000001E-4</v>
      </c>
      <c r="E86" s="491">
        <f t="shared" si="2"/>
        <v>1.7094370996934151E-8</v>
      </c>
      <c r="F86" s="491">
        <f t="shared" si="3"/>
        <v>2.6001229411756251E-3</v>
      </c>
      <c r="G86" s="491">
        <f t="shared" si="4"/>
        <v>6.1700085813908196E-8</v>
      </c>
      <c r="H86" s="491">
        <f t="shared" si="5"/>
        <v>1.3881643166910787E-4</v>
      </c>
      <c r="J86" s="396" t="s">
        <v>40</v>
      </c>
      <c r="K86" s="396" t="s">
        <v>142</v>
      </c>
      <c r="L86" s="490">
        <f>'Perlite Concentrations'!$M$26</f>
        <v>2.0000000000000001E-4</v>
      </c>
      <c r="M86" s="491">
        <f t="shared" si="6"/>
        <v>1.7094370996934151E-8</v>
      </c>
      <c r="N86" s="491">
        <f t="shared" si="7"/>
        <v>3.0059888993302908E-4</v>
      </c>
      <c r="O86" s="491">
        <f t="shared" si="8"/>
        <v>6.1700085813908196E-8</v>
      </c>
      <c r="P86" s="491">
        <f t="shared" si="9"/>
        <v>8.5297036833094144E-5</v>
      </c>
    </row>
    <row r="87" spans="1:16" x14ac:dyDescent="0.2">
      <c r="B87" s="396" t="s">
        <v>70</v>
      </c>
      <c r="C87" s="396">
        <v>504</v>
      </c>
      <c r="D87" s="490">
        <f>'Perlite Concentrations'!$I$19</f>
        <v>3.3000000000000003E-5</v>
      </c>
      <c r="E87" s="491">
        <f t="shared" si="2"/>
        <v>2.8205712144941348E-9</v>
      </c>
      <c r="F87" s="491">
        <f t="shared" si="3"/>
        <v>4.2902028529397812E-4</v>
      </c>
      <c r="G87" s="491">
        <f t="shared" si="4"/>
        <v>1.0180514159294852E-8</v>
      </c>
      <c r="H87" s="491">
        <f t="shared" si="5"/>
        <v>2.2904711225402797E-5</v>
      </c>
      <c r="J87" s="396" t="s">
        <v>70</v>
      </c>
      <c r="K87" s="396">
        <v>504</v>
      </c>
      <c r="L87" s="490">
        <f>'Perlite Concentrations'!$M$19</f>
        <v>3.3000000000000003E-5</v>
      </c>
      <c r="M87" s="491">
        <f t="shared" si="6"/>
        <v>2.8205712144941348E-9</v>
      </c>
      <c r="N87" s="491">
        <f t="shared" si="7"/>
        <v>4.9598816838949801E-5</v>
      </c>
      <c r="O87" s="491">
        <f t="shared" si="8"/>
        <v>1.0180514159294852E-8</v>
      </c>
      <c r="P87" s="491">
        <f t="shared" si="9"/>
        <v>1.4074011077460532E-5</v>
      </c>
    </row>
    <row r="88" spans="1:16" x14ac:dyDescent="0.2">
      <c r="B88" s="396" t="s">
        <v>87</v>
      </c>
      <c r="C88" s="396" t="s">
        <v>316</v>
      </c>
      <c r="D88" s="490">
        <f>'Perlite Concentrations'!$I$27</f>
        <v>8.0000000000000007E-5</v>
      </c>
      <c r="E88" s="491">
        <f t="shared" si="2"/>
        <v>6.8377483987736599E-9</v>
      </c>
      <c r="F88" s="491">
        <f t="shared" si="3"/>
        <v>1.04004917647025E-3</v>
      </c>
      <c r="G88" s="491">
        <f t="shared" si="4"/>
        <v>2.4680034325563278E-8</v>
      </c>
      <c r="H88" s="491">
        <f t="shared" si="5"/>
        <v>5.5526572667643148E-5</v>
      </c>
      <c r="J88" s="396" t="s">
        <v>87</v>
      </c>
      <c r="K88" s="396" t="s">
        <v>316</v>
      </c>
      <c r="L88" s="490">
        <f>'Perlite Concentrations'!$M$27</f>
        <v>8.0000000000000007E-5</v>
      </c>
      <c r="M88" s="491">
        <f t="shared" si="6"/>
        <v>6.8377483987736599E-9</v>
      </c>
      <c r="N88" s="491">
        <f t="shared" si="7"/>
        <v>1.2023955597321163E-4</v>
      </c>
      <c r="O88" s="491">
        <f t="shared" si="8"/>
        <v>2.4680034325563278E-8</v>
      </c>
      <c r="P88" s="491">
        <f t="shared" si="9"/>
        <v>3.4118814733237656E-5</v>
      </c>
    </row>
    <row r="89" spans="1:16" x14ac:dyDescent="0.2">
      <c r="B89" s="396" t="s">
        <v>90</v>
      </c>
      <c r="C89" s="396" t="s">
        <v>183</v>
      </c>
      <c r="D89" s="490">
        <f>'Perlite Concentrations'!$I$28</f>
        <v>3.7265E-2</v>
      </c>
      <c r="E89" s="491">
        <f t="shared" si="2"/>
        <v>3.1851086760037552E-6</v>
      </c>
      <c r="F89" s="491">
        <f t="shared" si="3"/>
        <v>0.48446790701454828</v>
      </c>
      <c r="G89" s="491">
        <f t="shared" si="4"/>
        <v>1.1496268489276442E-5</v>
      </c>
      <c r="H89" s="491">
        <f t="shared" si="5"/>
        <v>2.5864971630746518E-2</v>
      </c>
      <c r="J89" s="396" t="s">
        <v>90</v>
      </c>
      <c r="K89" s="396" t="s">
        <v>183</v>
      </c>
      <c r="L89" s="490">
        <f>'Perlite Concentrations'!$M$28</f>
        <v>3.7265E-2</v>
      </c>
      <c r="M89" s="491">
        <f t="shared" si="6"/>
        <v>3.1851086760037552E-6</v>
      </c>
      <c r="N89" s="491">
        <f t="shared" si="7"/>
        <v>5.6009088166771637E-2</v>
      </c>
      <c r="O89" s="491">
        <f t="shared" si="8"/>
        <v>1.1496268489276442E-5</v>
      </c>
      <c r="P89" s="491">
        <f t="shared" si="9"/>
        <v>1.589297038792626E-2</v>
      </c>
    </row>
    <row r="90" spans="1:16" x14ac:dyDescent="0.2">
      <c r="B90" s="396" t="s">
        <v>92</v>
      </c>
      <c r="C90" s="396" t="s">
        <v>317</v>
      </c>
      <c r="D90" s="490">
        <f>'Perlite Concentrations'!$I$29</f>
        <v>2.5000000000000001E-5</v>
      </c>
      <c r="E90" s="491">
        <f t="shared" si="2"/>
        <v>2.1367963746167689E-9</v>
      </c>
      <c r="F90" s="491">
        <f t="shared" si="3"/>
        <v>3.2501536764695314E-4</v>
      </c>
      <c r="G90" s="491">
        <f t="shared" si="4"/>
        <v>7.7125107267385245E-9</v>
      </c>
      <c r="H90" s="491">
        <f t="shared" si="5"/>
        <v>1.7352053958638484E-5</v>
      </c>
      <c r="J90" s="396" t="s">
        <v>92</v>
      </c>
      <c r="K90" s="396" t="s">
        <v>317</v>
      </c>
      <c r="L90" s="490">
        <f>'Perlite Concentrations'!$M$29</f>
        <v>2.5000000000000001E-5</v>
      </c>
      <c r="M90" s="491">
        <f t="shared" si="6"/>
        <v>2.1367963746167689E-9</v>
      </c>
      <c r="N90" s="491">
        <f t="shared" si="7"/>
        <v>3.7574861241628635E-5</v>
      </c>
      <c r="O90" s="491">
        <f t="shared" si="8"/>
        <v>7.7125107267385245E-9</v>
      </c>
      <c r="P90" s="491">
        <f t="shared" si="9"/>
        <v>1.0662129604136768E-5</v>
      </c>
    </row>
    <row r="91" spans="1:16" x14ac:dyDescent="0.2">
      <c r="B91" s="396" t="s">
        <v>94</v>
      </c>
      <c r="C91" s="396" t="s">
        <v>318</v>
      </c>
      <c r="D91" s="490">
        <f>'Perlite Concentrations'!$I$30</f>
        <v>2.5000000000000001E-5</v>
      </c>
      <c r="E91" s="491">
        <f t="shared" si="2"/>
        <v>2.1367963746167689E-9</v>
      </c>
      <c r="F91" s="491">
        <f t="shared" si="3"/>
        <v>3.2501536764695314E-4</v>
      </c>
      <c r="G91" s="491">
        <f t="shared" si="4"/>
        <v>7.7125107267385245E-9</v>
      </c>
      <c r="H91" s="491">
        <f t="shared" si="5"/>
        <v>1.7352053958638484E-5</v>
      </c>
      <c r="J91" s="396" t="s">
        <v>94</v>
      </c>
      <c r="K91" s="396" t="s">
        <v>318</v>
      </c>
      <c r="L91" s="490">
        <f>'Perlite Concentrations'!$M$30</f>
        <v>2.5000000000000001E-5</v>
      </c>
      <c r="M91" s="491">
        <f t="shared" si="6"/>
        <v>2.1367963746167689E-9</v>
      </c>
      <c r="N91" s="491">
        <f t="shared" si="7"/>
        <v>3.7574861241628635E-5</v>
      </c>
      <c r="O91" s="491">
        <f t="shared" si="8"/>
        <v>7.7125107267385245E-9</v>
      </c>
      <c r="P91" s="491">
        <f t="shared" si="9"/>
        <v>1.0662129604136768E-5</v>
      </c>
    </row>
    <row r="92" spans="1:16" s="167" customFormat="1" ht="12.75" x14ac:dyDescent="0.15">
      <c r="A92" s="387">
        <v>1</v>
      </c>
      <c r="B92" s="171" t="s">
        <v>476</v>
      </c>
      <c r="C92" s="170"/>
      <c r="D92" s="170"/>
      <c r="E92" s="538"/>
      <c r="F92" s="537"/>
      <c r="G92" s="537"/>
      <c r="H92" s="537"/>
      <c r="I92" s="167">
        <v>1</v>
      </c>
      <c r="J92" s="171" t="s">
        <v>319</v>
      </c>
      <c r="K92" s="170"/>
      <c r="L92" s="170"/>
      <c r="M92" s="538"/>
      <c r="N92" s="537"/>
    </row>
    <row r="95" spans="1:16" x14ac:dyDescent="0.2">
      <c r="B95" s="480" t="s">
        <v>477</v>
      </c>
      <c r="J95" s="480" t="s">
        <v>478</v>
      </c>
    </row>
    <row r="96" spans="1:16" ht="38.25" x14ac:dyDescent="0.2">
      <c r="B96" s="392" t="s">
        <v>298</v>
      </c>
      <c r="C96" s="392" t="s">
        <v>299</v>
      </c>
      <c r="D96" s="392" t="s">
        <v>337</v>
      </c>
      <c r="E96" s="413" t="s">
        <v>479</v>
      </c>
      <c r="F96" s="413" t="s">
        <v>302</v>
      </c>
      <c r="G96" s="413" t="s">
        <v>480</v>
      </c>
      <c r="H96" s="413" t="s">
        <v>475</v>
      </c>
      <c r="J96" s="392" t="s">
        <v>298</v>
      </c>
      <c r="K96" s="392" t="s">
        <v>299</v>
      </c>
      <c r="L96" s="392" t="s">
        <v>337</v>
      </c>
      <c r="M96" s="413" t="s">
        <v>479</v>
      </c>
      <c r="N96" s="413" t="s">
        <v>302</v>
      </c>
      <c r="O96" s="413" t="s">
        <v>480</v>
      </c>
      <c r="P96" s="413" t="s">
        <v>475</v>
      </c>
    </row>
    <row r="97" spans="2:16" x14ac:dyDescent="0.2">
      <c r="B97" s="396" t="s">
        <v>33</v>
      </c>
      <c r="C97" s="396" t="s">
        <v>305</v>
      </c>
      <c r="D97" s="490">
        <f>'Perlite Concentrations'!$I$4</f>
        <v>2.5000000000000002E-8</v>
      </c>
      <c r="E97" s="491">
        <f t="shared" ref="E97:E120" si="10">$D$54*365*D97*(1-$H$54)</f>
        <v>1.6453116390070921E-5</v>
      </c>
      <c r="F97" s="491">
        <f t="shared" ref="F97:F120" si="11">E97*$C$54</f>
        <v>1.8171475602883617E-5</v>
      </c>
      <c r="G97" s="491">
        <f t="shared" ref="G97:G120" si="12">$D$56*D97*(1-$H$56)</f>
        <v>2.9338061465721032E-7</v>
      </c>
      <c r="H97" s="491">
        <f t="shared" ref="H97:H120" si="13">G97*$C$56</f>
        <v>3.2402121003773665E-7</v>
      </c>
      <c r="J97" s="396" t="s">
        <v>33</v>
      </c>
      <c r="K97" s="396" t="s">
        <v>305</v>
      </c>
      <c r="L97" s="490">
        <f>'Perlite Concentrations'!$M$4</f>
        <v>2.5000000000000002E-8</v>
      </c>
      <c r="M97" s="491">
        <f t="shared" ref="M97:M120" si="14">$D$55*365*L97*(1-$H$55)</f>
        <v>1.6453116390070921E-5</v>
      </c>
      <c r="N97" s="491">
        <f>M97*$C$55*(1-H55)</f>
        <v>3.2894245145067798E-6</v>
      </c>
      <c r="O97" s="491">
        <f t="shared" ref="O97:O120" si="15">$D$57*L97*(1-$H$57)</f>
        <v>2.9338061465721032E-7</v>
      </c>
      <c r="P97" s="491">
        <f t="shared" ref="P97:P120" si="16">O97*$C$57</f>
        <v>5.8654747408027984E-7</v>
      </c>
    </row>
    <row r="98" spans="2:16" x14ac:dyDescent="0.2">
      <c r="B98" s="396" t="s">
        <v>36</v>
      </c>
      <c r="C98" s="396" t="s">
        <v>190</v>
      </c>
      <c r="D98" s="490">
        <f>'Perlite Concentrations'!$I$5</f>
        <v>6.2446000000000002E-2</v>
      </c>
      <c r="E98" s="491">
        <f t="shared" si="10"/>
        <v>41.097252243774747</v>
      </c>
      <c r="F98" s="491">
        <f t="shared" si="11"/>
        <v>45.389438619906812</v>
      </c>
      <c r="G98" s="491">
        <f t="shared" si="12"/>
        <v>0.73281783451536631</v>
      </c>
      <c r="H98" s="491">
        <f t="shared" si="13"/>
        <v>0.80935313928066011</v>
      </c>
      <c r="J98" s="396" t="s">
        <v>36</v>
      </c>
      <c r="K98" s="396" t="s">
        <v>190</v>
      </c>
      <c r="L98" s="490">
        <f>'Perlite Concentrations'!$M$5</f>
        <v>6.372499999999999E-2</v>
      </c>
      <c r="M98" s="491">
        <f t="shared" si="14"/>
        <v>41.938993678290764</v>
      </c>
      <c r="N98" s="491">
        <f t="shared" ref="N98:N120" si="17">M98*$C$55</f>
        <v>83.847430874777814</v>
      </c>
      <c r="O98" s="491">
        <f t="shared" si="15"/>
        <v>0.74782718676122906</v>
      </c>
      <c r="P98" s="491">
        <f t="shared" si="16"/>
        <v>1.495109511430633</v>
      </c>
    </row>
    <row r="99" spans="2:16" x14ac:dyDescent="0.2">
      <c r="B99" s="396" t="s">
        <v>38</v>
      </c>
      <c r="C99" s="396" t="s">
        <v>306</v>
      </c>
      <c r="D99" s="490">
        <f>'Perlite Concentrations'!$I$6</f>
        <v>2.6000000000000005E-6</v>
      </c>
      <c r="E99" s="491">
        <f t="shared" si="10"/>
        <v>1.7111241045673759E-3</v>
      </c>
      <c r="F99" s="491">
        <f t="shared" si="11"/>
        <v>1.8898334626998962E-3</v>
      </c>
      <c r="G99" s="491">
        <f t="shared" si="12"/>
        <v>3.0511583924349879E-5</v>
      </c>
      <c r="H99" s="491">
        <f t="shared" si="13"/>
        <v>3.3698205843924617E-5</v>
      </c>
      <c r="J99" s="396" t="s">
        <v>38</v>
      </c>
      <c r="K99" s="396" t="s">
        <v>306</v>
      </c>
      <c r="L99" s="490">
        <f>'Perlite Concentrations'!$M$6</f>
        <v>2.6000000000000005E-6</v>
      </c>
      <c r="M99" s="491">
        <f t="shared" si="14"/>
        <v>1.7111241045673759E-3</v>
      </c>
      <c r="N99" s="491">
        <f t="shared" si="17"/>
        <v>3.4210014950870524E-3</v>
      </c>
      <c r="O99" s="491">
        <f t="shared" si="15"/>
        <v>3.0511583924349879E-5</v>
      </c>
      <c r="P99" s="491">
        <f t="shared" si="16"/>
        <v>6.1000937304349111E-5</v>
      </c>
    </row>
    <row r="100" spans="2:16" x14ac:dyDescent="0.2">
      <c r="B100" s="396" t="s">
        <v>40</v>
      </c>
      <c r="C100" s="396" t="s">
        <v>142</v>
      </c>
      <c r="D100" s="490">
        <f>'Perlite Concentrations'!$I$7</f>
        <v>2.7799999999999998E-4</v>
      </c>
      <c r="E100" s="491">
        <f t="shared" si="10"/>
        <v>0.18295865425758859</v>
      </c>
      <c r="F100" s="491">
        <f t="shared" si="11"/>
        <v>0.20206680870406576</v>
      </c>
      <c r="G100" s="491">
        <f t="shared" si="12"/>
        <v>3.262392434988179E-3</v>
      </c>
      <c r="H100" s="491">
        <f t="shared" si="13"/>
        <v>3.6031158556196316E-3</v>
      </c>
      <c r="J100" s="396" t="s">
        <v>40</v>
      </c>
      <c r="K100" s="396" t="s">
        <v>142</v>
      </c>
      <c r="L100" s="490">
        <f>'Perlite Concentrations'!$M$7</f>
        <v>2.8000000000000003E-4</v>
      </c>
      <c r="M100" s="491">
        <f t="shared" si="14"/>
        <v>0.18427490356879431</v>
      </c>
      <c r="N100" s="491">
        <f t="shared" si="17"/>
        <v>0.36841554562475942</v>
      </c>
      <c r="O100" s="491">
        <f t="shared" si="15"/>
        <v>3.2858628841607564E-3</v>
      </c>
      <c r="P100" s="491">
        <f t="shared" si="16"/>
        <v>6.5693317096991348E-3</v>
      </c>
    </row>
    <row r="101" spans="2:16" x14ac:dyDescent="0.2">
      <c r="B101" s="396" t="s">
        <v>42</v>
      </c>
      <c r="C101" s="396" t="s">
        <v>307</v>
      </c>
      <c r="D101" s="490">
        <f>'Perlite Concentrations'!$I$8</f>
        <v>3.0299999999999998E-6</v>
      </c>
      <c r="E101" s="491">
        <f t="shared" si="10"/>
        <v>1.9941177064765952E-3</v>
      </c>
      <c r="F101" s="491">
        <f t="shared" si="11"/>
        <v>2.2023828430694941E-3</v>
      </c>
      <c r="G101" s="491">
        <f t="shared" si="12"/>
        <v>3.5557730496453887E-5</v>
      </c>
      <c r="H101" s="491">
        <f t="shared" si="13"/>
        <v>3.9271370656573675E-5</v>
      </c>
      <c r="J101" s="396" t="s">
        <v>42</v>
      </c>
      <c r="K101" s="396" t="s">
        <v>307</v>
      </c>
      <c r="L101" s="490">
        <f>'Perlite Concentrations'!$M$8</f>
        <v>3.0599999999999999E-6</v>
      </c>
      <c r="M101" s="491">
        <f t="shared" si="14"/>
        <v>2.0138614461446803E-3</v>
      </c>
      <c r="N101" s="491">
        <f t="shared" si="17"/>
        <v>4.0262556057562987E-3</v>
      </c>
      <c r="O101" s="491">
        <f t="shared" si="15"/>
        <v>3.5909787234042546E-5</v>
      </c>
      <c r="P101" s="491">
        <f t="shared" si="16"/>
        <v>7.1793410827426245E-5</v>
      </c>
    </row>
    <row r="102" spans="2:16" x14ac:dyDescent="0.2">
      <c r="B102" s="396" t="s">
        <v>44</v>
      </c>
      <c r="C102" s="396" t="s">
        <v>308</v>
      </c>
      <c r="D102" s="490">
        <f>'Perlite Concentrations'!$I$9</f>
        <v>8.0000000000000002E-8</v>
      </c>
      <c r="E102" s="491">
        <f t="shared" si="10"/>
        <v>5.2649972448226948E-5</v>
      </c>
      <c r="F102" s="491">
        <f t="shared" si="11"/>
        <v>5.8148721929227573E-5</v>
      </c>
      <c r="G102" s="491">
        <f t="shared" si="12"/>
        <v>9.3881796690307314E-7</v>
      </c>
      <c r="H102" s="491">
        <f t="shared" si="13"/>
        <v>1.0368678721207574E-6</v>
      </c>
      <c r="J102" s="396" t="s">
        <v>44</v>
      </c>
      <c r="K102" s="396" t="s">
        <v>308</v>
      </c>
      <c r="L102" s="490">
        <f>'Perlite Concentrations'!$M$9</f>
        <v>8.0000000000000002E-8</v>
      </c>
      <c r="M102" s="491">
        <f t="shared" si="14"/>
        <v>5.2649972448226948E-5</v>
      </c>
      <c r="N102" s="491">
        <f t="shared" si="17"/>
        <v>1.0526158446421699E-4</v>
      </c>
      <c r="O102" s="491">
        <f t="shared" si="15"/>
        <v>9.3881796690307314E-7</v>
      </c>
      <c r="P102" s="491">
        <f t="shared" si="16"/>
        <v>1.8769519170568956E-6</v>
      </c>
    </row>
    <row r="103" spans="2:16" x14ac:dyDescent="0.2">
      <c r="B103" s="396" t="s">
        <v>46</v>
      </c>
      <c r="C103" s="396" t="s">
        <v>147</v>
      </c>
      <c r="D103" s="490">
        <f>'Perlite Concentrations'!$I$10</f>
        <v>1.0000000000000001E-7</v>
      </c>
      <c r="E103" s="491">
        <f t="shared" si="10"/>
        <v>6.5812465560283683E-5</v>
      </c>
      <c r="F103" s="491">
        <f t="shared" si="11"/>
        <v>7.2685902411534468E-5</v>
      </c>
      <c r="G103" s="491">
        <f t="shared" si="12"/>
        <v>1.1735224586288413E-6</v>
      </c>
      <c r="H103" s="491">
        <f t="shared" si="13"/>
        <v>1.2960848401509466E-6</v>
      </c>
      <c r="J103" s="396" t="s">
        <v>46</v>
      </c>
      <c r="K103" s="396" t="s">
        <v>147</v>
      </c>
      <c r="L103" s="490">
        <f>'Perlite Concentrations'!$M$10</f>
        <v>1.0000000000000001E-7</v>
      </c>
      <c r="M103" s="491">
        <f t="shared" si="14"/>
        <v>6.5812465560283683E-5</v>
      </c>
      <c r="N103" s="491">
        <f t="shared" si="17"/>
        <v>1.3157698058027123E-4</v>
      </c>
      <c r="O103" s="491">
        <f t="shared" si="15"/>
        <v>1.1735224586288413E-6</v>
      </c>
      <c r="P103" s="491">
        <f t="shared" si="16"/>
        <v>2.3461898963211194E-6</v>
      </c>
    </row>
    <row r="104" spans="2:16" x14ac:dyDescent="0.2">
      <c r="B104" s="396" t="s">
        <v>49</v>
      </c>
      <c r="C104" s="396" t="s">
        <v>205</v>
      </c>
      <c r="D104" s="490">
        <f>'Perlite Concentrations'!$I$11</f>
        <v>5.200000000000001E-6</v>
      </c>
      <c r="E104" s="491">
        <f t="shared" si="10"/>
        <v>3.4222482091347517E-3</v>
      </c>
      <c r="F104" s="491">
        <f t="shared" si="11"/>
        <v>3.7796669253997925E-3</v>
      </c>
      <c r="G104" s="491">
        <f t="shared" si="12"/>
        <v>6.1023167848699758E-5</v>
      </c>
      <c r="H104" s="491">
        <f t="shared" si="13"/>
        <v>6.7396411687849233E-5</v>
      </c>
      <c r="J104" s="396" t="s">
        <v>49</v>
      </c>
      <c r="K104" s="396" t="s">
        <v>205</v>
      </c>
      <c r="L104" s="490">
        <f>'Perlite Concentrations'!$M$11</f>
        <v>5.200000000000001E-6</v>
      </c>
      <c r="M104" s="491">
        <f t="shared" si="14"/>
        <v>3.4222482091347517E-3</v>
      </c>
      <c r="N104" s="491">
        <f t="shared" si="17"/>
        <v>6.8420029901741048E-3</v>
      </c>
      <c r="O104" s="491">
        <f t="shared" si="15"/>
        <v>6.1023167848699758E-5</v>
      </c>
      <c r="P104" s="491">
        <f t="shared" si="16"/>
        <v>1.2200187460869822E-4</v>
      </c>
    </row>
    <row r="105" spans="2:16" x14ac:dyDescent="0.2">
      <c r="B105" s="396" t="s">
        <v>54</v>
      </c>
      <c r="C105" s="396" t="s">
        <v>55</v>
      </c>
      <c r="D105" s="490">
        <f>'Perlite Concentrations'!$I$13</f>
        <v>7.9660000000000013E-6</v>
      </c>
      <c r="E105" s="491">
        <f t="shared" si="10"/>
        <v>5.2426210065321987E-3</v>
      </c>
      <c r="F105" s="491">
        <f t="shared" si="11"/>
        <v>5.7901589861028358E-3</v>
      </c>
      <c r="G105" s="491">
        <f t="shared" si="12"/>
        <v>9.3482799054373514E-5</v>
      </c>
      <c r="H105" s="491">
        <f t="shared" si="13"/>
        <v>1.0324611836642442E-4</v>
      </c>
      <c r="J105" s="396" t="s">
        <v>54</v>
      </c>
      <c r="K105" s="396" t="s">
        <v>55</v>
      </c>
      <c r="L105" s="490">
        <f>'Perlite Concentrations'!$M$13</f>
        <v>7.9660000000000013E-6</v>
      </c>
      <c r="M105" s="491">
        <f t="shared" si="14"/>
        <v>5.2426210065321987E-3</v>
      </c>
      <c r="N105" s="491">
        <f t="shared" si="17"/>
        <v>1.0481422273024408E-2</v>
      </c>
      <c r="O105" s="491">
        <f t="shared" si="15"/>
        <v>9.3482799054373514E-5</v>
      </c>
      <c r="P105" s="491">
        <f t="shared" si="16"/>
        <v>1.8689748714094038E-4</v>
      </c>
    </row>
    <row r="106" spans="2:16" x14ac:dyDescent="0.2">
      <c r="B106" s="396" t="s">
        <v>57</v>
      </c>
      <c r="C106" s="396" t="s">
        <v>309</v>
      </c>
      <c r="D106" s="490">
        <f>'Perlite Concentrations'!$I$14</f>
        <v>2E-8</v>
      </c>
      <c r="E106" s="491">
        <f t="shared" si="10"/>
        <v>1.3162493112056737E-5</v>
      </c>
      <c r="F106" s="491">
        <f t="shared" si="11"/>
        <v>1.4537180482306893E-5</v>
      </c>
      <c r="G106" s="491">
        <f t="shared" si="12"/>
        <v>2.3470449172576829E-7</v>
      </c>
      <c r="H106" s="491">
        <f t="shared" si="13"/>
        <v>2.5921696803018934E-7</v>
      </c>
      <c r="J106" s="396" t="s">
        <v>57</v>
      </c>
      <c r="K106" s="396" t="s">
        <v>309</v>
      </c>
      <c r="L106" s="490">
        <f>'Perlite Concentrations'!$M$14</f>
        <v>2E-8</v>
      </c>
      <c r="M106" s="491">
        <f t="shared" si="14"/>
        <v>1.3162493112056737E-5</v>
      </c>
      <c r="N106" s="491">
        <f t="shared" si="17"/>
        <v>2.6315396116054249E-5</v>
      </c>
      <c r="O106" s="491">
        <f t="shared" si="15"/>
        <v>2.3470449172576829E-7</v>
      </c>
      <c r="P106" s="491">
        <f t="shared" si="16"/>
        <v>4.6923797926422389E-7</v>
      </c>
    </row>
    <row r="107" spans="2:16" x14ac:dyDescent="0.2">
      <c r="B107" s="396" t="s">
        <v>60</v>
      </c>
      <c r="C107" s="396" t="s">
        <v>181</v>
      </c>
      <c r="D107" s="490">
        <f>'Perlite Concentrations'!$I$15</f>
        <v>5.0299999999999997E-4</v>
      </c>
      <c r="E107" s="491">
        <f t="shared" si="10"/>
        <v>0.33103670176822686</v>
      </c>
      <c r="F107" s="491">
        <f t="shared" si="11"/>
        <v>0.3656100891300183</v>
      </c>
      <c r="G107" s="491">
        <f t="shared" si="12"/>
        <v>5.9028179669030709E-3</v>
      </c>
      <c r="H107" s="491">
        <f t="shared" si="13"/>
        <v>6.5193067459592604E-3</v>
      </c>
      <c r="J107" s="396" t="s">
        <v>60</v>
      </c>
      <c r="K107" s="396" t="s">
        <v>181</v>
      </c>
      <c r="L107" s="490">
        <f>'Perlite Concentrations'!$M$15</f>
        <v>5.0299999999999997E-4</v>
      </c>
      <c r="M107" s="491">
        <f t="shared" si="14"/>
        <v>0.33103670176822686</v>
      </c>
      <c r="N107" s="491">
        <f t="shared" si="17"/>
        <v>0.66183221231876421</v>
      </c>
      <c r="O107" s="491">
        <f t="shared" si="15"/>
        <v>5.9028179669030709E-3</v>
      </c>
      <c r="P107" s="491">
        <f t="shared" si="16"/>
        <v>1.1801335178495229E-2</v>
      </c>
    </row>
    <row r="108" spans="2:16" x14ac:dyDescent="0.2">
      <c r="B108" s="396" t="s">
        <v>65</v>
      </c>
      <c r="C108" s="396" t="s">
        <v>66</v>
      </c>
      <c r="D108" s="490">
        <f>'Perlite Concentrations'!$I$17</f>
        <v>9.295523661156416E-6</v>
      </c>
      <c r="E108" s="491">
        <f t="shared" si="10"/>
        <v>6.1176133081465864E-3</v>
      </c>
      <c r="F108" s="491">
        <f t="shared" si="11"/>
        <v>6.7565352569892477E-3</v>
      </c>
      <c r="G108" s="491">
        <f t="shared" si="12"/>
        <v>1.0908505781082845E-4</v>
      </c>
      <c r="H108" s="491">
        <f t="shared" si="13"/>
        <v>1.2047787298489254E-4</v>
      </c>
      <c r="J108" s="396" t="s">
        <v>65</v>
      </c>
      <c r="K108" s="396" t="s">
        <v>63</v>
      </c>
      <c r="L108" s="490">
        <f>'Perlite Concentrations'!$M$17</f>
        <v>9.295523661156416E-6</v>
      </c>
      <c r="M108" s="491">
        <f t="shared" si="14"/>
        <v>6.1176133081465864E-3</v>
      </c>
      <c r="N108" s="491">
        <f t="shared" si="17"/>
        <v>1.2230769362474293E-2</v>
      </c>
      <c r="O108" s="491">
        <f t="shared" si="15"/>
        <v>1.0908505781082845E-4</v>
      </c>
      <c r="P108" s="491">
        <f t="shared" si="16"/>
        <v>2.180906369481908E-4</v>
      </c>
    </row>
    <row r="109" spans="2:16" x14ac:dyDescent="0.2">
      <c r="B109" s="396" t="s">
        <v>68</v>
      </c>
      <c r="C109" s="396" t="s">
        <v>212</v>
      </c>
      <c r="D109" s="490">
        <f>'Perlite Concentrations'!$I$18</f>
        <v>1.9999999999999999E-6</v>
      </c>
      <c r="E109" s="491">
        <f t="shared" si="10"/>
        <v>1.3162493112056734E-3</v>
      </c>
      <c r="F109" s="491">
        <f t="shared" si="11"/>
        <v>1.4537180482306891E-3</v>
      </c>
      <c r="G109" s="491">
        <f t="shared" si="12"/>
        <v>2.3470449172576826E-5</v>
      </c>
      <c r="H109" s="491">
        <f t="shared" si="13"/>
        <v>2.5921696803018932E-5</v>
      </c>
      <c r="J109" s="396" t="s">
        <v>68</v>
      </c>
      <c r="K109" s="396" t="s">
        <v>212</v>
      </c>
      <c r="L109" s="490">
        <f>'Perlite Concentrations'!$M$18</f>
        <v>1.9999999999999999E-6</v>
      </c>
      <c r="M109" s="491">
        <f t="shared" si="14"/>
        <v>1.3162493112056734E-3</v>
      </c>
      <c r="N109" s="491">
        <f t="shared" si="17"/>
        <v>2.6315396116054243E-3</v>
      </c>
      <c r="O109" s="491">
        <f t="shared" si="15"/>
        <v>2.3470449172576826E-5</v>
      </c>
      <c r="P109" s="491">
        <f t="shared" si="16"/>
        <v>4.6923797926422382E-5</v>
      </c>
    </row>
    <row r="110" spans="2:16" x14ac:dyDescent="0.2">
      <c r="B110" s="396" t="s">
        <v>72</v>
      </c>
      <c r="C110" s="396" t="s">
        <v>310</v>
      </c>
      <c r="D110" s="490">
        <f>'Perlite Concentrations'!$I$20</f>
        <v>2.5000000000000001E-5</v>
      </c>
      <c r="E110" s="491">
        <f t="shared" si="10"/>
        <v>1.645311639007092E-2</v>
      </c>
      <c r="F110" s="491">
        <f t="shared" si="11"/>
        <v>1.8171475602883617E-2</v>
      </c>
      <c r="G110" s="491">
        <f t="shared" si="12"/>
        <v>2.9338061465721032E-4</v>
      </c>
      <c r="H110" s="491">
        <f t="shared" si="13"/>
        <v>3.2402121003773663E-4</v>
      </c>
      <c r="J110" s="396" t="s">
        <v>72</v>
      </c>
      <c r="K110" s="396" t="s">
        <v>310</v>
      </c>
      <c r="L110" s="490">
        <f>'Perlite Concentrations'!$M$20</f>
        <v>2.5000000000000001E-5</v>
      </c>
      <c r="M110" s="491">
        <f t="shared" si="14"/>
        <v>1.645311639007092E-2</v>
      </c>
      <c r="N110" s="491">
        <f t="shared" si="17"/>
        <v>3.2894245145067808E-2</v>
      </c>
      <c r="O110" s="491">
        <f t="shared" si="15"/>
        <v>2.9338061465721032E-4</v>
      </c>
      <c r="P110" s="491">
        <f t="shared" si="16"/>
        <v>5.8654747408027979E-4</v>
      </c>
    </row>
    <row r="111" spans="2:16" x14ac:dyDescent="0.2">
      <c r="B111" s="396" t="s">
        <v>74</v>
      </c>
      <c r="C111" s="396" t="s">
        <v>311</v>
      </c>
      <c r="D111" s="490">
        <f>'Perlite Concentrations'!$I$21</f>
        <v>3.7E-7</v>
      </c>
      <c r="E111" s="491">
        <f t="shared" si="10"/>
        <v>2.4350612257304958E-4</v>
      </c>
      <c r="F111" s="491">
        <f t="shared" si="11"/>
        <v>2.6893783892267749E-4</v>
      </c>
      <c r="G111" s="491">
        <f t="shared" si="12"/>
        <v>4.3420330969267124E-6</v>
      </c>
      <c r="H111" s="491">
        <f t="shared" si="13"/>
        <v>4.7955139085585015E-6</v>
      </c>
      <c r="J111" s="396" t="s">
        <v>74</v>
      </c>
      <c r="K111" s="396" t="s">
        <v>311</v>
      </c>
      <c r="L111" s="490">
        <f>'Perlite Concentrations'!$M$21</f>
        <v>3.7E-7</v>
      </c>
      <c r="M111" s="491">
        <f t="shared" si="14"/>
        <v>2.4350612257304958E-4</v>
      </c>
      <c r="N111" s="491">
        <f t="shared" si="17"/>
        <v>4.8683482814700346E-4</v>
      </c>
      <c r="O111" s="491">
        <f t="shared" si="15"/>
        <v>4.3420330969267124E-6</v>
      </c>
      <c r="P111" s="491">
        <f t="shared" si="16"/>
        <v>8.6809026163881397E-6</v>
      </c>
    </row>
    <row r="112" spans="2:16" x14ac:dyDescent="0.2">
      <c r="B112" s="396" t="s">
        <v>76</v>
      </c>
      <c r="C112" s="396" t="s">
        <v>312</v>
      </c>
      <c r="D112" s="490">
        <f>'Perlite Concentrations'!$I$22</f>
        <v>1.9000000000000001E-7</v>
      </c>
      <c r="E112" s="491">
        <f t="shared" si="10"/>
        <v>1.2504368456453901E-4</v>
      </c>
      <c r="F112" s="491">
        <f t="shared" si="11"/>
        <v>1.3810321458191548E-4</v>
      </c>
      <c r="G112" s="491">
        <f t="shared" si="12"/>
        <v>2.2296926713947989E-6</v>
      </c>
      <c r="H112" s="491">
        <f t="shared" si="13"/>
        <v>2.4625611962867988E-6</v>
      </c>
      <c r="J112" s="396" t="s">
        <v>76</v>
      </c>
      <c r="K112" s="396" t="s">
        <v>312</v>
      </c>
      <c r="L112" s="490">
        <f>'Perlite Concentrations'!$M$22</f>
        <v>1.9000000000000001E-7</v>
      </c>
      <c r="M112" s="491">
        <f t="shared" si="14"/>
        <v>1.2504368456453901E-4</v>
      </c>
      <c r="N112" s="491">
        <f t="shared" si="17"/>
        <v>2.4999626310251536E-4</v>
      </c>
      <c r="O112" s="491">
        <f t="shared" si="15"/>
        <v>2.2296926713947989E-6</v>
      </c>
      <c r="P112" s="491">
        <f t="shared" si="16"/>
        <v>4.4577608030101273E-6</v>
      </c>
    </row>
    <row r="113" spans="1:16" x14ac:dyDescent="0.2">
      <c r="B113" s="396" t="s">
        <v>78</v>
      </c>
      <c r="C113" s="396" t="s">
        <v>314</v>
      </c>
      <c r="D113" s="490">
        <f>'Perlite Concentrations'!$I$23</f>
        <v>4.3900000000000005E-7</v>
      </c>
      <c r="E113" s="491">
        <f t="shared" si="10"/>
        <v>2.8891672380964537E-4</v>
      </c>
      <c r="F113" s="491">
        <f t="shared" si="11"/>
        <v>3.1909111158663633E-4</v>
      </c>
      <c r="G113" s="491">
        <f t="shared" si="12"/>
        <v>5.1517635933806142E-6</v>
      </c>
      <c r="H113" s="491">
        <f t="shared" si="13"/>
        <v>5.689812448262656E-6</v>
      </c>
      <c r="J113" s="396" t="s">
        <v>78</v>
      </c>
      <c r="K113" s="396" t="s">
        <v>314</v>
      </c>
      <c r="L113" s="490">
        <f>'Perlite Concentrations'!$M$23</f>
        <v>4.3900000000000005E-7</v>
      </c>
      <c r="M113" s="491">
        <f t="shared" si="14"/>
        <v>2.8891672380964537E-4</v>
      </c>
      <c r="N113" s="491">
        <f t="shared" si="17"/>
        <v>5.7762294474739074E-4</v>
      </c>
      <c r="O113" s="491">
        <f t="shared" si="15"/>
        <v>5.1517635933806142E-6</v>
      </c>
      <c r="P113" s="491">
        <f t="shared" si="16"/>
        <v>1.0299773644849715E-5</v>
      </c>
    </row>
    <row r="114" spans="1:16" x14ac:dyDescent="0.2">
      <c r="B114" s="396" t="s">
        <v>83</v>
      </c>
      <c r="C114" s="396" t="s">
        <v>315</v>
      </c>
      <c r="D114" s="490">
        <f>'Perlite Concentrations'!$I$25</f>
        <v>2.8999999999999997E-5</v>
      </c>
      <c r="E114" s="491">
        <f t="shared" si="10"/>
        <v>1.9085615012482265E-2</v>
      </c>
      <c r="F114" s="491">
        <f t="shared" si="11"/>
        <v>2.1078911699344994E-2</v>
      </c>
      <c r="G114" s="491">
        <f t="shared" si="12"/>
        <v>3.4032151300236393E-4</v>
      </c>
      <c r="H114" s="491">
        <f t="shared" si="13"/>
        <v>3.7586460364377446E-4</v>
      </c>
      <c r="J114" s="396" t="s">
        <v>83</v>
      </c>
      <c r="K114" s="396" t="s">
        <v>315</v>
      </c>
      <c r="L114" s="490">
        <f>'Perlite Concentrations'!$M$25</f>
        <v>3.0000000000000001E-5</v>
      </c>
      <c r="M114" s="491">
        <f t="shared" si="14"/>
        <v>1.9743739668085104E-2</v>
      </c>
      <c r="N114" s="491">
        <f t="shared" si="17"/>
        <v>3.9473094174081368E-2</v>
      </c>
      <c r="O114" s="491">
        <f t="shared" si="15"/>
        <v>3.5205673758865243E-4</v>
      </c>
      <c r="P114" s="491">
        <f t="shared" si="16"/>
        <v>7.0385696889633587E-4</v>
      </c>
    </row>
    <row r="115" spans="1:16" x14ac:dyDescent="0.2">
      <c r="B115" s="396" t="s">
        <v>40</v>
      </c>
      <c r="C115" s="396" t="s">
        <v>142</v>
      </c>
      <c r="D115" s="490">
        <f>'Perlite Concentrations'!$I$26</f>
        <v>2.0000000000000001E-4</v>
      </c>
      <c r="E115" s="491">
        <f t="shared" si="10"/>
        <v>0.13162493112056736</v>
      </c>
      <c r="F115" s="491">
        <f t="shared" si="11"/>
        <v>0.14537180482306894</v>
      </c>
      <c r="G115" s="491">
        <f t="shared" si="12"/>
        <v>2.3470449172576825E-3</v>
      </c>
      <c r="H115" s="491">
        <f t="shared" si="13"/>
        <v>2.592169680301893E-3</v>
      </c>
      <c r="J115" s="396" t="s">
        <v>40</v>
      </c>
      <c r="K115" s="396" t="s">
        <v>142</v>
      </c>
      <c r="L115" s="490">
        <f>'Perlite Concentrations'!$M$26</f>
        <v>2.0000000000000001E-4</v>
      </c>
      <c r="M115" s="491">
        <f t="shared" si="14"/>
        <v>0.13162493112056736</v>
      </c>
      <c r="N115" s="491">
        <f t="shared" si="17"/>
        <v>0.26315396116054246</v>
      </c>
      <c r="O115" s="491">
        <f t="shared" si="15"/>
        <v>2.3470449172576825E-3</v>
      </c>
      <c r="P115" s="491">
        <f t="shared" si="16"/>
        <v>4.6923797926422383E-3</v>
      </c>
    </row>
    <row r="116" spans="1:16" x14ac:dyDescent="0.2">
      <c r="B116" s="396" t="s">
        <v>70</v>
      </c>
      <c r="C116" s="396">
        <v>504</v>
      </c>
      <c r="D116" s="490">
        <f>'Perlite Concentrations'!$I$19</f>
        <v>3.3000000000000003E-5</v>
      </c>
      <c r="E116" s="491">
        <f t="shared" si="10"/>
        <v>2.1718113634893614E-2</v>
      </c>
      <c r="F116" s="491">
        <f t="shared" si="11"/>
        <v>2.3986347795806374E-2</v>
      </c>
      <c r="G116" s="491">
        <f t="shared" si="12"/>
        <v>3.8726241134751766E-4</v>
      </c>
      <c r="H116" s="491">
        <f t="shared" si="13"/>
        <v>4.277079972498124E-4</v>
      </c>
      <c r="J116" s="396" t="s">
        <v>70</v>
      </c>
      <c r="K116" s="396">
        <v>504</v>
      </c>
      <c r="L116" s="490">
        <f>'Perlite Concentrations'!$M$19</f>
        <v>3.3000000000000003E-5</v>
      </c>
      <c r="M116" s="491">
        <f t="shared" si="14"/>
        <v>2.1718113634893614E-2</v>
      </c>
      <c r="N116" s="491">
        <f t="shared" si="17"/>
        <v>4.3420403591489506E-2</v>
      </c>
      <c r="O116" s="491">
        <f t="shared" si="15"/>
        <v>3.8726241134751766E-4</v>
      </c>
      <c r="P116" s="491">
        <f t="shared" si="16"/>
        <v>7.742426657859694E-4</v>
      </c>
    </row>
    <row r="117" spans="1:16" x14ac:dyDescent="0.2">
      <c r="B117" s="396" t="s">
        <v>87</v>
      </c>
      <c r="C117" s="396" t="s">
        <v>316</v>
      </c>
      <c r="D117" s="490">
        <f>'Perlite Concentrations'!$I$27</f>
        <v>8.0000000000000007E-5</v>
      </c>
      <c r="E117" s="491">
        <f t="shared" si="10"/>
        <v>5.2649972448226945E-2</v>
      </c>
      <c r="F117" s="491">
        <f t="shared" si="11"/>
        <v>5.814872192922757E-2</v>
      </c>
      <c r="G117" s="491">
        <f t="shared" si="12"/>
        <v>9.3881796690307312E-4</v>
      </c>
      <c r="H117" s="491">
        <f t="shared" si="13"/>
        <v>1.0368678721207572E-3</v>
      </c>
      <c r="J117" s="396" t="s">
        <v>87</v>
      </c>
      <c r="K117" s="396" t="s">
        <v>316</v>
      </c>
      <c r="L117" s="490">
        <f>'Perlite Concentrations'!$M$27</f>
        <v>8.0000000000000007E-5</v>
      </c>
      <c r="M117" s="491">
        <f t="shared" si="14"/>
        <v>5.2649972448226945E-2</v>
      </c>
      <c r="N117" s="491">
        <f t="shared" si="17"/>
        <v>0.10526158446421698</v>
      </c>
      <c r="O117" s="491">
        <f t="shared" si="15"/>
        <v>9.3881796690307312E-4</v>
      </c>
      <c r="P117" s="491">
        <f t="shared" si="16"/>
        <v>1.8769519170568954E-3</v>
      </c>
    </row>
    <row r="118" spans="1:16" x14ac:dyDescent="0.2">
      <c r="B118" s="396" t="s">
        <v>90</v>
      </c>
      <c r="C118" s="396" t="s">
        <v>183</v>
      </c>
      <c r="D118" s="490">
        <f>'Perlite Concentrations'!$I$28</f>
        <v>3.7265E-2</v>
      </c>
      <c r="E118" s="491">
        <f t="shared" si="10"/>
        <v>24.525015291039711</v>
      </c>
      <c r="F118" s="491">
        <f t="shared" si="11"/>
        <v>27.086401533658314</v>
      </c>
      <c r="G118" s="491">
        <f t="shared" si="12"/>
        <v>0.43731314420803774</v>
      </c>
      <c r="H118" s="491">
        <f t="shared" si="13"/>
        <v>0.48298601568225025</v>
      </c>
      <c r="J118" s="396" t="s">
        <v>90</v>
      </c>
      <c r="K118" s="396" t="s">
        <v>183</v>
      </c>
      <c r="L118" s="490">
        <f>'Perlite Concentrations'!$M$28</f>
        <v>3.7265E-2</v>
      </c>
      <c r="M118" s="491">
        <f t="shared" si="14"/>
        <v>24.525015291039711</v>
      </c>
      <c r="N118" s="491">
        <f t="shared" si="17"/>
        <v>49.032161813238069</v>
      </c>
      <c r="O118" s="491">
        <f t="shared" si="15"/>
        <v>0.43731314420803774</v>
      </c>
      <c r="P118" s="491">
        <f t="shared" si="16"/>
        <v>0.87430766486406508</v>
      </c>
    </row>
    <row r="119" spans="1:16" x14ac:dyDescent="0.2">
      <c r="B119" s="396" t="s">
        <v>92</v>
      </c>
      <c r="C119" s="396" t="s">
        <v>317</v>
      </c>
      <c r="D119" s="490">
        <f>'Perlite Concentrations'!$I$29</f>
        <v>2.5000000000000001E-5</v>
      </c>
      <c r="E119" s="491">
        <f t="shared" si="10"/>
        <v>1.645311639007092E-2</v>
      </c>
      <c r="F119" s="491">
        <f t="shared" si="11"/>
        <v>1.8171475602883617E-2</v>
      </c>
      <c r="G119" s="491">
        <f t="shared" si="12"/>
        <v>2.9338061465721032E-4</v>
      </c>
      <c r="H119" s="491">
        <f t="shared" si="13"/>
        <v>3.2402121003773663E-4</v>
      </c>
      <c r="J119" s="396" t="s">
        <v>92</v>
      </c>
      <c r="K119" s="396" t="s">
        <v>317</v>
      </c>
      <c r="L119" s="490">
        <f>'Perlite Concentrations'!$M$29</f>
        <v>2.5000000000000001E-5</v>
      </c>
      <c r="M119" s="491">
        <f t="shared" si="14"/>
        <v>1.645311639007092E-2</v>
      </c>
      <c r="N119" s="491">
        <f t="shared" si="17"/>
        <v>3.2894245145067808E-2</v>
      </c>
      <c r="O119" s="491">
        <f t="shared" si="15"/>
        <v>2.9338061465721032E-4</v>
      </c>
      <c r="P119" s="491">
        <f t="shared" si="16"/>
        <v>5.8654747408027979E-4</v>
      </c>
    </row>
    <row r="120" spans="1:16" x14ac:dyDescent="0.2">
      <c r="B120" s="396" t="s">
        <v>94</v>
      </c>
      <c r="C120" s="396" t="s">
        <v>318</v>
      </c>
      <c r="D120" s="490">
        <f>'Perlite Concentrations'!$I$30</f>
        <v>2.5000000000000001E-5</v>
      </c>
      <c r="E120" s="491">
        <f t="shared" si="10"/>
        <v>1.645311639007092E-2</v>
      </c>
      <c r="F120" s="491">
        <f t="shared" si="11"/>
        <v>1.8171475602883617E-2</v>
      </c>
      <c r="G120" s="491">
        <f t="shared" si="12"/>
        <v>2.9338061465721032E-4</v>
      </c>
      <c r="H120" s="491">
        <f t="shared" si="13"/>
        <v>3.2402121003773663E-4</v>
      </c>
      <c r="J120" s="396" t="s">
        <v>94</v>
      </c>
      <c r="K120" s="396" t="s">
        <v>318</v>
      </c>
      <c r="L120" s="490">
        <f>'Perlite Concentrations'!$M$30</f>
        <v>2.5000000000000001E-5</v>
      </c>
      <c r="M120" s="491">
        <f t="shared" si="14"/>
        <v>1.645311639007092E-2</v>
      </c>
      <c r="N120" s="491">
        <f t="shared" si="17"/>
        <v>3.2894245145067808E-2</v>
      </c>
      <c r="O120" s="491">
        <f t="shared" si="15"/>
        <v>2.9338061465721032E-4</v>
      </c>
      <c r="P120" s="491">
        <f t="shared" si="16"/>
        <v>5.8654747408027979E-4</v>
      </c>
    </row>
    <row r="121" spans="1:16" s="167" customFormat="1" ht="12.75" x14ac:dyDescent="0.15">
      <c r="A121" s="387">
        <v>1</v>
      </c>
      <c r="B121" s="171" t="s">
        <v>476</v>
      </c>
      <c r="C121" s="170"/>
      <c r="D121" s="170"/>
      <c r="E121" s="538"/>
      <c r="F121" s="539"/>
      <c r="I121" s="170"/>
      <c r="J121" s="167">
        <v>1</v>
      </c>
      <c r="K121" s="171" t="s">
        <v>319</v>
      </c>
      <c r="L121" s="537"/>
    </row>
    <row r="123" spans="1:16" x14ac:dyDescent="0.2">
      <c r="B123" s="480" t="s">
        <v>481</v>
      </c>
      <c r="C123" s="480"/>
      <c r="D123" s="480" t="s">
        <v>482</v>
      </c>
      <c r="E123" s="480"/>
      <c r="F123" s="480"/>
      <c r="G123" s="480" t="s">
        <v>483</v>
      </c>
      <c r="H123" s="480"/>
      <c r="I123" s="480"/>
      <c r="J123" s="480" t="s">
        <v>484</v>
      </c>
      <c r="K123" s="480"/>
    </row>
    <row r="141" spans="2:11" x14ac:dyDescent="0.2">
      <c r="B141" s="355" t="s">
        <v>482</v>
      </c>
    </row>
    <row r="144" spans="2:11" x14ac:dyDescent="0.2">
      <c r="B144" s="480" t="s">
        <v>485</v>
      </c>
      <c r="C144" s="480"/>
      <c r="D144" s="480" t="s">
        <v>486</v>
      </c>
      <c r="E144" s="480"/>
      <c r="F144" s="480"/>
      <c r="G144" s="480" t="s">
        <v>487</v>
      </c>
      <c r="H144" s="480"/>
      <c r="I144" s="480"/>
      <c r="J144" s="480" t="s">
        <v>488</v>
      </c>
      <c r="K144" s="480"/>
    </row>
  </sheetData>
  <mergeCells count="36">
    <mergeCell ref="L3:O3"/>
    <mergeCell ref="I4:O4"/>
    <mergeCell ref="L5:O5"/>
    <mergeCell ref="I6:O6"/>
    <mergeCell ref="L7:O7"/>
    <mergeCell ref="L9:O9"/>
    <mergeCell ref="E10:H10"/>
    <mergeCell ref="B11:H11"/>
    <mergeCell ref="E13:H13"/>
    <mergeCell ref="E24:H24"/>
    <mergeCell ref="E15:H15"/>
    <mergeCell ref="B22:H22"/>
    <mergeCell ref="E23:H23"/>
    <mergeCell ref="E12:H12"/>
    <mergeCell ref="B14:H14"/>
    <mergeCell ref="E16:H16"/>
    <mergeCell ref="E17:H17"/>
    <mergeCell ref="B18:H18"/>
    <mergeCell ref="E19:H19"/>
    <mergeCell ref="E20:H20"/>
    <mergeCell ref="E21:H21"/>
    <mergeCell ref="B51:B53"/>
    <mergeCell ref="C51:C53"/>
    <mergeCell ref="D51:D52"/>
    <mergeCell ref="E25:H25"/>
    <mergeCell ref="F51:F52"/>
    <mergeCell ref="G51:G52"/>
    <mergeCell ref="B29:B31"/>
    <mergeCell ref="D29:D30"/>
    <mergeCell ref="C29:C31"/>
    <mergeCell ref="F29:F30"/>
    <mergeCell ref="E29:E30"/>
    <mergeCell ref="E26:H26"/>
    <mergeCell ref="H51:H52"/>
    <mergeCell ref="G29:G30"/>
    <mergeCell ref="E51:E52"/>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778A1-A4DC-4378-9F75-797E3C5B8739}">
  <dimension ref="A1:H41"/>
  <sheetViews>
    <sheetView view="pageBreakPreview" zoomScale="60" zoomScaleNormal="100" workbookViewId="0"/>
  </sheetViews>
  <sheetFormatPr defaultColWidth="8.7109375" defaultRowHeight="14.25" x14ac:dyDescent="0.2"/>
  <cols>
    <col min="1" max="1" width="9.140625" style="419" customWidth="1"/>
    <col min="2" max="2" width="49.5703125" style="355" bestFit="1" customWidth="1"/>
    <col min="3" max="3" width="26.85546875" style="355" customWidth="1"/>
    <col min="4" max="4" width="20.5703125" style="355" customWidth="1"/>
    <col min="5" max="5" width="27.140625" style="355" customWidth="1"/>
    <col min="6" max="6" width="41.85546875" style="355" customWidth="1"/>
    <col min="7" max="7" width="14.5703125" style="355" customWidth="1"/>
    <col min="8" max="8" width="15.5703125" style="355" customWidth="1"/>
    <col min="9" max="16384" width="8.7109375" style="368"/>
  </cols>
  <sheetData>
    <row r="1" spans="1:8" x14ac:dyDescent="0.2">
      <c r="B1" s="480" t="s">
        <v>489</v>
      </c>
    </row>
    <row r="3" spans="1:8" x14ac:dyDescent="0.2">
      <c r="B3" s="480" t="s">
        <v>490</v>
      </c>
    </row>
    <row r="4" spans="1:8" x14ac:dyDescent="0.2">
      <c r="B4" s="392" t="s">
        <v>283</v>
      </c>
      <c r="C4" s="392" t="s">
        <v>262</v>
      </c>
      <c r="D4" s="392" t="s">
        <v>4</v>
      </c>
      <c r="E4" s="796" t="s">
        <v>263</v>
      </c>
      <c r="F4" s="796"/>
      <c r="G4" s="796"/>
      <c r="H4" s="796"/>
    </row>
    <row r="5" spans="1:8" x14ac:dyDescent="0.2">
      <c r="B5" s="526" t="s">
        <v>491</v>
      </c>
      <c r="C5" s="416">
        <v>1.1999999999999999E-3</v>
      </c>
      <c r="D5" s="416" t="s">
        <v>492</v>
      </c>
      <c r="E5" s="795" t="s">
        <v>493</v>
      </c>
      <c r="F5" s="795"/>
      <c r="G5" s="795"/>
      <c r="H5" s="795"/>
    </row>
    <row r="6" spans="1:8" x14ac:dyDescent="0.2">
      <c r="B6" s="526" t="s">
        <v>494</v>
      </c>
      <c r="C6" s="416">
        <v>5.4000000000000001E-4</v>
      </c>
      <c r="D6" s="416" t="s">
        <v>492</v>
      </c>
      <c r="E6" s="795" t="s">
        <v>493</v>
      </c>
      <c r="F6" s="795"/>
      <c r="G6" s="795"/>
      <c r="H6" s="795"/>
    </row>
    <row r="7" spans="1:8" x14ac:dyDescent="0.2">
      <c r="B7" s="526" t="s">
        <v>495</v>
      </c>
      <c r="C7" s="416">
        <v>1E-4</v>
      </c>
      <c r="D7" s="416" t="s">
        <v>492</v>
      </c>
      <c r="E7" s="795" t="s">
        <v>493</v>
      </c>
      <c r="F7" s="795"/>
      <c r="G7" s="795"/>
      <c r="H7" s="795"/>
    </row>
    <row r="8" spans="1:8" ht="29.25" customHeight="1" x14ac:dyDescent="0.2">
      <c r="B8" s="526" t="s">
        <v>496</v>
      </c>
      <c r="C8" s="416">
        <v>800</v>
      </c>
      <c r="D8" s="416" t="s">
        <v>267</v>
      </c>
      <c r="E8" s="795" t="s">
        <v>497</v>
      </c>
      <c r="F8" s="795"/>
      <c r="G8" s="795"/>
      <c r="H8" s="795"/>
    </row>
    <row r="9" spans="1:8" ht="30.75" customHeight="1" x14ac:dyDescent="0.2">
      <c r="B9" s="526" t="s">
        <v>498</v>
      </c>
      <c r="C9" s="416">
        <v>262800</v>
      </c>
      <c r="D9" s="416" t="s">
        <v>499</v>
      </c>
      <c r="E9" s="795" t="s">
        <v>497</v>
      </c>
      <c r="F9" s="795"/>
      <c r="G9" s="795"/>
      <c r="H9" s="795"/>
    </row>
    <row r="10" spans="1:8" s="377" customFormat="1" ht="35.25" customHeight="1" x14ac:dyDescent="0.15">
      <c r="A10" s="543">
        <v>1</v>
      </c>
      <c r="B10" s="815" t="s">
        <v>500</v>
      </c>
      <c r="C10" s="815"/>
      <c r="D10" s="815"/>
      <c r="E10" s="815"/>
      <c r="F10" s="815"/>
      <c r="G10" s="815"/>
      <c r="H10" s="815"/>
    </row>
    <row r="11" spans="1:8" s="377" customFormat="1" ht="42" customHeight="1" x14ac:dyDescent="0.15">
      <c r="A11" s="544">
        <v>2</v>
      </c>
      <c r="B11" s="753" t="s">
        <v>501</v>
      </c>
      <c r="C11" s="753"/>
      <c r="D11" s="753"/>
      <c r="E11" s="753"/>
      <c r="F11" s="753"/>
      <c r="G11" s="753"/>
      <c r="H11" s="753"/>
    </row>
    <row r="14" spans="1:8" x14ac:dyDescent="0.2">
      <c r="B14" s="480" t="s">
        <v>502</v>
      </c>
      <c r="F14" s="357"/>
    </row>
    <row r="15" spans="1:8" ht="38.25" x14ac:dyDescent="0.2">
      <c r="B15" s="392" t="s">
        <v>298</v>
      </c>
      <c r="C15" s="392" t="s">
        <v>299</v>
      </c>
      <c r="D15" s="540" t="s">
        <v>300</v>
      </c>
      <c r="E15" s="527" t="s">
        <v>301</v>
      </c>
      <c r="F15" s="413" t="s">
        <v>503</v>
      </c>
      <c r="G15" s="527" t="s">
        <v>301</v>
      </c>
      <c r="H15" s="413" t="s">
        <v>504</v>
      </c>
    </row>
    <row r="16" spans="1:8" x14ac:dyDescent="0.2">
      <c r="B16" s="396" t="s">
        <v>33</v>
      </c>
      <c r="C16" s="396" t="s">
        <v>305</v>
      </c>
      <c r="D16" s="541">
        <f>'Perlite Concentrations'!$M$4</f>
        <v>2.5000000000000002E-8</v>
      </c>
      <c r="E16" s="491">
        <f t="shared" ref="E16:E39" si="0">$C$5*D16</f>
        <v>3E-11</v>
      </c>
      <c r="F16" s="491">
        <f t="shared" ref="F16:F39" si="1">E16*$C$8</f>
        <v>2.4E-8</v>
      </c>
      <c r="G16" s="491">
        <f t="shared" ref="G16:G39" si="2">D16*$C$5</f>
        <v>3E-11</v>
      </c>
      <c r="H16" s="491">
        <f>E16*$C$9</f>
        <v>7.8839999999999994E-6</v>
      </c>
    </row>
    <row r="17" spans="2:8" x14ac:dyDescent="0.2">
      <c r="B17" s="396" t="s">
        <v>36</v>
      </c>
      <c r="C17" s="396" t="s">
        <v>190</v>
      </c>
      <c r="D17" s="541">
        <f>'Perlite Concentrations'!$M$5</f>
        <v>6.372499999999999E-2</v>
      </c>
      <c r="E17" s="491">
        <f t="shared" si="0"/>
        <v>7.6469999999999978E-5</v>
      </c>
      <c r="F17" s="491">
        <f t="shared" si="1"/>
        <v>6.117599999999998E-2</v>
      </c>
      <c r="G17" s="491">
        <f t="shared" si="2"/>
        <v>7.6469999999999978E-5</v>
      </c>
      <c r="H17" s="491">
        <f t="shared" ref="H17:H39" si="3">G17*$C$9</f>
        <v>20.096315999999995</v>
      </c>
    </row>
    <row r="18" spans="2:8" x14ac:dyDescent="0.2">
      <c r="B18" s="396" t="s">
        <v>38</v>
      </c>
      <c r="C18" s="396" t="s">
        <v>306</v>
      </c>
      <c r="D18" s="541">
        <f>'Perlite Concentrations'!$M$6</f>
        <v>2.6000000000000005E-6</v>
      </c>
      <c r="E18" s="491">
        <f t="shared" si="0"/>
        <v>3.1200000000000004E-9</v>
      </c>
      <c r="F18" s="491">
        <f t="shared" si="1"/>
        <v>2.4960000000000003E-6</v>
      </c>
      <c r="G18" s="491">
        <f t="shared" si="2"/>
        <v>3.1200000000000004E-9</v>
      </c>
      <c r="H18" s="491">
        <f t="shared" si="3"/>
        <v>8.1993600000000006E-4</v>
      </c>
    </row>
    <row r="19" spans="2:8" x14ac:dyDescent="0.2">
      <c r="B19" s="396" t="s">
        <v>40</v>
      </c>
      <c r="C19" s="396" t="s">
        <v>142</v>
      </c>
      <c r="D19" s="541">
        <f>'Perlite Concentrations'!$M$7</f>
        <v>2.8000000000000003E-4</v>
      </c>
      <c r="E19" s="491">
        <f t="shared" si="0"/>
        <v>3.3599999999999999E-7</v>
      </c>
      <c r="F19" s="491">
        <f t="shared" si="1"/>
        <v>2.6879999999999997E-4</v>
      </c>
      <c r="G19" s="491">
        <f t="shared" si="2"/>
        <v>3.3599999999999999E-7</v>
      </c>
      <c r="H19" s="491">
        <f t="shared" si="3"/>
        <v>8.8300799999999999E-2</v>
      </c>
    </row>
    <row r="20" spans="2:8" x14ac:dyDescent="0.2">
      <c r="B20" s="396" t="s">
        <v>42</v>
      </c>
      <c r="C20" s="396" t="s">
        <v>307</v>
      </c>
      <c r="D20" s="541">
        <f>'Perlite Concentrations'!$M$8</f>
        <v>3.0599999999999999E-6</v>
      </c>
      <c r="E20" s="491">
        <f t="shared" si="0"/>
        <v>3.6719999999999997E-9</v>
      </c>
      <c r="F20" s="491">
        <f t="shared" si="1"/>
        <v>2.9375999999999996E-6</v>
      </c>
      <c r="G20" s="491">
        <f t="shared" si="2"/>
        <v>3.6719999999999997E-9</v>
      </c>
      <c r="H20" s="491">
        <f t="shared" si="3"/>
        <v>9.6500159999999993E-4</v>
      </c>
    </row>
    <row r="21" spans="2:8" x14ac:dyDescent="0.2">
      <c r="B21" s="396" t="s">
        <v>44</v>
      </c>
      <c r="C21" s="396" t="s">
        <v>308</v>
      </c>
      <c r="D21" s="541">
        <f>'Perlite Concentrations'!$M$9</f>
        <v>8.0000000000000002E-8</v>
      </c>
      <c r="E21" s="491">
        <f t="shared" si="0"/>
        <v>9.5999999999999992E-11</v>
      </c>
      <c r="F21" s="491">
        <f t="shared" si="1"/>
        <v>7.6799999999999999E-8</v>
      </c>
      <c r="G21" s="491">
        <f t="shared" si="2"/>
        <v>9.5999999999999992E-11</v>
      </c>
      <c r="H21" s="491">
        <f t="shared" si="3"/>
        <v>2.5228799999999998E-5</v>
      </c>
    </row>
    <row r="22" spans="2:8" x14ac:dyDescent="0.2">
      <c r="B22" s="396" t="s">
        <v>46</v>
      </c>
      <c r="C22" s="396" t="s">
        <v>147</v>
      </c>
      <c r="D22" s="541">
        <f>'Perlite Concentrations'!$M$10</f>
        <v>1.0000000000000001E-7</v>
      </c>
      <c r="E22" s="491">
        <f t="shared" si="0"/>
        <v>1.2E-10</v>
      </c>
      <c r="F22" s="491">
        <f t="shared" si="1"/>
        <v>9.5999999999999999E-8</v>
      </c>
      <c r="G22" s="491">
        <f t="shared" si="2"/>
        <v>1.2E-10</v>
      </c>
      <c r="H22" s="491">
        <f t="shared" si="3"/>
        <v>3.1535999999999998E-5</v>
      </c>
    </row>
    <row r="23" spans="2:8" x14ac:dyDescent="0.2">
      <c r="B23" s="396" t="s">
        <v>49</v>
      </c>
      <c r="C23" s="396" t="s">
        <v>205</v>
      </c>
      <c r="D23" s="541">
        <f>'Perlite Concentrations'!$M$11</f>
        <v>5.200000000000001E-6</v>
      </c>
      <c r="E23" s="491">
        <f t="shared" si="0"/>
        <v>6.2400000000000008E-9</v>
      </c>
      <c r="F23" s="491">
        <f t="shared" si="1"/>
        <v>4.9920000000000007E-6</v>
      </c>
      <c r="G23" s="491">
        <f t="shared" si="2"/>
        <v>6.2400000000000008E-9</v>
      </c>
      <c r="H23" s="491">
        <f t="shared" si="3"/>
        <v>1.6398720000000001E-3</v>
      </c>
    </row>
    <row r="24" spans="2:8" x14ac:dyDescent="0.2">
      <c r="B24" s="396" t="s">
        <v>54</v>
      </c>
      <c r="C24" s="396" t="s">
        <v>55</v>
      </c>
      <c r="D24" s="541">
        <f>'Perlite Concentrations'!$M$13</f>
        <v>7.9660000000000013E-6</v>
      </c>
      <c r="E24" s="491">
        <f t="shared" si="0"/>
        <v>9.5592000000000007E-9</v>
      </c>
      <c r="F24" s="491">
        <f t="shared" si="1"/>
        <v>7.6473600000000013E-6</v>
      </c>
      <c r="G24" s="491">
        <f t="shared" si="2"/>
        <v>9.5592000000000007E-9</v>
      </c>
      <c r="H24" s="491">
        <f t="shared" si="3"/>
        <v>2.5121577600000001E-3</v>
      </c>
    </row>
    <row r="25" spans="2:8" x14ac:dyDescent="0.2">
      <c r="B25" s="396" t="s">
        <v>57</v>
      </c>
      <c r="C25" s="396" t="s">
        <v>309</v>
      </c>
      <c r="D25" s="541">
        <f>'Perlite Concentrations'!$M$14</f>
        <v>2E-8</v>
      </c>
      <c r="E25" s="491">
        <f t="shared" si="0"/>
        <v>2.3999999999999998E-11</v>
      </c>
      <c r="F25" s="491">
        <f t="shared" si="1"/>
        <v>1.92E-8</v>
      </c>
      <c r="G25" s="491">
        <f t="shared" si="2"/>
        <v>2.3999999999999998E-11</v>
      </c>
      <c r="H25" s="491">
        <f t="shared" si="3"/>
        <v>6.3071999999999995E-6</v>
      </c>
    </row>
    <row r="26" spans="2:8" x14ac:dyDescent="0.2">
      <c r="B26" s="396" t="s">
        <v>60</v>
      </c>
      <c r="C26" s="396" t="s">
        <v>181</v>
      </c>
      <c r="D26" s="541">
        <f>'Perlite Concentrations'!$M$15</f>
        <v>5.0299999999999997E-4</v>
      </c>
      <c r="E26" s="491">
        <f t="shared" si="0"/>
        <v>6.0359999999999993E-7</v>
      </c>
      <c r="F26" s="491">
        <f t="shared" si="1"/>
        <v>4.8287999999999993E-4</v>
      </c>
      <c r="G26" s="491">
        <f t="shared" si="2"/>
        <v>6.0359999999999993E-7</v>
      </c>
      <c r="H26" s="491">
        <f t="shared" si="3"/>
        <v>0.15862607999999997</v>
      </c>
    </row>
    <row r="27" spans="2:8" x14ac:dyDescent="0.2">
      <c r="B27" s="396" t="s">
        <v>65</v>
      </c>
      <c r="C27" s="396" t="s">
        <v>66</v>
      </c>
      <c r="D27" s="541">
        <f>'Perlite Concentrations'!$M$17</f>
        <v>9.295523661156416E-6</v>
      </c>
      <c r="E27" s="491">
        <f t="shared" si="0"/>
        <v>1.1154628393387699E-8</v>
      </c>
      <c r="F27" s="491">
        <f t="shared" si="1"/>
        <v>8.9237027147101593E-6</v>
      </c>
      <c r="G27" s="491">
        <f t="shared" si="2"/>
        <v>1.1154628393387699E-8</v>
      </c>
      <c r="H27" s="491">
        <f t="shared" si="3"/>
        <v>2.9314363417822873E-3</v>
      </c>
    </row>
    <row r="28" spans="2:8" x14ac:dyDescent="0.2">
      <c r="B28" s="396" t="s">
        <v>68</v>
      </c>
      <c r="C28" s="396" t="s">
        <v>212</v>
      </c>
      <c r="D28" s="541">
        <f>'Perlite Concentrations'!$M$18</f>
        <v>1.9999999999999999E-6</v>
      </c>
      <c r="E28" s="491">
        <f t="shared" si="0"/>
        <v>2.3999999999999996E-9</v>
      </c>
      <c r="F28" s="491">
        <f t="shared" si="1"/>
        <v>1.9199999999999998E-6</v>
      </c>
      <c r="G28" s="491">
        <f t="shared" si="2"/>
        <v>2.3999999999999996E-9</v>
      </c>
      <c r="H28" s="491">
        <f t="shared" si="3"/>
        <v>6.3071999999999987E-4</v>
      </c>
    </row>
    <row r="29" spans="2:8" x14ac:dyDescent="0.2">
      <c r="B29" s="396" t="s">
        <v>72</v>
      </c>
      <c r="C29" s="396" t="s">
        <v>310</v>
      </c>
      <c r="D29" s="541">
        <f>'Perlite Concentrations'!$M$20</f>
        <v>2.5000000000000001E-5</v>
      </c>
      <c r="E29" s="491">
        <f t="shared" si="0"/>
        <v>2.9999999999999997E-8</v>
      </c>
      <c r="F29" s="491">
        <f t="shared" si="1"/>
        <v>2.3999999999999997E-5</v>
      </c>
      <c r="G29" s="491">
        <f t="shared" si="2"/>
        <v>2.9999999999999997E-8</v>
      </c>
      <c r="H29" s="491">
        <f t="shared" si="3"/>
        <v>7.8839999999999986E-3</v>
      </c>
    </row>
    <row r="30" spans="2:8" x14ac:dyDescent="0.2">
      <c r="B30" s="396" t="s">
        <v>74</v>
      </c>
      <c r="C30" s="396" t="s">
        <v>311</v>
      </c>
      <c r="D30" s="541">
        <f>'Perlite Concentrations'!$M$21</f>
        <v>3.7E-7</v>
      </c>
      <c r="E30" s="491">
        <f t="shared" si="0"/>
        <v>4.4399999999999997E-10</v>
      </c>
      <c r="F30" s="491">
        <f t="shared" si="1"/>
        <v>3.5519999999999995E-7</v>
      </c>
      <c r="G30" s="491">
        <f t="shared" si="2"/>
        <v>4.4399999999999997E-10</v>
      </c>
      <c r="H30" s="491">
        <f t="shared" si="3"/>
        <v>1.1668319999999999E-4</v>
      </c>
    </row>
    <row r="31" spans="2:8" x14ac:dyDescent="0.2">
      <c r="B31" s="396" t="s">
        <v>76</v>
      </c>
      <c r="C31" s="396" t="s">
        <v>312</v>
      </c>
      <c r="D31" s="541">
        <f>'Perlite Concentrations'!$M$22</f>
        <v>1.9000000000000001E-7</v>
      </c>
      <c r="E31" s="491">
        <f t="shared" si="0"/>
        <v>2.2799999999999999E-10</v>
      </c>
      <c r="F31" s="491">
        <f t="shared" si="1"/>
        <v>1.8239999999999999E-7</v>
      </c>
      <c r="G31" s="491">
        <f t="shared" si="2"/>
        <v>2.2799999999999999E-10</v>
      </c>
      <c r="H31" s="491">
        <f t="shared" si="3"/>
        <v>5.9918399999999999E-5</v>
      </c>
    </row>
    <row r="32" spans="2:8" x14ac:dyDescent="0.2">
      <c r="B32" s="396" t="s">
        <v>78</v>
      </c>
      <c r="C32" s="396" t="s">
        <v>314</v>
      </c>
      <c r="D32" s="541">
        <f>'Perlite Concentrations'!$M$23</f>
        <v>4.3900000000000005E-7</v>
      </c>
      <c r="E32" s="491">
        <f t="shared" si="0"/>
        <v>5.2679999999999998E-10</v>
      </c>
      <c r="F32" s="491">
        <f t="shared" si="1"/>
        <v>4.2143999999999999E-7</v>
      </c>
      <c r="G32" s="491">
        <f t="shared" si="2"/>
        <v>5.2679999999999998E-10</v>
      </c>
      <c r="H32" s="491">
        <f t="shared" si="3"/>
        <v>1.3844304000000001E-4</v>
      </c>
    </row>
    <row r="33" spans="1:8" x14ac:dyDescent="0.2">
      <c r="B33" s="396" t="s">
        <v>83</v>
      </c>
      <c r="C33" s="396" t="s">
        <v>315</v>
      </c>
      <c r="D33" s="541">
        <f>'Perlite Concentrations'!$M$25</f>
        <v>3.0000000000000001E-5</v>
      </c>
      <c r="E33" s="491">
        <f t="shared" si="0"/>
        <v>3.5999999999999998E-8</v>
      </c>
      <c r="F33" s="491">
        <f t="shared" si="1"/>
        <v>2.8799999999999999E-5</v>
      </c>
      <c r="G33" s="491">
        <f t="shared" si="2"/>
        <v>3.5999999999999998E-8</v>
      </c>
      <c r="H33" s="491">
        <f t="shared" si="3"/>
        <v>9.4608000000000001E-3</v>
      </c>
    </row>
    <row r="34" spans="1:8" x14ac:dyDescent="0.2">
      <c r="B34" s="396" t="s">
        <v>40</v>
      </c>
      <c r="C34" s="396" t="s">
        <v>142</v>
      </c>
      <c r="D34" s="541">
        <f>'Perlite Concentrations'!$M$26</f>
        <v>2.0000000000000001E-4</v>
      </c>
      <c r="E34" s="491">
        <f t="shared" si="0"/>
        <v>2.3999999999999998E-7</v>
      </c>
      <c r="F34" s="491">
        <f t="shared" si="1"/>
        <v>1.9199999999999998E-4</v>
      </c>
      <c r="G34" s="491">
        <f t="shared" si="2"/>
        <v>2.3999999999999998E-7</v>
      </c>
      <c r="H34" s="491">
        <f t="shared" si="3"/>
        <v>6.3071999999999989E-2</v>
      </c>
    </row>
    <row r="35" spans="1:8" x14ac:dyDescent="0.2">
      <c r="B35" s="396" t="s">
        <v>70</v>
      </c>
      <c r="C35" s="396">
        <v>504</v>
      </c>
      <c r="D35" s="541">
        <f>'Perlite Concentrations'!$M$19</f>
        <v>3.3000000000000003E-5</v>
      </c>
      <c r="E35" s="491">
        <f t="shared" si="0"/>
        <v>3.9599999999999997E-8</v>
      </c>
      <c r="F35" s="491">
        <f t="shared" si="1"/>
        <v>3.1679999999999995E-5</v>
      </c>
      <c r="G35" s="491">
        <f t="shared" si="2"/>
        <v>3.9599999999999997E-8</v>
      </c>
      <c r="H35" s="491">
        <f t="shared" si="3"/>
        <v>1.0406879999999999E-2</v>
      </c>
    </row>
    <row r="36" spans="1:8" x14ac:dyDescent="0.2">
      <c r="B36" s="396" t="s">
        <v>87</v>
      </c>
      <c r="C36" s="396" t="s">
        <v>316</v>
      </c>
      <c r="D36" s="541">
        <f>'Perlite Concentrations'!$M$27</f>
        <v>8.0000000000000007E-5</v>
      </c>
      <c r="E36" s="491">
        <f t="shared" si="0"/>
        <v>9.5999999999999999E-8</v>
      </c>
      <c r="F36" s="491">
        <f t="shared" si="1"/>
        <v>7.6799999999999997E-5</v>
      </c>
      <c r="G36" s="491">
        <f t="shared" si="2"/>
        <v>9.5999999999999999E-8</v>
      </c>
      <c r="H36" s="491">
        <f t="shared" si="3"/>
        <v>2.5228799999999999E-2</v>
      </c>
    </row>
    <row r="37" spans="1:8" x14ac:dyDescent="0.2">
      <c r="B37" s="396" t="s">
        <v>90</v>
      </c>
      <c r="C37" s="396" t="s">
        <v>183</v>
      </c>
      <c r="D37" s="541">
        <f>'Perlite Concentrations'!$M$28</f>
        <v>3.7265E-2</v>
      </c>
      <c r="E37" s="491">
        <f t="shared" si="0"/>
        <v>4.4717999999999994E-5</v>
      </c>
      <c r="F37" s="491">
        <f t="shared" si="1"/>
        <v>3.5774399999999998E-2</v>
      </c>
      <c r="G37" s="491">
        <f t="shared" si="2"/>
        <v>4.4717999999999994E-5</v>
      </c>
      <c r="H37" s="491">
        <f t="shared" si="3"/>
        <v>11.751890399999999</v>
      </c>
    </row>
    <row r="38" spans="1:8" x14ac:dyDescent="0.2">
      <c r="B38" s="396" t="s">
        <v>92</v>
      </c>
      <c r="C38" s="396" t="s">
        <v>317</v>
      </c>
      <c r="D38" s="541">
        <f>'Perlite Concentrations'!$M$29</f>
        <v>2.5000000000000001E-5</v>
      </c>
      <c r="E38" s="491">
        <f t="shared" si="0"/>
        <v>2.9999999999999997E-8</v>
      </c>
      <c r="F38" s="491">
        <f t="shared" si="1"/>
        <v>2.3999999999999997E-5</v>
      </c>
      <c r="G38" s="491">
        <f t="shared" si="2"/>
        <v>2.9999999999999997E-8</v>
      </c>
      <c r="H38" s="491">
        <f t="shared" si="3"/>
        <v>7.8839999999999986E-3</v>
      </c>
    </row>
    <row r="39" spans="1:8" x14ac:dyDescent="0.2">
      <c r="B39" s="396" t="s">
        <v>94</v>
      </c>
      <c r="C39" s="396" t="s">
        <v>318</v>
      </c>
      <c r="D39" s="541">
        <f>'Perlite Concentrations'!$M$30</f>
        <v>2.5000000000000001E-5</v>
      </c>
      <c r="E39" s="491">
        <f t="shared" si="0"/>
        <v>2.9999999999999997E-8</v>
      </c>
      <c r="F39" s="491">
        <f t="shared" si="1"/>
        <v>2.3999999999999997E-5</v>
      </c>
      <c r="G39" s="491">
        <f t="shared" si="2"/>
        <v>2.9999999999999997E-8</v>
      </c>
      <c r="H39" s="491">
        <f t="shared" si="3"/>
        <v>7.8839999999999986E-3</v>
      </c>
    </row>
    <row r="40" spans="1:8" s="377" customFormat="1" ht="12.75" x14ac:dyDescent="0.15">
      <c r="A40" s="387">
        <v>1</v>
      </c>
      <c r="B40" s="171" t="s">
        <v>319</v>
      </c>
      <c r="C40" s="170"/>
      <c r="D40" s="542"/>
      <c r="E40" s="542"/>
      <c r="F40" s="542"/>
      <c r="G40" s="167"/>
      <c r="H40" s="167"/>
    </row>
    <row r="41" spans="1:8" s="377" customFormat="1" ht="12.75" x14ac:dyDescent="0.15">
      <c r="A41" s="387">
        <v>2</v>
      </c>
      <c r="B41" s="171" t="s">
        <v>505</v>
      </c>
      <c r="C41" s="167"/>
      <c r="D41" s="542"/>
      <c r="E41" s="542"/>
      <c r="F41" s="542"/>
      <c r="G41" s="167"/>
      <c r="H41" s="167"/>
    </row>
  </sheetData>
  <mergeCells count="8">
    <mergeCell ref="B11:H11"/>
    <mergeCell ref="E8:H8"/>
    <mergeCell ref="E9:H9"/>
    <mergeCell ref="B10:H10"/>
    <mergeCell ref="E4:H4"/>
    <mergeCell ref="E5:H5"/>
    <mergeCell ref="E6:H6"/>
    <mergeCell ref="E7:H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FB1CC-CC1B-4772-9667-797CCB5DD442}">
  <dimension ref="A1:M75"/>
  <sheetViews>
    <sheetView view="pageBreakPreview" topLeftCell="A45" zoomScale="60" zoomScaleNormal="100" workbookViewId="0">
      <selection activeCell="F49" sqref="F49"/>
    </sheetView>
  </sheetViews>
  <sheetFormatPr defaultColWidth="9.140625" defaultRowHeight="14.25" x14ac:dyDescent="0.2"/>
  <cols>
    <col min="1" max="1" width="9.140625" style="419"/>
    <col min="2" max="2" width="39" style="355" customWidth="1"/>
    <col min="3" max="3" width="30" style="355" customWidth="1"/>
    <col min="4" max="4" width="24.5703125" style="355" customWidth="1"/>
    <col min="5" max="5" width="17.42578125" style="355" customWidth="1"/>
    <col min="6" max="6" width="16.7109375" style="355" customWidth="1"/>
    <col min="7" max="7" width="12.42578125" style="355" customWidth="1"/>
    <col min="8" max="8" width="32.5703125" style="355" customWidth="1"/>
    <col min="9" max="9" width="16.85546875" style="355" customWidth="1"/>
    <col min="10" max="10" width="19.42578125" style="355" customWidth="1"/>
    <col min="11" max="11" width="22.140625" style="355" customWidth="1"/>
    <col min="12" max="12" width="34.5703125" style="355" customWidth="1"/>
    <col min="13" max="13" width="28.7109375" style="355" customWidth="1"/>
    <col min="14" max="16384" width="9.140625" style="355"/>
  </cols>
  <sheetData>
    <row r="1" spans="1:8" x14ac:dyDescent="0.2">
      <c r="B1" s="480" t="s">
        <v>506</v>
      </c>
    </row>
    <row r="3" spans="1:8" x14ac:dyDescent="0.2">
      <c r="B3" s="480" t="s">
        <v>507</v>
      </c>
    </row>
    <row r="4" spans="1:8" x14ac:dyDescent="0.2">
      <c r="B4" s="392" t="s">
        <v>283</v>
      </c>
      <c r="C4" s="392" t="s">
        <v>262</v>
      </c>
      <c r="D4" s="392" t="s">
        <v>4</v>
      </c>
      <c r="E4" s="796" t="s">
        <v>263</v>
      </c>
      <c r="F4" s="796"/>
      <c r="G4" s="796"/>
      <c r="H4" s="796"/>
    </row>
    <row r="5" spans="1:8" x14ac:dyDescent="0.2">
      <c r="B5" s="526" t="s">
        <v>508</v>
      </c>
      <c r="C5" s="416">
        <v>4.9000000000000004</v>
      </c>
      <c r="D5" s="416" t="s">
        <v>509</v>
      </c>
      <c r="E5" s="795" t="s">
        <v>510</v>
      </c>
      <c r="F5" s="795"/>
      <c r="G5" s="795"/>
      <c r="H5" s="795"/>
    </row>
    <row r="6" spans="1:8" x14ac:dyDescent="0.2">
      <c r="B6" s="526" t="s">
        <v>511</v>
      </c>
      <c r="C6" s="416">
        <v>1.5</v>
      </c>
      <c r="D6" s="416" t="s">
        <v>509</v>
      </c>
      <c r="E6" s="795" t="s">
        <v>510</v>
      </c>
      <c r="F6" s="795"/>
      <c r="G6" s="795"/>
      <c r="H6" s="795"/>
    </row>
    <row r="7" spans="1:8" x14ac:dyDescent="0.2">
      <c r="B7" s="526" t="s">
        <v>512</v>
      </c>
      <c r="C7" s="416">
        <v>0.15</v>
      </c>
      <c r="D7" s="416" t="s">
        <v>509</v>
      </c>
      <c r="E7" s="795" t="s">
        <v>510</v>
      </c>
      <c r="F7" s="795"/>
      <c r="G7" s="795"/>
      <c r="H7" s="795"/>
    </row>
    <row r="8" spans="1:8" x14ac:dyDescent="0.2">
      <c r="B8" s="526" t="s">
        <v>513</v>
      </c>
      <c r="C8" s="416">
        <v>0.7</v>
      </c>
      <c r="D8" s="416" t="s">
        <v>285</v>
      </c>
      <c r="E8" s="795" t="s">
        <v>510</v>
      </c>
      <c r="F8" s="795"/>
      <c r="G8" s="795"/>
      <c r="H8" s="795"/>
    </row>
    <row r="9" spans="1:8" x14ac:dyDescent="0.2">
      <c r="B9" s="526" t="s">
        <v>514</v>
      </c>
      <c r="C9" s="416">
        <v>0.9</v>
      </c>
      <c r="D9" s="416" t="s">
        <v>285</v>
      </c>
      <c r="E9" s="795" t="s">
        <v>510</v>
      </c>
      <c r="F9" s="795"/>
      <c r="G9" s="795"/>
      <c r="H9" s="795"/>
    </row>
    <row r="10" spans="1:8" x14ac:dyDescent="0.2">
      <c r="B10" s="526" t="s">
        <v>515</v>
      </c>
      <c r="C10" s="416">
        <v>0.45</v>
      </c>
      <c r="D10" s="416" t="s">
        <v>285</v>
      </c>
      <c r="E10" s="822" t="s">
        <v>510</v>
      </c>
      <c r="F10" s="823"/>
      <c r="G10" s="823"/>
      <c r="H10" s="824"/>
    </row>
    <row r="11" spans="1:8" x14ac:dyDescent="0.2">
      <c r="B11" s="526" t="s">
        <v>516</v>
      </c>
      <c r="C11" s="416">
        <v>10</v>
      </c>
      <c r="D11" s="416" t="s">
        <v>285</v>
      </c>
      <c r="E11" s="822" t="s">
        <v>517</v>
      </c>
      <c r="F11" s="823"/>
      <c r="G11" s="823"/>
      <c r="H11" s="824"/>
    </row>
    <row r="12" spans="1:8" x14ac:dyDescent="0.2">
      <c r="B12" s="526" t="s">
        <v>518</v>
      </c>
      <c r="C12" s="417">
        <v>35</v>
      </c>
      <c r="D12" s="416" t="s">
        <v>519</v>
      </c>
      <c r="E12" s="822" t="s">
        <v>520</v>
      </c>
      <c r="F12" s="823"/>
      <c r="G12" s="823"/>
      <c r="H12" s="824"/>
    </row>
    <row r="13" spans="1:8" ht="31.5" customHeight="1" x14ac:dyDescent="0.2">
      <c r="B13" s="545" t="s">
        <v>521</v>
      </c>
      <c r="C13" s="418">
        <v>91.3</v>
      </c>
      <c r="D13" s="418" t="s">
        <v>522</v>
      </c>
      <c r="E13" s="825" t="s">
        <v>523</v>
      </c>
      <c r="F13" s="826"/>
      <c r="G13" s="826"/>
      <c r="H13" s="827"/>
    </row>
    <row r="14" spans="1:8" ht="31.5" customHeight="1" x14ac:dyDescent="0.2">
      <c r="B14" s="545" t="s">
        <v>524</v>
      </c>
      <c r="C14" s="552">
        <v>0.44</v>
      </c>
      <c r="D14" s="418" t="s">
        <v>271</v>
      </c>
      <c r="E14" s="828" t="s">
        <v>525</v>
      </c>
      <c r="F14" s="829"/>
      <c r="G14" s="829"/>
      <c r="H14" s="830"/>
    </row>
    <row r="15" spans="1:8" ht="31.5" customHeight="1" x14ac:dyDescent="0.2">
      <c r="B15" s="545" t="s">
        <v>526</v>
      </c>
      <c r="C15" s="552">
        <f>AVERAGE(0.1,0.74)</f>
        <v>0.42</v>
      </c>
      <c r="D15" s="418" t="s">
        <v>271</v>
      </c>
      <c r="E15" s="828" t="s">
        <v>527</v>
      </c>
      <c r="F15" s="829"/>
      <c r="G15" s="829"/>
      <c r="H15" s="830"/>
    </row>
    <row r="16" spans="1:8" s="167" customFormat="1" ht="12.75" x14ac:dyDescent="0.15">
      <c r="A16" s="387">
        <v>1</v>
      </c>
      <c r="B16" s="166" t="s">
        <v>528</v>
      </c>
      <c r="C16" s="166"/>
      <c r="D16" s="166"/>
    </row>
    <row r="17" spans="1:13" s="167" customFormat="1" ht="12.75" x14ac:dyDescent="0.15">
      <c r="A17" s="387">
        <v>2</v>
      </c>
      <c r="B17" s="167" t="s">
        <v>529</v>
      </c>
      <c r="C17" s="166"/>
      <c r="D17" s="166"/>
    </row>
    <row r="18" spans="1:13" s="167" customFormat="1" ht="12.75" x14ac:dyDescent="0.15">
      <c r="A18" s="387"/>
      <c r="B18" s="166"/>
      <c r="C18" s="168" t="s">
        <v>530</v>
      </c>
      <c r="D18" s="169">
        <v>10</v>
      </c>
      <c r="E18" s="167" t="s">
        <v>519</v>
      </c>
    </row>
    <row r="19" spans="1:13" s="167" customFormat="1" ht="12.75" x14ac:dyDescent="0.15">
      <c r="A19" s="387"/>
      <c r="B19" s="166"/>
      <c r="C19" s="168" t="s">
        <v>531</v>
      </c>
      <c r="D19" s="170">
        <v>25</v>
      </c>
      <c r="E19" s="171" t="s">
        <v>519</v>
      </c>
      <c r="F19" s="166"/>
      <c r="G19" s="166"/>
      <c r="H19" s="166"/>
      <c r="I19" s="166"/>
      <c r="J19" s="166"/>
      <c r="K19" s="166"/>
      <c r="L19" s="166"/>
    </row>
    <row r="20" spans="1:13" s="167" customFormat="1" ht="12.75" x14ac:dyDescent="0.15">
      <c r="A20" s="387">
        <v>3</v>
      </c>
      <c r="B20" s="166" t="s">
        <v>532</v>
      </c>
      <c r="C20" s="168"/>
      <c r="D20" s="170"/>
      <c r="E20" s="171"/>
      <c r="F20" s="166"/>
      <c r="G20" s="166"/>
      <c r="H20" s="166"/>
      <c r="I20" s="166"/>
      <c r="J20" s="166"/>
      <c r="K20" s="166"/>
      <c r="L20" s="166"/>
    </row>
    <row r="21" spans="1:13" x14ac:dyDescent="0.2">
      <c r="E21" s="547"/>
      <c r="F21" s="547"/>
      <c r="G21" s="547"/>
      <c r="H21" s="547"/>
      <c r="I21" s="547"/>
      <c r="J21" s="547"/>
      <c r="K21" s="547"/>
      <c r="L21" s="547"/>
      <c r="M21" s="547"/>
    </row>
    <row r="22" spans="1:13" x14ac:dyDescent="0.2">
      <c r="B22" s="480" t="s">
        <v>533</v>
      </c>
    </row>
    <row r="23" spans="1:13" ht="28.5" x14ac:dyDescent="0.2">
      <c r="B23" s="155" t="s">
        <v>534</v>
      </c>
      <c r="C23" s="172" t="s">
        <v>535</v>
      </c>
      <c r="D23" s="173" t="s">
        <v>536</v>
      </c>
    </row>
    <row r="24" spans="1:13" x14ac:dyDescent="0.2">
      <c r="B24" s="174" t="s">
        <v>537</v>
      </c>
      <c r="C24" s="174" t="s">
        <v>537</v>
      </c>
      <c r="D24" s="175" t="s">
        <v>537</v>
      </c>
    </row>
    <row r="25" spans="1:13" x14ac:dyDescent="0.2">
      <c r="B25" s="176">
        <f>C5*(C11/12)^C8*(C12/3)^C10</f>
        <v>13.028525374026394</v>
      </c>
      <c r="C25" s="176">
        <f>C6*(C11/12)^C9*(C12/3)^C10</f>
        <v>3.8455121950543698</v>
      </c>
      <c r="D25" s="177">
        <f>C7*(C11/12)^C9*(C12/3)^C10</f>
        <v>0.38455121950543697</v>
      </c>
    </row>
    <row r="26" spans="1:13" s="167" customFormat="1" ht="12.75" x14ac:dyDescent="0.15">
      <c r="A26" s="387">
        <v>1</v>
      </c>
      <c r="B26" s="154" t="s">
        <v>538</v>
      </c>
      <c r="C26" s="154"/>
      <c r="D26" s="154"/>
    </row>
    <row r="27" spans="1:13" x14ac:dyDescent="0.2">
      <c r="B27" s="391" t="s">
        <v>539</v>
      </c>
      <c r="C27" s="546" t="s">
        <v>540</v>
      </c>
      <c r="D27" s="546"/>
      <c r="E27" s="546"/>
      <c r="F27" s="546"/>
      <c r="G27" s="546"/>
      <c r="H27" s="546"/>
      <c r="I27" s="546"/>
      <c r="J27" s="546"/>
      <c r="K27" s="546"/>
      <c r="L27" s="546"/>
      <c r="M27" s="546"/>
    </row>
    <row r="28" spans="1:13" x14ac:dyDescent="0.2">
      <c r="B28" s="391"/>
      <c r="C28" s="546"/>
      <c r="D28" s="546"/>
      <c r="E28" s="546"/>
      <c r="F28" s="546"/>
      <c r="G28" s="546"/>
      <c r="H28" s="546"/>
      <c r="I28" s="546"/>
      <c r="J28" s="546"/>
      <c r="K28" s="546"/>
      <c r="L28" s="546"/>
      <c r="M28" s="546"/>
    </row>
    <row r="29" spans="1:13" x14ac:dyDescent="0.2">
      <c r="B29" s="480" t="s">
        <v>541</v>
      </c>
      <c r="C29" s="187"/>
      <c r="D29" s="187"/>
    </row>
    <row r="30" spans="1:13" ht="15" x14ac:dyDescent="0.25">
      <c r="B30" s="164" t="s">
        <v>542</v>
      </c>
      <c r="C30" s="164" t="s">
        <v>543</v>
      </c>
      <c r="D30" s="165" t="s">
        <v>544</v>
      </c>
    </row>
    <row r="31" spans="1:13" x14ac:dyDescent="0.2">
      <c r="B31" s="174" t="s">
        <v>537</v>
      </c>
      <c r="C31" s="174" t="s">
        <v>537</v>
      </c>
      <c r="D31" s="175" t="s">
        <v>537</v>
      </c>
    </row>
    <row r="32" spans="1:13" x14ac:dyDescent="0.2">
      <c r="B32" s="270">
        <f>B25*((365-$C$13)/365)</f>
        <v>9.7696093010165033</v>
      </c>
      <c r="C32" s="270">
        <f>C25*((365-$C$13)/365)</f>
        <v>2.883607363798304</v>
      </c>
      <c r="D32" s="270">
        <f>D25*((365-$C$13)/365)</f>
        <v>0.2883607363798304</v>
      </c>
    </row>
    <row r="33" spans="1:13" s="167" customFormat="1" ht="12.75" x14ac:dyDescent="0.15">
      <c r="A33" s="387">
        <v>1</v>
      </c>
      <c r="B33" s="821" t="s">
        <v>545</v>
      </c>
      <c r="C33" s="821"/>
      <c r="D33" s="821"/>
      <c r="E33" s="821"/>
      <c r="F33" s="821"/>
      <c r="G33" s="821"/>
      <c r="H33" s="821"/>
      <c r="I33" s="821"/>
      <c r="J33" s="821"/>
      <c r="K33" s="821"/>
      <c r="L33" s="821"/>
      <c r="M33" s="821"/>
    </row>
    <row r="34" spans="1:13" s="167" customFormat="1" ht="12.75" x14ac:dyDescent="0.15">
      <c r="A34" s="387"/>
      <c r="B34" s="168" t="s">
        <v>546</v>
      </c>
      <c r="C34" s="166" t="s">
        <v>547</v>
      </c>
      <c r="D34" s="186"/>
      <c r="E34" s="186"/>
      <c r="F34" s="186"/>
      <c r="G34" s="186"/>
      <c r="H34" s="186"/>
      <c r="I34" s="186"/>
      <c r="J34" s="186"/>
      <c r="K34" s="186"/>
      <c r="L34" s="186"/>
      <c r="M34" s="186"/>
    </row>
    <row r="35" spans="1:13" x14ac:dyDescent="0.2">
      <c r="C35" s="816"/>
      <c r="D35" s="816"/>
      <c r="E35" s="816"/>
      <c r="F35" s="816"/>
      <c r="G35" s="816"/>
      <c r="H35" s="816"/>
      <c r="I35" s="816"/>
      <c r="J35" s="816"/>
      <c r="K35" s="816"/>
      <c r="L35" s="816"/>
      <c r="M35" s="816"/>
    </row>
    <row r="36" spans="1:13" x14ac:dyDescent="0.2">
      <c r="B36" s="480" t="s">
        <v>548</v>
      </c>
    </row>
    <row r="37" spans="1:13" ht="38.25" x14ac:dyDescent="0.2">
      <c r="B37" s="817" t="s">
        <v>549</v>
      </c>
      <c r="C37" s="819" t="s">
        <v>550</v>
      </c>
      <c r="D37" s="172" t="s">
        <v>551</v>
      </c>
      <c r="E37" s="178" t="s">
        <v>552</v>
      </c>
      <c r="F37" s="173" t="s">
        <v>553</v>
      </c>
    </row>
    <row r="38" spans="1:13" x14ac:dyDescent="0.2">
      <c r="B38" s="818"/>
      <c r="C38" s="820"/>
      <c r="D38" s="156" t="s">
        <v>554</v>
      </c>
      <c r="E38" s="179" t="s">
        <v>555</v>
      </c>
      <c r="F38" s="180" t="s">
        <v>556</v>
      </c>
    </row>
    <row r="39" spans="1:13" x14ac:dyDescent="0.2">
      <c r="B39" s="551">
        <v>41</v>
      </c>
      <c r="C39" s="181">
        <f>C44/C43</f>
        <v>10512</v>
      </c>
      <c r="D39" s="182">
        <f>CONVERT(AVERAGE(600,2400),"ft","mi")</f>
        <v>0.28409090909090912</v>
      </c>
      <c r="E39" s="183">
        <f>B39*D39</f>
        <v>11.647727272727273</v>
      </c>
      <c r="F39" s="181">
        <f>(C39*D39)</f>
        <v>2986.3636363636365</v>
      </c>
    </row>
    <row r="40" spans="1:13" ht="13.5" x14ac:dyDescent="0.2">
      <c r="A40" s="387">
        <v>1</v>
      </c>
      <c r="B40" s="599" t="s">
        <v>557</v>
      </c>
      <c r="C40" s="600"/>
      <c r="D40" s="601"/>
      <c r="E40" s="602"/>
      <c r="F40" s="600"/>
    </row>
    <row r="41" spans="1:13" s="167" customFormat="1" ht="13.5" x14ac:dyDescent="0.2">
      <c r="A41" s="603">
        <v>2</v>
      </c>
      <c r="B41" s="167" t="s">
        <v>558</v>
      </c>
    </row>
    <row r="42" spans="1:13" s="167" customFormat="1" ht="12.75" x14ac:dyDescent="0.15">
      <c r="A42" s="387"/>
    </row>
    <row r="43" spans="1:13" s="167" customFormat="1" ht="12.75" x14ac:dyDescent="0.15">
      <c r="A43" s="387"/>
      <c r="B43" s="168" t="s">
        <v>559</v>
      </c>
      <c r="C43" s="184">
        <f>D19</f>
        <v>25</v>
      </c>
      <c r="D43" s="167" t="s">
        <v>519</v>
      </c>
    </row>
    <row r="44" spans="1:13" s="167" customFormat="1" ht="12.75" x14ac:dyDescent="0.15">
      <c r="A44" s="387"/>
      <c r="B44" s="185" t="s">
        <v>560</v>
      </c>
      <c r="C44" s="184">
        <f>Throughputs!D7</f>
        <v>262800</v>
      </c>
      <c r="D44" s="186" t="s">
        <v>561</v>
      </c>
    </row>
    <row r="45" spans="1:13" x14ac:dyDescent="0.2">
      <c r="B45" s="550"/>
      <c r="C45" s="549"/>
      <c r="D45" s="548"/>
    </row>
    <row r="47" spans="1:13" x14ac:dyDescent="0.2">
      <c r="B47" s="480" t="s">
        <v>562</v>
      </c>
    </row>
    <row r="48" spans="1:13" ht="63.75" x14ac:dyDescent="0.2">
      <c r="B48" s="392" t="s">
        <v>298</v>
      </c>
      <c r="C48" s="392" t="s">
        <v>299</v>
      </c>
      <c r="D48" s="392" t="s">
        <v>300</v>
      </c>
      <c r="E48" s="165" t="s">
        <v>563</v>
      </c>
      <c r="F48" s="752" t="s">
        <v>564</v>
      </c>
      <c r="G48" s="165" t="s">
        <v>565</v>
      </c>
      <c r="H48" s="155" t="s">
        <v>566</v>
      </c>
    </row>
    <row r="49" spans="2:8" x14ac:dyDescent="0.2">
      <c r="B49" s="396" t="s">
        <v>33</v>
      </c>
      <c r="C49" s="396" t="s">
        <v>305</v>
      </c>
      <c r="D49" s="541">
        <f>'Perlite Concentrations'!$M$4</f>
        <v>2.5000000000000002E-8</v>
      </c>
      <c r="E49" s="491">
        <f>$C$25*D49*(1-$C$14)*(1-$C$15)</f>
        <v>3.1225559023841489E-8</v>
      </c>
      <c r="F49" s="491">
        <f t="shared" ref="F49:F72" si="0">E49*$E$39</f>
        <v>3.6370679544815374E-7</v>
      </c>
      <c r="G49" s="491">
        <f>$C$32*D49*(1-$C$14)*(1-$C$15)</f>
        <v>2.3414891794042238E-8</v>
      </c>
      <c r="H49" s="491">
        <f t="shared" ref="H49:H72" si="1">G49*$F$39</f>
        <v>6.9925381403117048E-5</v>
      </c>
    </row>
    <row r="50" spans="2:8" x14ac:dyDescent="0.2">
      <c r="B50" s="396" t="s">
        <v>36</v>
      </c>
      <c r="C50" s="396" t="s">
        <v>190</v>
      </c>
      <c r="D50" s="541">
        <f>'Perlite Concentrations'!$M$5</f>
        <v>6.372499999999999E-2</v>
      </c>
      <c r="E50" s="491">
        <f t="shared" ref="E50:E72" si="2">$C$25*D50*(1-$C$14)*(1-$C$15)</f>
        <v>7.9593949951771936E-2</v>
      </c>
      <c r="F50" s="491">
        <f t="shared" si="0"/>
        <v>0.92708862159734362</v>
      </c>
      <c r="G50" s="491">
        <f t="shared" ref="G50:G72" si="3">$C$32*D50*(1-$C$14)*(1-$C$15)</f>
        <v>5.9684559183013644E-2</v>
      </c>
      <c r="H50" s="491">
        <f t="shared" si="1"/>
        <v>178.23979719654531</v>
      </c>
    </row>
    <row r="51" spans="2:8" x14ac:dyDescent="0.2">
      <c r="B51" s="396" t="s">
        <v>38</v>
      </c>
      <c r="C51" s="396" t="s">
        <v>306</v>
      </c>
      <c r="D51" s="541">
        <f>'Perlite Concentrations'!$M$6</f>
        <v>2.6000000000000005E-6</v>
      </c>
      <c r="E51" s="491">
        <f t="shared" si="2"/>
        <v>3.2474581384795157E-6</v>
      </c>
      <c r="F51" s="491">
        <f t="shared" si="0"/>
        <v>3.7825506726607998E-5</v>
      </c>
      <c r="G51" s="491">
        <f t="shared" si="3"/>
        <v>2.4351487465803931E-6</v>
      </c>
      <c r="H51" s="491">
        <f t="shared" si="1"/>
        <v>7.2722396659241741E-3</v>
      </c>
    </row>
    <row r="52" spans="2:8" x14ac:dyDescent="0.2">
      <c r="B52" s="396" t="s">
        <v>40</v>
      </c>
      <c r="C52" s="396" t="s">
        <v>142</v>
      </c>
      <c r="D52" s="541">
        <f>'Perlite Concentrations'!$M$7</f>
        <v>2.8000000000000003E-4</v>
      </c>
      <c r="E52" s="491">
        <f t="shared" si="2"/>
        <v>3.4972626106702468E-4</v>
      </c>
      <c r="F52" s="491">
        <f t="shared" si="0"/>
        <v>4.0735161090193215E-3</v>
      </c>
      <c r="G52" s="491">
        <f t="shared" si="3"/>
        <v>2.6224678809327304E-4</v>
      </c>
      <c r="H52" s="491">
        <f t="shared" si="1"/>
        <v>0.78316427171491088</v>
      </c>
    </row>
    <row r="53" spans="2:8" x14ac:dyDescent="0.2">
      <c r="B53" s="396" t="s">
        <v>42</v>
      </c>
      <c r="C53" s="396" t="s">
        <v>307</v>
      </c>
      <c r="D53" s="541">
        <f>'Perlite Concentrations'!$M$8</f>
        <v>3.0599999999999999E-6</v>
      </c>
      <c r="E53" s="491">
        <f t="shared" si="2"/>
        <v>3.8220084245181979E-6</v>
      </c>
      <c r="F53" s="491">
        <f t="shared" si="0"/>
        <v>4.4517711762854012E-5</v>
      </c>
      <c r="G53" s="491">
        <f t="shared" si="3"/>
        <v>2.865982755590769E-6</v>
      </c>
      <c r="H53" s="491">
        <f t="shared" si="1"/>
        <v>8.5588666837415235E-3</v>
      </c>
    </row>
    <row r="54" spans="2:8" x14ac:dyDescent="0.2">
      <c r="B54" s="396" t="s">
        <v>44</v>
      </c>
      <c r="C54" s="396" t="s">
        <v>308</v>
      </c>
      <c r="D54" s="541">
        <f>'Perlite Concentrations'!$M$9</f>
        <v>8.0000000000000002E-8</v>
      </c>
      <c r="E54" s="491">
        <f t="shared" si="2"/>
        <v>9.9921788876292772E-8</v>
      </c>
      <c r="F54" s="491">
        <f t="shared" si="0"/>
        <v>1.1638617454340919E-6</v>
      </c>
      <c r="G54" s="491">
        <f t="shared" si="3"/>
        <v>7.4927653740935142E-8</v>
      </c>
      <c r="H54" s="491">
        <f t="shared" si="1"/>
        <v>2.2376122048997451E-4</v>
      </c>
    </row>
    <row r="55" spans="2:8" x14ac:dyDescent="0.2">
      <c r="B55" s="396" t="s">
        <v>46</v>
      </c>
      <c r="C55" s="396" t="s">
        <v>147</v>
      </c>
      <c r="D55" s="541">
        <f>'Perlite Concentrations'!$M$10</f>
        <v>1.0000000000000001E-7</v>
      </c>
      <c r="E55" s="491">
        <f t="shared" si="2"/>
        <v>1.2490223609536596E-7</v>
      </c>
      <c r="F55" s="491">
        <f t="shared" si="0"/>
        <v>1.4548271817926149E-6</v>
      </c>
      <c r="G55" s="491">
        <f t="shared" si="3"/>
        <v>9.3659567176168954E-8</v>
      </c>
      <c r="H55" s="491">
        <f t="shared" si="1"/>
        <v>2.7970152561246819E-4</v>
      </c>
    </row>
    <row r="56" spans="2:8" x14ac:dyDescent="0.2">
      <c r="B56" s="396" t="s">
        <v>49</v>
      </c>
      <c r="C56" s="396" t="s">
        <v>205</v>
      </c>
      <c r="D56" s="541">
        <f>'Perlite Concentrations'!$M$11</f>
        <v>5.200000000000001E-6</v>
      </c>
      <c r="E56" s="491">
        <f t="shared" si="2"/>
        <v>6.4949162769590315E-6</v>
      </c>
      <c r="F56" s="491">
        <f t="shared" si="0"/>
        <v>7.5651013453215997E-5</v>
      </c>
      <c r="G56" s="491">
        <f t="shared" si="3"/>
        <v>4.8702974931607862E-6</v>
      </c>
      <c r="H56" s="491">
        <f t="shared" si="1"/>
        <v>1.4544479331848348E-2</v>
      </c>
    </row>
    <row r="57" spans="2:8" x14ac:dyDescent="0.2">
      <c r="B57" s="396" t="s">
        <v>54</v>
      </c>
      <c r="C57" s="396" t="s">
        <v>55</v>
      </c>
      <c r="D57" s="541">
        <f>'Perlite Concentrations'!$M$13</f>
        <v>7.9660000000000013E-6</v>
      </c>
      <c r="E57" s="491">
        <f t="shared" si="2"/>
        <v>9.9497121273568536E-6</v>
      </c>
      <c r="F57" s="491">
        <f t="shared" si="0"/>
        <v>1.1589153330159972E-4</v>
      </c>
      <c r="G57" s="491">
        <f t="shared" si="3"/>
        <v>7.4609211212536185E-6</v>
      </c>
      <c r="H57" s="491">
        <f t="shared" si="1"/>
        <v>2.2281023530289216E-2</v>
      </c>
    </row>
    <row r="58" spans="2:8" x14ac:dyDescent="0.2">
      <c r="B58" s="396" t="s">
        <v>57</v>
      </c>
      <c r="C58" s="396" t="s">
        <v>309</v>
      </c>
      <c r="D58" s="541">
        <f>'Perlite Concentrations'!$M$14</f>
        <v>2E-8</v>
      </c>
      <c r="E58" s="491">
        <f t="shared" si="2"/>
        <v>2.4980447219073193E-8</v>
      </c>
      <c r="F58" s="491">
        <f t="shared" si="0"/>
        <v>2.9096543635852298E-7</v>
      </c>
      <c r="G58" s="491">
        <f t="shared" si="3"/>
        <v>1.8731913435233785E-8</v>
      </c>
      <c r="H58" s="491">
        <f t="shared" si="1"/>
        <v>5.5940305122493626E-5</v>
      </c>
    </row>
    <row r="59" spans="2:8" x14ac:dyDescent="0.2">
      <c r="B59" s="396" t="s">
        <v>60</v>
      </c>
      <c r="C59" s="396" t="s">
        <v>181</v>
      </c>
      <c r="D59" s="541">
        <f>'Perlite Concentrations'!$M$15</f>
        <v>5.0299999999999997E-4</v>
      </c>
      <c r="E59" s="491">
        <f t="shared" si="2"/>
        <v>6.2825824755969066E-4</v>
      </c>
      <c r="F59" s="491">
        <f t="shared" si="0"/>
        <v>7.3177807244168514E-3</v>
      </c>
      <c r="G59" s="491">
        <f t="shared" si="3"/>
        <v>4.7110762289612971E-4</v>
      </c>
      <c r="H59" s="491">
        <f t="shared" si="1"/>
        <v>1.4068986738307148</v>
      </c>
    </row>
    <row r="60" spans="2:8" x14ac:dyDescent="0.2">
      <c r="B60" s="396" t="s">
        <v>65</v>
      </c>
      <c r="C60" s="396" t="s">
        <v>66</v>
      </c>
      <c r="D60" s="541">
        <f>'Perlite Concentrations'!$M$17</f>
        <v>9.295523661156416E-6</v>
      </c>
      <c r="E60" s="491">
        <f t="shared" si="2"/>
        <v>1.1610316909558192E-5</v>
      </c>
      <c r="F60" s="491">
        <f t="shared" si="0"/>
        <v>1.3523380491246758E-4</v>
      </c>
      <c r="G60" s="491">
        <f t="shared" si="3"/>
        <v>8.7061472277974712E-6</v>
      </c>
      <c r="H60" s="491">
        <f t="shared" si="1"/>
        <v>2.5999721493922448E-2</v>
      </c>
    </row>
    <row r="61" spans="2:8" x14ac:dyDescent="0.2">
      <c r="B61" s="396" t="s">
        <v>68</v>
      </c>
      <c r="C61" s="396" t="s">
        <v>212</v>
      </c>
      <c r="D61" s="541">
        <f>'Perlite Concentrations'!$M$18</f>
        <v>1.9999999999999999E-6</v>
      </c>
      <c r="E61" s="491">
        <f t="shared" si="2"/>
        <v>2.4980447219073188E-6</v>
      </c>
      <c r="F61" s="491">
        <f t="shared" si="0"/>
        <v>2.9096543635852295E-5</v>
      </c>
      <c r="G61" s="491">
        <f t="shared" si="3"/>
        <v>1.8731913435233786E-6</v>
      </c>
      <c r="H61" s="491">
        <f t="shared" si="1"/>
        <v>5.5940305122493626E-3</v>
      </c>
    </row>
    <row r="62" spans="2:8" x14ac:dyDescent="0.2">
      <c r="B62" s="396" t="s">
        <v>72</v>
      </c>
      <c r="C62" s="396" t="s">
        <v>310</v>
      </c>
      <c r="D62" s="541">
        <f>'Perlite Concentrations'!$M$20</f>
        <v>2.5000000000000001E-5</v>
      </c>
      <c r="E62" s="491">
        <f t="shared" si="2"/>
        <v>3.1225559023841493E-5</v>
      </c>
      <c r="F62" s="491">
        <f t="shared" si="0"/>
        <v>3.6370679544815379E-4</v>
      </c>
      <c r="G62" s="491">
        <f t="shared" si="3"/>
        <v>2.3414891794042234E-5</v>
      </c>
      <c r="H62" s="491">
        <f t="shared" si="1"/>
        <v>6.9925381403117035E-2</v>
      </c>
    </row>
    <row r="63" spans="2:8" x14ac:dyDescent="0.2">
      <c r="B63" s="396" t="s">
        <v>74</v>
      </c>
      <c r="C63" s="396" t="s">
        <v>311</v>
      </c>
      <c r="D63" s="541">
        <f>'Perlite Concentrations'!$M$21</f>
        <v>3.7E-7</v>
      </c>
      <c r="E63" s="491">
        <f t="shared" si="2"/>
        <v>4.6213827355285397E-7</v>
      </c>
      <c r="F63" s="491">
        <f t="shared" si="0"/>
        <v>5.3828605726326746E-6</v>
      </c>
      <c r="G63" s="491">
        <f t="shared" si="3"/>
        <v>3.4654039855182502E-7</v>
      </c>
      <c r="H63" s="491">
        <f t="shared" si="1"/>
        <v>1.0348956447661321E-3</v>
      </c>
    </row>
    <row r="64" spans="2:8" x14ac:dyDescent="0.2">
      <c r="B64" s="396" t="s">
        <v>76</v>
      </c>
      <c r="C64" s="396" t="s">
        <v>312</v>
      </c>
      <c r="D64" s="541">
        <f>'Perlite Concentrations'!$M$22</f>
        <v>1.9000000000000001E-7</v>
      </c>
      <c r="E64" s="491">
        <f t="shared" si="2"/>
        <v>2.3731424858119534E-7</v>
      </c>
      <c r="F64" s="491">
        <f t="shared" si="0"/>
        <v>2.7641716454059686E-6</v>
      </c>
      <c r="G64" s="491">
        <f t="shared" si="3"/>
        <v>1.77953177634721E-7</v>
      </c>
      <c r="H64" s="491">
        <f t="shared" si="1"/>
        <v>5.3143289866368956E-4</v>
      </c>
    </row>
    <row r="65" spans="1:8" x14ac:dyDescent="0.2">
      <c r="B65" s="396" t="s">
        <v>78</v>
      </c>
      <c r="C65" s="396" t="s">
        <v>314</v>
      </c>
      <c r="D65" s="541">
        <f>'Perlite Concentrations'!$M$23</f>
        <v>4.3900000000000005E-7</v>
      </c>
      <c r="E65" s="491">
        <f t="shared" si="2"/>
        <v>5.4832081645865661E-7</v>
      </c>
      <c r="F65" s="491">
        <f t="shared" si="0"/>
        <v>6.3866913280695804E-6</v>
      </c>
      <c r="G65" s="491">
        <f t="shared" si="3"/>
        <v>4.1116549990338163E-7</v>
      </c>
      <c r="H65" s="491">
        <f t="shared" si="1"/>
        <v>1.2278896974387353E-3</v>
      </c>
    </row>
    <row r="66" spans="1:8" x14ac:dyDescent="0.2">
      <c r="B66" s="396" t="s">
        <v>83</v>
      </c>
      <c r="C66" s="396" t="s">
        <v>315</v>
      </c>
      <c r="D66" s="541">
        <f>'Perlite Concentrations'!$M$25</f>
        <v>3.0000000000000001E-5</v>
      </c>
      <c r="E66" s="491">
        <f t="shared" si="2"/>
        <v>3.7470670828609789E-5</v>
      </c>
      <c r="F66" s="491">
        <f t="shared" si="0"/>
        <v>4.3644815453778451E-4</v>
      </c>
      <c r="G66" s="491">
        <f t="shared" si="3"/>
        <v>2.8097870152850685E-5</v>
      </c>
      <c r="H66" s="491">
        <f t="shared" si="1"/>
        <v>8.3910457683740461E-2</v>
      </c>
    </row>
    <row r="67" spans="1:8" x14ac:dyDescent="0.2">
      <c r="B67" s="396" t="s">
        <v>40</v>
      </c>
      <c r="C67" s="396" t="s">
        <v>142</v>
      </c>
      <c r="D67" s="541">
        <f>'Perlite Concentrations'!$M$26</f>
        <v>2.0000000000000001E-4</v>
      </c>
      <c r="E67" s="491">
        <f t="shared" si="2"/>
        <v>2.4980447219073195E-4</v>
      </c>
      <c r="F67" s="491">
        <f t="shared" si="0"/>
        <v>2.9096543635852303E-3</v>
      </c>
      <c r="G67" s="491">
        <f t="shared" si="3"/>
        <v>1.8731913435233788E-4</v>
      </c>
      <c r="H67" s="491">
        <f t="shared" si="1"/>
        <v>0.55940305122493628</v>
      </c>
    </row>
    <row r="68" spans="1:8" x14ac:dyDescent="0.2">
      <c r="B68" s="396" t="s">
        <v>70</v>
      </c>
      <c r="C68" s="396">
        <v>504</v>
      </c>
      <c r="D68" s="541">
        <f>'Perlite Concentrations'!$M$19</f>
        <v>3.3000000000000003E-5</v>
      </c>
      <c r="E68" s="491">
        <f t="shared" si="2"/>
        <v>4.1217737911470773E-5</v>
      </c>
      <c r="F68" s="491">
        <f t="shared" si="0"/>
        <v>4.8009296999156303E-4</v>
      </c>
      <c r="G68" s="491">
        <f t="shared" si="3"/>
        <v>3.0907657168135753E-5</v>
      </c>
      <c r="H68" s="491">
        <f t="shared" si="1"/>
        <v>9.2301503452114506E-2</v>
      </c>
    </row>
    <row r="69" spans="1:8" x14ac:dyDescent="0.2">
      <c r="B69" s="396" t="s">
        <v>87</v>
      </c>
      <c r="C69" s="396" t="s">
        <v>316</v>
      </c>
      <c r="D69" s="541">
        <f>'Perlite Concentrations'!$M$27</f>
        <v>8.0000000000000007E-5</v>
      </c>
      <c r="E69" s="491">
        <f t="shared" si="2"/>
        <v>9.9921788876292775E-5</v>
      </c>
      <c r="F69" s="491">
        <f t="shared" si="0"/>
        <v>1.163861745434092E-3</v>
      </c>
      <c r="G69" s="491">
        <f t="shared" si="3"/>
        <v>7.4927653740935148E-5</v>
      </c>
      <c r="H69" s="491">
        <f t="shared" si="1"/>
        <v>0.22376122048997452</v>
      </c>
    </row>
    <row r="70" spans="1:8" x14ac:dyDescent="0.2">
      <c r="B70" s="396" t="s">
        <v>90</v>
      </c>
      <c r="C70" s="396" t="s">
        <v>183</v>
      </c>
      <c r="D70" s="541">
        <f>'Perlite Concentrations'!$M$28</f>
        <v>3.7265E-2</v>
      </c>
      <c r="E70" s="491">
        <f t="shared" si="2"/>
        <v>4.6544818280938129E-2</v>
      </c>
      <c r="F70" s="491">
        <f t="shared" si="0"/>
        <v>0.542141349295018</v>
      </c>
      <c r="G70" s="491">
        <f t="shared" si="3"/>
        <v>3.4902237708199356E-2</v>
      </c>
      <c r="H70" s="491">
        <f t="shared" si="1"/>
        <v>104.23077351948626</v>
      </c>
    </row>
    <row r="71" spans="1:8" x14ac:dyDescent="0.2">
      <c r="B71" s="396" t="s">
        <v>92</v>
      </c>
      <c r="C71" s="396" t="s">
        <v>317</v>
      </c>
      <c r="D71" s="541">
        <f>'Perlite Concentrations'!$M$29</f>
        <v>2.5000000000000001E-5</v>
      </c>
      <c r="E71" s="491">
        <f t="shared" si="2"/>
        <v>3.1225559023841493E-5</v>
      </c>
      <c r="F71" s="491">
        <f t="shared" si="0"/>
        <v>3.6370679544815379E-4</v>
      </c>
      <c r="G71" s="491">
        <f t="shared" si="3"/>
        <v>2.3414891794042234E-5</v>
      </c>
      <c r="H71" s="491">
        <f t="shared" si="1"/>
        <v>6.9925381403117035E-2</v>
      </c>
    </row>
    <row r="72" spans="1:8" x14ac:dyDescent="0.2">
      <c r="B72" s="396" t="s">
        <v>94</v>
      </c>
      <c r="C72" s="396" t="s">
        <v>318</v>
      </c>
      <c r="D72" s="541">
        <f>'Perlite Concentrations'!$M$30</f>
        <v>2.5000000000000001E-5</v>
      </c>
      <c r="E72" s="491">
        <f t="shared" si="2"/>
        <v>3.1225559023841493E-5</v>
      </c>
      <c r="F72" s="491">
        <f t="shared" si="0"/>
        <v>3.6370679544815379E-4</v>
      </c>
      <c r="G72" s="491">
        <f t="shared" si="3"/>
        <v>2.3414891794042234E-5</v>
      </c>
      <c r="H72" s="491">
        <f t="shared" si="1"/>
        <v>6.9925381403117035E-2</v>
      </c>
    </row>
    <row r="73" spans="1:8" s="167" customFormat="1" ht="12.75" x14ac:dyDescent="0.15">
      <c r="A73" s="387">
        <v>1</v>
      </c>
      <c r="B73" s="171" t="s">
        <v>319</v>
      </c>
      <c r="C73" s="170"/>
      <c r="D73" s="542"/>
      <c r="E73" s="542"/>
      <c r="F73" s="542"/>
      <c r="G73" s="542"/>
    </row>
    <row r="74" spans="1:8" s="167" customFormat="1" ht="12.75" x14ac:dyDescent="0.15">
      <c r="A74" s="387">
        <v>2</v>
      </c>
      <c r="B74" s="171" t="s">
        <v>505</v>
      </c>
      <c r="D74" s="542"/>
      <c r="E74" s="542"/>
      <c r="F74" s="542"/>
      <c r="G74" s="542"/>
    </row>
    <row r="75" spans="1:8" s="167" customFormat="1" ht="12.75" x14ac:dyDescent="0.15">
      <c r="A75" s="387">
        <v>3</v>
      </c>
      <c r="B75" s="171" t="s">
        <v>567</v>
      </c>
      <c r="D75" s="542"/>
      <c r="E75" s="542"/>
      <c r="F75" s="542"/>
      <c r="G75" s="542"/>
    </row>
  </sheetData>
  <mergeCells count="16">
    <mergeCell ref="C35:M35"/>
    <mergeCell ref="B37:B38"/>
    <mergeCell ref="C37:C38"/>
    <mergeCell ref="B33:M33"/>
    <mergeCell ref="E4:H4"/>
    <mergeCell ref="E5:H5"/>
    <mergeCell ref="E6:H6"/>
    <mergeCell ref="E7:H7"/>
    <mergeCell ref="E8:H8"/>
    <mergeCell ref="E9:H9"/>
    <mergeCell ref="E10:H10"/>
    <mergeCell ref="E11:H11"/>
    <mergeCell ref="E12:H12"/>
    <mergeCell ref="E13:H13"/>
    <mergeCell ref="E15:H15"/>
    <mergeCell ref="E14:H1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183D6-5356-4F1F-8039-BBBD4C30FE81}">
  <dimension ref="A1:J52"/>
  <sheetViews>
    <sheetView view="pageBreakPreview" zoomScale="60" zoomScaleNormal="100" workbookViewId="0">
      <selection activeCell="W35" sqref="W35"/>
    </sheetView>
  </sheetViews>
  <sheetFormatPr defaultColWidth="9.140625" defaultRowHeight="12.75" x14ac:dyDescent="0.2"/>
  <cols>
    <col min="1" max="1" width="9.140625" style="355"/>
    <col min="2" max="2" width="31.85546875" style="355" customWidth="1"/>
    <col min="3" max="3" width="27.85546875" style="355" customWidth="1"/>
    <col min="4" max="4" width="25.7109375" style="355" bestFit="1" customWidth="1"/>
    <col min="5" max="5" width="29.42578125" style="355" customWidth="1"/>
    <col min="6" max="6" width="21" style="355" customWidth="1"/>
    <col min="7" max="16384" width="9.140625" style="355"/>
  </cols>
  <sheetData>
    <row r="1" spans="1:10" x14ac:dyDescent="0.2">
      <c r="B1" s="480" t="s">
        <v>568</v>
      </c>
    </row>
    <row r="3" spans="1:10" x14ac:dyDescent="0.2">
      <c r="B3" s="480" t="s">
        <v>569</v>
      </c>
    </row>
    <row r="4" spans="1:10" x14ac:dyDescent="0.2">
      <c r="B4" s="485" t="s">
        <v>570</v>
      </c>
      <c r="C4" s="553">
        <f>Throughputs!D4/2</f>
        <v>204000</v>
      </c>
      <c r="D4" s="554" t="s">
        <v>571</v>
      </c>
    </row>
    <row r="5" spans="1:10" ht="14.25" x14ac:dyDescent="0.2">
      <c r="B5" s="555" t="s">
        <v>572</v>
      </c>
      <c r="C5" s="409">
        <f>CONVERT((PI()*('ESP Input'!E5/2)^2*'ESP Input'!F5),"ft^3","gal") / 1</f>
        <v>12161.466355441462</v>
      </c>
      <c r="D5" s="556" t="s">
        <v>9</v>
      </c>
    </row>
    <row r="6" spans="1:10" ht="14.25" x14ac:dyDescent="0.2">
      <c r="B6" s="555" t="s">
        <v>573</v>
      </c>
      <c r="C6" s="409">
        <f>C5</f>
        <v>12161.466355441462</v>
      </c>
      <c r="D6" s="556" t="s">
        <v>574</v>
      </c>
    </row>
    <row r="7" spans="1:10" ht="14.25" x14ac:dyDescent="0.2">
      <c r="B7" s="555" t="s">
        <v>575</v>
      </c>
      <c r="C7" s="534">
        <v>33</v>
      </c>
      <c r="D7" s="556" t="s">
        <v>576</v>
      </c>
    </row>
    <row r="8" spans="1:10" x14ac:dyDescent="0.2">
      <c r="B8" s="555" t="s">
        <v>577</v>
      </c>
      <c r="C8" s="534">
        <f>CONVERT(95,"in","ft")</f>
        <v>7.916666666666667</v>
      </c>
      <c r="D8" s="556" t="s">
        <v>576</v>
      </c>
    </row>
    <row r="9" spans="1:10" x14ac:dyDescent="0.2">
      <c r="B9" s="557" t="s">
        <v>578</v>
      </c>
      <c r="C9" s="558" t="s">
        <v>579</v>
      </c>
      <c r="D9" s="559" t="s">
        <v>155</v>
      </c>
    </row>
    <row r="10" spans="1:10" x14ac:dyDescent="0.2">
      <c r="A10" s="561">
        <v>1</v>
      </c>
      <c r="B10" s="518" t="s">
        <v>580</v>
      </c>
      <c r="C10" s="562"/>
      <c r="D10" s="562"/>
    </row>
    <row r="11" spans="1:10" ht="21.75" customHeight="1" x14ac:dyDescent="0.2">
      <c r="A11" s="544">
        <v>2</v>
      </c>
      <c r="B11" s="753" t="s">
        <v>581</v>
      </c>
      <c r="C11" s="753"/>
      <c r="D11" s="753"/>
    </row>
    <row r="12" spans="1:10" ht="21.75" customHeight="1" x14ac:dyDescent="0.2">
      <c r="A12" s="544">
        <v>3</v>
      </c>
      <c r="B12" s="753" t="s">
        <v>582</v>
      </c>
      <c r="C12" s="753"/>
      <c r="D12" s="753"/>
    </row>
    <row r="14" spans="1:10" x14ac:dyDescent="0.2">
      <c r="B14" s="353" t="s">
        <v>583</v>
      </c>
      <c r="C14" s="354"/>
      <c r="D14" s="354"/>
      <c r="E14" s="354"/>
    </row>
    <row r="15" spans="1:10" ht="18.75" customHeight="1" x14ac:dyDescent="0.2">
      <c r="B15" s="757" t="s">
        <v>21</v>
      </c>
      <c r="C15" s="619" t="s">
        <v>584</v>
      </c>
      <c r="D15" s="619" t="s">
        <v>585</v>
      </c>
      <c r="E15" s="172" t="s">
        <v>586</v>
      </c>
      <c r="F15" s="560"/>
    </row>
    <row r="16" spans="1:10" x14ac:dyDescent="0.2">
      <c r="B16" s="758"/>
      <c r="C16" s="703" t="s">
        <v>587</v>
      </c>
      <c r="D16" s="703" t="s">
        <v>588</v>
      </c>
      <c r="E16" s="356" t="s">
        <v>589</v>
      </c>
      <c r="J16" s="408"/>
    </row>
    <row r="17" spans="1:10" ht="14.25" x14ac:dyDescent="0.2">
      <c r="B17" s="358" t="s">
        <v>590</v>
      </c>
      <c r="C17" s="704">
        <f>D25</f>
        <v>0.31470179161900175</v>
      </c>
      <c r="D17" s="704">
        <f>C17</f>
        <v>0.31470179161900175</v>
      </c>
      <c r="E17" s="359">
        <f>'ESP Output'!S34</f>
        <v>8.7789582722667738</v>
      </c>
      <c r="G17" s="357"/>
      <c r="J17" s="408"/>
    </row>
    <row r="18" spans="1:10" s="167" customFormat="1" x14ac:dyDescent="0.15">
      <c r="A18" s="544">
        <v>1</v>
      </c>
      <c r="B18" s="360" t="s">
        <v>591</v>
      </c>
      <c r="C18" s="154"/>
      <c r="D18" s="360"/>
    </row>
    <row r="19" spans="1:10" s="167" customFormat="1" x14ac:dyDescent="0.15">
      <c r="A19" s="544">
        <v>2</v>
      </c>
      <c r="B19" s="186" t="s">
        <v>592</v>
      </c>
      <c r="C19" s="166"/>
      <c r="D19" s="186"/>
    </row>
    <row r="20" spans="1:10" s="167" customFormat="1" x14ac:dyDescent="0.15">
      <c r="A20" s="544"/>
      <c r="C20" s="185" t="s">
        <v>593</v>
      </c>
      <c r="D20" s="186">
        <f>'ESP Input'!I10</f>
        <v>130</v>
      </c>
    </row>
    <row r="21" spans="1:10" s="167" customFormat="1" x14ac:dyDescent="0.15">
      <c r="A21" s="544"/>
      <c r="C21" s="185" t="s">
        <v>594</v>
      </c>
      <c r="D21" s="705">
        <f>EXP('ESP Input'!L10-('ESP Input'!M10/'Storage Tanks'!D24))</f>
        <v>8.4330771924180821E-3</v>
      </c>
    </row>
    <row r="22" spans="1:10" s="167" customFormat="1" x14ac:dyDescent="0.15">
      <c r="A22" s="544"/>
      <c r="C22" s="185" t="s">
        <v>595</v>
      </c>
      <c r="D22" s="706">
        <f>C5</f>
        <v>12161.466355441462</v>
      </c>
    </row>
    <row r="23" spans="1:10" s="167" customFormat="1" x14ac:dyDescent="0.15">
      <c r="A23" s="544"/>
      <c r="C23" s="185" t="s">
        <v>596</v>
      </c>
      <c r="D23" s="186">
        <v>80.272999999999996</v>
      </c>
    </row>
    <row r="24" spans="1:10" s="167" customFormat="1" x14ac:dyDescent="0.15">
      <c r="A24" s="544"/>
      <c r="C24" s="185" t="s">
        <v>597</v>
      </c>
      <c r="D24" s="713">
        <f>CONVERT(MAX('ESP Output'!I8:I31),"F","Rank")</f>
        <v>527.77238346980369</v>
      </c>
    </row>
    <row r="25" spans="1:10" s="167" customFormat="1" x14ac:dyDescent="0.15">
      <c r="A25" s="544"/>
      <c r="C25" s="707" t="s">
        <v>598</v>
      </c>
      <c r="D25" s="705">
        <f>D20*D21*D22/(D23*D24)</f>
        <v>0.31470179161900175</v>
      </c>
    </row>
    <row r="27" spans="1:10" x14ac:dyDescent="0.2">
      <c r="B27" s="353" t="s">
        <v>599</v>
      </c>
    </row>
    <row r="28" spans="1:10" ht="25.5" x14ac:dyDescent="0.2">
      <c r="B28" s="759" t="s">
        <v>21</v>
      </c>
      <c r="C28" s="755" t="s">
        <v>299</v>
      </c>
      <c r="D28" s="708" t="s">
        <v>584</v>
      </c>
      <c r="E28" s="619" t="s">
        <v>585</v>
      </c>
      <c r="F28" s="155" t="s">
        <v>600</v>
      </c>
    </row>
    <row r="29" spans="1:10" x14ac:dyDescent="0.2">
      <c r="B29" s="760"/>
      <c r="C29" s="756"/>
      <c r="D29" s="702" t="s">
        <v>587</v>
      </c>
      <c r="E29" s="703" t="s">
        <v>588</v>
      </c>
      <c r="F29" s="356" t="s">
        <v>589</v>
      </c>
      <c r="H29" s="167"/>
      <c r="I29" s="167"/>
      <c r="J29" s="167"/>
    </row>
    <row r="30" spans="1:10" ht="15" x14ac:dyDescent="0.2">
      <c r="B30" s="361" t="str">
        <f>IFERROR(IF(C30="No CAS","",INDEX('DEQ Pollutant List'!$B$7:$B$611,MATCH(C30,'DEQ Pollutant List'!$A$7:$A$611,0))),"")</f>
        <v>Benzene</v>
      </c>
      <c r="C30" s="361" t="s">
        <v>601</v>
      </c>
      <c r="D30" s="709">
        <f>$C$17*'ESP Input'!C14</f>
        <v>2.517614332952014E-4</v>
      </c>
      <c r="E30" s="710">
        <f>D30</f>
        <v>2.517614332952014E-4</v>
      </c>
      <c r="F30" s="698">
        <f>HLOOKUP(C30,'ESP Output'!$R$33:$BK$34,2,FALSE)</f>
        <v>1.8947308651865669E-2</v>
      </c>
      <c r="G30" s="711"/>
      <c r="H30" s="167"/>
      <c r="I30" s="711"/>
    </row>
    <row r="31" spans="1:10" ht="15" x14ac:dyDescent="0.2">
      <c r="B31" s="362" t="str">
        <f>IFERROR(IF(C31="No CAS","",INDEX('DEQ Pollutant List'!$B$7:$B$611,MATCH(C31,'DEQ Pollutant List'!$A$7:$A$611,0))),"")</f>
        <v>Benzo[g,h,i]perylene</v>
      </c>
      <c r="C31" s="362" t="s">
        <v>602</v>
      </c>
      <c r="D31" s="709">
        <f>$C$17*'ESP Input'!D14</f>
        <v>2.8323161245710158E-4</v>
      </c>
      <c r="E31" s="710">
        <f t="shared" ref="E31:E38" si="0">D31</f>
        <v>2.8323161245710158E-4</v>
      </c>
      <c r="F31" s="699">
        <f>HLOOKUP(C31,'ESP Output'!$R$33:$BK$34,2,FALSE)</f>
        <v>3.2873862586150835E-15</v>
      </c>
      <c r="G31" s="711"/>
      <c r="H31" s="167"/>
      <c r="I31" s="711"/>
    </row>
    <row r="32" spans="1:10" ht="15" x14ac:dyDescent="0.2">
      <c r="B32" s="362" t="str">
        <f>IFERROR(IF(C32="No CAS","",INDEX('DEQ Pollutant List'!$B$7:$B$611,MATCH(C32,'DEQ Pollutant List'!$A$7:$A$611,0))),"")</f>
        <v>Ethyl benzene</v>
      </c>
      <c r="C32" s="362" t="s">
        <v>151</v>
      </c>
      <c r="D32" s="709">
        <f>$C$17*'ESP Input'!G14</f>
        <v>4.0911232910470227E-3</v>
      </c>
      <c r="E32" s="710">
        <f t="shared" si="0"/>
        <v>4.0911232910470227E-3</v>
      </c>
      <c r="F32" s="699">
        <f>HLOOKUP(C32,'ESP Output'!$R$33:$BK$34,2,FALSE)</f>
        <v>2.6014687576508534E-2</v>
      </c>
      <c r="G32" s="711"/>
      <c r="H32" s="167"/>
      <c r="I32" s="711"/>
    </row>
    <row r="33" spans="1:9" ht="15" x14ac:dyDescent="0.2">
      <c r="B33" s="362" t="str">
        <f>IFERROR(IF(C33="No CAS","",INDEX('DEQ Pollutant List'!$B$7:$B$611,MATCH(C33,'DEQ Pollutant List'!$A$7:$A$611,0))),"")</f>
        <v>Hexane</v>
      </c>
      <c r="C33" s="362" t="s">
        <v>603</v>
      </c>
      <c r="D33" s="709">
        <f>$C$17*'ESP Input'!H14</f>
        <v>3.1470179161900175E-5</v>
      </c>
      <c r="E33" s="710">
        <f t="shared" si="0"/>
        <v>3.1470179161900175E-5</v>
      </c>
      <c r="F33" s="699">
        <f>HLOOKUP(C33,'ESP Output'!$R$33:$BK$34,2,FALSE)</f>
        <v>3.9180591878709564E-3</v>
      </c>
      <c r="G33" s="711"/>
      <c r="H33" s="167"/>
      <c r="I33" s="711"/>
    </row>
    <row r="34" spans="1:9" ht="15" x14ac:dyDescent="0.2">
      <c r="B34" s="362" t="str">
        <f>IFERROR(IF(C34="No CAS","",INDEX('DEQ Pollutant List'!$B$7:$B$611,MATCH(C34,'DEQ Pollutant List'!$A$7:$A$611,0))),"")</f>
        <v>Naphthalene</v>
      </c>
      <c r="C34" s="362" t="s">
        <v>604</v>
      </c>
      <c r="D34" s="709">
        <f>$C$17*'ESP Input'!J14</f>
        <v>2.3917336163044131E-2</v>
      </c>
      <c r="E34" s="710">
        <f t="shared" si="0"/>
        <v>2.3917336163044131E-2</v>
      </c>
      <c r="F34" s="699">
        <f>HLOOKUP(C34,'ESP Output'!$R$33:$BK$34,2,FALSE)</f>
        <v>3.3143982907600975E-3</v>
      </c>
      <c r="G34" s="711"/>
      <c r="H34" s="167"/>
      <c r="I34" s="711"/>
    </row>
    <row r="35" spans="1:9" ht="15" x14ac:dyDescent="0.2">
      <c r="B35" s="362" t="str">
        <f>IFERROR(IF(C35="No CAS","",INDEX('DEQ Pollutant List'!$B$7:$B$611,MATCH(C35,'DEQ Pollutant List'!$A$7:$A$611,0))),"")</f>
        <v>Chrysene</v>
      </c>
      <c r="C35" s="362" t="s">
        <v>605</v>
      </c>
      <c r="D35" s="709">
        <f>$C$17*'ESP Input'!K14</f>
        <v>7.2381412072370396E-4</v>
      </c>
      <c r="E35" s="710">
        <f t="shared" si="0"/>
        <v>7.2381412072370396E-4</v>
      </c>
      <c r="F35" s="699">
        <f>HLOOKUP(C35,'ESP Output'!$R$33:$BK$34,2,FALSE)</f>
        <v>7.4873723901066164E-13</v>
      </c>
      <c r="G35" s="711"/>
      <c r="H35" s="167"/>
      <c r="I35" s="711"/>
    </row>
    <row r="36" spans="1:9" ht="15" x14ac:dyDescent="0.2">
      <c r="B36" s="362" t="str">
        <f>IFERROR(IF(C36="No CAS","",INDEX('DEQ Pollutant List'!$B$7:$B$611,MATCH(C36,'DEQ Pollutant List'!$A$7:$A$611,0))),"")</f>
        <v>Toluene</v>
      </c>
      <c r="C36" s="362" t="s">
        <v>606</v>
      </c>
      <c r="D36" s="709">
        <f>$C$17*'ESP Input'!L14</f>
        <v>1.0070457331808056E-2</v>
      </c>
      <c r="E36" s="710">
        <f t="shared" si="0"/>
        <v>1.0070457331808056E-2</v>
      </c>
      <c r="F36" s="699">
        <f>HLOOKUP(C36,'ESP Output'!$R$33:$BK$34,2,FALSE)</f>
        <v>0.20945163758726143</v>
      </c>
      <c r="G36" s="711"/>
      <c r="H36" s="167"/>
      <c r="I36" s="711"/>
    </row>
    <row r="37" spans="1:9" ht="15" x14ac:dyDescent="0.2">
      <c r="B37" s="362" t="str">
        <f>IFERROR(IF(C37="No CAS","",INDEX('DEQ Pollutant List'!$B$7:$B$611,MATCH(C37,'DEQ Pollutant List'!$A$7:$A$611,0))),"")</f>
        <v>1,2,4-Trimethylbenzene</v>
      </c>
      <c r="C37" s="362" t="s">
        <v>607</v>
      </c>
      <c r="D37" s="709">
        <f>$C$17*'ESP Input'!M14</f>
        <v>0.31470179161900175</v>
      </c>
      <c r="E37" s="710">
        <f t="shared" si="0"/>
        <v>0.31470179161900175</v>
      </c>
      <c r="F37" s="699">
        <f>F36/'ESP Input'!$L$14*'ESP Input'!$M$14</f>
        <v>6.5453636746019193</v>
      </c>
      <c r="G37" s="711"/>
      <c r="H37" s="167"/>
      <c r="I37" s="711"/>
    </row>
    <row r="38" spans="1:9" ht="25.5" x14ac:dyDescent="0.2">
      <c r="B38" s="563" t="str">
        <f>IFERROR(IF(C38="No CAS","",INDEX('DEQ Pollutant List'!$B$7:$B$611,MATCH(C38,'DEQ Pollutant List'!$A$7:$A$611,0))),"")</f>
        <v>Xylene (mixture), including m-xylene, o-xylene, p-xylene</v>
      </c>
      <c r="C38" s="363" t="s">
        <v>144</v>
      </c>
      <c r="D38" s="709">
        <f>$C$17*'ESP Input'!N14</f>
        <v>9.1263519569510496E-2</v>
      </c>
      <c r="E38" s="712">
        <f t="shared" si="0"/>
        <v>9.1263519569510496E-2</v>
      </c>
      <c r="F38" s="700">
        <f>HLOOKUP(C38,'ESP Output'!$R$33:$BK$34,2,FALSE)</f>
        <v>0.50470761351715054</v>
      </c>
      <c r="G38" s="711"/>
      <c r="H38" s="167"/>
      <c r="I38" s="711"/>
    </row>
    <row r="39" spans="1:9" s="167" customFormat="1" ht="12.75" customHeight="1" x14ac:dyDescent="0.15">
      <c r="A39" s="387">
        <v>1</v>
      </c>
      <c r="B39" s="754" t="s">
        <v>608</v>
      </c>
      <c r="C39" s="754"/>
      <c r="D39" s="754"/>
      <c r="E39" s="754"/>
      <c r="G39" s="711"/>
    </row>
    <row r="40" spans="1:9" ht="15" x14ac:dyDescent="0.2">
      <c r="G40" s="711"/>
    </row>
    <row r="41" spans="1:9" ht="15" x14ac:dyDescent="0.2">
      <c r="G41" s="711"/>
    </row>
    <row r="52" spans="5:5" ht="27" customHeight="1" x14ac:dyDescent="0.2">
      <c r="E52" s="389"/>
    </row>
  </sheetData>
  <mergeCells count="6">
    <mergeCell ref="B11:D11"/>
    <mergeCell ref="B39:E39"/>
    <mergeCell ref="C28:C29"/>
    <mergeCell ref="B15:B16"/>
    <mergeCell ref="B28:B29"/>
    <mergeCell ref="B12:D1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B66A2-9621-4EBE-8767-7E4579D2CF53}">
  <sheetPr>
    <tabColor theme="1"/>
  </sheetPr>
  <dimension ref="E4:E5"/>
  <sheetViews>
    <sheetView workbookViewId="0"/>
  </sheetViews>
  <sheetFormatPr defaultRowHeight="15" x14ac:dyDescent="0.25"/>
  <sheetData>
    <row r="4" spans="5:5" ht="13.5" customHeight="1" x14ac:dyDescent="0.25">
      <c r="E4" s="246"/>
    </row>
    <row r="5" spans="5:5" x14ac:dyDescent="0.25">
      <c r="E5" s="24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455F1-9129-4F0C-96FF-060815E082F2}">
  <dimension ref="B1:AM46"/>
  <sheetViews>
    <sheetView view="pageBreakPreview" zoomScale="60" zoomScaleNormal="100" workbookViewId="0">
      <selection activeCell="P49" sqref="P49"/>
    </sheetView>
  </sheetViews>
  <sheetFormatPr defaultColWidth="9.140625" defaultRowHeight="12.75" x14ac:dyDescent="0.2"/>
  <cols>
    <col min="1" max="1" width="9.140625" style="355"/>
    <col min="2" max="2" width="19" style="355" customWidth="1"/>
    <col min="3" max="3" width="10.28515625" style="355" bestFit="1" customWidth="1"/>
    <col min="4" max="4" width="19.42578125" style="355" bestFit="1" customWidth="1"/>
    <col min="5" max="5" width="26.5703125" style="355" bestFit="1" customWidth="1"/>
    <col min="6" max="6" width="12.42578125" style="355" bestFit="1" customWidth="1"/>
    <col min="7" max="7" width="21.140625" style="355" bestFit="1" customWidth="1"/>
    <col min="8" max="8" width="17.140625" style="355" bestFit="1" customWidth="1"/>
    <col min="9" max="9" width="35.42578125" style="355" customWidth="1"/>
    <col min="10" max="10" width="12.28515625" style="355" bestFit="1" customWidth="1"/>
    <col min="11" max="11" width="17.5703125" style="355" customWidth="1"/>
    <col min="12" max="12" width="11.28515625" style="355" bestFit="1" customWidth="1"/>
    <col min="13" max="13" width="23.42578125" style="355" customWidth="1"/>
    <col min="14" max="14" width="11.28515625" style="355" bestFit="1" customWidth="1"/>
    <col min="15" max="15" width="8.5703125" style="355" bestFit="1" customWidth="1"/>
    <col min="16" max="16" width="25.42578125" style="355" bestFit="1" customWidth="1"/>
    <col min="17" max="17" width="10.5703125" style="355" bestFit="1" customWidth="1"/>
    <col min="18" max="18" width="5.5703125" style="355" bestFit="1" customWidth="1"/>
    <col min="19" max="19" width="7.5703125" style="355" bestFit="1" customWidth="1"/>
    <col min="20" max="20" width="8" style="355" bestFit="1" customWidth="1"/>
    <col min="21" max="21" width="8.42578125" style="355" bestFit="1" customWidth="1"/>
    <col min="22" max="22" width="8.140625" style="355" bestFit="1" customWidth="1"/>
    <col min="23" max="23" width="8.42578125" style="355" bestFit="1" customWidth="1"/>
    <col min="24" max="24" width="9.140625" style="355"/>
    <col min="25" max="25" width="8.85546875" style="355" bestFit="1" customWidth="1"/>
    <col min="26" max="27" width="6.7109375" style="355" bestFit="1" customWidth="1"/>
    <col min="28" max="28" width="5.28515625" style="355" bestFit="1" customWidth="1"/>
    <col min="29" max="30" width="9" style="355" bestFit="1" customWidth="1"/>
    <col min="31" max="31" width="8.85546875" style="355" bestFit="1" customWidth="1"/>
    <col min="32" max="32" width="8.28515625" style="355" bestFit="1" customWidth="1"/>
    <col min="33" max="33" width="7.5703125" style="355" bestFit="1" customWidth="1"/>
    <col min="34" max="34" width="8.7109375" style="355" bestFit="1" customWidth="1"/>
    <col min="35" max="36" width="8" style="355" bestFit="1" customWidth="1"/>
    <col min="37" max="37" width="8.140625" style="355" bestFit="1" customWidth="1"/>
    <col min="38" max="39" width="8.85546875" style="355" bestFit="1" customWidth="1"/>
    <col min="40" max="16384" width="9.140625" style="355"/>
  </cols>
  <sheetData>
    <row r="1" spans="2:39" x14ac:dyDescent="0.2">
      <c r="B1" s="480" t="s">
        <v>609</v>
      </c>
    </row>
    <row r="2" spans="2:39" x14ac:dyDescent="0.2">
      <c r="B2" s="480"/>
    </row>
    <row r="3" spans="2:39" x14ac:dyDescent="0.2">
      <c r="B3" s="480" t="s">
        <v>610</v>
      </c>
    </row>
    <row r="4" spans="2:39" ht="76.5" x14ac:dyDescent="0.2">
      <c r="B4" s="413" t="s">
        <v>611</v>
      </c>
      <c r="C4" s="413" t="s">
        <v>612</v>
      </c>
      <c r="D4" s="413" t="s">
        <v>613</v>
      </c>
      <c r="E4" s="413" t="s">
        <v>614</v>
      </c>
      <c r="F4" s="413" t="s">
        <v>615</v>
      </c>
      <c r="G4" s="413" t="s">
        <v>616</v>
      </c>
      <c r="H4" s="413" t="s">
        <v>617</v>
      </c>
      <c r="I4" s="413" t="s">
        <v>618</v>
      </c>
      <c r="J4" s="413" t="s">
        <v>619</v>
      </c>
      <c r="K4" s="413" t="s">
        <v>620</v>
      </c>
      <c r="L4" s="413" t="s">
        <v>621</v>
      </c>
      <c r="M4" s="413" t="s">
        <v>622</v>
      </c>
      <c r="N4" s="413" t="s">
        <v>623</v>
      </c>
      <c r="O4" s="413" t="s">
        <v>624</v>
      </c>
      <c r="P4" s="413" t="s">
        <v>625</v>
      </c>
      <c r="Q4" s="413" t="s">
        <v>626</v>
      </c>
      <c r="R4" s="413" t="s">
        <v>627</v>
      </c>
      <c r="S4" s="413" t="s">
        <v>628</v>
      </c>
      <c r="T4" s="413" t="s">
        <v>629</v>
      </c>
      <c r="U4" s="413" t="s">
        <v>630</v>
      </c>
      <c r="V4" s="413" t="s">
        <v>631</v>
      </c>
      <c r="W4" s="413" t="s">
        <v>632</v>
      </c>
      <c r="X4" s="413" t="s">
        <v>633</v>
      </c>
      <c r="Y4" s="413" t="s">
        <v>634</v>
      </c>
      <c r="Z4" s="413" t="s">
        <v>635</v>
      </c>
      <c r="AA4" s="413" t="s">
        <v>636</v>
      </c>
      <c r="AB4" s="413" t="s">
        <v>637</v>
      </c>
      <c r="AC4" s="413" t="s">
        <v>638</v>
      </c>
      <c r="AD4" s="413" t="s">
        <v>639</v>
      </c>
      <c r="AE4" s="413" t="s">
        <v>640</v>
      </c>
      <c r="AF4" s="413" t="s">
        <v>641</v>
      </c>
      <c r="AG4" s="413" t="s">
        <v>642</v>
      </c>
      <c r="AH4" s="413" t="s">
        <v>643</v>
      </c>
      <c r="AI4" s="413" t="s">
        <v>644</v>
      </c>
      <c r="AJ4" s="413" t="s">
        <v>645</v>
      </c>
      <c r="AK4" s="413" t="s">
        <v>646</v>
      </c>
      <c r="AL4" s="413" t="s">
        <v>647</v>
      </c>
      <c r="AM4" s="413" t="s">
        <v>648</v>
      </c>
    </row>
    <row r="5" spans="2:39" x14ac:dyDescent="0.2">
      <c r="B5" s="564">
        <v>1</v>
      </c>
      <c r="C5" s="564" t="s">
        <v>649</v>
      </c>
      <c r="D5" s="565">
        <v>18264</v>
      </c>
      <c r="E5" s="566">
        <v>7.92</v>
      </c>
      <c r="F5" s="566">
        <v>33</v>
      </c>
      <c r="G5" s="564" t="s">
        <v>650</v>
      </c>
      <c r="H5" s="564" t="s">
        <v>651</v>
      </c>
      <c r="I5" s="564" t="s">
        <v>652</v>
      </c>
      <c r="J5" s="564" t="s">
        <v>653</v>
      </c>
      <c r="K5" s="564" t="s">
        <v>652</v>
      </c>
      <c r="L5" s="564" t="s">
        <v>653</v>
      </c>
      <c r="M5" s="564">
        <v>0</v>
      </c>
      <c r="N5" s="564">
        <v>-0.03</v>
      </c>
      <c r="O5" s="564">
        <v>0.03</v>
      </c>
      <c r="P5" s="564">
        <v>5.9399999999999897</v>
      </c>
      <c r="Q5" s="564">
        <v>1</v>
      </c>
      <c r="R5" s="564">
        <v>0</v>
      </c>
      <c r="S5" s="564">
        <v>0</v>
      </c>
      <c r="T5" s="564"/>
      <c r="U5" s="564"/>
      <c r="V5" s="564"/>
      <c r="W5" s="564"/>
      <c r="X5" s="564"/>
      <c r="Y5" s="564"/>
      <c r="Z5" s="564"/>
      <c r="AA5" s="564"/>
      <c r="AB5" s="564"/>
      <c r="AC5" s="564" t="s">
        <v>654</v>
      </c>
      <c r="AD5" s="564" t="s">
        <v>655</v>
      </c>
      <c r="AE5" s="564"/>
      <c r="AF5" s="564"/>
      <c r="AG5" s="564"/>
      <c r="AH5" s="564"/>
      <c r="AI5" s="564"/>
      <c r="AJ5" s="564"/>
      <c r="AK5" s="564" t="s">
        <v>656</v>
      </c>
      <c r="AL5" s="564"/>
      <c r="AM5" s="564"/>
    </row>
    <row r="6" spans="2:39" x14ac:dyDescent="0.2">
      <c r="B6" s="422">
        <v>2</v>
      </c>
      <c r="C6" s="564" t="s">
        <v>657</v>
      </c>
      <c r="D6" s="567">
        <v>18264</v>
      </c>
      <c r="E6" s="568">
        <v>7.92</v>
      </c>
      <c r="F6" s="568">
        <v>33</v>
      </c>
      <c r="G6" s="564" t="s">
        <v>650</v>
      </c>
      <c r="H6" s="564" t="s">
        <v>651</v>
      </c>
      <c r="I6" s="564" t="s">
        <v>652</v>
      </c>
      <c r="J6" s="564" t="s">
        <v>653</v>
      </c>
      <c r="K6" s="564" t="s">
        <v>652</v>
      </c>
      <c r="L6" s="564" t="s">
        <v>653</v>
      </c>
      <c r="M6" s="564">
        <v>0</v>
      </c>
      <c r="N6" s="564">
        <v>-0.03</v>
      </c>
      <c r="O6" s="564">
        <v>0.03</v>
      </c>
      <c r="P6" s="564">
        <v>5.9399999999999897</v>
      </c>
      <c r="Q6" s="564">
        <v>1</v>
      </c>
      <c r="R6" s="564">
        <v>0</v>
      </c>
      <c r="S6" s="564">
        <v>0</v>
      </c>
      <c r="T6" s="564"/>
      <c r="U6" s="564"/>
      <c r="V6" s="564"/>
      <c r="W6" s="564"/>
      <c r="X6" s="564"/>
      <c r="Y6" s="564"/>
      <c r="Z6" s="564"/>
      <c r="AA6" s="564"/>
      <c r="AB6" s="564"/>
      <c r="AC6" s="564" t="s">
        <v>654</v>
      </c>
      <c r="AD6" s="564" t="s">
        <v>655</v>
      </c>
      <c r="AE6" s="564"/>
      <c r="AF6" s="564"/>
      <c r="AG6" s="564"/>
      <c r="AH6" s="564"/>
      <c r="AI6" s="564"/>
      <c r="AJ6" s="564"/>
      <c r="AK6" s="564" t="s">
        <v>656</v>
      </c>
      <c r="AL6" s="564"/>
      <c r="AM6" s="564"/>
    </row>
    <row r="8" spans="2:39" x14ac:dyDescent="0.2">
      <c r="B8" s="480" t="s">
        <v>658</v>
      </c>
    </row>
    <row r="9" spans="2:39" ht="51" x14ac:dyDescent="0.2">
      <c r="B9" s="392" t="s">
        <v>659</v>
      </c>
      <c r="C9" s="392" t="s">
        <v>660</v>
      </c>
      <c r="D9" s="392" t="s">
        <v>661</v>
      </c>
      <c r="E9" s="392" t="s">
        <v>662</v>
      </c>
      <c r="F9" s="392" t="s">
        <v>663</v>
      </c>
      <c r="G9" s="392" t="s">
        <v>664</v>
      </c>
      <c r="H9" s="392" t="s">
        <v>665</v>
      </c>
      <c r="I9" s="392" t="s">
        <v>666</v>
      </c>
      <c r="J9" s="413" t="s">
        <v>667</v>
      </c>
      <c r="K9" s="392" t="s">
        <v>668</v>
      </c>
      <c r="L9" s="392" t="s">
        <v>669</v>
      </c>
      <c r="M9" s="392" t="s">
        <v>670</v>
      </c>
      <c r="N9" s="392" t="s">
        <v>671</v>
      </c>
      <c r="O9" s="392" t="s">
        <v>672</v>
      </c>
      <c r="P9" s="569" t="s">
        <v>673</v>
      </c>
      <c r="Q9" s="569" t="s">
        <v>674</v>
      </c>
    </row>
    <row r="10" spans="2:39" x14ac:dyDescent="0.2">
      <c r="B10" s="422" t="s">
        <v>579</v>
      </c>
      <c r="C10" s="422" t="s">
        <v>579</v>
      </c>
      <c r="D10" s="567">
        <v>39083</v>
      </c>
      <c r="E10" s="422"/>
      <c r="F10" s="422" t="s">
        <v>656</v>
      </c>
      <c r="G10" s="422"/>
      <c r="H10" s="422">
        <v>188</v>
      </c>
      <c r="I10" s="422">
        <v>130</v>
      </c>
      <c r="J10" s="422">
        <v>7.1</v>
      </c>
      <c r="K10" s="422"/>
      <c r="L10" s="422">
        <v>12.101000000000001</v>
      </c>
      <c r="M10" s="422">
        <v>8907</v>
      </c>
      <c r="N10" s="422"/>
      <c r="O10" s="422" t="s">
        <v>675</v>
      </c>
      <c r="P10" s="484"/>
      <c r="Q10" s="484" t="s">
        <v>656</v>
      </c>
    </row>
    <row r="11" spans="2:39" x14ac:dyDescent="0.2">
      <c r="B11" s="570"/>
      <c r="C11" s="570"/>
      <c r="D11" s="571"/>
      <c r="E11" s="570"/>
      <c r="F11" s="570"/>
      <c r="G11" s="570"/>
      <c r="H11" s="570"/>
      <c r="I11" s="570"/>
      <c r="J11" s="570"/>
      <c r="K11" s="570"/>
      <c r="L11" s="570"/>
      <c r="M11" s="570"/>
      <c r="N11" s="570"/>
      <c r="O11" s="570"/>
      <c r="Q11" s="570"/>
    </row>
    <row r="12" spans="2:39" x14ac:dyDescent="0.2">
      <c r="B12" s="480" t="s">
        <v>676</v>
      </c>
      <c r="P12" s="480"/>
    </row>
    <row r="13" spans="2:39" x14ac:dyDescent="0.2">
      <c r="B13" s="525" t="s">
        <v>659</v>
      </c>
      <c r="C13" s="525" t="s">
        <v>385</v>
      </c>
      <c r="D13" s="525" t="s">
        <v>677</v>
      </c>
      <c r="E13" s="525" t="s">
        <v>678</v>
      </c>
      <c r="F13" s="525" t="s">
        <v>679</v>
      </c>
      <c r="G13" s="525" t="s">
        <v>150</v>
      </c>
      <c r="H13" s="525" t="s">
        <v>680</v>
      </c>
      <c r="I13" s="525" t="s">
        <v>681</v>
      </c>
      <c r="J13" s="525" t="s">
        <v>396</v>
      </c>
      <c r="K13" s="525" t="s">
        <v>682</v>
      </c>
      <c r="L13" s="525" t="s">
        <v>402</v>
      </c>
      <c r="M13" s="525" t="s">
        <v>683</v>
      </c>
      <c r="N13" s="525" t="s">
        <v>684</v>
      </c>
    </row>
    <row r="14" spans="2:39" x14ac:dyDescent="0.2">
      <c r="B14" s="422" t="s">
        <v>579</v>
      </c>
      <c r="C14" s="572">
        <v>8.0000000000000004E-4</v>
      </c>
      <c r="D14" s="572">
        <v>8.9999999999999998E-4</v>
      </c>
      <c r="E14" s="572">
        <v>0</v>
      </c>
      <c r="F14" s="572">
        <v>0</v>
      </c>
      <c r="G14" s="572">
        <v>1.2999999999999999E-2</v>
      </c>
      <c r="H14" s="572">
        <v>1E-4</v>
      </c>
      <c r="I14" s="572">
        <v>0</v>
      </c>
      <c r="J14" s="572">
        <v>7.5999999999999998E-2</v>
      </c>
      <c r="K14" s="572">
        <v>2.3E-3</v>
      </c>
      <c r="L14" s="572">
        <v>3.2000000000000001E-2</v>
      </c>
      <c r="M14" s="572">
        <v>1</v>
      </c>
      <c r="N14" s="572">
        <v>0.28999999999999998</v>
      </c>
    </row>
    <row r="16" spans="2:39" x14ac:dyDescent="0.2">
      <c r="B16" s="480" t="s">
        <v>685</v>
      </c>
    </row>
    <row r="17" spans="2:6" x14ac:dyDescent="0.2">
      <c r="B17" s="525" t="s">
        <v>686</v>
      </c>
      <c r="C17" s="525" t="s">
        <v>661</v>
      </c>
      <c r="D17" s="525" t="s">
        <v>687</v>
      </c>
      <c r="E17" s="525" t="s">
        <v>688</v>
      </c>
      <c r="F17" s="525" t="s">
        <v>689</v>
      </c>
    </row>
    <row r="18" spans="2:6" x14ac:dyDescent="0.2">
      <c r="B18" s="573"/>
      <c r="C18" s="573"/>
      <c r="D18" s="573"/>
      <c r="E18" s="573"/>
      <c r="F18" s="573"/>
    </row>
    <row r="19" spans="2:6" x14ac:dyDescent="0.2">
      <c r="B19" s="574" t="s">
        <v>649</v>
      </c>
      <c r="C19" s="575">
        <v>45292</v>
      </c>
      <c r="D19" s="574">
        <v>17000</v>
      </c>
      <c r="E19" s="576" t="s">
        <v>690</v>
      </c>
      <c r="F19" s="574" t="s">
        <v>579</v>
      </c>
    </row>
    <row r="20" spans="2:6" x14ac:dyDescent="0.2">
      <c r="B20" s="574" t="s">
        <v>649</v>
      </c>
      <c r="C20" s="575">
        <v>45323</v>
      </c>
      <c r="D20" s="574">
        <v>17000</v>
      </c>
      <c r="E20" s="576" t="s">
        <v>690</v>
      </c>
      <c r="F20" s="574" t="s">
        <v>579</v>
      </c>
    </row>
    <row r="21" spans="2:6" x14ac:dyDescent="0.2">
      <c r="B21" s="574" t="s">
        <v>649</v>
      </c>
      <c r="C21" s="575">
        <v>45352</v>
      </c>
      <c r="D21" s="574">
        <v>17000</v>
      </c>
      <c r="E21" s="576" t="s">
        <v>690</v>
      </c>
      <c r="F21" s="574" t="s">
        <v>579</v>
      </c>
    </row>
    <row r="22" spans="2:6" x14ac:dyDescent="0.2">
      <c r="B22" s="574" t="s">
        <v>649</v>
      </c>
      <c r="C22" s="575">
        <v>45383</v>
      </c>
      <c r="D22" s="574">
        <v>17000</v>
      </c>
      <c r="E22" s="576" t="s">
        <v>690</v>
      </c>
      <c r="F22" s="574" t="s">
        <v>579</v>
      </c>
    </row>
    <row r="23" spans="2:6" x14ac:dyDescent="0.2">
      <c r="B23" s="574" t="s">
        <v>649</v>
      </c>
      <c r="C23" s="575">
        <v>45413</v>
      </c>
      <c r="D23" s="574">
        <v>17000</v>
      </c>
      <c r="E23" s="576" t="s">
        <v>690</v>
      </c>
      <c r="F23" s="574" t="s">
        <v>579</v>
      </c>
    </row>
    <row r="24" spans="2:6" x14ac:dyDescent="0.2">
      <c r="B24" s="574" t="s">
        <v>649</v>
      </c>
      <c r="C24" s="575">
        <v>45444</v>
      </c>
      <c r="D24" s="574">
        <v>17000</v>
      </c>
      <c r="E24" s="576" t="s">
        <v>690</v>
      </c>
      <c r="F24" s="574" t="s">
        <v>579</v>
      </c>
    </row>
    <row r="25" spans="2:6" x14ac:dyDescent="0.2">
      <c r="B25" s="574" t="s">
        <v>649</v>
      </c>
      <c r="C25" s="575">
        <v>45474</v>
      </c>
      <c r="D25" s="574">
        <v>17000</v>
      </c>
      <c r="E25" s="576" t="s">
        <v>690</v>
      </c>
      <c r="F25" s="574" t="s">
        <v>579</v>
      </c>
    </row>
    <row r="26" spans="2:6" x14ac:dyDescent="0.2">
      <c r="B26" s="574" t="s">
        <v>649</v>
      </c>
      <c r="C26" s="575">
        <v>45505</v>
      </c>
      <c r="D26" s="574">
        <v>17000</v>
      </c>
      <c r="E26" s="576" t="s">
        <v>690</v>
      </c>
      <c r="F26" s="574" t="s">
        <v>579</v>
      </c>
    </row>
    <row r="27" spans="2:6" x14ac:dyDescent="0.2">
      <c r="B27" s="574" t="s">
        <v>649</v>
      </c>
      <c r="C27" s="575">
        <v>45536</v>
      </c>
      <c r="D27" s="574">
        <v>17000</v>
      </c>
      <c r="E27" s="576" t="s">
        <v>690</v>
      </c>
      <c r="F27" s="574" t="s">
        <v>579</v>
      </c>
    </row>
    <row r="28" spans="2:6" x14ac:dyDescent="0.2">
      <c r="B28" s="574" t="s">
        <v>649</v>
      </c>
      <c r="C28" s="575">
        <v>45566</v>
      </c>
      <c r="D28" s="574">
        <v>17000</v>
      </c>
      <c r="E28" s="576" t="s">
        <v>690</v>
      </c>
      <c r="F28" s="574" t="s">
        <v>579</v>
      </c>
    </row>
    <row r="29" spans="2:6" x14ac:dyDescent="0.2">
      <c r="B29" s="574" t="s">
        <v>649</v>
      </c>
      <c r="C29" s="575">
        <v>45597</v>
      </c>
      <c r="D29" s="574">
        <v>17000</v>
      </c>
      <c r="E29" s="576" t="s">
        <v>690</v>
      </c>
      <c r="F29" s="574" t="s">
        <v>579</v>
      </c>
    </row>
    <row r="30" spans="2:6" x14ac:dyDescent="0.2">
      <c r="B30" s="574" t="s">
        <v>649</v>
      </c>
      <c r="C30" s="575">
        <v>45627</v>
      </c>
      <c r="D30" s="574">
        <v>17000</v>
      </c>
      <c r="E30" s="576" t="s">
        <v>690</v>
      </c>
      <c r="F30" s="574" t="s">
        <v>579</v>
      </c>
    </row>
    <row r="31" spans="2:6" x14ac:dyDescent="0.2">
      <c r="B31" s="574" t="s">
        <v>657</v>
      </c>
      <c r="C31" s="575">
        <v>45292</v>
      </c>
      <c r="D31" s="574">
        <v>17000</v>
      </c>
      <c r="E31" s="576" t="s">
        <v>690</v>
      </c>
      <c r="F31" s="574" t="s">
        <v>579</v>
      </c>
    </row>
    <row r="32" spans="2:6" x14ac:dyDescent="0.2">
      <c r="B32" s="574" t="s">
        <v>657</v>
      </c>
      <c r="C32" s="575">
        <v>45323</v>
      </c>
      <c r="D32" s="574">
        <v>17000</v>
      </c>
      <c r="E32" s="576" t="s">
        <v>690</v>
      </c>
      <c r="F32" s="574" t="s">
        <v>579</v>
      </c>
    </row>
    <row r="33" spans="2:6" x14ac:dyDescent="0.2">
      <c r="B33" s="574" t="s">
        <v>657</v>
      </c>
      <c r="C33" s="575">
        <v>45352</v>
      </c>
      <c r="D33" s="574">
        <v>17000</v>
      </c>
      <c r="E33" s="576" t="s">
        <v>690</v>
      </c>
      <c r="F33" s="574" t="s">
        <v>579</v>
      </c>
    </row>
    <row r="34" spans="2:6" x14ac:dyDescent="0.2">
      <c r="B34" s="574" t="s">
        <v>657</v>
      </c>
      <c r="C34" s="575">
        <v>45383</v>
      </c>
      <c r="D34" s="574">
        <v>17000</v>
      </c>
      <c r="E34" s="576" t="s">
        <v>690</v>
      </c>
      <c r="F34" s="574" t="s">
        <v>579</v>
      </c>
    </row>
    <row r="35" spans="2:6" x14ac:dyDescent="0.2">
      <c r="B35" s="574" t="s">
        <v>657</v>
      </c>
      <c r="C35" s="575">
        <v>45413</v>
      </c>
      <c r="D35" s="574">
        <v>17000</v>
      </c>
      <c r="E35" s="576" t="s">
        <v>690</v>
      </c>
      <c r="F35" s="574" t="s">
        <v>579</v>
      </c>
    </row>
    <row r="36" spans="2:6" x14ac:dyDescent="0.2">
      <c r="B36" s="574" t="s">
        <v>657</v>
      </c>
      <c r="C36" s="575">
        <v>45444</v>
      </c>
      <c r="D36" s="574">
        <v>17000</v>
      </c>
      <c r="E36" s="576" t="s">
        <v>690</v>
      </c>
      <c r="F36" s="574" t="s">
        <v>579</v>
      </c>
    </row>
    <row r="37" spans="2:6" x14ac:dyDescent="0.2">
      <c r="B37" s="574" t="s">
        <v>657</v>
      </c>
      <c r="C37" s="575">
        <v>45474</v>
      </c>
      <c r="D37" s="574">
        <v>17000</v>
      </c>
      <c r="E37" s="576" t="s">
        <v>690</v>
      </c>
      <c r="F37" s="574" t="s">
        <v>579</v>
      </c>
    </row>
    <row r="38" spans="2:6" x14ac:dyDescent="0.2">
      <c r="B38" s="574" t="s">
        <v>657</v>
      </c>
      <c r="C38" s="575">
        <v>45505</v>
      </c>
      <c r="D38" s="574">
        <v>17000</v>
      </c>
      <c r="E38" s="576" t="s">
        <v>690</v>
      </c>
      <c r="F38" s="574" t="s">
        <v>579</v>
      </c>
    </row>
    <row r="39" spans="2:6" x14ac:dyDescent="0.2">
      <c r="B39" s="574" t="s">
        <v>657</v>
      </c>
      <c r="C39" s="575">
        <v>45536</v>
      </c>
      <c r="D39" s="574">
        <v>17000</v>
      </c>
      <c r="E39" s="576" t="s">
        <v>690</v>
      </c>
      <c r="F39" s="574" t="s">
        <v>579</v>
      </c>
    </row>
    <row r="40" spans="2:6" x14ac:dyDescent="0.2">
      <c r="B40" s="574" t="s">
        <v>657</v>
      </c>
      <c r="C40" s="575">
        <v>45566</v>
      </c>
      <c r="D40" s="574">
        <v>17000</v>
      </c>
      <c r="E40" s="576" t="s">
        <v>690</v>
      </c>
      <c r="F40" s="574" t="s">
        <v>579</v>
      </c>
    </row>
    <row r="41" spans="2:6" x14ac:dyDescent="0.2">
      <c r="B41" s="574" t="s">
        <v>657</v>
      </c>
      <c r="C41" s="575">
        <v>45597</v>
      </c>
      <c r="D41" s="574">
        <v>17000</v>
      </c>
      <c r="E41" s="576" t="s">
        <v>690</v>
      </c>
      <c r="F41" s="574" t="s">
        <v>579</v>
      </c>
    </row>
    <row r="42" spans="2:6" x14ac:dyDescent="0.2">
      <c r="B42" s="572" t="s">
        <v>657</v>
      </c>
      <c r="C42" s="577">
        <v>45627</v>
      </c>
      <c r="D42" s="572">
        <v>17000</v>
      </c>
      <c r="E42" s="578" t="s">
        <v>690</v>
      </c>
      <c r="F42" s="572" t="s">
        <v>579</v>
      </c>
    </row>
    <row r="46" spans="2:6" ht="12.75" customHeight="1" x14ac:dyDescent="0.2"/>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2C513-8BD8-4941-9FAB-101AE7ED760E}">
  <dimension ref="B1:BO34"/>
  <sheetViews>
    <sheetView view="pageBreakPreview" zoomScale="60" zoomScaleNormal="100" workbookViewId="0">
      <selection activeCell="C37" sqref="C37"/>
    </sheetView>
  </sheetViews>
  <sheetFormatPr defaultColWidth="9.140625" defaultRowHeight="12.75" x14ac:dyDescent="0.2"/>
  <cols>
    <col min="1" max="1" width="9.140625" style="153"/>
    <col min="2" max="2" width="21.42578125" style="153" customWidth="1"/>
    <col min="3" max="3" width="19.5703125" style="153" bestFit="1" customWidth="1"/>
    <col min="4" max="4" width="11.7109375" style="153" bestFit="1" customWidth="1"/>
    <col min="5" max="5" width="9.140625" style="153"/>
    <col min="6" max="6" width="9.42578125" style="153" bestFit="1" customWidth="1"/>
    <col min="7" max="7" width="21.5703125" style="153" customWidth="1"/>
    <col min="8" max="8" width="32.5703125" style="153" bestFit="1" customWidth="1"/>
    <col min="9" max="9" width="34" style="153" bestFit="1" customWidth="1"/>
    <col min="10" max="10" width="15.42578125" style="153" bestFit="1" customWidth="1"/>
    <col min="11" max="13" width="9.140625" style="153"/>
    <col min="14" max="18" width="9.85546875" style="153" bestFit="1" customWidth="1"/>
    <col min="19" max="19" width="31.42578125" style="153" bestFit="1" customWidth="1"/>
    <col min="20" max="20" width="14.28515625" style="153" bestFit="1" customWidth="1"/>
    <col min="21" max="21" width="12.5703125" style="153" bestFit="1" customWidth="1"/>
    <col min="22" max="23" width="15.28515625" style="153" bestFit="1" customWidth="1"/>
    <col min="24" max="25" width="14.28515625" style="153" bestFit="1" customWidth="1"/>
    <col min="26" max="26" width="12.5703125" style="153" bestFit="1" customWidth="1"/>
    <col min="27" max="27" width="9.85546875" style="153" bestFit="1" customWidth="1"/>
    <col min="28" max="29" width="12.5703125" style="153" bestFit="1" customWidth="1"/>
    <col min="30" max="31" width="9.85546875" style="153" bestFit="1" customWidth="1"/>
    <col min="32" max="32" width="14.28515625" style="153" bestFit="1" customWidth="1"/>
    <col min="33" max="33" width="9.85546875" style="153" bestFit="1" customWidth="1"/>
    <col min="34" max="36" width="9.5703125" style="153" bestFit="1" customWidth="1"/>
    <col min="37" max="37" width="15.28515625" style="153" bestFit="1" customWidth="1"/>
    <col min="38" max="38" width="9.5703125" style="153" bestFit="1" customWidth="1"/>
    <col min="39" max="39" width="15.28515625" style="153" bestFit="1" customWidth="1"/>
    <col min="40" max="41" width="9.5703125" style="153" bestFit="1" customWidth="1"/>
    <col min="42" max="42" width="8.140625" style="153" customWidth="1"/>
    <col min="43" max="43" width="14.28515625" style="153" bestFit="1" customWidth="1"/>
    <col min="44" max="44" width="9.5703125" style="153" bestFit="1" customWidth="1"/>
    <col min="45" max="45" width="14.28515625" style="153" bestFit="1" customWidth="1"/>
    <col min="46" max="48" width="9.5703125" style="153" bestFit="1" customWidth="1"/>
    <col min="49" max="49" width="15.28515625" style="153" bestFit="1" customWidth="1"/>
    <col min="50" max="50" width="9.5703125" style="153" bestFit="1" customWidth="1"/>
    <col min="51" max="51" width="15.28515625" style="153" bestFit="1" customWidth="1"/>
    <col min="52" max="52" width="14.28515625" style="153" bestFit="1" customWidth="1"/>
    <col min="53" max="53" width="9.5703125" style="153" bestFit="1" customWidth="1"/>
    <col min="54" max="54" width="14.28515625" style="153" bestFit="1" customWidth="1"/>
    <col min="55" max="58" width="9.5703125" style="153" bestFit="1" customWidth="1"/>
    <col min="59" max="59" width="12.5703125" style="153" customWidth="1"/>
    <col min="60" max="63" width="9.5703125" style="153" bestFit="1" customWidth="1"/>
    <col min="64" max="16384" width="9.140625" style="153"/>
  </cols>
  <sheetData>
    <row r="1" spans="2:67" x14ac:dyDescent="0.2">
      <c r="B1" s="480" t="s">
        <v>691</v>
      </c>
    </row>
    <row r="3" spans="2:67" x14ac:dyDescent="0.2">
      <c r="B3" s="579" t="s">
        <v>692</v>
      </c>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row>
    <row r="4" spans="2:67" x14ac:dyDescent="0.2">
      <c r="B4" s="580" t="s">
        <v>693</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8"/>
      <c r="AW4" s="368"/>
      <c r="AX4" s="368"/>
      <c r="AY4" s="368"/>
      <c r="AZ4" s="368"/>
      <c r="BA4" s="368"/>
      <c r="BB4" s="368"/>
      <c r="BC4" s="368"/>
      <c r="BD4" s="368"/>
      <c r="BE4" s="368"/>
      <c r="BF4" s="368"/>
      <c r="BG4" s="368"/>
      <c r="BH4" s="368"/>
      <c r="BI4" s="368"/>
      <c r="BJ4" s="368"/>
      <c r="BK4" s="368"/>
    </row>
    <row r="5" spans="2:67" x14ac:dyDescent="0.2">
      <c r="B5" s="580" t="s">
        <v>694</v>
      </c>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c r="BG5" s="368"/>
      <c r="BH5" s="368"/>
      <c r="BI5" s="368"/>
      <c r="BJ5" s="368"/>
      <c r="BK5" s="368"/>
    </row>
    <row r="6" spans="2:67" x14ac:dyDescent="0.2">
      <c r="B6" s="581" t="s">
        <v>695</v>
      </c>
      <c r="C6" s="581" t="s">
        <v>695</v>
      </c>
      <c r="D6" s="581" t="s">
        <v>695</v>
      </c>
      <c r="E6" s="581" t="s">
        <v>695</v>
      </c>
      <c r="F6" s="581" t="s">
        <v>695</v>
      </c>
      <c r="G6" s="581" t="s">
        <v>695</v>
      </c>
      <c r="H6" s="581" t="s">
        <v>695</v>
      </c>
      <c r="I6" s="581" t="s">
        <v>695</v>
      </c>
      <c r="J6" s="581" t="s">
        <v>695</v>
      </c>
      <c r="K6" s="581" t="s">
        <v>695</v>
      </c>
      <c r="L6" s="581" t="s">
        <v>695</v>
      </c>
      <c r="M6" s="581" t="s">
        <v>695</v>
      </c>
      <c r="N6" s="581" t="s">
        <v>695</v>
      </c>
      <c r="O6" s="581" t="s">
        <v>695</v>
      </c>
      <c r="P6" s="581" t="s">
        <v>695</v>
      </c>
      <c r="Q6" s="581" t="s">
        <v>695</v>
      </c>
      <c r="R6" s="581" t="s">
        <v>695</v>
      </c>
      <c r="S6" s="581" t="s">
        <v>695</v>
      </c>
      <c r="T6" s="581" t="s">
        <v>695</v>
      </c>
      <c r="U6" s="581" t="s">
        <v>695</v>
      </c>
      <c r="V6" s="581" t="s">
        <v>695</v>
      </c>
      <c r="W6" s="581" t="s">
        <v>695</v>
      </c>
      <c r="X6" s="581" t="s">
        <v>695</v>
      </c>
      <c r="Y6" s="581" t="s">
        <v>695</v>
      </c>
      <c r="Z6" s="581" t="s">
        <v>695</v>
      </c>
      <c r="AA6" s="581" t="s">
        <v>695</v>
      </c>
      <c r="AB6" s="581" t="s">
        <v>695</v>
      </c>
      <c r="AC6" s="581" t="s">
        <v>695</v>
      </c>
      <c r="AD6" s="581" t="s">
        <v>695</v>
      </c>
      <c r="AE6" s="581" t="s">
        <v>695</v>
      </c>
      <c r="AF6" s="581" t="s">
        <v>695</v>
      </c>
      <c r="AG6" s="581" t="s">
        <v>695</v>
      </c>
      <c r="AH6" s="581" t="s">
        <v>695</v>
      </c>
      <c r="AI6" s="581" t="s">
        <v>695</v>
      </c>
      <c r="AJ6" s="581" t="s">
        <v>695</v>
      </c>
      <c r="AK6" s="581" t="s">
        <v>695</v>
      </c>
      <c r="AL6" s="581" t="s">
        <v>695</v>
      </c>
      <c r="AM6" s="581" t="s">
        <v>695</v>
      </c>
      <c r="AN6" s="581" t="s">
        <v>695</v>
      </c>
      <c r="AO6" s="581" t="s">
        <v>695</v>
      </c>
      <c r="AP6" s="581" t="s">
        <v>696</v>
      </c>
      <c r="AQ6" s="581" t="s">
        <v>695</v>
      </c>
      <c r="AR6" s="581" t="s">
        <v>695</v>
      </c>
      <c r="AS6" s="581" t="s">
        <v>695</v>
      </c>
      <c r="AT6" s="581" t="s">
        <v>695</v>
      </c>
      <c r="AU6" s="581" t="s">
        <v>695</v>
      </c>
      <c r="AV6" s="581" t="s">
        <v>695</v>
      </c>
      <c r="AW6" s="581" t="s">
        <v>695</v>
      </c>
      <c r="AX6" s="581" t="s">
        <v>695</v>
      </c>
      <c r="AY6" s="581" t="s">
        <v>695</v>
      </c>
      <c r="AZ6" s="581" t="s">
        <v>695</v>
      </c>
      <c r="BA6" s="581" t="s">
        <v>695</v>
      </c>
      <c r="BB6" s="581" t="s">
        <v>695</v>
      </c>
      <c r="BC6" s="581" t="s">
        <v>695</v>
      </c>
      <c r="BD6" s="581" t="s">
        <v>695</v>
      </c>
      <c r="BE6" s="581" t="s">
        <v>695</v>
      </c>
      <c r="BF6" s="581" t="s">
        <v>695</v>
      </c>
      <c r="BG6" s="581" t="s">
        <v>695</v>
      </c>
      <c r="BH6" s="581" t="s">
        <v>695</v>
      </c>
      <c r="BI6" s="581" t="s">
        <v>695</v>
      </c>
      <c r="BJ6" s="581" t="s">
        <v>695</v>
      </c>
      <c r="BK6" s="581" t="s">
        <v>695</v>
      </c>
    </row>
    <row r="7" spans="2:67" x14ac:dyDescent="0.2">
      <c r="B7" s="581" t="s">
        <v>612</v>
      </c>
      <c r="C7" s="581" t="s">
        <v>697</v>
      </c>
      <c r="D7" s="581" t="s">
        <v>698</v>
      </c>
      <c r="E7" s="581" t="s">
        <v>699</v>
      </c>
      <c r="F7" s="581" t="s">
        <v>664</v>
      </c>
      <c r="G7" s="581" t="s">
        <v>700</v>
      </c>
      <c r="H7" s="581" t="s">
        <v>701</v>
      </c>
      <c r="I7" s="581" t="s">
        <v>702</v>
      </c>
      <c r="J7" s="581" t="s">
        <v>703</v>
      </c>
      <c r="K7" s="581" t="s">
        <v>704</v>
      </c>
      <c r="L7" s="581" t="s">
        <v>705</v>
      </c>
      <c r="M7" s="581" t="s">
        <v>706</v>
      </c>
      <c r="N7" s="581" t="s">
        <v>707</v>
      </c>
      <c r="O7" s="581" t="s">
        <v>708</v>
      </c>
      <c r="P7" s="581" t="s">
        <v>709</v>
      </c>
      <c r="Q7" s="581" t="s">
        <v>710</v>
      </c>
      <c r="R7" s="581" t="s">
        <v>711</v>
      </c>
      <c r="S7" s="581" t="s">
        <v>712</v>
      </c>
      <c r="T7" s="581" t="s">
        <v>713</v>
      </c>
      <c r="U7" s="581" t="s">
        <v>382</v>
      </c>
      <c r="V7" s="581" t="s">
        <v>385</v>
      </c>
      <c r="W7" s="581" t="s">
        <v>677</v>
      </c>
      <c r="X7" s="581" t="s">
        <v>714</v>
      </c>
      <c r="Y7" s="581" t="s">
        <v>715</v>
      </c>
      <c r="Z7" s="581" t="s">
        <v>716</v>
      </c>
      <c r="AA7" s="581" t="s">
        <v>717</v>
      </c>
      <c r="AB7" s="581" t="s">
        <v>389</v>
      </c>
      <c r="AC7" s="581" t="s">
        <v>718</v>
      </c>
      <c r="AD7" s="581" t="s">
        <v>719</v>
      </c>
      <c r="AE7" s="581" t="s">
        <v>720</v>
      </c>
      <c r="AF7" s="581" t="s">
        <v>721</v>
      </c>
      <c r="AG7" s="581" t="s">
        <v>678</v>
      </c>
      <c r="AH7" s="581" t="s">
        <v>722</v>
      </c>
      <c r="AI7" s="581" t="s">
        <v>723</v>
      </c>
      <c r="AJ7" s="581" t="s">
        <v>724</v>
      </c>
      <c r="AK7" s="581" t="s">
        <v>150</v>
      </c>
      <c r="AL7" s="581" t="s">
        <v>725</v>
      </c>
      <c r="AM7" s="581" t="s">
        <v>680</v>
      </c>
      <c r="AN7" s="581" t="s">
        <v>726</v>
      </c>
      <c r="AO7" s="581" t="s">
        <v>681</v>
      </c>
      <c r="AP7" s="581" t="s">
        <v>367</v>
      </c>
      <c r="AQ7" s="581" t="s">
        <v>727</v>
      </c>
      <c r="AR7" s="581" t="s">
        <v>728</v>
      </c>
      <c r="AS7" s="581" t="s">
        <v>729</v>
      </c>
      <c r="AT7" s="581" t="s">
        <v>730</v>
      </c>
      <c r="AU7" s="581" t="s">
        <v>731</v>
      </c>
      <c r="AV7" s="581" t="s">
        <v>732</v>
      </c>
      <c r="AW7" s="581" t="s">
        <v>396</v>
      </c>
      <c r="AX7" s="581" t="s">
        <v>733</v>
      </c>
      <c r="AY7" s="581" t="s">
        <v>682</v>
      </c>
      <c r="AZ7" s="581" t="s">
        <v>400</v>
      </c>
      <c r="BA7" s="581" t="s">
        <v>734</v>
      </c>
      <c r="BB7" s="581" t="s">
        <v>735</v>
      </c>
      <c r="BC7" s="581" t="s">
        <v>736</v>
      </c>
      <c r="BD7" s="581" t="s">
        <v>737</v>
      </c>
      <c r="BE7" s="581" t="s">
        <v>738</v>
      </c>
      <c r="BF7" s="581" t="s">
        <v>402</v>
      </c>
      <c r="BG7" s="581" t="s">
        <v>739</v>
      </c>
      <c r="BH7" s="581" t="s">
        <v>684</v>
      </c>
      <c r="BI7" s="581" t="s">
        <v>740</v>
      </c>
      <c r="BJ7" s="581" t="s">
        <v>741</v>
      </c>
      <c r="BK7" s="581" t="s">
        <v>742</v>
      </c>
      <c r="BN7" s="582"/>
      <c r="BO7" s="582"/>
    </row>
    <row r="8" spans="2:67" x14ac:dyDescent="0.2">
      <c r="B8" s="396" t="s">
        <v>649</v>
      </c>
      <c r="C8" s="396">
        <v>18.242091092086515</v>
      </c>
      <c r="D8" s="396" t="s">
        <v>650</v>
      </c>
      <c r="E8" s="396" t="s">
        <v>579</v>
      </c>
      <c r="F8" s="396">
        <v>0</v>
      </c>
      <c r="G8" s="396">
        <v>17000</v>
      </c>
      <c r="H8" s="396">
        <v>29.27298</v>
      </c>
      <c r="I8" s="396">
        <v>29.770605434363695</v>
      </c>
      <c r="J8" s="396">
        <v>2.2488717735981677E-3</v>
      </c>
      <c r="K8" s="396" t="s">
        <v>743</v>
      </c>
      <c r="L8" s="396" t="s">
        <v>743</v>
      </c>
      <c r="M8" s="396" t="s">
        <v>743</v>
      </c>
      <c r="N8" s="396">
        <v>31</v>
      </c>
      <c r="O8" s="396">
        <v>2.6489143059891071E-2</v>
      </c>
      <c r="P8" s="396">
        <v>0.1263567830498426</v>
      </c>
      <c r="Q8" s="396">
        <v>0.15284592610973369</v>
      </c>
      <c r="R8" s="396">
        <v>0</v>
      </c>
      <c r="S8" s="396">
        <v>0.15284592610973399</v>
      </c>
      <c r="T8" s="396">
        <v>0</v>
      </c>
      <c r="U8" s="396">
        <v>0</v>
      </c>
      <c r="V8" s="396">
        <v>3.7341409170848892E-4</v>
      </c>
      <c r="W8" s="396">
        <v>7.1462788125866244E-18</v>
      </c>
      <c r="X8" s="396">
        <v>0</v>
      </c>
      <c r="Y8" s="396">
        <v>0</v>
      </c>
      <c r="Z8" s="396">
        <v>0</v>
      </c>
      <c r="AA8" s="396">
        <v>0</v>
      </c>
      <c r="AB8" s="396">
        <v>0</v>
      </c>
      <c r="AC8" s="396">
        <v>0</v>
      </c>
      <c r="AD8" s="396">
        <v>0</v>
      </c>
      <c r="AE8" s="396">
        <v>0</v>
      </c>
      <c r="AF8" s="396">
        <v>0</v>
      </c>
      <c r="AG8" s="396">
        <v>0</v>
      </c>
      <c r="AH8" s="396">
        <v>0</v>
      </c>
      <c r="AI8" s="396">
        <v>0</v>
      </c>
      <c r="AJ8" s="396">
        <v>0</v>
      </c>
      <c r="AK8" s="396">
        <v>4.2473293498117905E-4</v>
      </c>
      <c r="AL8" s="396">
        <v>0</v>
      </c>
      <c r="AM8" s="396">
        <v>8.0653594163765648E-5</v>
      </c>
      <c r="AN8" s="396">
        <v>0</v>
      </c>
      <c r="AO8" s="396">
        <v>0</v>
      </c>
      <c r="AP8" s="396">
        <v>0</v>
      </c>
      <c r="AQ8" s="396">
        <v>0</v>
      </c>
      <c r="AR8" s="396">
        <v>0</v>
      </c>
      <c r="AS8" s="396">
        <v>0</v>
      </c>
      <c r="AT8" s="396">
        <v>0</v>
      </c>
      <c r="AU8" s="396">
        <v>0</v>
      </c>
      <c r="AV8" s="396">
        <v>0</v>
      </c>
      <c r="AW8" s="396">
        <v>4.0539978992329741E-5</v>
      </c>
      <c r="AX8" s="396">
        <v>0</v>
      </c>
      <c r="AY8" s="396">
        <v>2.0238848420436597E-15</v>
      </c>
      <c r="AZ8" s="396">
        <v>0</v>
      </c>
      <c r="BA8" s="396">
        <v>0</v>
      </c>
      <c r="BB8" s="396">
        <v>0</v>
      </c>
      <c r="BC8" s="396">
        <v>0</v>
      </c>
      <c r="BD8" s="396">
        <v>0</v>
      </c>
      <c r="BE8" s="396">
        <v>0</v>
      </c>
      <c r="BF8" s="396">
        <v>3.7919326601167226E-3</v>
      </c>
      <c r="BG8" s="396">
        <v>0</v>
      </c>
      <c r="BH8" s="396">
        <v>8.184748976410014E-3</v>
      </c>
      <c r="BI8" s="396">
        <v>0</v>
      </c>
      <c r="BJ8" s="396">
        <v>0</v>
      </c>
      <c r="BK8" s="396">
        <v>0</v>
      </c>
      <c r="BN8" s="583"/>
      <c r="BO8" s="583"/>
    </row>
    <row r="9" spans="2:67" x14ac:dyDescent="0.2">
      <c r="B9" s="584" t="s">
        <v>649</v>
      </c>
      <c r="C9" s="584">
        <v>18.242091092086515</v>
      </c>
      <c r="D9" s="584" t="s">
        <v>650</v>
      </c>
      <c r="E9" s="584" t="s">
        <v>579</v>
      </c>
      <c r="F9" s="584">
        <v>0</v>
      </c>
      <c r="G9" s="584">
        <v>17000</v>
      </c>
      <c r="H9" s="584">
        <v>31.042932500000003</v>
      </c>
      <c r="I9" s="584">
        <v>31.778070360417694</v>
      </c>
      <c r="J9" s="584">
        <v>2.4224153027051212E-3</v>
      </c>
      <c r="K9" s="584" t="s">
        <v>743</v>
      </c>
      <c r="L9" s="584" t="s">
        <v>743</v>
      </c>
      <c r="M9" s="584" t="s">
        <v>743</v>
      </c>
      <c r="N9" s="584">
        <v>29</v>
      </c>
      <c r="O9" s="584">
        <v>3.4823302462393305E-2</v>
      </c>
      <c r="P9" s="584">
        <v>0.13548680615140221</v>
      </c>
      <c r="Q9" s="584">
        <v>0.17031010861379553</v>
      </c>
      <c r="R9" s="584">
        <v>0</v>
      </c>
      <c r="S9" s="584">
        <v>0.17031010861379553</v>
      </c>
      <c r="T9" s="584">
        <v>0</v>
      </c>
      <c r="U9" s="584">
        <v>0</v>
      </c>
      <c r="V9" s="584">
        <v>4.1187969505982142E-4</v>
      </c>
      <c r="W9" s="584">
        <v>9.2817699340979762E-18</v>
      </c>
      <c r="X9" s="584">
        <v>0</v>
      </c>
      <c r="Y9" s="584">
        <v>0</v>
      </c>
      <c r="Z9" s="584">
        <v>0</v>
      </c>
      <c r="AA9" s="584">
        <v>0</v>
      </c>
      <c r="AB9" s="584">
        <v>0</v>
      </c>
      <c r="AC9" s="584">
        <v>0</v>
      </c>
      <c r="AD9" s="584">
        <v>0</v>
      </c>
      <c r="AE9" s="584">
        <v>0</v>
      </c>
      <c r="AF9" s="584">
        <v>0</v>
      </c>
      <c r="AG9" s="584">
        <v>0</v>
      </c>
      <c r="AH9" s="584">
        <v>0</v>
      </c>
      <c r="AI9" s="584">
        <v>0</v>
      </c>
      <c r="AJ9" s="584">
        <v>0</v>
      </c>
      <c r="AK9" s="584">
        <v>4.7649844126635988E-4</v>
      </c>
      <c r="AL9" s="584">
        <v>0</v>
      </c>
      <c r="AM9" s="584">
        <v>8.8600836171291535E-5</v>
      </c>
      <c r="AN9" s="584">
        <v>0</v>
      </c>
      <c r="AO9" s="584">
        <v>0</v>
      </c>
      <c r="AP9" s="584">
        <v>0</v>
      </c>
      <c r="AQ9" s="584">
        <v>0</v>
      </c>
      <c r="AR9" s="584">
        <v>0</v>
      </c>
      <c r="AS9" s="584">
        <v>0</v>
      </c>
      <c r="AT9" s="584">
        <v>0</v>
      </c>
      <c r="AU9" s="584">
        <v>0</v>
      </c>
      <c r="AV9" s="584">
        <v>0</v>
      </c>
      <c r="AW9" s="584">
        <v>4.6602363457045221E-5</v>
      </c>
      <c r="AX9" s="584">
        <v>0</v>
      </c>
      <c r="AY9" s="584">
        <v>2.5907599920987738E-15</v>
      </c>
      <c r="AZ9" s="584">
        <v>0</v>
      </c>
      <c r="BA9" s="584">
        <v>0</v>
      </c>
      <c r="BB9" s="584">
        <v>0</v>
      </c>
      <c r="BC9" s="584">
        <v>0</v>
      </c>
      <c r="BD9" s="584">
        <v>0</v>
      </c>
      <c r="BE9" s="584">
        <v>0</v>
      </c>
      <c r="BF9" s="584">
        <v>4.2145282385021628E-3</v>
      </c>
      <c r="BG9" s="584">
        <v>0</v>
      </c>
      <c r="BH9" s="584">
        <v>9.1870673233109545E-3</v>
      </c>
      <c r="BI9" s="584">
        <v>0</v>
      </c>
      <c r="BJ9" s="584">
        <v>0</v>
      </c>
      <c r="BK9" s="584">
        <v>0</v>
      </c>
      <c r="BN9" s="583"/>
      <c r="BO9" s="583"/>
    </row>
    <row r="10" spans="2:67" x14ac:dyDescent="0.2">
      <c r="B10" s="396" t="s">
        <v>649</v>
      </c>
      <c r="C10" s="396">
        <v>18.242091092086515</v>
      </c>
      <c r="D10" s="396" t="s">
        <v>650</v>
      </c>
      <c r="E10" s="396" t="s">
        <v>579</v>
      </c>
      <c r="F10" s="396">
        <v>0</v>
      </c>
      <c r="G10" s="396">
        <v>17000</v>
      </c>
      <c r="H10" s="396">
        <v>38.773067500000003</v>
      </c>
      <c r="I10" s="396">
        <v>39.996021579412314</v>
      </c>
      <c r="J10" s="396">
        <v>3.2636569892237604E-3</v>
      </c>
      <c r="K10" s="396" t="s">
        <v>743</v>
      </c>
      <c r="L10" s="396" t="s">
        <v>743</v>
      </c>
      <c r="M10" s="396" t="s">
        <v>743</v>
      </c>
      <c r="N10" s="396">
        <v>31</v>
      </c>
      <c r="O10" s="396">
        <v>6.0803506030070634E-2</v>
      </c>
      <c r="P10" s="396">
        <v>0.17936521879184991</v>
      </c>
      <c r="Q10" s="396">
        <v>0.24016872482192053</v>
      </c>
      <c r="R10" s="396">
        <v>0</v>
      </c>
      <c r="S10" s="396">
        <v>0.24016872482192053</v>
      </c>
      <c r="T10" s="396">
        <v>0</v>
      </c>
      <c r="U10" s="396">
        <v>0</v>
      </c>
      <c r="V10" s="396">
        <v>5.5697058456590995E-4</v>
      </c>
      <c r="W10" s="396">
        <v>2.4200499097472031E-17</v>
      </c>
      <c r="X10" s="396">
        <v>0</v>
      </c>
      <c r="Y10" s="396">
        <v>0</v>
      </c>
      <c r="Z10" s="396">
        <v>0</v>
      </c>
      <c r="AA10" s="396">
        <v>0</v>
      </c>
      <c r="AB10" s="396">
        <v>0</v>
      </c>
      <c r="AC10" s="396">
        <v>0</v>
      </c>
      <c r="AD10" s="396">
        <v>0</v>
      </c>
      <c r="AE10" s="396">
        <v>0</v>
      </c>
      <c r="AF10" s="396">
        <v>0</v>
      </c>
      <c r="AG10" s="396">
        <v>0</v>
      </c>
      <c r="AH10" s="396">
        <v>0</v>
      </c>
      <c r="AI10" s="396">
        <v>0</v>
      </c>
      <c r="AJ10" s="396">
        <v>0</v>
      </c>
      <c r="AK10" s="396">
        <v>6.8925402287989788E-4</v>
      </c>
      <c r="AL10" s="396">
        <v>0</v>
      </c>
      <c r="AM10" s="396">
        <v>1.1789527811391721E-4</v>
      </c>
      <c r="AN10" s="396">
        <v>0</v>
      </c>
      <c r="AO10" s="396">
        <v>0</v>
      </c>
      <c r="AP10" s="396">
        <v>0</v>
      </c>
      <c r="AQ10" s="396">
        <v>0</v>
      </c>
      <c r="AR10" s="396">
        <v>0</v>
      </c>
      <c r="AS10" s="396">
        <v>0</v>
      </c>
      <c r="AT10" s="396">
        <v>0</v>
      </c>
      <c r="AU10" s="396">
        <v>0</v>
      </c>
      <c r="AV10" s="396">
        <v>0</v>
      </c>
      <c r="AW10" s="396">
        <v>7.4281574664318914E-5</v>
      </c>
      <c r="AX10" s="396">
        <v>0</v>
      </c>
      <c r="AY10" s="396">
        <v>6.3726530575424799E-15</v>
      </c>
      <c r="AZ10" s="396">
        <v>0</v>
      </c>
      <c r="BA10" s="396">
        <v>0</v>
      </c>
      <c r="BB10" s="396">
        <v>0</v>
      </c>
      <c r="BC10" s="396">
        <v>0</v>
      </c>
      <c r="BD10" s="396">
        <v>0</v>
      </c>
      <c r="BE10" s="396">
        <v>0</v>
      </c>
      <c r="BF10" s="396">
        <v>5.8754367209491913E-3</v>
      </c>
      <c r="BG10" s="396">
        <v>0</v>
      </c>
      <c r="BH10" s="396">
        <v>1.3317997038217478E-2</v>
      </c>
      <c r="BI10" s="396">
        <v>0</v>
      </c>
      <c r="BJ10" s="396">
        <v>0</v>
      </c>
      <c r="BK10" s="396">
        <v>0</v>
      </c>
      <c r="BN10" s="583"/>
      <c r="BO10" s="583"/>
    </row>
    <row r="11" spans="2:67" x14ac:dyDescent="0.2">
      <c r="B11" s="584" t="s">
        <v>649</v>
      </c>
      <c r="C11" s="584">
        <v>18.242091092086515</v>
      </c>
      <c r="D11" s="584" t="s">
        <v>650</v>
      </c>
      <c r="E11" s="584" t="s">
        <v>579</v>
      </c>
      <c r="F11" s="584">
        <v>0</v>
      </c>
      <c r="G11" s="584">
        <v>17000</v>
      </c>
      <c r="H11" s="584">
        <v>42.407852499999997</v>
      </c>
      <c r="I11" s="584">
        <v>44.011903036552212</v>
      </c>
      <c r="J11" s="584">
        <v>3.7620920768276552E-3</v>
      </c>
      <c r="K11" s="584" t="s">
        <v>743</v>
      </c>
      <c r="L11" s="584" t="s">
        <v>743</v>
      </c>
      <c r="M11" s="584" t="s">
        <v>743</v>
      </c>
      <c r="N11" s="584">
        <v>30</v>
      </c>
      <c r="O11" s="584">
        <v>8.2462023779856494E-2</v>
      </c>
      <c r="P11" s="584">
        <v>0.20495918803550192</v>
      </c>
      <c r="Q11" s="584">
        <v>0.2874212118153584</v>
      </c>
      <c r="R11" s="584">
        <v>0</v>
      </c>
      <c r="S11" s="584">
        <v>0.2874212118153584</v>
      </c>
      <c r="T11" s="584">
        <v>0</v>
      </c>
      <c r="U11" s="584">
        <v>0</v>
      </c>
      <c r="V11" s="584">
        <v>6.5289919795034597E-4</v>
      </c>
      <c r="W11" s="584">
        <v>3.8823406793538745E-17</v>
      </c>
      <c r="X11" s="584">
        <v>0</v>
      </c>
      <c r="Y11" s="584">
        <v>0</v>
      </c>
      <c r="Z11" s="584">
        <v>0</v>
      </c>
      <c r="AA11" s="584">
        <v>0</v>
      </c>
      <c r="AB11" s="584">
        <v>0</v>
      </c>
      <c r="AC11" s="584">
        <v>0</v>
      </c>
      <c r="AD11" s="584">
        <v>0</v>
      </c>
      <c r="AE11" s="584">
        <v>0</v>
      </c>
      <c r="AF11" s="584">
        <v>0</v>
      </c>
      <c r="AG11" s="584">
        <v>0</v>
      </c>
      <c r="AH11" s="584">
        <v>0</v>
      </c>
      <c r="AI11" s="584">
        <v>0</v>
      </c>
      <c r="AJ11" s="584">
        <v>0</v>
      </c>
      <c r="AK11" s="584">
        <v>8.3403838364253316E-4</v>
      </c>
      <c r="AL11" s="584">
        <v>0</v>
      </c>
      <c r="AM11" s="584">
        <v>1.3715568715010241E-4</v>
      </c>
      <c r="AN11" s="584">
        <v>0</v>
      </c>
      <c r="AO11" s="584">
        <v>0</v>
      </c>
      <c r="AP11" s="584">
        <v>0</v>
      </c>
      <c r="AQ11" s="584">
        <v>0</v>
      </c>
      <c r="AR11" s="584">
        <v>0</v>
      </c>
      <c r="AS11" s="584">
        <v>0</v>
      </c>
      <c r="AT11" s="584">
        <v>0</v>
      </c>
      <c r="AU11" s="584">
        <v>0</v>
      </c>
      <c r="AV11" s="584">
        <v>0</v>
      </c>
      <c r="AW11" s="584">
        <v>9.4110799286066971E-5</v>
      </c>
      <c r="AX11" s="584">
        <v>0</v>
      </c>
      <c r="AY11" s="584">
        <v>9.9432024983700926E-15</v>
      </c>
      <c r="AZ11" s="584">
        <v>0</v>
      </c>
      <c r="BA11" s="584">
        <v>0</v>
      </c>
      <c r="BB11" s="584">
        <v>0</v>
      </c>
      <c r="BC11" s="584">
        <v>0</v>
      </c>
      <c r="BD11" s="584">
        <v>0</v>
      </c>
      <c r="BE11" s="584">
        <v>0</v>
      </c>
      <c r="BF11" s="584">
        <v>6.9877975650677899E-3</v>
      </c>
      <c r="BG11" s="584">
        <v>0</v>
      </c>
      <c r="BH11" s="584">
        <v>1.6133065203183122E-2</v>
      </c>
      <c r="BI11" s="584">
        <v>0</v>
      </c>
      <c r="BJ11" s="584">
        <v>0</v>
      </c>
      <c r="BK11" s="584">
        <v>0</v>
      </c>
      <c r="BN11" s="583"/>
      <c r="BO11" s="583"/>
    </row>
    <row r="12" spans="2:67" x14ac:dyDescent="0.2">
      <c r="B12" s="396" t="s">
        <v>649</v>
      </c>
      <c r="C12" s="396">
        <v>18.242091092086515</v>
      </c>
      <c r="D12" s="396" t="s">
        <v>650</v>
      </c>
      <c r="E12" s="396" t="s">
        <v>579</v>
      </c>
      <c r="F12" s="396">
        <v>0</v>
      </c>
      <c r="G12" s="396">
        <v>17000</v>
      </c>
      <c r="H12" s="396">
        <v>51.237887499999999</v>
      </c>
      <c r="I12" s="396">
        <v>53.210843308242993</v>
      </c>
      <c r="J12" s="396">
        <v>5.1662565976974299E-3</v>
      </c>
      <c r="K12" s="396" t="s">
        <v>743</v>
      </c>
      <c r="L12" s="396" t="s">
        <v>743</v>
      </c>
      <c r="M12" s="396" t="s">
        <v>743</v>
      </c>
      <c r="N12" s="396">
        <v>31</v>
      </c>
      <c r="O12" s="396">
        <v>0.13635702779864456</v>
      </c>
      <c r="P12" s="396">
        <v>0.27622771308856431</v>
      </c>
      <c r="Q12" s="396">
        <v>0.41258474088720887</v>
      </c>
      <c r="R12" s="396">
        <v>0</v>
      </c>
      <c r="S12" s="396">
        <v>0.41258474088720887</v>
      </c>
      <c r="T12" s="396">
        <v>0</v>
      </c>
      <c r="U12" s="396">
        <v>0</v>
      </c>
      <c r="V12" s="396">
        <v>8.9347182063911857E-4</v>
      </c>
      <c r="W12" s="396">
        <v>1.0717647723657192E-16</v>
      </c>
      <c r="X12" s="396">
        <v>0</v>
      </c>
      <c r="Y12" s="396">
        <v>0</v>
      </c>
      <c r="Z12" s="396">
        <v>0</v>
      </c>
      <c r="AA12" s="396">
        <v>0</v>
      </c>
      <c r="AB12" s="396">
        <v>0</v>
      </c>
      <c r="AC12" s="396">
        <v>0</v>
      </c>
      <c r="AD12" s="396">
        <v>0</v>
      </c>
      <c r="AE12" s="396">
        <v>0</v>
      </c>
      <c r="AF12" s="396">
        <v>0</v>
      </c>
      <c r="AG12" s="396">
        <v>0</v>
      </c>
      <c r="AH12" s="396">
        <v>0</v>
      </c>
      <c r="AI12" s="396">
        <v>0</v>
      </c>
      <c r="AJ12" s="396">
        <v>0</v>
      </c>
      <c r="AK12" s="396">
        <v>1.2241722586029879E-3</v>
      </c>
      <c r="AL12" s="396">
        <v>0</v>
      </c>
      <c r="AM12" s="396">
        <v>1.8458231097913508E-4</v>
      </c>
      <c r="AN12" s="396">
        <v>0</v>
      </c>
      <c r="AO12" s="396">
        <v>0</v>
      </c>
      <c r="AP12" s="396">
        <v>0</v>
      </c>
      <c r="AQ12" s="396">
        <v>0</v>
      </c>
      <c r="AR12" s="396">
        <v>0</v>
      </c>
      <c r="AS12" s="396">
        <v>0</v>
      </c>
      <c r="AT12" s="396">
        <v>0</v>
      </c>
      <c r="AU12" s="396">
        <v>0</v>
      </c>
      <c r="AV12" s="396">
        <v>0</v>
      </c>
      <c r="AW12" s="396">
        <v>1.5292547039176888E-4</v>
      </c>
      <c r="AX12" s="396">
        <v>0</v>
      </c>
      <c r="AY12" s="396">
        <v>2.5799506202303078E-14</v>
      </c>
      <c r="AZ12" s="396">
        <v>0</v>
      </c>
      <c r="BA12" s="396">
        <v>0</v>
      </c>
      <c r="BB12" s="396">
        <v>0</v>
      </c>
      <c r="BC12" s="396">
        <v>0</v>
      </c>
      <c r="BD12" s="396">
        <v>0</v>
      </c>
      <c r="BE12" s="396">
        <v>0</v>
      </c>
      <c r="BF12" s="396">
        <v>9.8753794820471905E-3</v>
      </c>
      <c r="BG12" s="396">
        <v>0</v>
      </c>
      <c r="BH12" s="396">
        <v>2.3739570129474766E-2</v>
      </c>
      <c r="BI12" s="396">
        <v>0</v>
      </c>
      <c r="BJ12" s="396">
        <v>0</v>
      </c>
      <c r="BK12" s="396">
        <v>0</v>
      </c>
      <c r="BN12" s="583"/>
      <c r="BO12" s="583"/>
    </row>
    <row r="13" spans="2:67" x14ac:dyDescent="0.2">
      <c r="B13" s="584" t="s">
        <v>649</v>
      </c>
      <c r="C13" s="584">
        <v>18.242091092086515</v>
      </c>
      <c r="D13" s="584" t="s">
        <v>650</v>
      </c>
      <c r="E13" s="584" t="s">
        <v>579</v>
      </c>
      <c r="F13" s="584">
        <v>0</v>
      </c>
      <c r="G13" s="584">
        <v>17000</v>
      </c>
      <c r="H13" s="584">
        <v>58.739215000000002</v>
      </c>
      <c r="I13" s="584">
        <v>60.99516573385722</v>
      </c>
      <c r="J13" s="584">
        <v>6.6978846452781099E-3</v>
      </c>
      <c r="K13" s="584" t="s">
        <v>743</v>
      </c>
      <c r="L13" s="584" t="s">
        <v>743</v>
      </c>
      <c r="M13" s="584" t="s">
        <v>743</v>
      </c>
      <c r="N13" s="584">
        <v>30</v>
      </c>
      <c r="O13" s="584">
        <v>0.18673868677887193</v>
      </c>
      <c r="P13" s="584">
        <v>0.35259543119609177</v>
      </c>
      <c r="Q13" s="584">
        <v>0.53933411797496367</v>
      </c>
      <c r="R13" s="584">
        <v>0</v>
      </c>
      <c r="S13" s="584">
        <v>0.53933411797496367</v>
      </c>
      <c r="T13" s="584">
        <v>0</v>
      </c>
      <c r="U13" s="584">
        <v>0</v>
      </c>
      <c r="V13" s="584">
        <v>1.1212893635313365E-3</v>
      </c>
      <c r="W13" s="584">
        <v>2.392990025908782E-16</v>
      </c>
      <c r="X13" s="584">
        <v>0</v>
      </c>
      <c r="Y13" s="584">
        <v>0</v>
      </c>
      <c r="Z13" s="584">
        <v>0</v>
      </c>
      <c r="AA13" s="584">
        <v>0</v>
      </c>
      <c r="AB13" s="584">
        <v>0</v>
      </c>
      <c r="AC13" s="584">
        <v>0</v>
      </c>
      <c r="AD13" s="584">
        <v>0</v>
      </c>
      <c r="AE13" s="584">
        <v>0</v>
      </c>
      <c r="AF13" s="584">
        <v>0</v>
      </c>
      <c r="AG13" s="584">
        <v>0</v>
      </c>
      <c r="AH13" s="584">
        <v>0</v>
      </c>
      <c r="AI13" s="584">
        <v>0</v>
      </c>
      <c r="AJ13" s="584">
        <v>0</v>
      </c>
      <c r="AK13" s="584">
        <v>1.6256231742457754E-3</v>
      </c>
      <c r="AL13" s="584">
        <v>0</v>
      </c>
      <c r="AM13" s="584">
        <v>2.2855164634114197E-4</v>
      </c>
      <c r="AN13" s="584">
        <v>0</v>
      </c>
      <c r="AO13" s="584">
        <v>0</v>
      </c>
      <c r="AP13" s="584">
        <v>0</v>
      </c>
      <c r="AQ13" s="584">
        <v>0</v>
      </c>
      <c r="AR13" s="584">
        <v>0</v>
      </c>
      <c r="AS13" s="584">
        <v>0</v>
      </c>
      <c r="AT13" s="584">
        <v>0</v>
      </c>
      <c r="AU13" s="584">
        <v>0</v>
      </c>
      <c r="AV13" s="584">
        <v>0</v>
      </c>
      <c r="AW13" s="584">
        <v>2.205366895550853E-4</v>
      </c>
      <c r="AX13" s="584">
        <v>0</v>
      </c>
      <c r="AY13" s="584">
        <v>5.4753897142072251E-14</v>
      </c>
      <c r="AZ13" s="584">
        <v>0</v>
      </c>
      <c r="BA13" s="584">
        <v>0</v>
      </c>
      <c r="BB13" s="584">
        <v>0</v>
      </c>
      <c r="BC13" s="584">
        <v>0</v>
      </c>
      <c r="BD13" s="584">
        <v>0</v>
      </c>
      <c r="BE13" s="584">
        <v>0</v>
      </c>
      <c r="BF13" s="584">
        <v>1.2722803073825232E-2</v>
      </c>
      <c r="BG13" s="584">
        <v>0</v>
      </c>
      <c r="BH13" s="584">
        <v>3.1593537818016978E-2</v>
      </c>
      <c r="BI13" s="584">
        <v>0</v>
      </c>
      <c r="BJ13" s="584">
        <v>0</v>
      </c>
      <c r="BK13" s="584">
        <v>0</v>
      </c>
      <c r="BN13" s="583"/>
      <c r="BO13" s="583"/>
    </row>
    <row r="14" spans="2:67" x14ac:dyDescent="0.2">
      <c r="B14" s="396" t="s">
        <v>649</v>
      </c>
      <c r="C14" s="396">
        <v>18.242091092086515</v>
      </c>
      <c r="D14" s="396" t="s">
        <v>650</v>
      </c>
      <c r="E14" s="396" t="s">
        <v>579</v>
      </c>
      <c r="F14" s="396">
        <v>0</v>
      </c>
      <c r="G14" s="396">
        <v>17000</v>
      </c>
      <c r="H14" s="396">
        <v>65.725740000000002</v>
      </c>
      <c r="I14" s="396">
        <v>68.102383469803627</v>
      </c>
      <c r="J14" s="396">
        <v>8.4330771924180821E-3</v>
      </c>
      <c r="K14" s="396" t="s">
        <v>743</v>
      </c>
      <c r="L14" s="396" t="s">
        <v>743</v>
      </c>
      <c r="M14" s="396" t="s">
        <v>743</v>
      </c>
      <c r="N14" s="396">
        <v>31</v>
      </c>
      <c r="O14" s="396">
        <v>0.27393600518952654</v>
      </c>
      <c r="P14" s="396">
        <v>0.43788826208794357</v>
      </c>
      <c r="Q14" s="396">
        <v>0.71182426727747017</v>
      </c>
      <c r="R14" s="396">
        <v>0</v>
      </c>
      <c r="S14" s="396">
        <v>0.71182426727747017</v>
      </c>
      <c r="T14" s="396">
        <v>0</v>
      </c>
      <c r="U14" s="396">
        <v>0</v>
      </c>
      <c r="V14" s="396">
        <v>1.4255709109700046E-3</v>
      </c>
      <c r="W14" s="396">
        <v>5.0785496472376147E-16</v>
      </c>
      <c r="X14" s="396">
        <v>0</v>
      </c>
      <c r="Y14" s="396">
        <v>0</v>
      </c>
      <c r="Z14" s="396">
        <v>0</v>
      </c>
      <c r="AA14" s="396">
        <v>0</v>
      </c>
      <c r="AB14" s="396">
        <v>0</v>
      </c>
      <c r="AC14" s="396">
        <v>0</v>
      </c>
      <c r="AD14" s="396">
        <v>0</v>
      </c>
      <c r="AE14" s="396">
        <v>0</v>
      </c>
      <c r="AF14" s="396">
        <v>0</v>
      </c>
      <c r="AG14" s="396">
        <v>0</v>
      </c>
      <c r="AH14" s="396">
        <v>0</v>
      </c>
      <c r="AI14" s="396">
        <v>0</v>
      </c>
      <c r="AJ14" s="396">
        <v>0</v>
      </c>
      <c r="AK14" s="396">
        <v>2.1716778015547595E-3</v>
      </c>
      <c r="AL14" s="396">
        <v>0</v>
      </c>
      <c r="AM14" s="396">
        <v>2.8717413877855246E-4</v>
      </c>
      <c r="AN14" s="396">
        <v>0</v>
      </c>
      <c r="AO14" s="396">
        <v>0</v>
      </c>
      <c r="AP14" s="396">
        <v>0</v>
      </c>
      <c r="AQ14" s="396">
        <v>0</v>
      </c>
      <c r="AR14" s="396">
        <v>0</v>
      </c>
      <c r="AS14" s="396">
        <v>0</v>
      </c>
      <c r="AT14" s="396">
        <v>0</v>
      </c>
      <c r="AU14" s="396">
        <v>0</v>
      </c>
      <c r="AV14" s="396">
        <v>0</v>
      </c>
      <c r="AW14" s="396">
        <v>3.167989903748652E-4</v>
      </c>
      <c r="AX14" s="396">
        <v>0</v>
      </c>
      <c r="AY14" s="396">
        <v>1.1108635639595863E-13</v>
      </c>
      <c r="AZ14" s="396">
        <v>0</v>
      </c>
      <c r="BA14" s="396">
        <v>0</v>
      </c>
      <c r="BB14" s="396">
        <v>0</v>
      </c>
      <c r="BC14" s="396">
        <v>0</v>
      </c>
      <c r="BD14" s="396">
        <v>0</v>
      </c>
      <c r="BE14" s="396">
        <v>0</v>
      </c>
      <c r="BF14" s="396">
        <v>1.6554777014590957E-2</v>
      </c>
      <c r="BG14" s="396">
        <v>0</v>
      </c>
      <c r="BH14" s="396">
        <v>4.2291217772925181E-2</v>
      </c>
      <c r="BI14" s="396">
        <v>0</v>
      </c>
      <c r="BJ14" s="396">
        <v>0</v>
      </c>
      <c r="BK14" s="396">
        <v>0</v>
      </c>
      <c r="BN14" s="583"/>
      <c r="BO14" s="583"/>
    </row>
    <row r="15" spans="2:67" x14ac:dyDescent="0.2">
      <c r="B15" s="584" t="s">
        <v>649</v>
      </c>
      <c r="C15" s="584">
        <v>18.242091092086515</v>
      </c>
      <c r="D15" s="584" t="s">
        <v>650</v>
      </c>
      <c r="E15" s="584" t="s">
        <v>579</v>
      </c>
      <c r="F15" s="584">
        <v>0</v>
      </c>
      <c r="G15" s="584">
        <v>17000</v>
      </c>
      <c r="H15" s="584">
        <v>64.560380000000009</v>
      </c>
      <c r="I15" s="584">
        <v>66.636482614977638</v>
      </c>
      <c r="J15" s="584">
        <v>8.0458466842468612E-3</v>
      </c>
      <c r="K15" s="584" t="s">
        <v>743</v>
      </c>
      <c r="L15" s="584" t="s">
        <v>743</v>
      </c>
      <c r="M15" s="584" t="s">
        <v>743</v>
      </c>
      <c r="N15" s="584">
        <v>31</v>
      </c>
      <c r="O15" s="584">
        <v>0.25380042204105063</v>
      </c>
      <c r="P15" s="584">
        <v>0.41917797375122678</v>
      </c>
      <c r="Q15" s="584">
        <v>0.67297839579227747</v>
      </c>
      <c r="R15" s="584">
        <v>0</v>
      </c>
      <c r="S15" s="584">
        <v>0.67297839579227747</v>
      </c>
      <c r="T15" s="584">
        <v>0</v>
      </c>
      <c r="U15" s="584">
        <v>0</v>
      </c>
      <c r="V15" s="584">
        <v>1.3582259525925107E-3</v>
      </c>
      <c r="W15" s="584">
        <v>4.3578968563001117E-16</v>
      </c>
      <c r="X15" s="584">
        <v>0</v>
      </c>
      <c r="Y15" s="584">
        <v>0</v>
      </c>
      <c r="Z15" s="584">
        <v>0</v>
      </c>
      <c r="AA15" s="584">
        <v>0</v>
      </c>
      <c r="AB15" s="584">
        <v>0</v>
      </c>
      <c r="AC15" s="584">
        <v>0</v>
      </c>
      <c r="AD15" s="584">
        <v>0</v>
      </c>
      <c r="AE15" s="584">
        <v>0</v>
      </c>
      <c r="AF15" s="584">
        <v>0</v>
      </c>
      <c r="AG15" s="584">
        <v>0</v>
      </c>
      <c r="AH15" s="584">
        <v>0</v>
      </c>
      <c r="AI15" s="584">
        <v>0</v>
      </c>
      <c r="AJ15" s="584">
        <v>0</v>
      </c>
      <c r="AK15" s="584">
        <v>2.048382784446899E-3</v>
      </c>
      <c r="AL15" s="584">
        <v>0</v>
      </c>
      <c r="AM15" s="584">
        <v>2.7426200446750292E-4</v>
      </c>
      <c r="AN15" s="584">
        <v>0</v>
      </c>
      <c r="AO15" s="584">
        <v>0</v>
      </c>
      <c r="AP15" s="584">
        <v>0</v>
      </c>
      <c r="AQ15" s="584">
        <v>0</v>
      </c>
      <c r="AR15" s="584">
        <v>0</v>
      </c>
      <c r="AS15" s="584">
        <v>0</v>
      </c>
      <c r="AT15" s="584">
        <v>0</v>
      </c>
      <c r="AU15" s="584">
        <v>0</v>
      </c>
      <c r="AV15" s="584">
        <v>0</v>
      </c>
      <c r="AW15" s="584">
        <v>2.9443268645049038E-4</v>
      </c>
      <c r="AX15" s="584">
        <v>0</v>
      </c>
      <c r="AY15" s="584">
        <v>9.6202791481182956E-14</v>
      </c>
      <c r="AZ15" s="584">
        <v>0</v>
      </c>
      <c r="BA15" s="584">
        <v>0</v>
      </c>
      <c r="BB15" s="584">
        <v>0</v>
      </c>
      <c r="BC15" s="584">
        <v>0</v>
      </c>
      <c r="BD15" s="584">
        <v>0</v>
      </c>
      <c r="BE15" s="584">
        <v>0</v>
      </c>
      <c r="BF15" s="584">
        <v>1.5698380477273673E-2</v>
      </c>
      <c r="BG15" s="584">
        <v>0</v>
      </c>
      <c r="BH15" s="584">
        <v>3.9873507009315218E-2</v>
      </c>
      <c r="BI15" s="584">
        <v>0</v>
      </c>
      <c r="BJ15" s="584">
        <v>0</v>
      </c>
      <c r="BK15" s="584">
        <v>0</v>
      </c>
      <c r="BN15" s="583"/>
      <c r="BO15" s="583"/>
    </row>
    <row r="16" spans="2:67" x14ac:dyDescent="0.2">
      <c r="B16" s="396" t="s">
        <v>649</v>
      </c>
      <c r="C16" s="396">
        <v>18.242091092086515</v>
      </c>
      <c r="D16" s="396" t="s">
        <v>650</v>
      </c>
      <c r="E16" s="396" t="s">
        <v>579</v>
      </c>
      <c r="F16" s="396">
        <v>0</v>
      </c>
      <c r="G16" s="396">
        <v>17000</v>
      </c>
      <c r="H16" s="396">
        <v>57.173742499999996</v>
      </c>
      <c r="I16" s="396">
        <v>58.828920992758896</v>
      </c>
      <c r="J16" s="396">
        <v>6.2358837036127482E-3</v>
      </c>
      <c r="K16" s="396" t="s">
        <v>743</v>
      </c>
      <c r="L16" s="396" t="s">
        <v>743</v>
      </c>
      <c r="M16" s="396" t="s">
        <v>743</v>
      </c>
      <c r="N16" s="396">
        <v>30</v>
      </c>
      <c r="O16" s="396">
        <v>0.18241606831890728</v>
      </c>
      <c r="P16" s="396">
        <v>0.33002069783057075</v>
      </c>
      <c r="Q16" s="396">
        <v>0.51243676614947797</v>
      </c>
      <c r="R16" s="396">
        <v>0</v>
      </c>
      <c r="S16" s="396">
        <v>0.51243676614947797</v>
      </c>
      <c r="T16" s="396">
        <v>0</v>
      </c>
      <c r="U16" s="396">
        <v>0</v>
      </c>
      <c r="V16" s="396">
        <v>1.0775518388366307E-3</v>
      </c>
      <c r="W16" s="396">
        <v>1.9621149168900668E-16</v>
      </c>
      <c r="X16" s="396">
        <v>0</v>
      </c>
      <c r="Y16" s="396">
        <v>0</v>
      </c>
      <c r="Z16" s="396">
        <v>0</v>
      </c>
      <c r="AA16" s="396">
        <v>0</v>
      </c>
      <c r="AB16" s="396">
        <v>0</v>
      </c>
      <c r="AC16" s="396">
        <v>0</v>
      </c>
      <c r="AD16" s="396">
        <v>0</v>
      </c>
      <c r="AE16" s="396">
        <v>0</v>
      </c>
      <c r="AF16" s="396">
        <v>0</v>
      </c>
      <c r="AG16" s="396">
        <v>0</v>
      </c>
      <c r="AH16" s="396">
        <v>0</v>
      </c>
      <c r="AI16" s="396">
        <v>0</v>
      </c>
      <c r="AJ16" s="396">
        <v>0</v>
      </c>
      <c r="AK16" s="396">
        <v>1.5382163594453153E-3</v>
      </c>
      <c r="AL16" s="396">
        <v>0</v>
      </c>
      <c r="AM16" s="396">
        <v>2.20447034992407E-4</v>
      </c>
      <c r="AN16" s="396">
        <v>0</v>
      </c>
      <c r="AO16" s="396">
        <v>0</v>
      </c>
      <c r="AP16" s="396">
        <v>0</v>
      </c>
      <c r="AQ16" s="396">
        <v>0</v>
      </c>
      <c r="AR16" s="396">
        <v>0</v>
      </c>
      <c r="AS16" s="396">
        <v>0</v>
      </c>
      <c r="AT16" s="396">
        <v>0</v>
      </c>
      <c r="AU16" s="396">
        <v>0</v>
      </c>
      <c r="AV16" s="396">
        <v>0</v>
      </c>
      <c r="AW16" s="396">
        <v>2.0400842472918649E-4</v>
      </c>
      <c r="AX16" s="396">
        <v>0</v>
      </c>
      <c r="AY16" s="396">
        <v>4.5526563927254715E-14</v>
      </c>
      <c r="AZ16" s="396">
        <v>0</v>
      </c>
      <c r="BA16" s="396">
        <v>0</v>
      </c>
      <c r="BB16" s="396">
        <v>0</v>
      </c>
      <c r="BC16" s="396">
        <v>0</v>
      </c>
      <c r="BD16" s="396">
        <v>0</v>
      </c>
      <c r="BE16" s="396">
        <v>0</v>
      </c>
      <c r="BF16" s="396">
        <v>1.2138693741655876E-2</v>
      </c>
      <c r="BG16" s="396">
        <v>0</v>
      </c>
      <c r="BH16" s="396">
        <v>2.9876560116315998E-2</v>
      </c>
      <c r="BI16" s="396">
        <v>0</v>
      </c>
      <c r="BJ16" s="396">
        <v>0</v>
      </c>
      <c r="BK16" s="396">
        <v>0</v>
      </c>
      <c r="BN16" s="583"/>
      <c r="BO16" s="583"/>
    </row>
    <row r="17" spans="2:67" x14ac:dyDescent="0.2">
      <c r="B17" s="584" t="s">
        <v>649</v>
      </c>
      <c r="C17" s="584">
        <v>18.242091092086515</v>
      </c>
      <c r="D17" s="584" t="s">
        <v>650</v>
      </c>
      <c r="E17" s="584" t="s">
        <v>579</v>
      </c>
      <c r="F17" s="584">
        <v>0</v>
      </c>
      <c r="G17" s="584">
        <v>17000</v>
      </c>
      <c r="H17" s="584">
        <v>46.057272500000003</v>
      </c>
      <c r="I17" s="584">
        <v>47.147942839454259</v>
      </c>
      <c r="J17" s="584">
        <v>4.1971142944793472E-3</v>
      </c>
      <c r="K17" s="584" t="s">
        <v>743</v>
      </c>
      <c r="L17" s="584" t="s">
        <v>743</v>
      </c>
      <c r="M17" s="584" t="s">
        <v>743</v>
      </c>
      <c r="N17" s="584">
        <v>31</v>
      </c>
      <c r="O17" s="584">
        <v>0.10946194424304241</v>
      </c>
      <c r="P17" s="584">
        <v>0.2274785309598456</v>
      </c>
      <c r="Q17" s="584">
        <v>0.336940475202888</v>
      </c>
      <c r="R17" s="584">
        <v>0</v>
      </c>
      <c r="S17" s="584">
        <v>0.336940475202888</v>
      </c>
      <c r="T17" s="584">
        <v>0</v>
      </c>
      <c r="U17" s="584">
        <v>0</v>
      </c>
      <c r="V17" s="584">
        <v>7.5305656978530595E-4</v>
      </c>
      <c r="W17" s="584">
        <v>5.7030808793078327E-17</v>
      </c>
      <c r="X17" s="584">
        <v>0</v>
      </c>
      <c r="Y17" s="584">
        <v>0</v>
      </c>
      <c r="Z17" s="584">
        <v>0</v>
      </c>
      <c r="AA17" s="584">
        <v>0</v>
      </c>
      <c r="AB17" s="584">
        <v>0</v>
      </c>
      <c r="AC17" s="584">
        <v>0</v>
      </c>
      <c r="AD17" s="584">
        <v>0</v>
      </c>
      <c r="AE17" s="584">
        <v>0</v>
      </c>
      <c r="AF17" s="584">
        <v>0</v>
      </c>
      <c r="AG17" s="584">
        <v>0</v>
      </c>
      <c r="AH17" s="584">
        <v>0</v>
      </c>
      <c r="AI17" s="584">
        <v>0</v>
      </c>
      <c r="AJ17" s="584">
        <v>0</v>
      </c>
      <c r="AK17" s="584">
        <v>9.8564024310421458E-4</v>
      </c>
      <c r="AL17" s="584">
        <v>0</v>
      </c>
      <c r="AM17" s="584">
        <v>1.5728089150812612E-4</v>
      </c>
      <c r="AN17" s="584">
        <v>0</v>
      </c>
      <c r="AO17" s="584">
        <v>0</v>
      </c>
      <c r="AP17" s="584">
        <v>0</v>
      </c>
      <c r="AQ17" s="584">
        <v>0</v>
      </c>
      <c r="AR17" s="584">
        <v>0</v>
      </c>
      <c r="AS17" s="584">
        <v>0</v>
      </c>
      <c r="AT17" s="584">
        <v>0</v>
      </c>
      <c r="AU17" s="584">
        <v>0</v>
      </c>
      <c r="AV17" s="584">
        <v>0</v>
      </c>
      <c r="AW17" s="584">
        <v>1.1520407235721084E-4</v>
      </c>
      <c r="AX17" s="584">
        <v>0</v>
      </c>
      <c r="AY17" s="584">
        <v>1.4297323813370399E-14</v>
      </c>
      <c r="AZ17" s="584">
        <v>0</v>
      </c>
      <c r="BA17" s="584">
        <v>0</v>
      </c>
      <c r="BB17" s="584">
        <v>0</v>
      </c>
      <c r="BC17" s="584">
        <v>0</v>
      </c>
      <c r="BD17" s="584">
        <v>0</v>
      </c>
      <c r="BE17" s="584">
        <v>0</v>
      </c>
      <c r="BF17" s="584">
        <v>8.1498966446055254E-3</v>
      </c>
      <c r="BG17" s="584">
        <v>0</v>
      </c>
      <c r="BH17" s="584">
        <v>1.9081881014230924E-2</v>
      </c>
      <c r="BI17" s="584">
        <v>0</v>
      </c>
      <c r="BJ17" s="584">
        <v>0</v>
      </c>
      <c r="BK17" s="584">
        <v>0</v>
      </c>
      <c r="BN17" s="583"/>
      <c r="BO17" s="583"/>
    </row>
    <row r="18" spans="2:67" x14ac:dyDescent="0.2">
      <c r="B18" s="396" t="s">
        <v>649</v>
      </c>
      <c r="C18" s="396">
        <v>18.242091092086515</v>
      </c>
      <c r="D18" s="396" t="s">
        <v>650</v>
      </c>
      <c r="E18" s="396" t="s">
        <v>579</v>
      </c>
      <c r="F18" s="396">
        <v>0</v>
      </c>
      <c r="G18" s="396">
        <v>17000</v>
      </c>
      <c r="H18" s="396">
        <v>34.446420000000003</v>
      </c>
      <c r="I18" s="396">
        <v>35.054628864222295</v>
      </c>
      <c r="J18" s="396">
        <v>2.7313614621201697E-3</v>
      </c>
      <c r="K18" s="396" t="s">
        <v>743</v>
      </c>
      <c r="L18" s="396" t="s">
        <v>743</v>
      </c>
      <c r="M18" s="396" t="s">
        <v>743</v>
      </c>
      <c r="N18" s="396">
        <v>30</v>
      </c>
      <c r="O18" s="396">
        <v>4.636617546750485E-2</v>
      </c>
      <c r="P18" s="396">
        <v>0.15179492573589315</v>
      </c>
      <c r="Q18" s="396">
        <v>0.198161101203398</v>
      </c>
      <c r="R18" s="396">
        <v>0</v>
      </c>
      <c r="S18" s="396">
        <v>0.198161101203398</v>
      </c>
      <c r="T18" s="396">
        <v>0</v>
      </c>
      <c r="U18" s="396">
        <v>0</v>
      </c>
      <c r="V18" s="396">
        <v>4.7132227734558881E-4</v>
      </c>
      <c r="W18" s="396">
        <v>1.3832278998244353E-17</v>
      </c>
      <c r="X18" s="396">
        <v>0</v>
      </c>
      <c r="Y18" s="396">
        <v>0</v>
      </c>
      <c r="Z18" s="396">
        <v>0</v>
      </c>
      <c r="AA18" s="396">
        <v>0</v>
      </c>
      <c r="AB18" s="396">
        <v>0</v>
      </c>
      <c r="AC18" s="396">
        <v>0</v>
      </c>
      <c r="AD18" s="396">
        <v>0</v>
      </c>
      <c r="AE18" s="396">
        <v>0</v>
      </c>
      <c r="AF18" s="396">
        <v>0</v>
      </c>
      <c r="AG18" s="396">
        <v>0</v>
      </c>
      <c r="AH18" s="396">
        <v>0</v>
      </c>
      <c r="AI18" s="396">
        <v>0</v>
      </c>
      <c r="AJ18" s="396">
        <v>0</v>
      </c>
      <c r="AK18" s="396">
        <v>5.6033008766555835E-4</v>
      </c>
      <c r="AL18" s="396">
        <v>0</v>
      </c>
      <c r="AM18" s="396">
        <v>1.0072808307839914E-4</v>
      </c>
      <c r="AN18" s="396">
        <v>0</v>
      </c>
      <c r="AO18" s="396">
        <v>0</v>
      </c>
      <c r="AP18" s="396">
        <v>0</v>
      </c>
      <c r="AQ18" s="396">
        <v>0</v>
      </c>
      <c r="AR18" s="396">
        <v>0</v>
      </c>
      <c r="AS18" s="396">
        <v>0</v>
      </c>
      <c r="AT18" s="396">
        <v>0</v>
      </c>
      <c r="AU18" s="396">
        <v>0</v>
      </c>
      <c r="AV18" s="396">
        <v>0</v>
      </c>
      <c r="AW18" s="396">
        <v>5.6992380980193349E-5</v>
      </c>
      <c r="AX18" s="396">
        <v>0</v>
      </c>
      <c r="AY18" s="396">
        <v>3.7713939220584229E-15</v>
      </c>
      <c r="AZ18" s="396">
        <v>0</v>
      </c>
      <c r="BA18" s="396">
        <v>0</v>
      </c>
      <c r="BB18" s="396">
        <v>0</v>
      </c>
      <c r="BC18" s="396">
        <v>0</v>
      </c>
      <c r="BD18" s="396">
        <v>0</v>
      </c>
      <c r="BE18" s="396">
        <v>0</v>
      </c>
      <c r="BF18" s="396">
        <v>4.882375860862099E-3</v>
      </c>
      <c r="BG18" s="396">
        <v>0</v>
      </c>
      <c r="BH18" s="396">
        <v>1.0812653991502519E-2</v>
      </c>
      <c r="BI18" s="396">
        <v>0</v>
      </c>
      <c r="BJ18" s="396">
        <v>0</v>
      </c>
      <c r="BK18" s="396">
        <v>0</v>
      </c>
      <c r="BN18" s="583"/>
      <c r="BO18" s="583"/>
    </row>
    <row r="19" spans="2:67" x14ac:dyDescent="0.2">
      <c r="B19" s="584" t="s">
        <v>649</v>
      </c>
      <c r="C19" s="584">
        <v>18.242091092086515</v>
      </c>
      <c r="D19" s="584" t="s">
        <v>650</v>
      </c>
      <c r="E19" s="584" t="s">
        <v>579</v>
      </c>
      <c r="F19" s="584">
        <v>0</v>
      </c>
      <c r="G19" s="584">
        <v>17000</v>
      </c>
      <c r="H19" s="584">
        <v>29.035697500000001</v>
      </c>
      <c r="I19" s="584">
        <v>29.449194376929714</v>
      </c>
      <c r="J19" s="584">
        <v>2.222138749868E-3</v>
      </c>
      <c r="K19" s="584" t="s">
        <v>743</v>
      </c>
      <c r="L19" s="584" t="s">
        <v>743</v>
      </c>
      <c r="M19" s="584" t="s">
        <v>743</v>
      </c>
      <c r="N19" s="584">
        <v>31</v>
      </c>
      <c r="O19" s="584">
        <v>2.951512639529541E-2</v>
      </c>
      <c r="P19" s="584">
        <v>0.12495817388959769</v>
      </c>
      <c r="Q19" s="584">
        <v>0.15447330028489309</v>
      </c>
      <c r="R19" s="584">
        <v>0</v>
      </c>
      <c r="S19" s="584">
        <v>0.15447330028489309</v>
      </c>
      <c r="T19" s="584">
        <v>0</v>
      </c>
      <c r="U19" s="584">
        <v>0</v>
      </c>
      <c r="V19" s="584">
        <v>3.7800202294777156E-4</v>
      </c>
      <c r="W19" s="584">
        <v>7.0464650082942519E-18</v>
      </c>
      <c r="X19" s="584">
        <v>0</v>
      </c>
      <c r="Y19" s="584">
        <v>0</v>
      </c>
      <c r="Z19" s="584">
        <v>0</v>
      </c>
      <c r="AA19" s="584">
        <v>0</v>
      </c>
      <c r="AB19" s="584">
        <v>0</v>
      </c>
      <c r="AC19" s="584">
        <v>0</v>
      </c>
      <c r="AD19" s="584">
        <v>0</v>
      </c>
      <c r="AE19" s="584">
        <v>0</v>
      </c>
      <c r="AF19" s="584">
        <v>0</v>
      </c>
      <c r="AG19" s="584">
        <v>0</v>
      </c>
      <c r="AH19" s="584">
        <v>0</v>
      </c>
      <c r="AI19" s="584">
        <v>0</v>
      </c>
      <c r="AJ19" s="584">
        <v>0</v>
      </c>
      <c r="AK19" s="584">
        <v>4.2877729641878554E-4</v>
      </c>
      <c r="AL19" s="584">
        <v>0</v>
      </c>
      <c r="AM19" s="584">
        <v>8.1698088191136823E-5</v>
      </c>
      <c r="AN19" s="584">
        <v>0</v>
      </c>
      <c r="AO19" s="584">
        <v>0</v>
      </c>
      <c r="AP19" s="584">
        <v>0</v>
      </c>
      <c r="AQ19" s="584">
        <v>0</v>
      </c>
      <c r="AR19" s="584">
        <v>0</v>
      </c>
      <c r="AS19" s="584">
        <v>0</v>
      </c>
      <c r="AT19" s="584">
        <v>0</v>
      </c>
      <c r="AU19" s="584">
        <v>0</v>
      </c>
      <c r="AV19" s="584">
        <v>0</v>
      </c>
      <c r="AW19" s="584">
        <v>4.0765714141487631E-5</v>
      </c>
      <c r="AX19" s="584">
        <v>0</v>
      </c>
      <c r="AY19" s="584">
        <v>2.0002862310753767E-15</v>
      </c>
      <c r="AZ19" s="584">
        <v>0</v>
      </c>
      <c r="BA19" s="584">
        <v>0</v>
      </c>
      <c r="BB19" s="584">
        <v>0</v>
      </c>
      <c r="BC19" s="584">
        <v>0</v>
      </c>
      <c r="BD19" s="584">
        <v>0</v>
      </c>
      <c r="BE19" s="584">
        <v>0</v>
      </c>
      <c r="BF19" s="584">
        <v>3.83381731413428E-3</v>
      </c>
      <c r="BG19" s="584">
        <v>0</v>
      </c>
      <c r="BH19" s="584">
        <v>8.2620003656721386E-3</v>
      </c>
      <c r="BI19" s="584">
        <v>0</v>
      </c>
      <c r="BJ19" s="584">
        <v>0</v>
      </c>
      <c r="BK19" s="584">
        <v>0</v>
      </c>
      <c r="BN19" s="583"/>
      <c r="BO19" s="583"/>
    </row>
    <row r="20" spans="2:67" x14ac:dyDescent="0.2">
      <c r="B20" s="396" t="s">
        <v>657</v>
      </c>
      <c r="C20" s="396">
        <v>18.242091092086515</v>
      </c>
      <c r="D20" s="396" t="s">
        <v>650</v>
      </c>
      <c r="E20" s="396" t="s">
        <v>579</v>
      </c>
      <c r="F20" s="396">
        <v>0</v>
      </c>
      <c r="G20" s="396">
        <v>17000</v>
      </c>
      <c r="H20" s="396">
        <v>29.27298</v>
      </c>
      <c r="I20" s="396">
        <v>29.770605434363695</v>
      </c>
      <c r="J20" s="396">
        <v>2.2488717735981677E-3</v>
      </c>
      <c r="K20" s="396" t="s">
        <v>743</v>
      </c>
      <c r="L20" s="396" t="s">
        <v>743</v>
      </c>
      <c r="M20" s="396" t="s">
        <v>743</v>
      </c>
      <c r="N20" s="396">
        <v>31</v>
      </c>
      <c r="O20" s="396">
        <v>2.6489143059891071E-2</v>
      </c>
      <c r="P20" s="396">
        <v>0.1263567830498426</v>
      </c>
      <c r="Q20" s="396">
        <v>0.15284592610973369</v>
      </c>
      <c r="R20" s="396">
        <v>0</v>
      </c>
      <c r="S20" s="396">
        <v>0.15284592610973369</v>
      </c>
      <c r="T20" s="396">
        <v>0</v>
      </c>
      <c r="U20" s="396">
        <v>0</v>
      </c>
      <c r="V20" s="396">
        <v>3.7341409170848892E-4</v>
      </c>
      <c r="W20" s="396">
        <v>7.1462788125866244E-18</v>
      </c>
      <c r="X20" s="396">
        <v>0</v>
      </c>
      <c r="Y20" s="396">
        <v>0</v>
      </c>
      <c r="Z20" s="396">
        <v>0</v>
      </c>
      <c r="AA20" s="396">
        <v>0</v>
      </c>
      <c r="AB20" s="396">
        <v>0</v>
      </c>
      <c r="AC20" s="396">
        <v>0</v>
      </c>
      <c r="AD20" s="396">
        <v>0</v>
      </c>
      <c r="AE20" s="396">
        <v>0</v>
      </c>
      <c r="AF20" s="396">
        <v>0</v>
      </c>
      <c r="AG20" s="396">
        <v>0</v>
      </c>
      <c r="AH20" s="396">
        <v>0</v>
      </c>
      <c r="AI20" s="396">
        <v>0</v>
      </c>
      <c r="AJ20" s="396">
        <v>0</v>
      </c>
      <c r="AK20" s="396">
        <v>4.2473293498117905E-4</v>
      </c>
      <c r="AL20" s="396">
        <v>0</v>
      </c>
      <c r="AM20" s="396">
        <v>8.0653594163765648E-5</v>
      </c>
      <c r="AN20" s="396">
        <v>0</v>
      </c>
      <c r="AO20" s="396">
        <v>0</v>
      </c>
      <c r="AP20" s="396">
        <v>0</v>
      </c>
      <c r="AQ20" s="396">
        <v>0</v>
      </c>
      <c r="AR20" s="396">
        <v>0</v>
      </c>
      <c r="AS20" s="396">
        <v>0</v>
      </c>
      <c r="AT20" s="396">
        <v>0</v>
      </c>
      <c r="AU20" s="396">
        <v>0</v>
      </c>
      <c r="AV20" s="396">
        <v>0</v>
      </c>
      <c r="AW20" s="396">
        <v>4.0539978992329741E-5</v>
      </c>
      <c r="AX20" s="396">
        <v>0</v>
      </c>
      <c r="AY20" s="396">
        <v>2.0238848420436597E-15</v>
      </c>
      <c r="AZ20" s="396">
        <v>0</v>
      </c>
      <c r="BA20" s="396">
        <v>0</v>
      </c>
      <c r="BB20" s="396">
        <v>0</v>
      </c>
      <c r="BC20" s="396">
        <v>0</v>
      </c>
      <c r="BD20" s="396">
        <v>0</v>
      </c>
      <c r="BE20" s="396">
        <v>0</v>
      </c>
      <c r="BF20" s="396">
        <v>3.7919326601167226E-3</v>
      </c>
      <c r="BG20" s="396">
        <v>0</v>
      </c>
      <c r="BH20" s="396">
        <v>8.184748976410014E-3</v>
      </c>
      <c r="BI20" s="396">
        <v>0</v>
      </c>
      <c r="BJ20" s="396">
        <v>0</v>
      </c>
      <c r="BK20" s="396">
        <v>0</v>
      </c>
      <c r="BN20" s="583"/>
      <c r="BO20" s="583"/>
    </row>
    <row r="21" spans="2:67" x14ac:dyDescent="0.2">
      <c r="B21" s="584" t="s">
        <v>657</v>
      </c>
      <c r="C21" s="584">
        <v>18.242091092086515</v>
      </c>
      <c r="D21" s="584" t="s">
        <v>650</v>
      </c>
      <c r="E21" s="584" t="s">
        <v>579</v>
      </c>
      <c r="F21" s="584">
        <v>0</v>
      </c>
      <c r="G21" s="584">
        <v>17000</v>
      </c>
      <c r="H21" s="584">
        <v>31.042932500000003</v>
      </c>
      <c r="I21" s="584">
        <v>31.778070360417694</v>
      </c>
      <c r="J21" s="584">
        <v>2.4224153027051212E-3</v>
      </c>
      <c r="K21" s="584" t="s">
        <v>743</v>
      </c>
      <c r="L21" s="584" t="s">
        <v>743</v>
      </c>
      <c r="M21" s="584" t="s">
        <v>743</v>
      </c>
      <c r="N21" s="584">
        <v>29</v>
      </c>
      <c r="O21" s="584">
        <v>3.4823302462393305E-2</v>
      </c>
      <c r="P21" s="584">
        <v>0.13548680615140221</v>
      </c>
      <c r="Q21" s="584">
        <v>0.17031010861379553</v>
      </c>
      <c r="R21" s="584">
        <v>0</v>
      </c>
      <c r="S21" s="584">
        <v>0.17031010861379553</v>
      </c>
      <c r="T21" s="584">
        <v>0</v>
      </c>
      <c r="U21" s="584">
        <v>0</v>
      </c>
      <c r="V21" s="584">
        <v>4.1187969505982142E-4</v>
      </c>
      <c r="W21" s="584">
        <v>9.2817699340979762E-18</v>
      </c>
      <c r="X21" s="584">
        <v>0</v>
      </c>
      <c r="Y21" s="584">
        <v>0</v>
      </c>
      <c r="Z21" s="584">
        <v>0</v>
      </c>
      <c r="AA21" s="584">
        <v>0</v>
      </c>
      <c r="AB21" s="584">
        <v>0</v>
      </c>
      <c r="AC21" s="584">
        <v>0</v>
      </c>
      <c r="AD21" s="584">
        <v>0</v>
      </c>
      <c r="AE21" s="584">
        <v>0</v>
      </c>
      <c r="AF21" s="584">
        <v>0</v>
      </c>
      <c r="AG21" s="584">
        <v>0</v>
      </c>
      <c r="AH21" s="584">
        <v>0</v>
      </c>
      <c r="AI21" s="584">
        <v>0</v>
      </c>
      <c r="AJ21" s="584">
        <v>0</v>
      </c>
      <c r="AK21" s="584">
        <v>4.7649844126635988E-4</v>
      </c>
      <c r="AL21" s="584">
        <v>0</v>
      </c>
      <c r="AM21" s="584">
        <v>8.8600836171291535E-5</v>
      </c>
      <c r="AN21" s="584">
        <v>0</v>
      </c>
      <c r="AO21" s="584">
        <v>0</v>
      </c>
      <c r="AP21" s="584">
        <v>0</v>
      </c>
      <c r="AQ21" s="584">
        <v>0</v>
      </c>
      <c r="AR21" s="584">
        <v>0</v>
      </c>
      <c r="AS21" s="584">
        <v>0</v>
      </c>
      <c r="AT21" s="584">
        <v>0</v>
      </c>
      <c r="AU21" s="584">
        <v>0</v>
      </c>
      <c r="AV21" s="584">
        <v>0</v>
      </c>
      <c r="AW21" s="584">
        <v>4.6602363457045221E-5</v>
      </c>
      <c r="AX21" s="584">
        <v>0</v>
      </c>
      <c r="AY21" s="584">
        <v>2.5907599920987738E-15</v>
      </c>
      <c r="AZ21" s="584">
        <v>0</v>
      </c>
      <c r="BA21" s="584">
        <v>0</v>
      </c>
      <c r="BB21" s="584">
        <v>0</v>
      </c>
      <c r="BC21" s="584">
        <v>0</v>
      </c>
      <c r="BD21" s="584">
        <v>0</v>
      </c>
      <c r="BE21" s="584">
        <v>0</v>
      </c>
      <c r="BF21" s="584">
        <v>4.2145282385021628E-3</v>
      </c>
      <c r="BG21" s="584">
        <v>0</v>
      </c>
      <c r="BH21" s="584">
        <v>9.1870673233109545E-3</v>
      </c>
      <c r="BI21" s="584">
        <v>0</v>
      </c>
      <c r="BJ21" s="584">
        <v>0</v>
      </c>
      <c r="BK21" s="584">
        <v>0</v>
      </c>
      <c r="BN21" s="583"/>
      <c r="BO21" s="583"/>
    </row>
    <row r="22" spans="2:67" x14ac:dyDescent="0.2">
      <c r="B22" s="396" t="s">
        <v>657</v>
      </c>
      <c r="C22" s="396">
        <v>18.242091092086515</v>
      </c>
      <c r="D22" s="396" t="s">
        <v>650</v>
      </c>
      <c r="E22" s="396" t="s">
        <v>579</v>
      </c>
      <c r="F22" s="396">
        <v>0</v>
      </c>
      <c r="G22" s="396">
        <v>17000</v>
      </c>
      <c r="H22" s="396">
        <v>38.773067500000003</v>
      </c>
      <c r="I22" s="396">
        <v>39.996021579412314</v>
      </c>
      <c r="J22" s="396">
        <v>3.2636569892237604E-3</v>
      </c>
      <c r="K22" s="396" t="s">
        <v>743</v>
      </c>
      <c r="L22" s="396" t="s">
        <v>743</v>
      </c>
      <c r="M22" s="396" t="s">
        <v>743</v>
      </c>
      <c r="N22" s="396">
        <v>31</v>
      </c>
      <c r="O22" s="396">
        <v>6.0803506030070634E-2</v>
      </c>
      <c r="P22" s="396">
        <v>0.17936521879184991</v>
      </c>
      <c r="Q22" s="396">
        <v>0.24016872482192053</v>
      </c>
      <c r="R22" s="396">
        <v>0</v>
      </c>
      <c r="S22" s="396">
        <v>0.24016872482192053</v>
      </c>
      <c r="T22" s="396">
        <v>0</v>
      </c>
      <c r="U22" s="396">
        <v>0</v>
      </c>
      <c r="V22" s="396">
        <v>5.5697058456590995E-4</v>
      </c>
      <c r="W22" s="396">
        <v>2.4200499097472031E-17</v>
      </c>
      <c r="X22" s="396">
        <v>0</v>
      </c>
      <c r="Y22" s="396">
        <v>0</v>
      </c>
      <c r="Z22" s="396">
        <v>0</v>
      </c>
      <c r="AA22" s="396">
        <v>0</v>
      </c>
      <c r="AB22" s="396">
        <v>0</v>
      </c>
      <c r="AC22" s="396">
        <v>0</v>
      </c>
      <c r="AD22" s="396">
        <v>0</v>
      </c>
      <c r="AE22" s="396">
        <v>0</v>
      </c>
      <c r="AF22" s="396">
        <v>0</v>
      </c>
      <c r="AG22" s="396">
        <v>0</v>
      </c>
      <c r="AH22" s="396">
        <v>0</v>
      </c>
      <c r="AI22" s="396">
        <v>0</v>
      </c>
      <c r="AJ22" s="396">
        <v>0</v>
      </c>
      <c r="AK22" s="396">
        <v>6.8925402287989788E-4</v>
      </c>
      <c r="AL22" s="396">
        <v>0</v>
      </c>
      <c r="AM22" s="396">
        <v>1.1789527811391721E-4</v>
      </c>
      <c r="AN22" s="396">
        <v>0</v>
      </c>
      <c r="AO22" s="396">
        <v>0</v>
      </c>
      <c r="AP22" s="396">
        <v>0</v>
      </c>
      <c r="AQ22" s="396">
        <v>0</v>
      </c>
      <c r="AR22" s="396">
        <v>0</v>
      </c>
      <c r="AS22" s="396">
        <v>0</v>
      </c>
      <c r="AT22" s="396">
        <v>0</v>
      </c>
      <c r="AU22" s="396">
        <v>0</v>
      </c>
      <c r="AV22" s="396">
        <v>0</v>
      </c>
      <c r="AW22" s="396">
        <v>7.4281574664318914E-5</v>
      </c>
      <c r="AX22" s="396">
        <v>0</v>
      </c>
      <c r="AY22" s="396">
        <v>6.3726530575424799E-15</v>
      </c>
      <c r="AZ22" s="396">
        <v>0</v>
      </c>
      <c r="BA22" s="396">
        <v>0</v>
      </c>
      <c r="BB22" s="396">
        <v>0</v>
      </c>
      <c r="BC22" s="396">
        <v>0</v>
      </c>
      <c r="BD22" s="396">
        <v>0</v>
      </c>
      <c r="BE22" s="396">
        <v>0</v>
      </c>
      <c r="BF22" s="396">
        <v>5.8754367209491913E-3</v>
      </c>
      <c r="BG22" s="396">
        <v>0</v>
      </c>
      <c r="BH22" s="396">
        <v>1.3317997038217478E-2</v>
      </c>
      <c r="BI22" s="396">
        <v>0</v>
      </c>
      <c r="BJ22" s="396">
        <v>0</v>
      </c>
      <c r="BK22" s="396">
        <v>0</v>
      </c>
      <c r="BN22" s="583"/>
      <c r="BO22" s="583"/>
    </row>
    <row r="23" spans="2:67" x14ac:dyDescent="0.2">
      <c r="B23" s="584" t="s">
        <v>657</v>
      </c>
      <c r="C23" s="584">
        <v>18.242091092086515</v>
      </c>
      <c r="D23" s="584" t="s">
        <v>650</v>
      </c>
      <c r="E23" s="584" t="s">
        <v>579</v>
      </c>
      <c r="F23" s="584">
        <v>0</v>
      </c>
      <c r="G23" s="584">
        <v>17000</v>
      </c>
      <c r="H23" s="584">
        <v>42.407852499999997</v>
      </c>
      <c r="I23" s="584">
        <v>44.011903036552212</v>
      </c>
      <c r="J23" s="584">
        <v>3.7620920768276552E-3</v>
      </c>
      <c r="K23" s="584" t="s">
        <v>743</v>
      </c>
      <c r="L23" s="584" t="s">
        <v>743</v>
      </c>
      <c r="M23" s="584" t="s">
        <v>743</v>
      </c>
      <c r="N23" s="584">
        <v>30</v>
      </c>
      <c r="O23" s="584">
        <v>8.2462023779856494E-2</v>
      </c>
      <c r="P23" s="584">
        <v>0.20495918803550192</v>
      </c>
      <c r="Q23" s="584">
        <v>0.2874212118153584</v>
      </c>
      <c r="R23" s="584">
        <v>0</v>
      </c>
      <c r="S23" s="584">
        <v>0.2874212118153584</v>
      </c>
      <c r="T23" s="584">
        <v>0</v>
      </c>
      <c r="U23" s="584">
        <v>0</v>
      </c>
      <c r="V23" s="584">
        <v>6.5289919795034597E-4</v>
      </c>
      <c r="W23" s="584">
        <v>3.8823406793538745E-17</v>
      </c>
      <c r="X23" s="584">
        <v>0</v>
      </c>
      <c r="Y23" s="584">
        <v>0</v>
      </c>
      <c r="Z23" s="584">
        <v>0</v>
      </c>
      <c r="AA23" s="584">
        <v>0</v>
      </c>
      <c r="AB23" s="584">
        <v>0</v>
      </c>
      <c r="AC23" s="584">
        <v>0</v>
      </c>
      <c r="AD23" s="584">
        <v>0</v>
      </c>
      <c r="AE23" s="584">
        <v>0</v>
      </c>
      <c r="AF23" s="584">
        <v>0</v>
      </c>
      <c r="AG23" s="584">
        <v>0</v>
      </c>
      <c r="AH23" s="584">
        <v>0</v>
      </c>
      <c r="AI23" s="584">
        <v>0</v>
      </c>
      <c r="AJ23" s="584">
        <v>0</v>
      </c>
      <c r="AK23" s="584">
        <v>8.3403838364253316E-4</v>
      </c>
      <c r="AL23" s="584">
        <v>0</v>
      </c>
      <c r="AM23" s="584">
        <v>1.3715568715010241E-4</v>
      </c>
      <c r="AN23" s="584">
        <v>0</v>
      </c>
      <c r="AO23" s="584">
        <v>0</v>
      </c>
      <c r="AP23" s="584">
        <v>0</v>
      </c>
      <c r="AQ23" s="584">
        <v>0</v>
      </c>
      <c r="AR23" s="584">
        <v>0</v>
      </c>
      <c r="AS23" s="584">
        <v>0</v>
      </c>
      <c r="AT23" s="584">
        <v>0</v>
      </c>
      <c r="AU23" s="584">
        <v>0</v>
      </c>
      <c r="AV23" s="584">
        <v>0</v>
      </c>
      <c r="AW23" s="584">
        <v>9.4110799286066971E-5</v>
      </c>
      <c r="AX23" s="584">
        <v>0</v>
      </c>
      <c r="AY23" s="584">
        <v>9.9432024983700926E-15</v>
      </c>
      <c r="AZ23" s="584">
        <v>0</v>
      </c>
      <c r="BA23" s="584">
        <v>0</v>
      </c>
      <c r="BB23" s="584">
        <v>0</v>
      </c>
      <c r="BC23" s="584">
        <v>0</v>
      </c>
      <c r="BD23" s="584">
        <v>0</v>
      </c>
      <c r="BE23" s="584">
        <v>0</v>
      </c>
      <c r="BF23" s="584">
        <v>6.9877975650677899E-3</v>
      </c>
      <c r="BG23" s="584">
        <v>0</v>
      </c>
      <c r="BH23" s="584">
        <v>1.6133065203183122E-2</v>
      </c>
      <c r="BI23" s="584">
        <v>0</v>
      </c>
      <c r="BJ23" s="584">
        <v>0</v>
      </c>
      <c r="BK23" s="584">
        <v>0</v>
      </c>
      <c r="BN23" s="583"/>
      <c r="BO23" s="583"/>
    </row>
    <row r="24" spans="2:67" x14ac:dyDescent="0.2">
      <c r="B24" s="396" t="s">
        <v>657</v>
      </c>
      <c r="C24" s="396">
        <v>18.242091092086515</v>
      </c>
      <c r="D24" s="396" t="s">
        <v>650</v>
      </c>
      <c r="E24" s="396" t="s">
        <v>579</v>
      </c>
      <c r="F24" s="396">
        <v>0</v>
      </c>
      <c r="G24" s="396">
        <v>17000</v>
      </c>
      <c r="H24" s="396">
        <v>51.237887499999999</v>
      </c>
      <c r="I24" s="396">
        <v>53.210843308242993</v>
      </c>
      <c r="J24" s="396">
        <v>5.1662565976974299E-3</v>
      </c>
      <c r="K24" s="396" t="s">
        <v>743</v>
      </c>
      <c r="L24" s="396" t="s">
        <v>743</v>
      </c>
      <c r="M24" s="396" t="s">
        <v>743</v>
      </c>
      <c r="N24" s="396">
        <v>31</v>
      </c>
      <c r="O24" s="396">
        <v>0.13635702779864456</v>
      </c>
      <c r="P24" s="396">
        <v>0.27622771308856431</v>
      </c>
      <c r="Q24" s="396">
        <v>0.41258474088720887</v>
      </c>
      <c r="R24" s="396">
        <v>0</v>
      </c>
      <c r="S24" s="396">
        <v>0.41258474088720887</v>
      </c>
      <c r="T24" s="396">
        <v>0</v>
      </c>
      <c r="U24" s="396">
        <v>0</v>
      </c>
      <c r="V24" s="396">
        <v>8.9347182063911857E-4</v>
      </c>
      <c r="W24" s="396">
        <v>1.0717647723657192E-16</v>
      </c>
      <c r="X24" s="396">
        <v>0</v>
      </c>
      <c r="Y24" s="396">
        <v>0</v>
      </c>
      <c r="Z24" s="396">
        <v>0</v>
      </c>
      <c r="AA24" s="396">
        <v>0</v>
      </c>
      <c r="AB24" s="396">
        <v>0</v>
      </c>
      <c r="AC24" s="396">
        <v>0</v>
      </c>
      <c r="AD24" s="396">
        <v>0</v>
      </c>
      <c r="AE24" s="396">
        <v>0</v>
      </c>
      <c r="AF24" s="396">
        <v>0</v>
      </c>
      <c r="AG24" s="396">
        <v>0</v>
      </c>
      <c r="AH24" s="396">
        <v>0</v>
      </c>
      <c r="AI24" s="396">
        <v>0</v>
      </c>
      <c r="AJ24" s="396">
        <v>0</v>
      </c>
      <c r="AK24" s="396">
        <v>1.2241722586029879E-3</v>
      </c>
      <c r="AL24" s="396">
        <v>0</v>
      </c>
      <c r="AM24" s="396">
        <v>1.8458231097913508E-4</v>
      </c>
      <c r="AN24" s="396">
        <v>0</v>
      </c>
      <c r="AO24" s="396">
        <v>0</v>
      </c>
      <c r="AP24" s="396">
        <v>0</v>
      </c>
      <c r="AQ24" s="396">
        <v>0</v>
      </c>
      <c r="AR24" s="396">
        <v>0</v>
      </c>
      <c r="AS24" s="396">
        <v>0</v>
      </c>
      <c r="AT24" s="396">
        <v>0</v>
      </c>
      <c r="AU24" s="396">
        <v>0</v>
      </c>
      <c r="AV24" s="396">
        <v>0</v>
      </c>
      <c r="AW24" s="396">
        <v>1.5292547039176888E-4</v>
      </c>
      <c r="AX24" s="396">
        <v>0</v>
      </c>
      <c r="AY24" s="396">
        <v>2.5799506202303078E-14</v>
      </c>
      <c r="AZ24" s="396">
        <v>0</v>
      </c>
      <c r="BA24" s="396">
        <v>0</v>
      </c>
      <c r="BB24" s="396">
        <v>0</v>
      </c>
      <c r="BC24" s="396">
        <v>0</v>
      </c>
      <c r="BD24" s="396">
        <v>0</v>
      </c>
      <c r="BE24" s="396">
        <v>0</v>
      </c>
      <c r="BF24" s="396">
        <v>9.8753794820471905E-3</v>
      </c>
      <c r="BG24" s="396">
        <v>0</v>
      </c>
      <c r="BH24" s="396">
        <v>2.3739570129474766E-2</v>
      </c>
      <c r="BI24" s="396">
        <v>0</v>
      </c>
      <c r="BJ24" s="396">
        <v>0</v>
      </c>
      <c r="BK24" s="396">
        <v>0</v>
      </c>
      <c r="BN24" s="583"/>
      <c r="BO24" s="583"/>
    </row>
    <row r="25" spans="2:67" x14ac:dyDescent="0.2">
      <c r="B25" s="584" t="s">
        <v>657</v>
      </c>
      <c r="C25" s="584">
        <v>18.242091092086515</v>
      </c>
      <c r="D25" s="584" t="s">
        <v>650</v>
      </c>
      <c r="E25" s="584" t="s">
        <v>579</v>
      </c>
      <c r="F25" s="584">
        <v>0</v>
      </c>
      <c r="G25" s="584">
        <v>17000</v>
      </c>
      <c r="H25" s="584">
        <v>58.739215000000002</v>
      </c>
      <c r="I25" s="584">
        <v>60.99516573385722</v>
      </c>
      <c r="J25" s="584">
        <v>6.6978846452781099E-3</v>
      </c>
      <c r="K25" s="584" t="s">
        <v>743</v>
      </c>
      <c r="L25" s="584" t="s">
        <v>743</v>
      </c>
      <c r="M25" s="584" t="s">
        <v>743</v>
      </c>
      <c r="N25" s="584">
        <v>30</v>
      </c>
      <c r="O25" s="584">
        <v>0.18673868677887193</v>
      </c>
      <c r="P25" s="584">
        <v>0.35259543119609177</v>
      </c>
      <c r="Q25" s="584">
        <v>0.53933411797496367</v>
      </c>
      <c r="R25" s="584">
        <v>0</v>
      </c>
      <c r="S25" s="584">
        <v>0.53933411797496367</v>
      </c>
      <c r="T25" s="584">
        <v>0</v>
      </c>
      <c r="U25" s="584">
        <v>0</v>
      </c>
      <c r="V25" s="584">
        <v>1.1212893635313365E-3</v>
      </c>
      <c r="W25" s="584">
        <v>2.392990025908782E-16</v>
      </c>
      <c r="X25" s="584">
        <v>0</v>
      </c>
      <c r="Y25" s="584">
        <v>0</v>
      </c>
      <c r="Z25" s="584">
        <v>0</v>
      </c>
      <c r="AA25" s="584">
        <v>0</v>
      </c>
      <c r="AB25" s="584">
        <v>0</v>
      </c>
      <c r="AC25" s="584">
        <v>0</v>
      </c>
      <c r="AD25" s="584">
        <v>0</v>
      </c>
      <c r="AE25" s="584">
        <v>0</v>
      </c>
      <c r="AF25" s="584">
        <v>0</v>
      </c>
      <c r="AG25" s="584">
        <v>0</v>
      </c>
      <c r="AH25" s="584">
        <v>0</v>
      </c>
      <c r="AI25" s="584">
        <v>0</v>
      </c>
      <c r="AJ25" s="584">
        <v>0</v>
      </c>
      <c r="AK25" s="584">
        <v>1.6256231742457754E-3</v>
      </c>
      <c r="AL25" s="584">
        <v>0</v>
      </c>
      <c r="AM25" s="584">
        <v>2.2855164634114197E-4</v>
      </c>
      <c r="AN25" s="584">
        <v>0</v>
      </c>
      <c r="AO25" s="584">
        <v>0</v>
      </c>
      <c r="AP25" s="584">
        <v>0</v>
      </c>
      <c r="AQ25" s="584">
        <v>0</v>
      </c>
      <c r="AR25" s="584">
        <v>0</v>
      </c>
      <c r="AS25" s="584">
        <v>0</v>
      </c>
      <c r="AT25" s="584">
        <v>0</v>
      </c>
      <c r="AU25" s="584">
        <v>0</v>
      </c>
      <c r="AV25" s="584">
        <v>0</v>
      </c>
      <c r="AW25" s="584">
        <v>2.205366895550853E-4</v>
      </c>
      <c r="AX25" s="584">
        <v>0</v>
      </c>
      <c r="AY25" s="584">
        <v>5.4753897142072251E-14</v>
      </c>
      <c r="AZ25" s="584">
        <v>0</v>
      </c>
      <c r="BA25" s="584">
        <v>0</v>
      </c>
      <c r="BB25" s="584">
        <v>0</v>
      </c>
      <c r="BC25" s="584">
        <v>0</v>
      </c>
      <c r="BD25" s="584">
        <v>0</v>
      </c>
      <c r="BE25" s="584">
        <v>0</v>
      </c>
      <c r="BF25" s="584">
        <v>1.2722803073825232E-2</v>
      </c>
      <c r="BG25" s="584">
        <v>0</v>
      </c>
      <c r="BH25" s="584">
        <v>3.1593537818016978E-2</v>
      </c>
      <c r="BI25" s="584">
        <v>0</v>
      </c>
      <c r="BJ25" s="584">
        <v>0</v>
      </c>
      <c r="BK25" s="584">
        <v>0</v>
      </c>
      <c r="BN25" s="583"/>
      <c r="BO25" s="583"/>
    </row>
    <row r="26" spans="2:67" x14ac:dyDescent="0.2">
      <c r="B26" s="396" t="s">
        <v>657</v>
      </c>
      <c r="C26" s="396">
        <v>18.242091092086515</v>
      </c>
      <c r="D26" s="396" t="s">
        <v>650</v>
      </c>
      <c r="E26" s="396" t="s">
        <v>579</v>
      </c>
      <c r="F26" s="396">
        <v>0</v>
      </c>
      <c r="G26" s="396">
        <v>17000</v>
      </c>
      <c r="H26" s="396">
        <v>65.725740000000002</v>
      </c>
      <c r="I26" s="396">
        <v>68.102383469803627</v>
      </c>
      <c r="J26" s="396">
        <v>8.4330771924180821E-3</v>
      </c>
      <c r="K26" s="396" t="s">
        <v>743</v>
      </c>
      <c r="L26" s="396" t="s">
        <v>743</v>
      </c>
      <c r="M26" s="396" t="s">
        <v>743</v>
      </c>
      <c r="N26" s="396">
        <v>31</v>
      </c>
      <c r="O26" s="396">
        <v>0.27393600518952654</v>
      </c>
      <c r="P26" s="396">
        <v>0.43788826208794357</v>
      </c>
      <c r="Q26" s="396">
        <v>0.71182426727747017</v>
      </c>
      <c r="R26" s="396">
        <v>0</v>
      </c>
      <c r="S26" s="396">
        <v>0.71182426727747017</v>
      </c>
      <c r="T26" s="396">
        <v>0</v>
      </c>
      <c r="U26" s="396">
        <v>0</v>
      </c>
      <c r="V26" s="396">
        <v>1.4255709109700046E-3</v>
      </c>
      <c r="W26" s="396">
        <v>5.0785496472376147E-16</v>
      </c>
      <c r="X26" s="396">
        <v>0</v>
      </c>
      <c r="Y26" s="396">
        <v>0</v>
      </c>
      <c r="Z26" s="396">
        <v>0</v>
      </c>
      <c r="AA26" s="396">
        <v>0</v>
      </c>
      <c r="AB26" s="396">
        <v>0</v>
      </c>
      <c r="AC26" s="396">
        <v>0</v>
      </c>
      <c r="AD26" s="396">
        <v>0</v>
      </c>
      <c r="AE26" s="396">
        <v>0</v>
      </c>
      <c r="AF26" s="396">
        <v>0</v>
      </c>
      <c r="AG26" s="396">
        <v>0</v>
      </c>
      <c r="AH26" s="396">
        <v>0</v>
      </c>
      <c r="AI26" s="396">
        <v>0</v>
      </c>
      <c r="AJ26" s="396">
        <v>0</v>
      </c>
      <c r="AK26" s="396">
        <v>2.1716778015547595E-3</v>
      </c>
      <c r="AL26" s="396">
        <v>0</v>
      </c>
      <c r="AM26" s="396">
        <v>2.8717413877855246E-4</v>
      </c>
      <c r="AN26" s="396">
        <v>0</v>
      </c>
      <c r="AO26" s="396">
        <v>0</v>
      </c>
      <c r="AP26" s="396">
        <v>0</v>
      </c>
      <c r="AQ26" s="396">
        <v>0</v>
      </c>
      <c r="AR26" s="396">
        <v>0</v>
      </c>
      <c r="AS26" s="396">
        <v>0</v>
      </c>
      <c r="AT26" s="396">
        <v>0</v>
      </c>
      <c r="AU26" s="396">
        <v>0</v>
      </c>
      <c r="AV26" s="396">
        <v>0</v>
      </c>
      <c r="AW26" s="396">
        <v>3.167989903748652E-4</v>
      </c>
      <c r="AX26" s="396">
        <v>0</v>
      </c>
      <c r="AY26" s="396">
        <v>1.1108635639595863E-13</v>
      </c>
      <c r="AZ26" s="396">
        <v>0</v>
      </c>
      <c r="BA26" s="396">
        <v>0</v>
      </c>
      <c r="BB26" s="396">
        <v>0</v>
      </c>
      <c r="BC26" s="396">
        <v>0</v>
      </c>
      <c r="BD26" s="396">
        <v>0</v>
      </c>
      <c r="BE26" s="396">
        <v>0</v>
      </c>
      <c r="BF26" s="396">
        <v>1.6554777014590957E-2</v>
      </c>
      <c r="BG26" s="396">
        <v>0</v>
      </c>
      <c r="BH26" s="396">
        <v>4.2291217772925181E-2</v>
      </c>
      <c r="BI26" s="396">
        <v>0</v>
      </c>
      <c r="BJ26" s="396">
        <v>0</v>
      </c>
      <c r="BK26" s="396">
        <v>0</v>
      </c>
      <c r="BN26" s="583"/>
      <c r="BO26" s="583"/>
    </row>
    <row r="27" spans="2:67" x14ac:dyDescent="0.2">
      <c r="B27" s="584" t="s">
        <v>657</v>
      </c>
      <c r="C27" s="584">
        <v>18.242091092086515</v>
      </c>
      <c r="D27" s="584" t="s">
        <v>650</v>
      </c>
      <c r="E27" s="584" t="s">
        <v>579</v>
      </c>
      <c r="F27" s="584">
        <v>0</v>
      </c>
      <c r="G27" s="584">
        <v>17000</v>
      </c>
      <c r="H27" s="584">
        <v>64.560380000000009</v>
      </c>
      <c r="I27" s="584">
        <v>66.636482614977638</v>
      </c>
      <c r="J27" s="584">
        <v>8.0458466842468612E-3</v>
      </c>
      <c r="K27" s="584" t="s">
        <v>743</v>
      </c>
      <c r="L27" s="584" t="s">
        <v>743</v>
      </c>
      <c r="M27" s="584" t="s">
        <v>743</v>
      </c>
      <c r="N27" s="584">
        <v>31</v>
      </c>
      <c r="O27" s="584">
        <v>0.25380042204105063</v>
      </c>
      <c r="P27" s="584">
        <v>0.41917797375122678</v>
      </c>
      <c r="Q27" s="584">
        <v>0.67297839579227747</v>
      </c>
      <c r="R27" s="584">
        <v>0</v>
      </c>
      <c r="S27" s="584">
        <v>0.67297839579227747</v>
      </c>
      <c r="T27" s="584">
        <v>0</v>
      </c>
      <c r="U27" s="584">
        <v>0</v>
      </c>
      <c r="V27" s="584">
        <v>1.3582259525925107E-3</v>
      </c>
      <c r="W27" s="584">
        <v>4.3578968563001117E-16</v>
      </c>
      <c r="X27" s="584">
        <v>0</v>
      </c>
      <c r="Y27" s="584">
        <v>0</v>
      </c>
      <c r="Z27" s="584">
        <v>0</v>
      </c>
      <c r="AA27" s="584">
        <v>0</v>
      </c>
      <c r="AB27" s="584">
        <v>0</v>
      </c>
      <c r="AC27" s="584">
        <v>0</v>
      </c>
      <c r="AD27" s="584">
        <v>0</v>
      </c>
      <c r="AE27" s="584">
        <v>0</v>
      </c>
      <c r="AF27" s="584">
        <v>0</v>
      </c>
      <c r="AG27" s="584">
        <v>0</v>
      </c>
      <c r="AH27" s="584">
        <v>0</v>
      </c>
      <c r="AI27" s="584">
        <v>0</v>
      </c>
      <c r="AJ27" s="584">
        <v>0</v>
      </c>
      <c r="AK27" s="584">
        <v>2.048382784446899E-3</v>
      </c>
      <c r="AL27" s="584">
        <v>0</v>
      </c>
      <c r="AM27" s="584">
        <v>2.7426200446750292E-4</v>
      </c>
      <c r="AN27" s="584">
        <v>0</v>
      </c>
      <c r="AO27" s="584">
        <v>0</v>
      </c>
      <c r="AP27" s="584">
        <v>0</v>
      </c>
      <c r="AQ27" s="584">
        <v>0</v>
      </c>
      <c r="AR27" s="584">
        <v>0</v>
      </c>
      <c r="AS27" s="584">
        <v>0</v>
      </c>
      <c r="AT27" s="584">
        <v>0</v>
      </c>
      <c r="AU27" s="584">
        <v>0</v>
      </c>
      <c r="AV27" s="584">
        <v>0</v>
      </c>
      <c r="AW27" s="584">
        <v>2.9443268645049038E-4</v>
      </c>
      <c r="AX27" s="584">
        <v>0</v>
      </c>
      <c r="AY27" s="584">
        <v>9.6202791481182956E-14</v>
      </c>
      <c r="AZ27" s="584">
        <v>0</v>
      </c>
      <c r="BA27" s="584">
        <v>0</v>
      </c>
      <c r="BB27" s="584">
        <v>0</v>
      </c>
      <c r="BC27" s="584">
        <v>0</v>
      </c>
      <c r="BD27" s="584">
        <v>0</v>
      </c>
      <c r="BE27" s="584">
        <v>0</v>
      </c>
      <c r="BF27" s="584">
        <v>1.5698380477273673E-2</v>
      </c>
      <c r="BG27" s="584">
        <v>0</v>
      </c>
      <c r="BH27" s="584">
        <v>3.9873507009315218E-2</v>
      </c>
      <c r="BI27" s="584">
        <v>0</v>
      </c>
      <c r="BJ27" s="584">
        <v>0</v>
      </c>
      <c r="BK27" s="584">
        <v>0</v>
      </c>
      <c r="BN27" s="583"/>
      <c r="BO27" s="583"/>
    </row>
    <row r="28" spans="2:67" x14ac:dyDescent="0.2">
      <c r="B28" s="396" t="s">
        <v>657</v>
      </c>
      <c r="C28" s="396">
        <v>18.242091092086515</v>
      </c>
      <c r="D28" s="396" t="s">
        <v>650</v>
      </c>
      <c r="E28" s="396" t="s">
        <v>579</v>
      </c>
      <c r="F28" s="396">
        <v>0</v>
      </c>
      <c r="G28" s="396">
        <v>17000</v>
      </c>
      <c r="H28" s="396">
        <v>57.173742499999996</v>
      </c>
      <c r="I28" s="396">
        <v>58.828920992758896</v>
      </c>
      <c r="J28" s="396">
        <v>6.2358837036127482E-3</v>
      </c>
      <c r="K28" s="396" t="s">
        <v>743</v>
      </c>
      <c r="L28" s="396" t="s">
        <v>743</v>
      </c>
      <c r="M28" s="396" t="s">
        <v>743</v>
      </c>
      <c r="N28" s="396">
        <v>30</v>
      </c>
      <c r="O28" s="396">
        <v>0.18241606831890728</v>
      </c>
      <c r="P28" s="396">
        <v>0.33002069783057075</v>
      </c>
      <c r="Q28" s="396">
        <v>0.51243676614947797</v>
      </c>
      <c r="R28" s="396">
        <v>0</v>
      </c>
      <c r="S28" s="396">
        <v>0.51243676614947797</v>
      </c>
      <c r="T28" s="396">
        <v>0</v>
      </c>
      <c r="U28" s="396">
        <v>0</v>
      </c>
      <c r="V28" s="396">
        <v>1.0775518388366307E-3</v>
      </c>
      <c r="W28" s="396">
        <v>1.9621149168900668E-16</v>
      </c>
      <c r="X28" s="396">
        <v>0</v>
      </c>
      <c r="Y28" s="396">
        <v>0</v>
      </c>
      <c r="Z28" s="396">
        <v>0</v>
      </c>
      <c r="AA28" s="396">
        <v>0</v>
      </c>
      <c r="AB28" s="396">
        <v>0</v>
      </c>
      <c r="AC28" s="396">
        <v>0</v>
      </c>
      <c r="AD28" s="396">
        <v>0</v>
      </c>
      <c r="AE28" s="396">
        <v>0</v>
      </c>
      <c r="AF28" s="396">
        <v>0</v>
      </c>
      <c r="AG28" s="396">
        <v>0</v>
      </c>
      <c r="AH28" s="396">
        <v>0</v>
      </c>
      <c r="AI28" s="396">
        <v>0</v>
      </c>
      <c r="AJ28" s="396">
        <v>0</v>
      </c>
      <c r="AK28" s="396">
        <v>1.5382163594453153E-3</v>
      </c>
      <c r="AL28" s="396">
        <v>0</v>
      </c>
      <c r="AM28" s="396">
        <v>2.20447034992407E-4</v>
      </c>
      <c r="AN28" s="396">
        <v>0</v>
      </c>
      <c r="AO28" s="396">
        <v>0</v>
      </c>
      <c r="AP28" s="396">
        <v>0</v>
      </c>
      <c r="AQ28" s="396">
        <v>0</v>
      </c>
      <c r="AR28" s="396">
        <v>0</v>
      </c>
      <c r="AS28" s="396">
        <v>0</v>
      </c>
      <c r="AT28" s="396">
        <v>0</v>
      </c>
      <c r="AU28" s="396">
        <v>0</v>
      </c>
      <c r="AV28" s="396">
        <v>0</v>
      </c>
      <c r="AW28" s="396">
        <v>2.0400842472918649E-4</v>
      </c>
      <c r="AX28" s="396">
        <v>0</v>
      </c>
      <c r="AY28" s="396">
        <v>4.5526563927254715E-14</v>
      </c>
      <c r="AZ28" s="396">
        <v>0</v>
      </c>
      <c r="BA28" s="396">
        <v>0</v>
      </c>
      <c r="BB28" s="396">
        <v>0</v>
      </c>
      <c r="BC28" s="396">
        <v>0</v>
      </c>
      <c r="BD28" s="396">
        <v>0</v>
      </c>
      <c r="BE28" s="396">
        <v>0</v>
      </c>
      <c r="BF28" s="396">
        <v>1.2138693741655876E-2</v>
      </c>
      <c r="BG28" s="396">
        <v>0</v>
      </c>
      <c r="BH28" s="396">
        <v>2.9876560116315998E-2</v>
      </c>
      <c r="BI28" s="396">
        <v>0</v>
      </c>
      <c r="BJ28" s="396">
        <v>0</v>
      </c>
      <c r="BK28" s="396">
        <v>0</v>
      </c>
      <c r="BN28" s="583"/>
      <c r="BO28" s="583"/>
    </row>
    <row r="29" spans="2:67" x14ac:dyDescent="0.2">
      <c r="B29" s="584" t="s">
        <v>657</v>
      </c>
      <c r="C29" s="584">
        <v>18.242091092086515</v>
      </c>
      <c r="D29" s="584" t="s">
        <v>650</v>
      </c>
      <c r="E29" s="584" t="s">
        <v>579</v>
      </c>
      <c r="F29" s="584">
        <v>0</v>
      </c>
      <c r="G29" s="584">
        <v>17000</v>
      </c>
      <c r="H29" s="584">
        <v>46.057272500000003</v>
      </c>
      <c r="I29" s="584">
        <v>47.147942839454259</v>
      </c>
      <c r="J29" s="584">
        <v>4.1971142944793472E-3</v>
      </c>
      <c r="K29" s="584" t="s">
        <v>743</v>
      </c>
      <c r="L29" s="584" t="s">
        <v>743</v>
      </c>
      <c r="M29" s="584" t="s">
        <v>743</v>
      </c>
      <c r="N29" s="584">
        <v>31</v>
      </c>
      <c r="O29" s="584">
        <v>0.10946194424304241</v>
      </c>
      <c r="P29" s="584">
        <v>0.2274785309598456</v>
      </c>
      <c r="Q29" s="584">
        <v>0.336940475202888</v>
      </c>
      <c r="R29" s="584">
        <v>0</v>
      </c>
      <c r="S29" s="584">
        <v>0.336940475202888</v>
      </c>
      <c r="T29" s="584">
        <v>0</v>
      </c>
      <c r="U29" s="584">
        <v>0</v>
      </c>
      <c r="V29" s="584">
        <v>7.5305656978530595E-4</v>
      </c>
      <c r="W29" s="584">
        <v>5.7030808793078327E-17</v>
      </c>
      <c r="X29" s="584">
        <v>0</v>
      </c>
      <c r="Y29" s="584">
        <v>0</v>
      </c>
      <c r="Z29" s="584">
        <v>0</v>
      </c>
      <c r="AA29" s="584">
        <v>0</v>
      </c>
      <c r="AB29" s="584">
        <v>0</v>
      </c>
      <c r="AC29" s="584">
        <v>0</v>
      </c>
      <c r="AD29" s="584">
        <v>0</v>
      </c>
      <c r="AE29" s="584">
        <v>0</v>
      </c>
      <c r="AF29" s="584">
        <v>0</v>
      </c>
      <c r="AG29" s="584">
        <v>0</v>
      </c>
      <c r="AH29" s="584">
        <v>0</v>
      </c>
      <c r="AI29" s="584">
        <v>0</v>
      </c>
      <c r="AJ29" s="584">
        <v>0</v>
      </c>
      <c r="AK29" s="584">
        <v>9.8564024310421458E-4</v>
      </c>
      <c r="AL29" s="584">
        <v>0</v>
      </c>
      <c r="AM29" s="584">
        <v>1.5728089150812612E-4</v>
      </c>
      <c r="AN29" s="584">
        <v>0</v>
      </c>
      <c r="AO29" s="584">
        <v>0</v>
      </c>
      <c r="AP29" s="584">
        <v>0</v>
      </c>
      <c r="AQ29" s="584">
        <v>0</v>
      </c>
      <c r="AR29" s="584">
        <v>0</v>
      </c>
      <c r="AS29" s="584">
        <v>0</v>
      </c>
      <c r="AT29" s="584">
        <v>0</v>
      </c>
      <c r="AU29" s="584">
        <v>0</v>
      </c>
      <c r="AV29" s="584">
        <v>0</v>
      </c>
      <c r="AW29" s="584">
        <v>1.1520407235721084E-4</v>
      </c>
      <c r="AX29" s="584">
        <v>0</v>
      </c>
      <c r="AY29" s="584">
        <v>1.4297323813370399E-14</v>
      </c>
      <c r="AZ29" s="584">
        <v>0</v>
      </c>
      <c r="BA29" s="584">
        <v>0</v>
      </c>
      <c r="BB29" s="584">
        <v>0</v>
      </c>
      <c r="BC29" s="584">
        <v>0</v>
      </c>
      <c r="BD29" s="584">
        <v>0</v>
      </c>
      <c r="BE29" s="584">
        <v>0</v>
      </c>
      <c r="BF29" s="584">
        <v>8.1498966446055254E-3</v>
      </c>
      <c r="BG29" s="584">
        <v>0</v>
      </c>
      <c r="BH29" s="584">
        <v>1.9081881014230924E-2</v>
      </c>
      <c r="BI29" s="584">
        <v>0</v>
      </c>
      <c r="BJ29" s="584">
        <v>0</v>
      </c>
      <c r="BK29" s="584">
        <v>0</v>
      </c>
      <c r="BN29" s="583"/>
      <c r="BO29" s="583"/>
    </row>
    <row r="30" spans="2:67" x14ac:dyDescent="0.2">
      <c r="B30" s="396" t="s">
        <v>657</v>
      </c>
      <c r="C30" s="396">
        <v>18.242091092086515</v>
      </c>
      <c r="D30" s="396" t="s">
        <v>650</v>
      </c>
      <c r="E30" s="396" t="s">
        <v>579</v>
      </c>
      <c r="F30" s="396">
        <v>0</v>
      </c>
      <c r="G30" s="396">
        <v>17000</v>
      </c>
      <c r="H30" s="396">
        <v>34.446420000000003</v>
      </c>
      <c r="I30" s="396">
        <v>35.054628864222295</v>
      </c>
      <c r="J30" s="396">
        <v>2.7313614621201697E-3</v>
      </c>
      <c r="K30" s="396" t="s">
        <v>743</v>
      </c>
      <c r="L30" s="396" t="s">
        <v>743</v>
      </c>
      <c r="M30" s="396" t="s">
        <v>743</v>
      </c>
      <c r="N30" s="396">
        <v>30</v>
      </c>
      <c r="O30" s="396">
        <v>4.636617546750485E-2</v>
      </c>
      <c r="P30" s="396">
        <v>0.15179492573589315</v>
      </c>
      <c r="Q30" s="396">
        <v>0.198161101203398</v>
      </c>
      <c r="R30" s="396">
        <v>0</v>
      </c>
      <c r="S30" s="396">
        <v>0.198161101203398</v>
      </c>
      <c r="T30" s="396">
        <v>0</v>
      </c>
      <c r="U30" s="396">
        <v>0</v>
      </c>
      <c r="V30" s="396">
        <v>4.7132227734558881E-4</v>
      </c>
      <c r="W30" s="396">
        <v>1.3832278998244353E-17</v>
      </c>
      <c r="X30" s="396">
        <v>0</v>
      </c>
      <c r="Y30" s="396">
        <v>0</v>
      </c>
      <c r="Z30" s="396">
        <v>0</v>
      </c>
      <c r="AA30" s="396">
        <v>0</v>
      </c>
      <c r="AB30" s="396">
        <v>0</v>
      </c>
      <c r="AC30" s="396">
        <v>0</v>
      </c>
      <c r="AD30" s="396">
        <v>0</v>
      </c>
      <c r="AE30" s="396">
        <v>0</v>
      </c>
      <c r="AF30" s="396">
        <v>0</v>
      </c>
      <c r="AG30" s="396">
        <v>0</v>
      </c>
      <c r="AH30" s="396">
        <v>0</v>
      </c>
      <c r="AI30" s="396">
        <v>0</v>
      </c>
      <c r="AJ30" s="396">
        <v>0</v>
      </c>
      <c r="AK30" s="396">
        <v>5.6033008766555835E-4</v>
      </c>
      <c r="AL30" s="396">
        <v>0</v>
      </c>
      <c r="AM30" s="396">
        <v>1.0072808307839914E-4</v>
      </c>
      <c r="AN30" s="396">
        <v>0</v>
      </c>
      <c r="AO30" s="396">
        <v>0</v>
      </c>
      <c r="AP30" s="396">
        <v>0</v>
      </c>
      <c r="AQ30" s="396">
        <v>0</v>
      </c>
      <c r="AR30" s="396">
        <v>0</v>
      </c>
      <c r="AS30" s="396">
        <v>0</v>
      </c>
      <c r="AT30" s="396">
        <v>0</v>
      </c>
      <c r="AU30" s="396">
        <v>0</v>
      </c>
      <c r="AV30" s="396">
        <v>0</v>
      </c>
      <c r="AW30" s="396">
        <v>5.6992380980193349E-5</v>
      </c>
      <c r="AX30" s="396">
        <v>0</v>
      </c>
      <c r="AY30" s="396">
        <v>3.7713939220584229E-15</v>
      </c>
      <c r="AZ30" s="396">
        <v>0</v>
      </c>
      <c r="BA30" s="396">
        <v>0</v>
      </c>
      <c r="BB30" s="396">
        <v>0</v>
      </c>
      <c r="BC30" s="396">
        <v>0</v>
      </c>
      <c r="BD30" s="396">
        <v>0</v>
      </c>
      <c r="BE30" s="396">
        <v>0</v>
      </c>
      <c r="BF30" s="396">
        <v>4.882375860862099E-3</v>
      </c>
      <c r="BG30" s="396">
        <v>0</v>
      </c>
      <c r="BH30" s="396">
        <v>1.0812653991502519E-2</v>
      </c>
      <c r="BI30" s="396">
        <v>0</v>
      </c>
      <c r="BJ30" s="396">
        <v>0</v>
      </c>
      <c r="BK30" s="396">
        <v>0</v>
      </c>
      <c r="BN30" s="583"/>
      <c r="BO30" s="583"/>
    </row>
    <row r="31" spans="2:67" x14ac:dyDescent="0.2">
      <c r="B31" s="584" t="s">
        <v>657</v>
      </c>
      <c r="C31" s="584">
        <v>18.242091092086515</v>
      </c>
      <c r="D31" s="584" t="s">
        <v>650</v>
      </c>
      <c r="E31" s="584" t="s">
        <v>579</v>
      </c>
      <c r="F31" s="584">
        <v>0</v>
      </c>
      <c r="G31" s="584">
        <v>17000</v>
      </c>
      <c r="H31" s="584">
        <v>29.035697500000001</v>
      </c>
      <c r="I31" s="584">
        <v>29.449194376929714</v>
      </c>
      <c r="J31" s="584">
        <v>2.222138749868E-3</v>
      </c>
      <c r="K31" s="584" t="s">
        <v>743</v>
      </c>
      <c r="L31" s="584" t="s">
        <v>743</v>
      </c>
      <c r="M31" s="584" t="s">
        <v>743</v>
      </c>
      <c r="N31" s="584">
        <v>31</v>
      </c>
      <c r="O31" s="584">
        <v>2.951512639529541E-2</v>
      </c>
      <c r="P31" s="584">
        <v>0.12495817388959769</v>
      </c>
      <c r="Q31" s="584">
        <v>0.15447330028489309</v>
      </c>
      <c r="R31" s="584">
        <v>0</v>
      </c>
      <c r="S31" s="584">
        <v>0.15447330028489309</v>
      </c>
      <c r="T31" s="584">
        <v>0</v>
      </c>
      <c r="U31" s="584">
        <v>0</v>
      </c>
      <c r="V31" s="584">
        <v>3.7800202294777156E-4</v>
      </c>
      <c r="W31" s="584">
        <v>7.0464650082942519E-18</v>
      </c>
      <c r="X31" s="584">
        <v>0</v>
      </c>
      <c r="Y31" s="584">
        <v>0</v>
      </c>
      <c r="Z31" s="584">
        <v>0</v>
      </c>
      <c r="AA31" s="584">
        <v>0</v>
      </c>
      <c r="AB31" s="584">
        <v>0</v>
      </c>
      <c r="AC31" s="584">
        <v>0</v>
      </c>
      <c r="AD31" s="584">
        <v>0</v>
      </c>
      <c r="AE31" s="584">
        <v>0</v>
      </c>
      <c r="AF31" s="584">
        <v>0</v>
      </c>
      <c r="AG31" s="584">
        <v>0</v>
      </c>
      <c r="AH31" s="584">
        <v>0</v>
      </c>
      <c r="AI31" s="584">
        <v>0</v>
      </c>
      <c r="AJ31" s="584">
        <v>0</v>
      </c>
      <c r="AK31" s="584">
        <v>4.2877729641878554E-4</v>
      </c>
      <c r="AL31" s="584">
        <v>0</v>
      </c>
      <c r="AM31" s="584">
        <v>8.1698088191136823E-5</v>
      </c>
      <c r="AN31" s="584">
        <v>0</v>
      </c>
      <c r="AO31" s="584">
        <v>0</v>
      </c>
      <c r="AP31" s="584">
        <v>0</v>
      </c>
      <c r="AQ31" s="584">
        <v>0</v>
      </c>
      <c r="AR31" s="584">
        <v>0</v>
      </c>
      <c r="AS31" s="584">
        <v>0</v>
      </c>
      <c r="AT31" s="584">
        <v>0</v>
      </c>
      <c r="AU31" s="584">
        <v>0</v>
      </c>
      <c r="AV31" s="584">
        <v>0</v>
      </c>
      <c r="AW31" s="584">
        <v>4.0765714141487631E-5</v>
      </c>
      <c r="AX31" s="584">
        <v>0</v>
      </c>
      <c r="AY31" s="584">
        <v>2.0002862310753767E-15</v>
      </c>
      <c r="AZ31" s="584">
        <v>0</v>
      </c>
      <c r="BA31" s="584">
        <v>0</v>
      </c>
      <c r="BB31" s="584">
        <v>0</v>
      </c>
      <c r="BC31" s="584">
        <v>0</v>
      </c>
      <c r="BD31" s="584">
        <v>0</v>
      </c>
      <c r="BE31" s="584">
        <v>0</v>
      </c>
      <c r="BF31" s="584">
        <v>3.83381731413428E-3</v>
      </c>
      <c r="BG31" s="584">
        <v>0</v>
      </c>
      <c r="BH31" s="584">
        <v>8.2620003656721386E-3</v>
      </c>
      <c r="BI31" s="584">
        <v>0</v>
      </c>
      <c r="BJ31" s="584">
        <v>0</v>
      </c>
      <c r="BK31" s="584">
        <v>0</v>
      </c>
      <c r="BN31" s="583"/>
    </row>
    <row r="32" spans="2:67" s="355" customFormat="1" x14ac:dyDescent="0.2"/>
    <row r="33" spans="18:63" s="355" customFormat="1" ht="25.5" x14ac:dyDescent="0.2">
      <c r="R33" s="585" t="s">
        <v>744</v>
      </c>
      <c r="T33" s="586" t="s">
        <v>745</v>
      </c>
      <c r="U33" s="586" t="s">
        <v>746</v>
      </c>
      <c r="V33" s="586" t="s">
        <v>601</v>
      </c>
      <c r="W33" s="586" t="s">
        <v>602</v>
      </c>
      <c r="X33" s="586" t="s">
        <v>747</v>
      </c>
      <c r="Y33" s="586" t="s">
        <v>748</v>
      </c>
      <c r="Z33" s="586" t="s">
        <v>749</v>
      </c>
      <c r="AA33" s="586" t="s">
        <v>750</v>
      </c>
      <c r="AB33" s="586"/>
      <c r="AC33" s="586" t="s">
        <v>751</v>
      </c>
      <c r="AD33" s="586" t="s">
        <v>752</v>
      </c>
      <c r="AE33" s="586" t="s">
        <v>753</v>
      </c>
      <c r="AF33" s="586" t="s">
        <v>754</v>
      </c>
      <c r="AG33" s="586" t="s">
        <v>755</v>
      </c>
      <c r="AH33" s="586" t="s">
        <v>756</v>
      </c>
      <c r="AI33" s="586" t="s">
        <v>757</v>
      </c>
      <c r="AJ33" s="586" t="s">
        <v>758</v>
      </c>
      <c r="AK33" s="586" t="s">
        <v>151</v>
      </c>
      <c r="AL33" s="586" t="s">
        <v>759</v>
      </c>
      <c r="AM33" s="586" t="s">
        <v>603</v>
      </c>
      <c r="AN33" s="586" t="s">
        <v>760</v>
      </c>
      <c r="AO33" s="586" t="s">
        <v>761</v>
      </c>
      <c r="AP33" s="586" t="s">
        <v>310</v>
      </c>
      <c r="AQ33" s="586" t="s">
        <v>762</v>
      </c>
      <c r="AR33" s="586" t="s">
        <v>309</v>
      </c>
      <c r="AS33" s="586" t="s">
        <v>763</v>
      </c>
      <c r="AT33" s="586" t="s">
        <v>764</v>
      </c>
      <c r="AU33" s="586" t="s">
        <v>765</v>
      </c>
      <c r="AV33" s="586" t="s">
        <v>766</v>
      </c>
      <c r="AW33" s="586" t="s">
        <v>604</v>
      </c>
      <c r="AX33" s="586" t="s">
        <v>212</v>
      </c>
      <c r="AY33" s="586" t="s">
        <v>605</v>
      </c>
      <c r="AZ33" s="586" t="s">
        <v>767</v>
      </c>
      <c r="BA33" s="586" t="s">
        <v>768</v>
      </c>
      <c r="BB33" s="586" t="s">
        <v>769</v>
      </c>
      <c r="BC33" s="586" t="s">
        <v>770</v>
      </c>
      <c r="BD33" s="586" t="s">
        <v>129</v>
      </c>
      <c r="BE33" s="586" t="s">
        <v>771</v>
      </c>
      <c r="BF33" s="586" t="s">
        <v>606</v>
      </c>
      <c r="BG33" s="586" t="s">
        <v>772</v>
      </c>
      <c r="BH33" s="586" t="s">
        <v>144</v>
      </c>
      <c r="BI33" s="586" t="s">
        <v>773</v>
      </c>
      <c r="BJ33" s="586" t="s">
        <v>774</v>
      </c>
      <c r="BK33" s="586" t="s">
        <v>775</v>
      </c>
    </row>
    <row r="34" spans="18:63" s="355" customFormat="1" x14ac:dyDescent="0.2">
      <c r="R34" s="391" t="s">
        <v>332</v>
      </c>
      <c r="S34" s="355">
        <f>SUM(S8:S31)</f>
        <v>8.7789582722667738</v>
      </c>
      <c r="T34" s="355">
        <f t="shared" ref="T34:BK34" si="0">SUM(T8:T31)</f>
        <v>0</v>
      </c>
      <c r="U34" s="355">
        <f t="shared" si="0"/>
        <v>0</v>
      </c>
      <c r="V34" s="355">
        <f>SUM(V8:V31)</f>
        <v>1.8947308651865669E-2</v>
      </c>
      <c r="W34" s="355">
        <f t="shared" si="0"/>
        <v>3.2873862586150835E-15</v>
      </c>
      <c r="X34" s="355">
        <f t="shared" si="0"/>
        <v>0</v>
      </c>
      <c r="Y34" s="355">
        <f t="shared" si="0"/>
        <v>0</v>
      </c>
      <c r="Z34" s="355">
        <f t="shared" si="0"/>
        <v>0</v>
      </c>
      <c r="AA34" s="355">
        <f t="shared" si="0"/>
        <v>0</v>
      </c>
      <c r="AB34" s="355">
        <f t="shared" si="0"/>
        <v>0</v>
      </c>
      <c r="AC34" s="355">
        <f t="shared" si="0"/>
        <v>0</v>
      </c>
      <c r="AD34" s="355">
        <f t="shared" si="0"/>
        <v>0</v>
      </c>
      <c r="AE34" s="355">
        <f t="shared" si="0"/>
        <v>0</v>
      </c>
      <c r="AF34" s="355">
        <f t="shared" si="0"/>
        <v>0</v>
      </c>
      <c r="AG34" s="355">
        <f t="shared" si="0"/>
        <v>0</v>
      </c>
      <c r="AH34" s="355">
        <f t="shared" si="0"/>
        <v>0</v>
      </c>
      <c r="AI34" s="355">
        <f t="shared" si="0"/>
        <v>0</v>
      </c>
      <c r="AJ34" s="355">
        <f t="shared" si="0"/>
        <v>0</v>
      </c>
      <c r="AK34" s="355">
        <f t="shared" si="0"/>
        <v>2.6014687576508534E-2</v>
      </c>
      <c r="AL34" s="355">
        <f t="shared" si="0"/>
        <v>0</v>
      </c>
      <c r="AM34" s="355">
        <f t="shared" si="0"/>
        <v>3.9180591878709564E-3</v>
      </c>
      <c r="AN34" s="355">
        <f t="shared" si="0"/>
        <v>0</v>
      </c>
      <c r="AO34" s="355">
        <f t="shared" si="0"/>
        <v>0</v>
      </c>
      <c r="AP34" s="355">
        <f t="shared" si="0"/>
        <v>0</v>
      </c>
      <c r="AQ34" s="355">
        <f t="shared" si="0"/>
        <v>0</v>
      </c>
      <c r="AR34" s="355">
        <f t="shared" si="0"/>
        <v>0</v>
      </c>
      <c r="AS34" s="355">
        <f t="shared" si="0"/>
        <v>0</v>
      </c>
      <c r="AT34" s="355">
        <f t="shared" si="0"/>
        <v>0</v>
      </c>
      <c r="AU34" s="355">
        <f t="shared" si="0"/>
        <v>0</v>
      </c>
      <c r="AV34" s="355">
        <f t="shared" si="0"/>
        <v>0</v>
      </c>
      <c r="AW34" s="355">
        <f t="shared" si="0"/>
        <v>3.3143982907600975E-3</v>
      </c>
      <c r="AX34" s="355">
        <f t="shared" si="0"/>
        <v>0</v>
      </c>
      <c r="AY34" s="355">
        <f t="shared" si="0"/>
        <v>7.4873723901066164E-13</v>
      </c>
      <c r="AZ34" s="355">
        <f t="shared" si="0"/>
        <v>0</v>
      </c>
      <c r="BA34" s="355">
        <f t="shared" si="0"/>
        <v>0</v>
      </c>
      <c r="BB34" s="355">
        <f t="shared" si="0"/>
        <v>0</v>
      </c>
      <c r="BC34" s="355">
        <f t="shared" si="0"/>
        <v>0</v>
      </c>
      <c r="BD34" s="355">
        <f t="shared" si="0"/>
        <v>0</v>
      </c>
      <c r="BE34" s="355">
        <f t="shared" si="0"/>
        <v>0</v>
      </c>
      <c r="BF34" s="355">
        <f t="shared" si="0"/>
        <v>0.20945163758726143</v>
      </c>
      <c r="BG34" s="355">
        <f t="shared" si="0"/>
        <v>0</v>
      </c>
      <c r="BH34" s="355">
        <f t="shared" si="0"/>
        <v>0.50470761351715054</v>
      </c>
      <c r="BI34" s="355">
        <f t="shared" si="0"/>
        <v>0</v>
      </c>
      <c r="BJ34" s="355">
        <f t="shared" si="0"/>
        <v>0</v>
      </c>
      <c r="BK34" s="355">
        <f t="shared" si="0"/>
        <v>0</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B4495-F0E1-4F3A-BA9D-A3CB6F94B9D9}">
  <dimension ref="A1:H50"/>
  <sheetViews>
    <sheetView view="pageBreakPreview" zoomScale="60" zoomScaleNormal="100" workbookViewId="0">
      <selection activeCell="U43" sqref="U43"/>
    </sheetView>
  </sheetViews>
  <sheetFormatPr defaultColWidth="8.85546875" defaultRowHeight="15" x14ac:dyDescent="0.25"/>
  <cols>
    <col min="1" max="1" width="24.28515625" customWidth="1"/>
    <col min="2" max="2" width="18.140625" style="1" customWidth="1"/>
    <col min="4" max="4" width="27.42578125" customWidth="1"/>
    <col min="5" max="5" width="19.7109375" style="1" customWidth="1"/>
    <col min="7" max="7" width="26.42578125" customWidth="1"/>
  </cols>
  <sheetData>
    <row r="1" spans="1:8" x14ac:dyDescent="0.25">
      <c r="A1" t="s">
        <v>776</v>
      </c>
      <c r="B1" t="s">
        <v>777</v>
      </c>
      <c r="D1" t="s">
        <v>778</v>
      </c>
      <c r="E1"/>
      <c r="G1" t="s">
        <v>779</v>
      </c>
      <c r="H1">
        <v>4.1549083367565885E-3</v>
      </c>
    </row>
    <row r="2" spans="1:8" x14ac:dyDescent="0.25">
      <c r="A2" t="s">
        <v>780</v>
      </c>
      <c r="B2" s="629" t="s">
        <v>781</v>
      </c>
      <c r="D2" t="s">
        <v>782</v>
      </c>
      <c r="E2"/>
      <c r="G2" t="s">
        <v>783</v>
      </c>
      <c r="H2">
        <v>0</v>
      </c>
    </row>
    <row r="3" spans="1:8" x14ac:dyDescent="0.25">
      <c r="A3" t="s">
        <v>784</v>
      </c>
      <c r="B3" s="629" t="s">
        <v>785</v>
      </c>
      <c r="D3" t="s">
        <v>786</v>
      </c>
      <c r="E3" t="b">
        <v>1</v>
      </c>
      <c r="G3" t="s">
        <v>787</v>
      </c>
      <c r="H3">
        <v>0</v>
      </c>
    </row>
    <row r="4" spans="1:8" x14ac:dyDescent="0.25">
      <c r="A4" t="s">
        <v>612</v>
      </c>
      <c r="B4" t="s">
        <v>649</v>
      </c>
      <c r="D4" t="s">
        <v>788</v>
      </c>
      <c r="E4" t="b">
        <v>0</v>
      </c>
      <c r="G4" t="s">
        <v>789</v>
      </c>
      <c r="H4">
        <v>0</v>
      </c>
    </row>
    <row r="5" spans="1:8" x14ac:dyDescent="0.25">
      <c r="A5" t="s">
        <v>790</v>
      </c>
      <c r="B5" t="s">
        <v>791</v>
      </c>
      <c r="D5" t="s">
        <v>792</v>
      </c>
      <c r="E5" t="s">
        <v>579</v>
      </c>
      <c r="G5" t="s">
        <v>793</v>
      </c>
      <c r="H5">
        <v>0</v>
      </c>
    </row>
    <row r="6" spans="1:8" x14ac:dyDescent="0.25">
      <c r="A6" t="s">
        <v>794</v>
      </c>
      <c r="B6" t="s">
        <v>795</v>
      </c>
      <c r="D6" t="s">
        <v>796</v>
      </c>
      <c r="E6">
        <v>7.1</v>
      </c>
      <c r="G6" t="s">
        <v>797</v>
      </c>
      <c r="H6" t="s">
        <v>695</v>
      </c>
    </row>
    <row r="7" spans="1:8" x14ac:dyDescent="0.25">
      <c r="A7" t="s">
        <v>798</v>
      </c>
      <c r="B7" t="s">
        <v>799</v>
      </c>
      <c r="D7" t="s">
        <v>800</v>
      </c>
      <c r="E7">
        <v>130</v>
      </c>
      <c r="G7" t="s">
        <v>801</v>
      </c>
      <c r="H7">
        <v>0</v>
      </c>
    </row>
    <row r="8" spans="1:8" x14ac:dyDescent="0.25">
      <c r="A8" t="s">
        <v>802</v>
      </c>
      <c r="B8" t="b">
        <v>0</v>
      </c>
      <c r="D8" t="s">
        <v>803</v>
      </c>
      <c r="E8">
        <v>0</v>
      </c>
      <c r="G8" t="s">
        <v>804</v>
      </c>
      <c r="H8">
        <v>0</v>
      </c>
    </row>
    <row r="9" spans="1:8" x14ac:dyDescent="0.25">
      <c r="A9" t="s">
        <v>805</v>
      </c>
      <c r="B9" t="s">
        <v>743</v>
      </c>
      <c r="D9" t="s">
        <v>806</v>
      </c>
      <c r="E9">
        <v>1</v>
      </c>
      <c r="G9" t="s">
        <v>807</v>
      </c>
    </row>
    <row r="10" spans="1:8" x14ac:dyDescent="0.25">
      <c r="A10" t="s">
        <v>808</v>
      </c>
      <c r="B10" t="b">
        <v>0</v>
      </c>
      <c r="D10" t="s">
        <v>809</v>
      </c>
      <c r="E10">
        <v>1</v>
      </c>
      <c r="G10" t="s">
        <v>810</v>
      </c>
      <c r="H10" t="s">
        <v>579</v>
      </c>
    </row>
    <row r="11" spans="1:8" x14ac:dyDescent="0.25">
      <c r="A11" t="s">
        <v>811</v>
      </c>
      <c r="B11">
        <v>18.242091092086515</v>
      </c>
      <c r="D11" t="s">
        <v>812</v>
      </c>
      <c r="E11">
        <v>1.5E-3</v>
      </c>
      <c r="G11" t="s">
        <v>813</v>
      </c>
      <c r="H11" t="s">
        <v>650</v>
      </c>
    </row>
    <row r="12" spans="1:8" x14ac:dyDescent="0.25">
      <c r="A12" t="s">
        <v>814</v>
      </c>
      <c r="B12">
        <v>6.2203534541077907</v>
      </c>
      <c r="D12" t="s">
        <v>815</v>
      </c>
      <c r="E12">
        <v>8907</v>
      </c>
      <c r="G12" t="s">
        <v>699</v>
      </c>
      <c r="H12" t="s">
        <v>579</v>
      </c>
    </row>
    <row r="13" spans="1:8" x14ac:dyDescent="0.25">
      <c r="A13" t="s">
        <v>816</v>
      </c>
      <c r="B13">
        <v>0</v>
      </c>
      <c r="D13" t="s">
        <v>817</v>
      </c>
      <c r="E13">
        <v>12.101000000000001</v>
      </c>
      <c r="G13" t="s">
        <v>664</v>
      </c>
    </row>
    <row r="14" spans="1:8" x14ac:dyDescent="0.25">
      <c r="A14" t="s">
        <v>818</v>
      </c>
      <c r="B14">
        <v>0</v>
      </c>
      <c r="D14" t="s">
        <v>819</v>
      </c>
      <c r="E14">
        <v>8907</v>
      </c>
      <c r="G14" t="s">
        <v>820</v>
      </c>
      <c r="H14">
        <v>559</v>
      </c>
    </row>
    <row r="15" spans="1:8" x14ac:dyDescent="0.25">
      <c r="A15" t="s">
        <v>821</v>
      </c>
      <c r="B15">
        <v>0</v>
      </c>
      <c r="D15" t="s">
        <v>822</v>
      </c>
      <c r="E15"/>
      <c r="G15" t="s">
        <v>823</v>
      </c>
      <c r="H15" s="630">
        <v>2.2488717735981677E-3</v>
      </c>
    </row>
    <row r="16" spans="1:8" x14ac:dyDescent="0.25">
      <c r="A16" t="s">
        <v>824</v>
      </c>
      <c r="B16">
        <v>0</v>
      </c>
      <c r="D16" t="s">
        <v>825</v>
      </c>
      <c r="E16" s="110">
        <v>2.2488717735981677E-3</v>
      </c>
      <c r="G16" t="s">
        <v>826</v>
      </c>
      <c r="H16">
        <v>1</v>
      </c>
    </row>
    <row r="17" spans="1:8" x14ac:dyDescent="0.25">
      <c r="A17" t="s">
        <v>827</v>
      </c>
      <c r="B17">
        <v>0</v>
      </c>
      <c r="D17" t="s">
        <v>828</v>
      </c>
      <c r="E17" s="110">
        <v>5.5606623023254768E-5</v>
      </c>
      <c r="G17" t="s">
        <v>829</v>
      </c>
      <c r="H17" s="630">
        <v>0</v>
      </c>
    </row>
    <row r="18" spans="1:8" x14ac:dyDescent="0.25">
      <c r="A18" t="s">
        <v>830</v>
      </c>
      <c r="B18">
        <v>0</v>
      </c>
      <c r="D18" t="s">
        <v>831</v>
      </c>
      <c r="E18">
        <v>21.52</v>
      </c>
      <c r="G18" t="s">
        <v>832</v>
      </c>
      <c r="H18">
        <v>0</v>
      </c>
    </row>
    <row r="19" spans="1:8" x14ac:dyDescent="0.25">
      <c r="A19" t="s">
        <v>833</v>
      </c>
      <c r="B19">
        <v>0</v>
      </c>
      <c r="D19" t="s">
        <v>834</v>
      </c>
      <c r="E19">
        <v>36.229999999999997</v>
      </c>
      <c r="G19" t="s">
        <v>835</v>
      </c>
      <c r="H19">
        <v>8.5448848580293784E-4</v>
      </c>
    </row>
    <row r="20" spans="1:8" x14ac:dyDescent="0.25">
      <c r="A20" t="s">
        <v>836</v>
      </c>
      <c r="B20">
        <v>1</v>
      </c>
      <c r="D20" t="s">
        <v>837</v>
      </c>
      <c r="E20">
        <v>530.64</v>
      </c>
      <c r="G20" t="s">
        <v>838</v>
      </c>
      <c r="H20">
        <v>4.1549083367565885E-3</v>
      </c>
    </row>
    <row r="21" spans="1:8" x14ac:dyDescent="0.25">
      <c r="A21" t="s">
        <v>839</v>
      </c>
      <c r="B21">
        <v>5.9399999999999995</v>
      </c>
      <c r="D21" t="s">
        <v>840</v>
      </c>
      <c r="E21">
        <v>12.39</v>
      </c>
      <c r="G21" t="s">
        <v>841</v>
      </c>
      <c r="H21">
        <v>0</v>
      </c>
    </row>
    <row r="22" spans="1:8" x14ac:dyDescent="0.25">
      <c r="A22" t="s">
        <v>842</v>
      </c>
      <c r="B22">
        <v>4.9399999999999995</v>
      </c>
      <c r="D22" t="s">
        <v>843</v>
      </c>
      <c r="E22">
        <v>8.0500000000000007</v>
      </c>
      <c r="G22" t="s">
        <v>844</v>
      </c>
      <c r="H22">
        <v>0</v>
      </c>
    </row>
    <row r="23" spans="1:8" x14ac:dyDescent="0.25">
      <c r="A23" t="s">
        <v>845</v>
      </c>
      <c r="B23">
        <v>2.750353454107791</v>
      </c>
      <c r="D23" t="s">
        <v>846</v>
      </c>
      <c r="E23" t="s">
        <v>847</v>
      </c>
      <c r="G23" t="s">
        <v>848</v>
      </c>
      <c r="H23">
        <v>0</v>
      </c>
    </row>
    <row r="24" spans="1:8" x14ac:dyDescent="0.25">
      <c r="A24" t="s">
        <v>849</v>
      </c>
      <c r="B24" t="s">
        <v>850</v>
      </c>
      <c r="D24" t="s">
        <v>851</v>
      </c>
      <c r="E24" t="b">
        <v>0</v>
      </c>
      <c r="G24" t="s">
        <v>852</v>
      </c>
      <c r="H24">
        <v>5.0093968225595267E-3</v>
      </c>
    </row>
    <row r="25" spans="1:8" x14ac:dyDescent="0.25">
      <c r="A25" t="s">
        <v>619</v>
      </c>
      <c r="B25" t="s">
        <v>853</v>
      </c>
      <c r="D25" t="s">
        <v>854</v>
      </c>
      <c r="E25" t="b">
        <v>0</v>
      </c>
      <c r="G25" t="s">
        <v>855</v>
      </c>
      <c r="H25">
        <v>5.0093968225595267E-3</v>
      </c>
    </row>
    <row r="26" spans="1:8" x14ac:dyDescent="0.25">
      <c r="A26" t="s">
        <v>856</v>
      </c>
      <c r="B26" t="s">
        <v>850</v>
      </c>
      <c r="D26" t="s">
        <v>857</v>
      </c>
      <c r="E26" t="s">
        <v>579</v>
      </c>
      <c r="G26" t="s">
        <v>858</v>
      </c>
      <c r="H26" t="b">
        <v>0</v>
      </c>
    </row>
    <row r="27" spans="1:8" x14ac:dyDescent="0.25">
      <c r="A27" t="s">
        <v>621</v>
      </c>
      <c r="B27" t="s">
        <v>853</v>
      </c>
      <c r="D27" t="s">
        <v>859</v>
      </c>
      <c r="E27">
        <v>29.27298</v>
      </c>
      <c r="G27" t="s">
        <v>860</v>
      </c>
      <c r="H27" t="b">
        <v>0</v>
      </c>
    </row>
    <row r="28" spans="1:8" x14ac:dyDescent="0.25">
      <c r="A28" t="s">
        <v>861</v>
      </c>
      <c r="B28">
        <v>0.25</v>
      </c>
      <c r="D28" t="s">
        <v>862</v>
      </c>
      <c r="E28">
        <v>29.770605434363695</v>
      </c>
      <c r="G28" t="s">
        <v>863</v>
      </c>
      <c r="H28" t="b">
        <v>0</v>
      </c>
    </row>
    <row r="29" spans="1:8" x14ac:dyDescent="0.25">
      <c r="A29" t="s">
        <v>864</v>
      </c>
      <c r="B29">
        <v>-0.03</v>
      </c>
      <c r="D29" t="s">
        <v>865</v>
      </c>
      <c r="E29">
        <v>28.875</v>
      </c>
      <c r="G29" t="s">
        <v>866</v>
      </c>
    </row>
    <row r="30" spans="1:8" x14ac:dyDescent="0.25">
      <c r="A30" t="s">
        <v>867</v>
      </c>
      <c r="B30">
        <v>0.03</v>
      </c>
      <c r="D30" t="s">
        <v>868</v>
      </c>
      <c r="E30">
        <v>12.815727951937671</v>
      </c>
      <c r="G30" t="s">
        <v>869</v>
      </c>
    </row>
    <row r="31" spans="1:8" x14ac:dyDescent="0.25">
      <c r="A31" t="s">
        <v>870</v>
      </c>
      <c r="B31">
        <v>0.06</v>
      </c>
      <c r="D31" t="s">
        <v>871</v>
      </c>
      <c r="E31" t="s">
        <v>695</v>
      </c>
      <c r="G31" t="s">
        <v>872</v>
      </c>
      <c r="H31" t="s">
        <v>873</v>
      </c>
    </row>
    <row r="32" spans="1:8" x14ac:dyDescent="0.25">
      <c r="A32" t="s">
        <v>874</v>
      </c>
      <c r="B32"/>
      <c r="D32" t="s">
        <v>875</v>
      </c>
      <c r="E32" t="s">
        <v>876</v>
      </c>
      <c r="G32" t="s">
        <v>877</v>
      </c>
      <c r="H32" s="630">
        <v>1.9947434499415465E-3</v>
      </c>
    </row>
    <row r="33" spans="1:8" x14ac:dyDescent="0.25">
      <c r="A33" t="s">
        <v>878</v>
      </c>
      <c r="B33"/>
      <c r="D33" t="s">
        <v>879</v>
      </c>
      <c r="E33" t="s">
        <v>695</v>
      </c>
      <c r="G33" t="s">
        <v>880</v>
      </c>
      <c r="H33" s="630">
        <v>2.5314243978971454E-3</v>
      </c>
    </row>
    <row r="34" spans="1:8" x14ac:dyDescent="0.25">
      <c r="A34" t="s">
        <v>881</v>
      </c>
      <c r="B34" s="631"/>
      <c r="D34" t="s">
        <v>687</v>
      </c>
      <c r="E34">
        <v>559</v>
      </c>
      <c r="G34" t="s">
        <v>882</v>
      </c>
    </row>
    <row r="35" spans="1:8" x14ac:dyDescent="0.25">
      <c r="A35" t="s">
        <v>883</v>
      </c>
      <c r="B35" t="s">
        <v>695</v>
      </c>
      <c r="D35" t="s">
        <v>884</v>
      </c>
      <c r="E35">
        <v>13.30952380952381</v>
      </c>
      <c r="G35" t="s">
        <v>885</v>
      </c>
    </row>
    <row r="36" spans="1:8" x14ac:dyDescent="0.25">
      <c r="A36" t="s">
        <v>886</v>
      </c>
      <c r="B36"/>
      <c r="D36" t="s">
        <v>887</v>
      </c>
      <c r="E36" t="s">
        <v>888</v>
      </c>
      <c r="G36" t="s">
        <v>889</v>
      </c>
    </row>
    <row r="37" spans="1:8" x14ac:dyDescent="0.25">
      <c r="A37" t="s">
        <v>890</v>
      </c>
      <c r="B37"/>
      <c r="D37" t="s">
        <v>891</v>
      </c>
      <c r="E37">
        <v>21.123297703241878</v>
      </c>
      <c r="G37" t="s">
        <v>892</v>
      </c>
    </row>
    <row r="38" spans="1:8" x14ac:dyDescent="0.25">
      <c r="A38" t="s">
        <v>893</v>
      </c>
      <c r="B38"/>
      <c r="D38" t="s">
        <v>894</v>
      </c>
      <c r="E38">
        <v>1</v>
      </c>
      <c r="G38" t="s">
        <v>895</v>
      </c>
    </row>
    <row r="39" spans="1:8" x14ac:dyDescent="0.25">
      <c r="A39" t="s">
        <v>896</v>
      </c>
      <c r="B39"/>
      <c r="D39" t="s">
        <v>897</v>
      </c>
      <c r="E39">
        <v>1</v>
      </c>
      <c r="G39" t="s">
        <v>898</v>
      </c>
    </row>
    <row r="40" spans="1:8" x14ac:dyDescent="0.25">
      <c r="A40" t="s">
        <v>899</v>
      </c>
      <c r="B40" t="s">
        <v>97</v>
      </c>
      <c r="D40" t="s">
        <v>900</v>
      </c>
      <c r="E40">
        <v>0</v>
      </c>
      <c r="G40" t="s">
        <v>901</v>
      </c>
    </row>
    <row r="41" spans="1:8" x14ac:dyDescent="0.25">
      <c r="A41" t="s">
        <v>902</v>
      </c>
      <c r="B41"/>
      <c r="D41" t="s">
        <v>903</v>
      </c>
      <c r="E41">
        <v>2.750353454107791</v>
      </c>
      <c r="G41" t="s">
        <v>904</v>
      </c>
      <c r="H41" t="b">
        <v>0</v>
      </c>
    </row>
    <row r="42" spans="1:8" x14ac:dyDescent="0.25">
      <c r="A42" t="s">
        <v>905</v>
      </c>
      <c r="B42"/>
      <c r="D42" t="s">
        <v>906</v>
      </c>
      <c r="E42">
        <v>0</v>
      </c>
      <c r="G42" t="s">
        <v>907</v>
      </c>
      <c r="H42">
        <v>0.34098905781729172</v>
      </c>
    </row>
    <row r="43" spans="1:8" x14ac:dyDescent="0.25">
      <c r="A43" t="s">
        <v>908</v>
      </c>
      <c r="B43"/>
      <c r="D43" t="s">
        <v>909</v>
      </c>
      <c r="E43">
        <v>718.83237876561236</v>
      </c>
      <c r="G43" t="s">
        <v>910</v>
      </c>
      <c r="H43">
        <v>30.268230868727393</v>
      </c>
    </row>
    <row r="44" spans="1:8" x14ac:dyDescent="0.25">
      <c r="A44" t="s">
        <v>911</v>
      </c>
      <c r="B44"/>
      <c r="D44" t="s">
        <v>912</v>
      </c>
      <c r="E44" s="110">
        <v>2.1384268938390415E-2</v>
      </c>
      <c r="G44" t="s">
        <v>913</v>
      </c>
      <c r="H44">
        <v>12.815727951937671</v>
      </c>
    </row>
    <row r="45" spans="1:8" x14ac:dyDescent="0.25">
      <c r="A45" t="s">
        <v>914</v>
      </c>
      <c r="B45"/>
      <c r="D45" t="s">
        <v>915</v>
      </c>
      <c r="E45">
        <v>0.99967229223831278</v>
      </c>
      <c r="G45" t="s">
        <v>916</v>
      </c>
      <c r="H45">
        <v>2</v>
      </c>
    </row>
    <row r="46" spans="1:8" x14ac:dyDescent="0.25">
      <c r="A46" t="s">
        <v>917</v>
      </c>
      <c r="B46"/>
      <c r="D46" t="s">
        <v>918</v>
      </c>
      <c r="E46">
        <v>0</v>
      </c>
      <c r="G46" t="s">
        <v>919</v>
      </c>
    </row>
    <row r="47" spans="1:8" x14ac:dyDescent="0.25">
      <c r="A47" t="s">
        <v>920</v>
      </c>
      <c r="B47"/>
      <c r="D47" t="s">
        <v>921</v>
      </c>
      <c r="E47">
        <v>0</v>
      </c>
      <c r="G47" t="s">
        <v>922</v>
      </c>
      <c r="H47" s="630" t="s">
        <v>923</v>
      </c>
    </row>
    <row r="48" spans="1:8" x14ac:dyDescent="0.25">
      <c r="A48" t="s">
        <v>924</v>
      </c>
      <c r="B48"/>
      <c r="D48" t="s">
        <v>925</v>
      </c>
      <c r="E48">
        <v>0</v>
      </c>
    </row>
    <row r="49" spans="1:5" x14ac:dyDescent="0.25">
      <c r="A49" t="s">
        <v>926</v>
      </c>
      <c r="B49"/>
      <c r="D49" t="s">
        <v>927</v>
      </c>
      <c r="E49"/>
    </row>
    <row r="50" spans="1:5" x14ac:dyDescent="0.25">
      <c r="A50" t="s">
        <v>928</v>
      </c>
      <c r="B50"/>
      <c r="D50" t="s">
        <v>929</v>
      </c>
      <c r="E50">
        <v>8.5448848580293784E-4</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8ACD4-E51E-42FD-8D03-78618C37C201}">
  <sheetPr>
    <tabColor theme="1"/>
  </sheetPr>
  <dimension ref="A1"/>
  <sheetViews>
    <sheetView workbookViewId="0"/>
  </sheetViews>
  <sheetFormatPr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D67A8-120D-4C02-992D-26139A757462}">
  <dimension ref="A1:D22"/>
  <sheetViews>
    <sheetView view="pageBreakPreview" zoomScale="60" zoomScaleNormal="100" workbookViewId="0">
      <selection activeCell="K38" sqref="K38"/>
    </sheetView>
  </sheetViews>
  <sheetFormatPr defaultRowHeight="15" x14ac:dyDescent="0.25"/>
  <cols>
    <col min="1" max="2" width="30.85546875" style="2" customWidth="1"/>
    <col min="3" max="3" width="83.85546875" style="2" bestFit="1" customWidth="1"/>
    <col min="4" max="4" width="12" style="2" bestFit="1" customWidth="1"/>
    <col min="5" max="16384" width="9.140625" style="2"/>
  </cols>
  <sheetData>
    <row r="1" spans="1:4" x14ac:dyDescent="0.25">
      <c r="A1" s="2" t="s">
        <v>930</v>
      </c>
      <c r="B1" s="2" t="s">
        <v>931</v>
      </c>
    </row>
    <row r="2" spans="1:4" x14ac:dyDescent="0.25">
      <c r="A2" s="2" t="s">
        <v>932</v>
      </c>
      <c r="B2" s="2">
        <f>IF('Tank Sample Calc - 1'!B9="N",IF('Tank Sample Calc - 1'!H41=TRUE,'Tank Sample Calc - 1'!E27,D10),IF('Tank Sample Calc - 1'!H41=TRUE,'Tank Sample Calc - 1'!E27,"TB must be entered by user for an insulated tank"))</f>
        <v>29.27298</v>
      </c>
    </row>
    <row r="3" spans="1:4" x14ac:dyDescent="0.25">
      <c r="A3" s="2" t="s">
        <v>933</v>
      </c>
      <c r="B3" s="2">
        <f>IF('Tank Sample Calc - 1'!B9="F",B2,IF('Tank Sample Calc - 1'!B9="P",D13,IF('Tank Sample Calc - 1'!H45=1,D11,D12)))</f>
        <v>29.770605434363695</v>
      </c>
    </row>
    <row r="4" spans="1:4" x14ac:dyDescent="0.25">
      <c r="A4" s="2" t="s">
        <v>934</v>
      </c>
      <c r="B4" s="2">
        <f>IF('Tank Sample Calc - 1'!B9="F",B2,IF('Tank Sample Calc - 1'!B9="P",D16,IF('Tank Sample Calc - 1'!H45=1,D14,D15)))</f>
        <v>30.268230868727393</v>
      </c>
    </row>
    <row r="5" spans="1:4" x14ac:dyDescent="0.25">
      <c r="A5" s="2" t="s">
        <v>935</v>
      </c>
      <c r="B5" s="2">
        <f>IF('Tank Sample Calc - 1'!B9="F",0,IF('Tank Sample Calc - 1'!B9="P",D19,IF('Tank Sample Calc - 1'!H45=1,D17,D18)))</f>
        <v>12.815727951937671</v>
      </c>
    </row>
    <row r="6" spans="1:4" x14ac:dyDescent="0.25">
      <c r="A6" s="2" t="s">
        <v>936</v>
      </c>
      <c r="B6" s="2">
        <f ca="1">D20</f>
        <v>5.5606623023254768E-5</v>
      </c>
    </row>
    <row r="7" spans="1:4" x14ac:dyDescent="0.25">
      <c r="A7" s="2" t="s">
        <v>937</v>
      </c>
      <c r="B7" s="2">
        <f>'Tank Sample Calc - 1'!B12/'Tank Sample Calc - 1'!B11</f>
        <v>0.34098905781729172</v>
      </c>
    </row>
    <row r="9" spans="1:4" x14ac:dyDescent="0.25">
      <c r="A9" s="2" t="s">
        <v>916</v>
      </c>
      <c r="B9" s="2" t="s">
        <v>617</v>
      </c>
      <c r="C9" s="2" t="s">
        <v>938</v>
      </c>
      <c r="D9" s="2" t="s">
        <v>931</v>
      </c>
    </row>
    <row r="10" spans="1:4" x14ac:dyDescent="0.25">
      <c r="A10" s="2" t="s">
        <v>97</v>
      </c>
      <c r="B10" s="2" t="s">
        <v>651</v>
      </c>
      <c r="C10" s="2" t="s">
        <v>939</v>
      </c>
      <c r="D10" s="2">
        <f>'Tank Sample Calc - 3'!F11+0.003*'Tank Sample Calc - 3'!J17*'Tank Sample Calc - 3'!F13</f>
        <v>29.27298</v>
      </c>
    </row>
    <row r="11" spans="1:4" x14ac:dyDescent="0.25">
      <c r="A11" s="2" t="s">
        <v>940</v>
      </c>
      <c r="B11" s="2" t="s">
        <v>651</v>
      </c>
      <c r="C11" s="2" t="s">
        <v>941</v>
      </c>
      <c r="D11" s="2">
        <f>0.4*'Tank Sample Calc - 3'!F11+0.6*B2+0.005*'Tank Sample Calc - 3'!E16*'Tank Sample Calc - 3'!F13</f>
        <v>29.777087999999999</v>
      </c>
    </row>
    <row r="12" spans="1:4" ht="45" x14ac:dyDescent="0.25">
      <c r="A12" s="2" t="s">
        <v>942</v>
      </c>
      <c r="B12" s="2" t="s">
        <v>651</v>
      </c>
      <c r="C12" s="714" t="s">
        <v>943</v>
      </c>
      <c r="D12" s="2">
        <f>(0.5-0.8/(4.4 *B7+3.8))*'Tank Sample Calc - 3'!F11+(0.5+0.8/(4.4*B7+3.8))*B2+ (0.021*'Tank Sample Calc - 3'!J20*'Tank Sample Calc - 3'!F13 + 0.013*B7*'Tank Sample Calc - 3'!J17*'Tank Sample Calc - 3'!F13)/(4.4*B7+3.8)</f>
        <v>29.770605434363695</v>
      </c>
    </row>
    <row r="13" spans="1:4" x14ac:dyDescent="0.25">
      <c r="A13" s="2" t="s">
        <v>97</v>
      </c>
      <c r="B13" s="2" t="s">
        <v>944</v>
      </c>
      <c r="C13" s="714" t="s">
        <v>945</v>
      </c>
      <c r="D13" s="2">
        <f>0.3*'Tank Sample Calc - 3'!F11+0.7*B2+0.005*'Tank Sample Calc - 3'!J20*'Tank Sample Calc - 3'!F13</f>
        <v>29.816885999999997</v>
      </c>
    </row>
    <row r="14" spans="1:4" x14ac:dyDescent="0.25">
      <c r="A14" s="2" t="s">
        <v>940</v>
      </c>
      <c r="B14" s="2" t="s">
        <v>651</v>
      </c>
      <c r="C14" s="2" t="s">
        <v>946</v>
      </c>
      <c r="D14" s="2">
        <f>0.7*'Tank Sample Calc - 3'!F11+0.3*B2+0.009*'Tank Sample Calc - 3'!E16*'Tank Sample Calc - 3'!F13</f>
        <v>30.188334000000001</v>
      </c>
    </row>
    <row r="15" spans="1:4" x14ac:dyDescent="0.25">
      <c r="A15" s="2" t="s">
        <v>942</v>
      </c>
      <c r="B15" s="2" t="s">
        <v>651</v>
      </c>
      <c r="C15" s="2" t="s">
        <v>947</v>
      </c>
      <c r="D15" s="2">
        <f>((2.2*B7 + 1.1)*'Tank Sample Calc - 3'!F11 + 0.8*B2 + 0.021*'Tank Sample Calc - 3'!J20*'Tank Sample Calc - 3'!F13 + 0.013*B7*'Tank Sample Calc - 3'!J17*'Tank Sample Calc - 3'!F13) / (2.2*B7 + 1.9)</f>
        <v>30.268230868727393</v>
      </c>
    </row>
    <row r="16" spans="1:4" x14ac:dyDescent="0.25">
      <c r="A16" s="2" t="s">
        <v>97</v>
      </c>
      <c r="B16" s="2" t="s">
        <v>944</v>
      </c>
      <c r="C16" s="2" t="s">
        <v>948</v>
      </c>
      <c r="D16" s="2">
        <f>0.6*'Tank Sample Calc - 3'!F11+0.4*B2+0.01*'Tank Sample Calc - 3'!J20*'Tank Sample Calc - 3'!F13</f>
        <v>30.360792</v>
      </c>
    </row>
    <row r="17" spans="1:4" x14ac:dyDescent="0.25">
      <c r="A17" s="2" t="s">
        <v>940</v>
      </c>
      <c r="B17" s="2" t="s">
        <v>651</v>
      </c>
      <c r="C17" s="714" t="s">
        <v>949</v>
      </c>
      <c r="D17" s="2">
        <f>0.7*'Tank Sample Calc - 3'!F12+0.02*'Tank Sample Calc - 3'!E16*'Tank Sample Calc - 3'!F13</f>
        <v>12.950199999999997</v>
      </c>
    </row>
    <row r="18" spans="1:4" x14ac:dyDescent="0.25">
      <c r="A18" s="2" t="s">
        <v>942</v>
      </c>
      <c r="B18" s="2" t="s">
        <v>651</v>
      </c>
      <c r="C18" s="714" t="s">
        <v>950</v>
      </c>
      <c r="D18" s="2">
        <f>(1-0.8/(2.2*B7+1.9))*'Tank Sample Calc - 3'!F12+(0.042*'Tank Sample Calc - 3'!J20*'Tank Sample Calc - 3'!F13+0.026*B7*'Tank Sample Calc - 3'!J17*'Tank Sample Calc - 3'!F13)/(2.2*B7+ 1.9)</f>
        <v>12.815727951937671</v>
      </c>
    </row>
    <row r="19" spans="1:4" x14ac:dyDescent="0.25">
      <c r="A19" s="2" t="s">
        <v>97</v>
      </c>
      <c r="B19" s="2" t="s">
        <v>944</v>
      </c>
      <c r="C19" s="714" t="s">
        <v>951</v>
      </c>
      <c r="D19" s="2">
        <f>0.6*'Tank Sample Calc - 3'!F12+0.02*'Tank Sample Calc - 3'!J20*'Tank Sample Calc - 3'!F13</f>
        <v>11.479199999999999</v>
      </c>
    </row>
    <row r="20" spans="1:4" x14ac:dyDescent="0.25">
      <c r="A20" s="2" t="s">
        <v>97</v>
      </c>
      <c r="B20" s="2" t="s">
        <v>97</v>
      </c>
      <c r="C20" s="2" t="s">
        <v>952</v>
      </c>
      <c r="D20" s="2">
        <f ca="1">('Tank Sample Calc - 3'!F31*'Tank Sample Calc - 3'!F36)/(10.731*(B4+459.67))</f>
        <v>5.5606623023254768E-5</v>
      </c>
    </row>
    <row r="21" spans="1:4" x14ac:dyDescent="0.25">
      <c r="A21" s="715"/>
      <c r="B21" s="715"/>
    </row>
    <row r="22" spans="1:4" x14ac:dyDescent="0.25">
      <c r="A22" s="715"/>
      <c r="B22" s="715"/>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7AAC7-2245-4684-A84D-0DDB56333754}">
  <dimension ref="A1:V82"/>
  <sheetViews>
    <sheetView view="pageBreakPreview" topLeftCell="A36" zoomScale="60" zoomScaleNormal="100" workbookViewId="0">
      <selection activeCell="AD79" sqref="AD79"/>
    </sheetView>
  </sheetViews>
  <sheetFormatPr defaultColWidth="9.140625" defaultRowHeight="15.75" x14ac:dyDescent="0.25"/>
  <cols>
    <col min="2" max="3" width="9.140625" style="633"/>
    <col min="4" max="4" width="11.7109375" style="633" bestFit="1" customWidth="1"/>
    <col min="5" max="5" width="9.42578125" style="633" bestFit="1" customWidth="1"/>
    <col min="6" max="6" width="12.7109375" style="633" customWidth="1"/>
    <col min="7" max="7" width="10.7109375" style="633" customWidth="1"/>
    <col min="8" max="8" width="10" style="633" customWidth="1"/>
    <col min="9" max="10" width="9.140625" style="633"/>
    <col min="11" max="11" width="10.42578125" bestFit="1" customWidth="1"/>
    <col min="14" max="14" width="16.7109375" customWidth="1"/>
    <col min="15" max="15" width="15.7109375" customWidth="1"/>
    <col min="16" max="16" width="32" bestFit="1" customWidth="1"/>
    <col min="18" max="18" width="9.5703125" customWidth="1"/>
  </cols>
  <sheetData>
    <row r="1" spans="1:22" x14ac:dyDescent="0.25">
      <c r="A1" s="632" t="s">
        <v>953</v>
      </c>
      <c r="K1" s="633"/>
      <c r="L1" s="633"/>
      <c r="M1" s="634" t="s">
        <v>954</v>
      </c>
      <c r="N1" s="633"/>
      <c r="O1" s="635" t="s">
        <v>955</v>
      </c>
      <c r="P1" s="633"/>
      <c r="Q1" s="633"/>
      <c r="R1" s="633"/>
      <c r="S1" s="633"/>
      <c r="T1" s="633"/>
    </row>
    <row r="2" spans="1:22" x14ac:dyDescent="0.25">
      <c r="A2" s="211" t="s">
        <v>956</v>
      </c>
      <c r="K2" s="633"/>
      <c r="L2" s="633"/>
      <c r="M2" s="633"/>
      <c r="N2" s="633"/>
      <c r="O2" s="635" t="s">
        <v>957</v>
      </c>
      <c r="P2" s="633"/>
      <c r="Q2" s="633"/>
      <c r="R2" s="633"/>
      <c r="S2" s="633"/>
      <c r="T2" s="633"/>
    </row>
    <row r="3" spans="1:22" x14ac:dyDescent="0.25">
      <c r="A3" s="211"/>
      <c r="K3" s="633"/>
      <c r="L3" s="633"/>
      <c r="M3" s="633"/>
      <c r="N3" s="633"/>
      <c r="O3" s="636">
        <f>MONTH('Tank Sample Calc - 1'!B2)</f>
        <v>1</v>
      </c>
      <c r="P3" s="637" t="str">
        <f>VLOOKUP(O3,U5:V16,2,FALSE)</f>
        <v>January</v>
      </c>
      <c r="Q3" s="638">
        <f>YEAR('Tank Sample Calc - 1'!B2)</f>
        <v>2024</v>
      </c>
      <c r="R3" s="636">
        <f>'Tank Sample Calc - 1'!B3-'Tank Sample Calc - 1'!B2</f>
        <v>1</v>
      </c>
      <c r="S3" s="636" t="s">
        <v>522</v>
      </c>
      <c r="T3" s="633"/>
    </row>
    <row r="4" spans="1:22" x14ac:dyDescent="0.25">
      <c r="A4" s="633"/>
      <c r="D4" s="639" t="s">
        <v>958</v>
      </c>
      <c r="E4" s="640"/>
      <c r="F4" s="641"/>
      <c r="G4" s="641"/>
      <c r="K4" s="633"/>
      <c r="L4" s="633"/>
      <c r="M4" s="633"/>
      <c r="N4" s="633"/>
      <c r="O4" s="633"/>
      <c r="P4" s="633"/>
      <c r="Q4" s="633"/>
      <c r="R4" s="642" t="s">
        <v>743</v>
      </c>
      <c r="S4" s="642" t="s">
        <v>31</v>
      </c>
      <c r="T4" s="642" t="s">
        <v>853</v>
      </c>
    </row>
    <row r="5" spans="1:22" x14ac:dyDescent="0.25">
      <c r="A5" s="633"/>
      <c r="D5" s="639" t="s">
        <v>959</v>
      </c>
      <c r="E5" s="643" t="str">
        <f>'Tank Sample Calc - 1'!B1</f>
        <v>Imerys Oregon</v>
      </c>
      <c r="F5" s="644"/>
      <c r="G5" s="645"/>
      <c r="K5" s="633"/>
      <c r="L5" s="633"/>
      <c r="M5" s="633"/>
      <c r="N5" s="633"/>
      <c r="O5" s="646" t="s">
        <v>960</v>
      </c>
      <c r="P5" s="647" t="s">
        <v>961</v>
      </c>
      <c r="Q5" s="647"/>
      <c r="R5" s="646">
        <v>0.39</v>
      </c>
      <c r="S5" s="646">
        <v>0.49</v>
      </c>
      <c r="T5" s="646">
        <v>0.44</v>
      </c>
      <c r="U5" s="647">
        <v>1</v>
      </c>
      <c r="V5" s="647" t="s">
        <v>962</v>
      </c>
    </row>
    <row r="6" spans="1:22" x14ac:dyDescent="0.25">
      <c r="A6" s="633"/>
      <c r="D6" s="634" t="s">
        <v>963</v>
      </c>
      <c r="E6" s="831" t="str">
        <f>'Tank Sample Calc - 1'!B4</f>
        <v>Oil1</v>
      </c>
      <c r="F6" s="831"/>
      <c r="G6" s="649" t="str">
        <f>IF('Tank Sample Calc - 1'!B6&lt;&gt;"E","Wrong template - this is not a fixed-roof tank!","")</f>
        <v/>
      </c>
      <c r="K6" s="633"/>
      <c r="L6" s="633"/>
      <c r="M6" s="633"/>
      <c r="N6" s="633"/>
      <c r="O6" s="646" t="s">
        <v>964</v>
      </c>
      <c r="P6" s="647" t="s">
        <v>965</v>
      </c>
      <c r="Q6" s="647"/>
      <c r="R6" s="646">
        <v>0.6</v>
      </c>
      <c r="S6" s="646">
        <v>0.68</v>
      </c>
      <c r="T6" s="646">
        <v>0.64</v>
      </c>
      <c r="U6" s="647">
        <v>2</v>
      </c>
      <c r="V6" s="647" t="s">
        <v>966</v>
      </c>
    </row>
    <row r="7" spans="1:22" x14ac:dyDescent="0.25">
      <c r="A7" s="633"/>
      <c r="H7" s="634" t="s">
        <v>967</v>
      </c>
      <c r="I7" s="650" t="str">
        <f>IF(H43="month",P3,IF(H43="year","annual",H43))</f>
        <v>this period</v>
      </c>
      <c r="K7" s="633"/>
      <c r="L7" s="650"/>
      <c r="M7" s="633"/>
      <c r="N7" s="633"/>
      <c r="O7" s="646" t="s">
        <v>968</v>
      </c>
      <c r="P7" s="647" t="s">
        <v>969</v>
      </c>
      <c r="Q7" s="647"/>
      <c r="R7" s="646">
        <v>0.35</v>
      </c>
      <c r="S7" s="646">
        <v>0.49</v>
      </c>
      <c r="T7" s="646">
        <v>0.42</v>
      </c>
      <c r="U7" s="647">
        <v>3</v>
      </c>
      <c r="V7" s="647" t="s">
        <v>970</v>
      </c>
    </row>
    <row r="8" spans="1:22" x14ac:dyDescent="0.25">
      <c r="A8" s="633"/>
      <c r="H8" s="634"/>
      <c r="I8" s="651">
        <f>Q3</f>
        <v>2024</v>
      </c>
      <c r="K8" s="633"/>
      <c r="L8" s="650"/>
      <c r="M8" s="633"/>
      <c r="N8" s="633"/>
      <c r="O8" s="646" t="s">
        <v>791</v>
      </c>
      <c r="P8" s="647" t="s">
        <v>971</v>
      </c>
      <c r="Q8" s="647"/>
      <c r="R8" s="646">
        <v>0.57999999999999996</v>
      </c>
      <c r="S8" s="646">
        <v>0.67</v>
      </c>
      <c r="T8" s="646">
        <v>0.62</v>
      </c>
      <c r="U8" s="647">
        <v>4</v>
      </c>
      <c r="V8" s="647" t="s">
        <v>972</v>
      </c>
    </row>
    <row r="9" spans="1:22" x14ac:dyDescent="0.25">
      <c r="A9" s="633"/>
      <c r="B9" s="633" t="s">
        <v>973</v>
      </c>
      <c r="H9" s="634"/>
      <c r="I9" s="652"/>
      <c r="K9" s="633"/>
      <c r="L9" s="650"/>
      <c r="M9" s="633"/>
      <c r="N9" s="633"/>
      <c r="O9" s="646" t="s">
        <v>795</v>
      </c>
      <c r="P9" s="647" t="s">
        <v>974</v>
      </c>
      <c r="Q9" s="647"/>
      <c r="R9" s="646">
        <v>0.54</v>
      </c>
      <c r="S9" s="646">
        <v>0.63</v>
      </c>
      <c r="T9" s="646">
        <v>0.57999999999999996</v>
      </c>
      <c r="U9" s="647">
        <v>5</v>
      </c>
      <c r="V9" s="647" t="s">
        <v>975</v>
      </c>
    </row>
    <row r="10" spans="1:22" x14ac:dyDescent="0.25">
      <c r="A10" s="633"/>
      <c r="C10" s="633" t="s">
        <v>976</v>
      </c>
      <c r="F10" s="653">
        <f>'Tank Sample Calc - 1'!E21</f>
        <v>12.39</v>
      </c>
      <c r="G10" s="633" t="s">
        <v>977</v>
      </c>
      <c r="H10" s="634"/>
      <c r="I10" s="652"/>
      <c r="K10" s="633"/>
      <c r="L10" s="650"/>
      <c r="M10" s="633"/>
      <c r="N10" s="633"/>
      <c r="O10" s="646" t="s">
        <v>978</v>
      </c>
      <c r="P10" s="654" t="s">
        <v>979</v>
      </c>
      <c r="Q10" s="647"/>
      <c r="R10" s="646">
        <v>0.68</v>
      </c>
      <c r="S10" s="646">
        <v>0.74</v>
      </c>
      <c r="T10" s="646">
        <v>0.71</v>
      </c>
      <c r="U10" s="647">
        <v>6</v>
      </c>
      <c r="V10" s="647" t="s">
        <v>980</v>
      </c>
    </row>
    <row r="11" spans="1:22" x14ac:dyDescent="0.25">
      <c r="A11" s="633"/>
      <c r="C11" s="633" t="s">
        <v>981</v>
      </c>
      <c r="F11" s="653">
        <f>('Tank Sample Calc - 1'!E18+'Tank Sample Calc - 1'!E19)/2</f>
        <v>28.875</v>
      </c>
      <c r="G11" s="633" t="s">
        <v>982</v>
      </c>
      <c r="H11" s="634"/>
      <c r="I11" s="652"/>
      <c r="K11" s="633"/>
      <c r="L11" s="650"/>
      <c r="M11" s="633"/>
      <c r="N11" s="633"/>
      <c r="O11" s="646" t="s">
        <v>983</v>
      </c>
      <c r="P11" s="654" t="s">
        <v>984</v>
      </c>
      <c r="Q11" s="647"/>
      <c r="R11" s="646">
        <v>0.97</v>
      </c>
      <c r="S11" s="646">
        <v>0.97</v>
      </c>
      <c r="T11" s="646">
        <v>0.97</v>
      </c>
      <c r="U11" s="647">
        <v>7</v>
      </c>
      <c r="V11" s="647" t="s">
        <v>985</v>
      </c>
    </row>
    <row r="12" spans="1:22" x14ac:dyDescent="0.25">
      <c r="A12" s="633"/>
      <c r="C12" s="633" t="s">
        <v>986</v>
      </c>
      <c r="F12" s="648">
        <f>'Tank Sample Calc - 1'!E19-'Tank Sample Calc - 1'!E18</f>
        <v>14.709999999999997</v>
      </c>
      <c r="G12" s="633" t="s">
        <v>982</v>
      </c>
      <c r="H12" s="634"/>
      <c r="I12" s="652"/>
      <c r="K12" s="633"/>
      <c r="L12" s="650"/>
      <c r="M12" s="633"/>
      <c r="N12" s="633"/>
      <c r="O12" s="646" t="s">
        <v>987</v>
      </c>
      <c r="P12" s="654" t="s">
        <v>988</v>
      </c>
      <c r="Q12" s="647"/>
      <c r="R12" s="646">
        <v>0.89</v>
      </c>
      <c r="S12" s="646">
        <v>0.91</v>
      </c>
      <c r="T12" s="646">
        <v>0.9</v>
      </c>
      <c r="U12" s="647">
        <v>8</v>
      </c>
      <c r="V12" s="647" t="s">
        <v>989</v>
      </c>
    </row>
    <row r="13" spans="1:22" ht="18.75" x14ac:dyDescent="0.25">
      <c r="A13" s="633"/>
      <c r="C13" s="633" t="s">
        <v>990</v>
      </c>
      <c r="F13" s="648">
        <f>'Tank Sample Calc - 1'!E20</f>
        <v>530.64</v>
      </c>
      <c r="G13" s="633" t="s">
        <v>991</v>
      </c>
      <c r="H13" s="634"/>
      <c r="I13" s="652"/>
      <c r="K13" s="633"/>
      <c r="L13" s="650"/>
      <c r="M13" s="633"/>
      <c r="N13" s="633"/>
      <c r="O13" s="646" t="s">
        <v>992</v>
      </c>
      <c r="P13" s="654" t="s">
        <v>993</v>
      </c>
      <c r="Q13" s="647"/>
      <c r="R13" s="646">
        <v>0.38</v>
      </c>
      <c r="S13" s="646">
        <v>0.5</v>
      </c>
      <c r="T13" s="646">
        <v>0.44</v>
      </c>
      <c r="U13" s="647">
        <v>9</v>
      </c>
      <c r="V13" s="647" t="s">
        <v>994</v>
      </c>
    </row>
    <row r="14" spans="1:22" x14ac:dyDescent="0.25">
      <c r="B14" s="633" t="s">
        <v>995</v>
      </c>
      <c r="H14" s="655"/>
      <c r="I14" s="656"/>
      <c r="J14" s="656"/>
      <c r="K14" s="656"/>
      <c r="L14" s="633"/>
      <c r="M14" s="633"/>
      <c r="N14" s="633"/>
      <c r="O14" s="646" t="s">
        <v>996</v>
      </c>
      <c r="P14" s="654" t="s">
        <v>997</v>
      </c>
      <c r="Q14" s="657"/>
      <c r="R14" s="646">
        <v>0.43</v>
      </c>
      <c r="S14" s="646">
        <v>0.55000000000000004</v>
      </c>
      <c r="T14" s="646">
        <v>0.49</v>
      </c>
      <c r="U14" s="647">
        <v>10</v>
      </c>
      <c r="V14" s="647" t="s">
        <v>998</v>
      </c>
    </row>
    <row r="15" spans="1:22" x14ac:dyDescent="0.25">
      <c r="C15" s="633" t="s">
        <v>999</v>
      </c>
      <c r="E15" s="658" t="str">
        <f>'Tank Sample Calc - 1'!B7</f>
        <v>Horizontal</v>
      </c>
      <c r="F15" s="655"/>
      <c r="I15" s="634" t="s">
        <v>1000</v>
      </c>
      <c r="J15" s="650" t="str">
        <f>VLOOKUP('Tank Sample Calc - 1'!B24,'Tank Sample Calc - 3'!$O$5:$Q$16,2,FALSE)</f>
        <v>white paint</v>
      </c>
      <c r="K15" s="659"/>
      <c r="L15" s="633"/>
      <c r="M15" s="633"/>
      <c r="N15" s="633"/>
      <c r="O15" s="646" t="s">
        <v>850</v>
      </c>
      <c r="P15" s="654" t="s">
        <v>652</v>
      </c>
      <c r="Q15" s="657"/>
      <c r="R15" s="646">
        <v>0.17</v>
      </c>
      <c r="S15" s="646">
        <v>0.34</v>
      </c>
      <c r="T15" s="646">
        <v>0.25</v>
      </c>
      <c r="U15" s="647">
        <v>11</v>
      </c>
      <c r="V15" s="647" t="s">
        <v>1001</v>
      </c>
    </row>
    <row r="16" spans="1:22" x14ac:dyDescent="0.25">
      <c r="C16" s="633" t="s">
        <v>1002</v>
      </c>
      <c r="D16" s="660"/>
      <c r="E16" s="653">
        <f>(J17+J20)/2</f>
        <v>0.25</v>
      </c>
      <c r="F16" s="660"/>
      <c r="I16" s="634" t="s">
        <v>1003</v>
      </c>
      <c r="J16" s="650" t="str">
        <f>IF('Tank Sample Calc - 1'!B25="N","New",IF('Tank Sample Calc - 1'!B25="Ag","Aged","Average"))</f>
        <v>Average</v>
      </c>
      <c r="L16" s="633"/>
      <c r="M16" s="633"/>
      <c r="N16" s="633"/>
      <c r="O16" s="646" t="s">
        <v>1004</v>
      </c>
      <c r="P16" s="654" t="s">
        <v>1005</v>
      </c>
      <c r="Q16" s="657"/>
      <c r="R16" s="646">
        <v>0.1</v>
      </c>
      <c r="S16" s="646">
        <v>0.15</v>
      </c>
      <c r="T16" s="646">
        <v>0.12</v>
      </c>
      <c r="U16" s="647">
        <v>12</v>
      </c>
      <c r="V16" s="647" t="s">
        <v>1006</v>
      </c>
    </row>
    <row r="17" spans="2:20" x14ac:dyDescent="0.25">
      <c r="C17" s="633" t="s">
        <v>1007</v>
      </c>
      <c r="E17" s="648">
        <f>'Tank Sample Calc - 1'!B11</f>
        <v>18.242091092086515</v>
      </c>
      <c r="F17" s="633" t="s">
        <v>576</v>
      </c>
      <c r="H17" s="655"/>
      <c r="I17" s="661" t="s">
        <v>1008</v>
      </c>
      <c r="J17" s="658">
        <f>IF('Tank Sample Calc - 1'!B25="N",VLOOKUP('Tank Sample Calc - 1'!B24,'Tank Sample Calc - 3'!$O$5:$T$16,4,FALSE),IF('Tank Sample Calc - 1'!B25="Ag",VLOOKUP('Tank Sample Calc - 1'!B24,'Tank Sample Calc - 3'!$O$5:$T$16,5,FALSE),VLOOKUP('Tank Sample Calc - 1'!B24,'Tank Sample Calc - 3'!$O$5:$T$16,6,FALSE)))</f>
        <v>0.25</v>
      </c>
      <c r="K17" s="655"/>
      <c r="L17" s="633"/>
      <c r="M17" s="633"/>
      <c r="N17" s="633"/>
      <c r="O17" s="633"/>
      <c r="P17" s="654"/>
      <c r="Q17" s="657"/>
      <c r="R17" s="647"/>
      <c r="S17" s="647"/>
    </row>
    <row r="18" spans="2:20" x14ac:dyDescent="0.25">
      <c r="C18" s="633" t="s">
        <v>1009</v>
      </c>
      <c r="E18" s="648">
        <f>'Tank Sample Calc - 1'!B12</f>
        <v>6.2203534541077907</v>
      </c>
      <c r="F18" s="633" t="s">
        <v>576</v>
      </c>
      <c r="I18" s="634" t="s">
        <v>1010</v>
      </c>
      <c r="J18" s="650" t="str">
        <f>VLOOKUP('Tank Sample Calc - 1'!B26,'Tank Sample Calc - 3'!$O$5:$Q$16,2,FALSE)</f>
        <v>white paint</v>
      </c>
      <c r="K18" s="633"/>
      <c r="L18" s="633"/>
      <c r="M18" s="633"/>
      <c r="N18" s="633"/>
      <c r="O18" s="636" t="s">
        <v>1011</v>
      </c>
      <c r="Q18" s="657"/>
      <c r="R18" s="636" t="s">
        <v>1012</v>
      </c>
      <c r="S18" s="662">
        <v>1E-3</v>
      </c>
    </row>
    <row r="19" spans="2:20" x14ac:dyDescent="0.25">
      <c r="C19" s="633" t="s">
        <v>1013</v>
      </c>
      <c r="F19" s="653">
        <f>'Tank Sample Calc - 1'!B21</f>
        <v>5.9399999999999995</v>
      </c>
      <c r="G19" s="633" t="s">
        <v>576</v>
      </c>
      <c r="I19" s="634" t="s">
        <v>1014</v>
      </c>
      <c r="J19" s="659" t="str">
        <f>IF('Tank Sample Calc - 1'!B27="N","New",IF('Tank Sample Calc - 1'!B27="Ag","Aged","Average"))</f>
        <v>Average</v>
      </c>
      <c r="K19" s="633"/>
      <c r="L19" s="633"/>
      <c r="M19" s="633"/>
      <c r="N19" s="633"/>
      <c r="O19" s="634" t="s">
        <v>1015</v>
      </c>
      <c r="P19" s="663">
        <f>'Tank Sample Calc - 1'!B28</f>
        <v>0.25</v>
      </c>
      <c r="Q19" s="636" t="str">
        <f>IF(ABS(P19-E16)/ABS(E16)&gt;S18,"ERROR","OKAY")</f>
        <v>OKAY</v>
      </c>
      <c r="R19" s="647"/>
      <c r="S19" s="646" t="s">
        <v>960</v>
      </c>
      <c r="T19" t="s">
        <v>1016</v>
      </c>
    </row>
    <row r="20" spans="2:20" x14ac:dyDescent="0.25">
      <c r="C20" s="633" t="s">
        <v>1017</v>
      </c>
      <c r="F20" s="648">
        <f>'Tank Sample Calc - 1'!B20</f>
        <v>1</v>
      </c>
      <c r="G20" s="633" t="s">
        <v>576</v>
      </c>
      <c r="H20" s="655"/>
      <c r="I20" s="661" t="s">
        <v>1018</v>
      </c>
      <c r="J20" s="658">
        <f>IF('Tank Sample Calc - 1'!B27="N",VLOOKUP('Tank Sample Calc - 1'!B26,'Tank Sample Calc - 3'!$O$5:$T$16,4,FALSE),IF('Tank Sample Calc - 1'!B27="Ag",VLOOKUP('Tank Sample Calc - 1'!B26,'Tank Sample Calc - 3'!$O$5:$T$16,5,FALSE),VLOOKUP('Tank Sample Calc - 1'!B26,'Tank Sample Calc - 3'!$O$5:$T$16,6,FALSE)))</f>
        <v>0.25</v>
      </c>
      <c r="K20" s="655"/>
      <c r="L20" s="633"/>
      <c r="M20" s="633"/>
      <c r="N20" s="633"/>
      <c r="O20" s="634"/>
      <c r="P20" s="647"/>
      <c r="Q20" s="647"/>
      <c r="R20" s="647"/>
      <c r="S20" s="646" t="s">
        <v>964</v>
      </c>
      <c r="T20" t="s">
        <v>1019</v>
      </c>
    </row>
    <row r="21" spans="2:20" x14ac:dyDescent="0.25">
      <c r="C21" s="633" t="s">
        <v>1020</v>
      </c>
      <c r="F21" s="648">
        <f>F19-F20</f>
        <v>4.9399999999999995</v>
      </c>
      <c r="G21" s="633" t="s">
        <v>576</v>
      </c>
      <c r="K21" s="633"/>
      <c r="L21" s="633"/>
      <c r="M21" s="633"/>
      <c r="N21" s="633"/>
      <c r="O21" s="634"/>
      <c r="P21" s="647"/>
      <c r="Q21" s="647"/>
      <c r="R21" s="647"/>
      <c r="S21" s="646" t="s">
        <v>968</v>
      </c>
      <c r="T21" t="s">
        <v>1021</v>
      </c>
    </row>
    <row r="22" spans="2:20" x14ac:dyDescent="0.25">
      <c r="C22" s="633" t="s">
        <v>1022</v>
      </c>
      <c r="E22" s="664" t="str">
        <f>VLOOKUP('Tank Sample Calc - 1'!B5,'Tank Sample Calc - 3'!S19:T24,2,FALSE)</f>
        <v>horizontal tank</v>
      </c>
      <c r="F22" s="655"/>
      <c r="G22" s="665"/>
      <c r="I22" s="634" t="s">
        <v>1023</v>
      </c>
      <c r="J22" s="653">
        <f>IF('Tank Sample Calc - 1'!B5="A",('Tank Sample Calc - 1'!B13*('Tank Sample Calc - 1'!B11/2)/12)/3,IF('Tank Sample Calc - 1'!B5="B",'Tank Sample Calc - 1'!B16/2+(2*'Tank Sample Calc - 1'!B16^3)/(3*'Tank Sample Calc - 3'!E17^2),0))</f>
        <v>0</v>
      </c>
      <c r="K22" s="633" t="s">
        <v>576</v>
      </c>
      <c r="L22" s="633"/>
      <c r="M22" s="633"/>
      <c r="N22" s="633"/>
      <c r="O22" s="633"/>
      <c r="P22" s="636"/>
      <c r="Q22" s="666"/>
      <c r="R22" s="647"/>
      <c r="S22" s="646" t="s">
        <v>791</v>
      </c>
      <c r="T22" t="s">
        <v>1024</v>
      </c>
    </row>
    <row r="23" spans="2:20" ht="19.5" x14ac:dyDescent="0.35">
      <c r="C23" s="633" t="s">
        <v>1025</v>
      </c>
      <c r="F23" s="653">
        <f>IF(AND(ISBLANK(E$6),G$6&lt;&gt;""),"",E18-F19 +F21/2+J22)</f>
        <v>2.750353454107791</v>
      </c>
      <c r="G23" s="667" t="s">
        <v>576</v>
      </c>
      <c r="I23" s="633" t="s">
        <v>1026</v>
      </c>
      <c r="J23" s="653">
        <f>IF('Tank Sample Calc - 1'!E33="",F23,E18+J22+'Tank Sample Calc - 1'!B15/3+'Tank Sample Calc - 1'!B19-'Tank Sample Calc - 1'!E33)</f>
        <v>2.750353454107791</v>
      </c>
      <c r="K23" s="633" t="s">
        <v>576</v>
      </c>
      <c r="L23" s="633"/>
      <c r="M23" s="633"/>
      <c r="N23" s="633"/>
      <c r="O23" s="634" t="s">
        <v>1027</v>
      </c>
      <c r="P23" s="663">
        <f>'Tank Sample Calc - 1'!B23</f>
        <v>2.750353454107791</v>
      </c>
      <c r="Q23" s="636" t="str">
        <f>IF(F23&lt;&gt;0,IF(ABS(P23-F23)/ABS(F23)&gt;S18,"ERROR","OKAY"),IF(P23&lt;&gt;F23,"ERROR","OKAY"))</f>
        <v>OKAY</v>
      </c>
      <c r="R23" s="647"/>
      <c r="S23" s="647"/>
    </row>
    <row r="24" spans="2:20" x14ac:dyDescent="0.25">
      <c r="C24" s="633" t="s">
        <v>1028</v>
      </c>
      <c r="F24" s="653">
        <f>'Tank Sample Calc - 1'!B30</f>
        <v>0.03</v>
      </c>
      <c r="G24" s="667" t="s">
        <v>1029</v>
      </c>
      <c r="K24" s="633"/>
      <c r="L24" s="633"/>
      <c r="M24" s="633"/>
      <c r="N24" s="633"/>
      <c r="O24" s="634" t="s">
        <v>1030</v>
      </c>
      <c r="P24" s="663">
        <f>'Tank Sample Calc - 1'!E41</f>
        <v>2.750353454107791</v>
      </c>
      <c r="Q24" s="636" t="str">
        <f>IF(J23&lt;&gt;0,IF(ABS(P24-J23)/ABS(J23)&gt;$S$18,"ERROR","OKAY"),IF(P24&lt;&gt;J23,"ERROR","OKAY"))</f>
        <v>OKAY</v>
      </c>
      <c r="R24" s="647"/>
      <c r="S24" s="647"/>
    </row>
    <row r="25" spans="2:20" x14ac:dyDescent="0.25">
      <c r="C25" s="633" t="s">
        <v>1031</v>
      </c>
      <c r="F25" s="653">
        <f>'Tank Sample Calc - 1'!B29</f>
        <v>-0.03</v>
      </c>
      <c r="G25" s="667" t="s">
        <v>1029</v>
      </c>
      <c r="K25" s="633"/>
      <c r="L25" s="633"/>
      <c r="M25" s="633"/>
      <c r="N25" s="633"/>
      <c r="O25" s="634"/>
      <c r="P25" s="636"/>
      <c r="Q25" s="636"/>
      <c r="R25" s="647"/>
      <c r="S25" s="647"/>
    </row>
    <row r="26" spans="2:20" x14ac:dyDescent="0.25">
      <c r="B26" s="633" t="s">
        <v>1032</v>
      </c>
      <c r="N26" s="633"/>
      <c r="O26" s="634"/>
      <c r="P26" s="636"/>
      <c r="Q26" s="637"/>
      <c r="R26" s="647"/>
      <c r="S26" s="647"/>
    </row>
    <row r="27" spans="2:20" x14ac:dyDescent="0.25">
      <c r="C27" s="633" t="s">
        <v>1033</v>
      </c>
      <c r="F27" s="664" t="str">
        <f>'Tank Sample Calc - 1'!E5</f>
        <v>Diesel</v>
      </c>
      <c r="G27" s="664"/>
      <c r="H27" s="664"/>
      <c r="K27" s="633"/>
      <c r="L27" s="633"/>
      <c r="M27" s="633"/>
      <c r="N27" s="633"/>
      <c r="O27" s="634" t="s">
        <v>1034</v>
      </c>
      <c r="P27" s="663">
        <f>'Tank Sample Calc - 1'!E27</f>
        <v>29.27298</v>
      </c>
      <c r="Q27" s="636" t="str">
        <f>IF(F32&lt;&gt;0,IF(ABS(P27-F32)/ABS(F32)&gt;$S$18,"ERROR","OKAY"),IF(P27&lt;&gt;F32,"ERROR","OKAY"))</f>
        <v>OKAY</v>
      </c>
      <c r="R27" s="647"/>
      <c r="S27" s="647"/>
    </row>
    <row r="28" spans="2:20" ht="19.5" x14ac:dyDescent="0.35">
      <c r="C28" s="633" t="s">
        <v>1035</v>
      </c>
      <c r="F28" s="653">
        <f>'Tank Sample Calc - 1'!E9</f>
        <v>1</v>
      </c>
      <c r="G28" s="659"/>
      <c r="H28" s="659"/>
      <c r="K28" s="668" t="s">
        <v>1036</v>
      </c>
      <c r="L28" s="650"/>
      <c r="M28" s="633"/>
      <c r="N28" s="633"/>
      <c r="O28" s="634"/>
      <c r="P28" s="663"/>
      <c r="Q28" s="636"/>
      <c r="R28" s="647"/>
      <c r="S28" s="647"/>
    </row>
    <row r="29" spans="2:20" x14ac:dyDescent="0.25">
      <c r="C29" s="633" t="s">
        <v>1037</v>
      </c>
      <c r="F29" s="653" t="str">
        <f>IF('Tank Sample Calc - 1'!E8=0,"",'Tank Sample Calc - 1'!E8)</f>
        <v/>
      </c>
      <c r="G29" s="633" t="s">
        <v>1038</v>
      </c>
      <c r="H29" s="633" t="s">
        <v>1039</v>
      </c>
      <c r="K29" s="634" t="s">
        <v>1040</v>
      </c>
      <c r="L29" s="658">
        <f>IF('Tank Sample Calc - 1'!E13=0,"",'Tank Sample Calc - 1'!E13)</f>
        <v>12.101000000000001</v>
      </c>
      <c r="M29" s="633"/>
      <c r="N29" s="633"/>
      <c r="O29" s="634"/>
      <c r="P29" s="663"/>
      <c r="Q29" s="636"/>
      <c r="R29" s="647"/>
      <c r="S29" s="647"/>
    </row>
    <row r="30" spans="2:20" x14ac:dyDescent="0.25">
      <c r="C30" s="633" t="s">
        <v>1041</v>
      </c>
      <c r="F30" s="653" t="str">
        <f>IF('Tank Sample Calc - 1'!H29=0,"",'Tank Sample Calc - 1'!H29)</f>
        <v/>
      </c>
      <c r="H30" s="633" t="s">
        <v>1039</v>
      </c>
      <c r="K30" s="634" t="s">
        <v>1042</v>
      </c>
      <c r="L30" s="658">
        <f>IF('Tank Sample Calc - 1'!E14=0,"",'Tank Sample Calc - 1'!E14)</f>
        <v>8907</v>
      </c>
      <c r="M30" s="633"/>
      <c r="N30" s="633"/>
      <c r="O30" s="634"/>
      <c r="P30" s="663"/>
      <c r="Q30" s="636"/>
      <c r="R30" s="647"/>
      <c r="S30" s="647"/>
    </row>
    <row r="31" spans="2:20" ht="19.5" x14ac:dyDescent="0.35">
      <c r="C31" s="633" t="s">
        <v>1043</v>
      </c>
      <c r="F31" s="653">
        <f>'Tank Sample Calc - 1'!E7</f>
        <v>130</v>
      </c>
      <c r="G31" s="633" t="s">
        <v>1044</v>
      </c>
      <c r="K31" s="634" t="s">
        <v>1045</v>
      </c>
      <c r="L31" s="658" t="str">
        <f>IF('Tank Sample Calc - 1'!E15=0,"",'Tank Sample Calc - 1'!E15)</f>
        <v/>
      </c>
      <c r="M31" s="633"/>
      <c r="N31" s="633"/>
      <c r="O31" s="634" t="s">
        <v>1046</v>
      </c>
      <c r="P31" s="663">
        <f>'Tank Sample Calc - 1'!E28</f>
        <v>29.770605434363695</v>
      </c>
      <c r="Q31" s="636" t="str">
        <f>IF(F35&lt;&gt;0,IF(ABS(P31-F35)/ABS(F35)&gt;S18,"ERROR","OKAY"),IF(P31&lt;&gt;F35,"ERROR","OKAY"))</f>
        <v>OKAY</v>
      </c>
      <c r="R31" s="633"/>
      <c r="S31" s="647"/>
    </row>
    <row r="32" spans="2:20" x14ac:dyDescent="0.25">
      <c r="C32" s="633" t="s">
        <v>1047</v>
      </c>
      <c r="F32" s="669">
        <f>'Tank Sample Calc - 2'!B2</f>
        <v>29.27298</v>
      </c>
      <c r="G32" s="633" t="s">
        <v>982</v>
      </c>
      <c r="K32" s="633"/>
      <c r="L32" s="633"/>
      <c r="M32" s="633"/>
      <c r="N32" s="633"/>
      <c r="O32" s="634"/>
      <c r="P32" s="663"/>
      <c r="Q32" s="660"/>
      <c r="R32" s="633"/>
      <c r="S32" s="647"/>
    </row>
    <row r="33" spans="2:22" x14ac:dyDescent="0.25">
      <c r="C33" s="633" t="s">
        <v>1048</v>
      </c>
      <c r="F33" s="648" t="str">
        <f>IF('Tank Sample Calc - 1'!B9="F","YES","NO")</f>
        <v>NO</v>
      </c>
      <c r="H33" s="660" t="s">
        <v>1049</v>
      </c>
      <c r="K33" s="633"/>
      <c r="L33" s="633"/>
      <c r="M33" s="633"/>
      <c r="N33" s="633"/>
      <c r="O33" s="634"/>
      <c r="P33" s="663"/>
      <c r="Q33" s="660"/>
      <c r="R33" s="633"/>
      <c r="S33" s="647"/>
      <c r="V33" s="637"/>
    </row>
    <row r="34" spans="2:22" x14ac:dyDescent="0.25">
      <c r="C34" s="633" t="s">
        <v>1050</v>
      </c>
      <c r="F34" s="670" t="str">
        <f>IF('Tank Sample Calc - 1'!H41=FALSE,"calculated from ambient, per AP-42 equation 1-31","given by user")</f>
        <v>calculated from ambient, per AP-42 equation 1-31</v>
      </c>
      <c r="G34" s="655"/>
      <c r="H34" s="655"/>
      <c r="I34" s="655"/>
      <c r="J34" s="655"/>
      <c r="K34" s="655"/>
      <c r="L34" s="633"/>
      <c r="M34" s="633"/>
      <c r="N34" s="633"/>
      <c r="O34" s="634" t="s">
        <v>1051</v>
      </c>
      <c r="P34" s="663">
        <f>'Tank Sample Calc - 1'!E17</f>
        <v>5.5606623023254768E-5</v>
      </c>
      <c r="Q34" s="636" t="str">
        <f ca="1">IF(F37&lt;&gt;0,IF(ABS(P34-F37)/ABS(F37)&gt;S18,"ERROR","OKAY"),IF(P34&lt;&gt;F37,"ERROR","OKAY"))</f>
        <v>OKAY</v>
      </c>
      <c r="R34" s="633"/>
      <c r="S34" s="647"/>
    </row>
    <row r="35" spans="2:22" x14ac:dyDescent="0.25">
      <c r="C35" s="633" t="s">
        <v>1052</v>
      </c>
      <c r="F35" s="669">
        <f>'Tank Sample Calc - 2'!B3</f>
        <v>29.770605434363695</v>
      </c>
      <c r="G35" s="633" t="s">
        <v>982</v>
      </c>
      <c r="I35" s="660" t="str">
        <f>IF(F33="YES","same as bulk temp, for fully insulated tank","per AP-42 equation 1-27, 1-28, 1-29")</f>
        <v>per AP-42 equation 1-27, 1-28, 1-29</v>
      </c>
      <c r="K35" s="633"/>
      <c r="L35" s="633"/>
      <c r="M35" s="633"/>
      <c r="N35" s="633"/>
      <c r="O35" s="634"/>
      <c r="P35" s="663"/>
      <c r="Q35" s="660"/>
      <c r="R35" s="633"/>
      <c r="S35" s="647"/>
    </row>
    <row r="36" spans="2:22" x14ac:dyDescent="0.25">
      <c r="C36" s="633" t="s">
        <v>1053</v>
      </c>
      <c r="F36" s="671">
        <f ca="1">IF(AND(NOT(ISBLANK(E6)),G6=""),IF(AND(F29="",L29=""),'Tank Sample Calc - 1'!E16,IF(AND(CELL("type",F29)="v",'Tank Sample Calc - 1'!E4=TRUE),EXP((12.82-0.9672*LN(F29))-(7261-1216*LN(F29))/(F35+459.67)),IF(AND(CELL("type",F29)="v",NOT(CELL("type",F30)="v")),"need S",IF(CELL("type",F29)="v",EXP((15.64-1.854*(F30)^0.5-(0.8742-0.328*(F30)^0.5)*LN(F29))-(8742-1042*(F30)^0.5-(1049-179.4*(F30)^0.5)*LN(F29))/(F35+459.67)),IF(ISBLANK('Tank Sample Calc - 1'!E15)=FALSE,(10^('Tank Sample Calc - 1'!E13-('Tank Sample Calc - 1'!E14/((F35-32)*(5/9)+'Tank Sample Calc - 1'!E15))))/51.7144,EXP('Tank Sample Calc - 1'!E13-('Tank Sample Calc - 1'!E14/(F35+459.67)))))))))</f>
        <v>2.2488717735981677E-3</v>
      </c>
      <c r="G36" s="633" t="s">
        <v>977</v>
      </c>
      <c r="I36" s="660" t="s">
        <v>1054</v>
      </c>
      <c r="K36" s="633"/>
      <c r="L36" s="633"/>
      <c r="M36" s="633"/>
      <c r="N36" s="633"/>
      <c r="O36" s="634"/>
      <c r="P36" s="663"/>
      <c r="Q36" s="660"/>
      <c r="R36" s="633"/>
      <c r="S36" s="647"/>
    </row>
    <row r="37" spans="2:22" ht="20.25" x14ac:dyDescent="0.35">
      <c r="C37" s="633" t="s">
        <v>1055</v>
      </c>
      <c r="F37" s="672">
        <f ca="1">'Tank Sample Calc - 2'!B6</f>
        <v>5.5606623023254768E-5</v>
      </c>
      <c r="G37" s="633" t="s">
        <v>1056</v>
      </c>
      <c r="I37" s="660" t="s">
        <v>1057</v>
      </c>
      <c r="K37" s="633"/>
      <c r="L37" s="633"/>
      <c r="M37" s="633"/>
      <c r="N37" s="633"/>
      <c r="O37" s="634" t="s">
        <v>1058</v>
      </c>
      <c r="P37" s="663">
        <f>'Tank Sample Calc - 1'!H43</f>
        <v>30.268230868727393</v>
      </c>
      <c r="Q37" s="636" t="str">
        <f>IF(G38&lt;&gt;0,IF(ABS(P37-G38)/ABS(G38)&gt;S18,"ERROR","OKAY"),IF(P37&lt;&gt;G38,"ERROR","OKAY"))</f>
        <v>OKAY</v>
      </c>
      <c r="R37" s="673"/>
      <c r="S37" s="647"/>
    </row>
    <row r="38" spans="2:22" x14ac:dyDescent="0.25">
      <c r="B38" s="633" t="s">
        <v>1059</v>
      </c>
      <c r="D38" s="633" t="s">
        <v>1060</v>
      </c>
      <c r="G38" s="674">
        <f>'Tank Sample Calc - 2'!B4</f>
        <v>30.268230868727393</v>
      </c>
      <c r="H38" s="633" t="s">
        <v>1061</v>
      </c>
      <c r="I38" s="660" t="str">
        <f>IF(F33="YES","same as bulk temp, for fully insulated tank","per AP-42 equation 1-32, 1-33, 1-34")</f>
        <v>per AP-42 equation 1-32, 1-33, 1-34</v>
      </c>
      <c r="K38" s="633"/>
      <c r="L38" s="633"/>
      <c r="M38" s="633"/>
      <c r="N38" s="633"/>
      <c r="O38" s="673"/>
      <c r="P38" s="675"/>
      <c r="Q38" s="636"/>
      <c r="R38" s="673"/>
      <c r="S38" s="647"/>
    </row>
    <row r="39" spans="2:22" x14ac:dyDescent="0.25">
      <c r="C39" s="633" t="s">
        <v>1062</v>
      </c>
      <c r="F39" s="653">
        <f>IF('Tank Sample Calc - 1'!H35=-1,"",'Tank Sample Calc - 1'!H35)</f>
        <v>0</v>
      </c>
      <c r="G39" s="633" t="s">
        <v>982</v>
      </c>
      <c r="I39" s="660"/>
      <c r="K39" s="633"/>
      <c r="L39" s="633"/>
      <c r="M39" s="633"/>
      <c r="N39" s="633"/>
      <c r="O39" s="633"/>
      <c r="P39" s="675"/>
      <c r="Q39" s="636"/>
      <c r="R39" s="673"/>
      <c r="S39" s="647"/>
    </row>
    <row r="40" spans="2:22" x14ac:dyDescent="0.25">
      <c r="C40" s="633" t="s">
        <v>1063</v>
      </c>
      <c r="F40" s="653">
        <f>IF('Tank Sample Calc - 1'!H34=-1,"",'Tank Sample Calc - 1'!H34)</f>
        <v>0</v>
      </c>
      <c r="G40" s="633" t="s">
        <v>982</v>
      </c>
      <c r="I40" s="660"/>
      <c r="K40" s="633"/>
      <c r="L40" s="633"/>
      <c r="M40" s="633"/>
      <c r="N40" s="633"/>
      <c r="O40" s="633"/>
      <c r="P40" s="675"/>
      <c r="Q40" s="636"/>
      <c r="R40" s="673"/>
      <c r="S40" s="647"/>
    </row>
    <row r="41" spans="2:22" x14ac:dyDescent="0.25">
      <c r="C41" s="633" t="s">
        <v>1064</v>
      </c>
      <c r="F41" s="653">
        <f>IF('Tank Sample Calc - 1'!H36=-1,"",'Tank Sample Calc - 1'!H36)</f>
        <v>0</v>
      </c>
      <c r="G41" s="633" t="s">
        <v>522</v>
      </c>
      <c r="I41" s="660"/>
      <c r="K41" s="633"/>
      <c r="L41" s="633"/>
      <c r="M41" s="633"/>
      <c r="N41" s="633"/>
      <c r="O41" s="633"/>
      <c r="P41" s="675"/>
      <c r="Q41" s="636"/>
      <c r="R41" s="673"/>
      <c r="S41" s="647"/>
    </row>
    <row r="42" spans="2:22" x14ac:dyDescent="0.25">
      <c r="B42" s="633" t="s">
        <v>1065</v>
      </c>
      <c r="K42" s="633"/>
      <c r="L42" s="633"/>
      <c r="M42" s="633"/>
      <c r="N42" s="633"/>
      <c r="O42" s="633"/>
      <c r="P42" s="633"/>
      <c r="Q42" s="633"/>
      <c r="R42" s="633"/>
      <c r="S42" s="647"/>
    </row>
    <row r="43" spans="2:22" x14ac:dyDescent="0.25">
      <c r="C43" s="633" t="s">
        <v>1066</v>
      </c>
      <c r="E43" s="832">
        <f>'Tank Sample Calc - 1'!E35</f>
        <v>13.30952380952381</v>
      </c>
      <c r="F43" s="832"/>
      <c r="G43" s="668" t="s">
        <v>1067</v>
      </c>
      <c r="H43" s="677" t="str">
        <f>IF(AND(F44&gt;27,F44&lt;32,DAY('Tank Sample Calc - 1'!B2)=1,DAY('Tank Sample Calc - 1'!B3)=1),"month",IF(OR(F44=365,F44=366),"year","this period"))</f>
        <v>this period</v>
      </c>
      <c r="K43" s="633"/>
      <c r="L43" s="633"/>
      <c r="M43" s="633"/>
      <c r="N43" s="633"/>
      <c r="O43" s="633"/>
      <c r="P43" s="633"/>
      <c r="Q43" s="633"/>
      <c r="R43" s="633"/>
      <c r="S43" s="647"/>
    </row>
    <row r="44" spans="2:22" x14ac:dyDescent="0.25">
      <c r="C44" s="633" t="s">
        <v>1068</v>
      </c>
      <c r="E44" s="678"/>
      <c r="F44" s="676">
        <f>'Tank Sample Calc - 1'!B3-'Tank Sample Calc - 1'!B2</f>
        <v>1</v>
      </c>
      <c r="G44" s="633" t="s">
        <v>522</v>
      </c>
      <c r="K44" s="633"/>
      <c r="L44" s="633"/>
      <c r="M44" s="633"/>
      <c r="N44" s="633"/>
      <c r="O44" s="633"/>
      <c r="P44" s="633"/>
      <c r="Q44" s="633"/>
      <c r="R44" s="633"/>
      <c r="S44" s="647"/>
    </row>
    <row r="45" spans="2:22" x14ac:dyDescent="0.25">
      <c r="C45" s="633" t="s">
        <v>1069</v>
      </c>
      <c r="E45" s="678"/>
      <c r="F45" s="679">
        <f>(365/F44)*E43/((F21*PI()*E17^2/4)/5.614)</f>
        <v>21.123297703241882</v>
      </c>
      <c r="G45" s="680" t="s">
        <v>1070</v>
      </c>
      <c r="K45" s="633"/>
      <c r="L45" s="633"/>
      <c r="M45" s="633"/>
      <c r="N45" s="633"/>
      <c r="O45" s="633"/>
      <c r="P45" s="633"/>
      <c r="Q45" s="633"/>
      <c r="R45" s="633"/>
      <c r="S45" s="647"/>
    </row>
    <row r="46" spans="2:22" ht="19.5" x14ac:dyDescent="0.35">
      <c r="C46" s="633" t="s">
        <v>1071</v>
      </c>
      <c r="F46" s="681">
        <f>IF(F45&lt;36,1,(180+F45)/(6*F45))</f>
        <v>1</v>
      </c>
      <c r="K46" s="633"/>
      <c r="L46" s="633"/>
      <c r="M46" s="633"/>
      <c r="N46" s="633"/>
      <c r="O46" s="633"/>
      <c r="P46" s="633"/>
      <c r="Q46" s="633"/>
      <c r="R46" s="633"/>
      <c r="S46" s="647"/>
    </row>
    <row r="47" spans="2:22" x14ac:dyDescent="0.25">
      <c r="B47" s="633" t="s">
        <v>1072</v>
      </c>
      <c r="F47" s="650"/>
      <c r="K47" s="633"/>
      <c r="L47" s="633"/>
      <c r="M47" s="633"/>
      <c r="N47" s="633"/>
      <c r="O47" s="633"/>
      <c r="P47" s="633"/>
      <c r="Q47" s="633"/>
      <c r="R47" s="633"/>
      <c r="S47" s="647"/>
    </row>
    <row r="48" spans="2:22" ht="19.5" x14ac:dyDescent="0.35">
      <c r="C48" s="633" t="s">
        <v>1073</v>
      </c>
      <c r="F48" s="650"/>
      <c r="K48" s="660" t="s">
        <v>1074</v>
      </c>
      <c r="M48" s="633"/>
      <c r="N48" s="633"/>
      <c r="O48" s="633"/>
      <c r="P48" s="636" t="s">
        <v>1075</v>
      </c>
      <c r="Q48" s="633"/>
      <c r="R48" s="633"/>
      <c r="S48" s="647"/>
    </row>
    <row r="49" spans="3:19" x14ac:dyDescent="0.25">
      <c r="C49" s="682" t="s">
        <v>1076</v>
      </c>
      <c r="K49" s="660"/>
      <c r="L49" s="633"/>
      <c r="N49" s="633"/>
      <c r="O49" s="633"/>
      <c r="P49" s="633"/>
      <c r="Q49" s="633"/>
      <c r="R49" s="633"/>
      <c r="S49" s="647"/>
    </row>
    <row r="50" spans="3:19" ht="19.5" x14ac:dyDescent="0.35">
      <c r="C50" s="634" t="s">
        <v>1077</v>
      </c>
      <c r="D50" s="683">
        <f>'Tank Sample Calc - 2'!B5</f>
        <v>12.815727951937671</v>
      </c>
      <c r="E50" s="633" t="s">
        <v>1078</v>
      </c>
      <c r="K50" s="660" t="s">
        <v>1079</v>
      </c>
      <c r="L50" s="633"/>
      <c r="N50" s="633"/>
      <c r="O50" s="634" t="s">
        <v>1080</v>
      </c>
      <c r="P50" s="663">
        <f>'Tank Sample Calc - 1'!H44</f>
        <v>12.815727951937671</v>
      </c>
      <c r="Q50" s="684" t="str">
        <f>IF(D50&lt;&gt;0,IF(ABS(P50-D50)/ABS(D50)&gt;S18,"ERROR","OKAY"),IF(P50&lt;&gt;D50,"ERROR","OKAY"))</f>
        <v>OKAY</v>
      </c>
      <c r="R50" s="633"/>
      <c r="S50" s="647"/>
    </row>
    <row r="51" spans="3:19" x14ac:dyDescent="0.25">
      <c r="C51" s="634"/>
      <c r="D51" s="634" t="s">
        <v>1081</v>
      </c>
      <c r="E51" s="685">
        <f>IF(F33="Yes",F35,F35+0.25*D50)</f>
        <v>32.974537422348114</v>
      </c>
      <c r="F51" s="633" t="s">
        <v>1082</v>
      </c>
      <c r="G51" s="634" t="s">
        <v>1083</v>
      </c>
      <c r="H51" s="686">
        <f ca="1">IF(AND(NOT(ISBLANK(E6)),G6=""),IF(AND(F29="",L29=""),'Tank Sample Calc - 1'!H33,IF(AND(CELL("type",F29)="v",'Tank Sample Calc - 1'!E4=TRUE),EXP((12.82-0.9672*LN(F29))-(7261-1216*LN(F29))/(E51+459.67)),IF(AND(CELL("type",F29)="v",NOT(CELL("type",F30)="v")),"need S",IF(CELL("type",F29)="v",EXP((15.64-1.854*(F30)^0.5-(0.8742-0.328*(F30)^0.5)*LN(F29))-(8742-1042*(F30)^0.5-(1049-179.4*(F30)^0.5)*LN(F29))/(E51+459.67)),IF(ISBLANK('Tank Sample Calc - 1'!E15)=FALSE,(10^('Tank Sample Calc - 1'!E13-('Tank Sample Calc - 1'!E14/((E51-32)*(5/9)+'Tank Sample Calc - 1'!E15))))/51.7144,EXP('Tank Sample Calc - 1'!E13-('Tank Sample Calc - 1'!E14/(E51+459.67)))))))))</f>
        <v>2.5314243978971454E-3</v>
      </c>
      <c r="I51" s="680" t="s">
        <v>977</v>
      </c>
      <c r="K51" s="660"/>
      <c r="L51" s="660"/>
      <c r="N51" s="633"/>
      <c r="O51" s="634"/>
      <c r="P51" s="663"/>
      <c r="Q51" s="633"/>
      <c r="R51" s="633"/>
      <c r="S51" s="647"/>
    </row>
    <row r="52" spans="3:19" x14ac:dyDescent="0.25">
      <c r="C52" s="634"/>
      <c r="D52" s="634" t="s">
        <v>1084</v>
      </c>
      <c r="E52" s="685">
        <f>IF(F33="Yes",F35,F35-0.25*D50)</f>
        <v>26.566673446379276</v>
      </c>
      <c r="F52" s="633" t="s">
        <v>1082</v>
      </c>
      <c r="G52" s="634" t="s">
        <v>1085</v>
      </c>
      <c r="H52" s="686">
        <f ca="1">IF(AND(NOT(ISBLANK(E6)),G6=""),IF(AND(F29="",L29=""),'Tank Sample Calc - 1'!H32,IF(AND(CELL("type",F29)="v",'Tank Sample Calc - 1'!E4=TRUE),EXP((12.82-0.9672*LN(F29))-(7261-1216*LN(F29))/(E52+459.67)),IF(AND(CELL("type",F29)="v",NOT(CELL("type",F30)="v")),"need S",IF(CELL("type",F29)="v",EXP((15.64-1.854*(F30)^0.5-(0.8742-0.328*(F30)^0.5)*LN(F29))-(8742-1042*(F30)^0.5-(1049-179.4*(F30)^0.5)*LN(F29))/(E52+459.67)),IF(ISBLANK('Tank Sample Calc - 1'!E15)=FALSE,(10^('Tank Sample Calc - 1'!E13-('Tank Sample Calc - 1'!E14/((E52-32)*(5/9)+'Tank Sample Calc - 1'!E15))))/51.7144,EXP('Tank Sample Calc - 1'!E13-('Tank Sample Calc - 1'!E14/(E52+459.67)))))))))</f>
        <v>1.9947434499415465E-3</v>
      </c>
      <c r="I52" s="680" t="s">
        <v>977</v>
      </c>
      <c r="K52" s="660"/>
      <c r="L52" s="633"/>
      <c r="N52" s="633"/>
      <c r="O52" s="634"/>
      <c r="P52" s="663"/>
      <c r="Q52" s="633"/>
      <c r="R52" s="633"/>
      <c r="S52" s="647"/>
    </row>
    <row r="53" spans="3:19" ht="19.5" x14ac:dyDescent="0.35">
      <c r="C53" s="634" t="s">
        <v>1086</v>
      </c>
      <c r="D53" s="653">
        <f ca="1">IF(AND(NOT(ISBLANK(E6)),G6=""),H51-H52,"")</f>
        <v>5.3668094795559888E-4</v>
      </c>
      <c r="E53" s="680" t="s">
        <v>977</v>
      </c>
      <c r="F53" s="660" t="str">
        <f>IF(F33="YES","assume ∆TV, ∆PV equal 0 for a constant temperature tank","")</f>
        <v/>
      </c>
      <c r="H53" s="687"/>
      <c r="K53" s="633"/>
      <c r="L53" s="660"/>
      <c r="M53" s="633"/>
      <c r="N53" s="633"/>
      <c r="O53" s="634"/>
      <c r="P53" s="663"/>
      <c r="Q53" s="636"/>
      <c r="R53" s="660"/>
      <c r="S53" s="647"/>
    </row>
    <row r="54" spans="3:19" ht="19.5" x14ac:dyDescent="0.35">
      <c r="C54" s="634" t="s">
        <v>1087</v>
      </c>
      <c r="D54" s="683">
        <f>F24-F25</f>
        <v>0.06</v>
      </c>
      <c r="E54" s="633" t="s">
        <v>1088</v>
      </c>
      <c r="H54" s="687"/>
      <c r="K54" s="633"/>
      <c r="L54" s="660"/>
      <c r="M54" s="633"/>
      <c r="N54" s="633"/>
      <c r="O54" s="634"/>
      <c r="P54" s="663"/>
      <c r="Q54" s="633"/>
      <c r="R54" s="633"/>
      <c r="S54" s="647"/>
    </row>
    <row r="55" spans="3:19" ht="19.5" x14ac:dyDescent="0.35">
      <c r="C55" s="634" t="s">
        <v>1089</v>
      </c>
      <c r="D55" s="653">
        <f ca="1">MAX(D50/(F35+459.67)+(D53-D54)/(F10-F36),0)</f>
        <v>2.1384268938390415E-2</v>
      </c>
      <c r="F55" s="650"/>
      <c r="K55" s="633"/>
      <c r="L55" s="660"/>
      <c r="M55" s="633"/>
      <c r="N55" s="633"/>
      <c r="O55" s="634" t="s">
        <v>1090</v>
      </c>
      <c r="P55" s="663">
        <f>'Tank Sample Calc - 1'!E44</f>
        <v>2.1384268938390415E-2</v>
      </c>
      <c r="Q55" s="636" t="str">
        <f ca="1">IF(D55&lt;&gt;0,IF(ABS(P55-D55)/ABS(D55)&gt;S18,"ERROR","OKAY"),IF(P55&gt;0,"ERROR","OKAY"))</f>
        <v>OKAY</v>
      </c>
      <c r="R55" s="660"/>
      <c r="S55" s="647"/>
    </row>
    <row r="56" spans="3:19" ht="19.5" x14ac:dyDescent="0.35">
      <c r="C56" s="633" t="s">
        <v>1091</v>
      </c>
      <c r="K56" s="660" t="s">
        <v>1092</v>
      </c>
      <c r="M56" s="633"/>
      <c r="N56" s="633"/>
      <c r="O56" s="634"/>
      <c r="P56" s="663"/>
      <c r="Q56" s="660"/>
      <c r="R56" s="660"/>
      <c r="S56" s="647"/>
    </row>
    <row r="57" spans="3:19" ht="19.5" x14ac:dyDescent="0.35">
      <c r="C57" s="634" t="s">
        <v>1093</v>
      </c>
      <c r="D57" s="653">
        <f ca="1">1/(1+0.053*F36*J23)</f>
        <v>0.99967229223831278</v>
      </c>
      <c r="K57" s="633"/>
      <c r="L57" s="633"/>
      <c r="M57" s="633"/>
      <c r="N57" s="633"/>
      <c r="O57" s="634" t="s">
        <v>1094</v>
      </c>
      <c r="P57" s="663">
        <f>'Tank Sample Calc - 1'!E45</f>
        <v>0.99967229223831278</v>
      </c>
      <c r="Q57" s="636" t="str">
        <f ca="1">IF(D57&lt;&gt;0,IF(ABS(P57-D57)/ABS(D57)&gt;S18,"ERROR","OKAY"),IF(P57&lt;&gt;D57,"ERROR","OKAY"))</f>
        <v>OKAY</v>
      </c>
      <c r="R57" s="660"/>
      <c r="S57" s="647"/>
    </row>
    <row r="58" spans="3:19" ht="19.5" x14ac:dyDescent="0.35">
      <c r="C58" s="680" t="s">
        <v>1095</v>
      </c>
      <c r="D58" s="651"/>
      <c r="K58" s="633"/>
      <c r="L58" s="633"/>
      <c r="M58" s="633"/>
      <c r="N58" s="633"/>
      <c r="O58" s="634"/>
      <c r="P58" s="636"/>
      <c r="Q58" s="636"/>
      <c r="R58" s="660"/>
      <c r="S58" s="647"/>
    </row>
    <row r="59" spans="3:19" ht="19.5" x14ac:dyDescent="0.35">
      <c r="C59" s="634" t="s">
        <v>1096</v>
      </c>
      <c r="D59" s="680" t="s">
        <v>1097</v>
      </c>
      <c r="K59" s="633"/>
      <c r="L59" s="633"/>
      <c r="M59" s="633"/>
      <c r="N59" s="633"/>
      <c r="O59" s="634"/>
      <c r="P59" s="636"/>
      <c r="Q59" s="636"/>
      <c r="R59" s="660"/>
      <c r="S59" s="647"/>
    </row>
    <row r="60" spans="3:19" ht="19.5" x14ac:dyDescent="0.35">
      <c r="C60" s="680"/>
      <c r="D60" s="680" t="s">
        <v>1098</v>
      </c>
      <c r="K60" s="660" t="s">
        <v>1099</v>
      </c>
      <c r="L60" s="660"/>
      <c r="M60" s="633"/>
      <c r="N60" s="633"/>
      <c r="O60" s="634"/>
      <c r="P60" s="636"/>
      <c r="Q60" s="636"/>
      <c r="R60" s="660"/>
      <c r="S60" s="647"/>
    </row>
    <row r="61" spans="3:19" ht="19.5" x14ac:dyDescent="0.35">
      <c r="C61" s="634" t="s">
        <v>1096</v>
      </c>
      <c r="D61" s="680" t="s">
        <v>1100</v>
      </c>
      <c r="K61" s="660" t="s">
        <v>1101</v>
      </c>
      <c r="L61" s="660"/>
      <c r="M61" s="633"/>
      <c r="N61" s="633"/>
      <c r="O61" s="634"/>
      <c r="P61" s="636"/>
      <c r="Q61" s="636"/>
      <c r="R61" s="660"/>
      <c r="S61" s="647"/>
    </row>
    <row r="62" spans="3:19" x14ac:dyDescent="0.25">
      <c r="C62" s="634"/>
      <c r="D62" s="682" t="s">
        <v>1076</v>
      </c>
      <c r="K62" s="633"/>
      <c r="L62" s="633"/>
      <c r="M62" s="633"/>
      <c r="N62" s="633"/>
      <c r="O62" s="634"/>
      <c r="P62" s="636"/>
      <c r="Q62" s="636"/>
      <c r="R62" s="660"/>
      <c r="S62" s="647"/>
    </row>
    <row r="63" spans="3:19" ht="19.5" x14ac:dyDescent="0.35">
      <c r="C63" s="634"/>
      <c r="D63" s="634" t="s">
        <v>1102</v>
      </c>
      <c r="E63" s="683">
        <f>F24</f>
        <v>0.03</v>
      </c>
      <c r="F63" s="633" t="s">
        <v>1103</v>
      </c>
      <c r="K63" s="633"/>
      <c r="L63" s="633"/>
      <c r="M63" s="633"/>
      <c r="N63" s="633"/>
      <c r="O63" s="634"/>
      <c r="P63" s="636"/>
      <c r="Q63" s="636"/>
      <c r="R63" s="660"/>
      <c r="S63" s="647"/>
    </row>
    <row r="64" spans="3:19" ht="19.5" x14ac:dyDescent="0.35">
      <c r="C64" s="634"/>
      <c r="D64" s="634" t="s">
        <v>1104</v>
      </c>
      <c r="E64" s="683">
        <f>'Tank Sample Calc - 1'!E40</f>
        <v>0</v>
      </c>
      <c r="F64" s="633" t="s">
        <v>1105</v>
      </c>
      <c r="K64" s="633"/>
      <c r="L64" s="633"/>
      <c r="M64" s="633"/>
      <c r="N64" s="633"/>
      <c r="O64" s="634"/>
      <c r="P64" s="636"/>
      <c r="Q64" s="636"/>
      <c r="R64" s="660"/>
      <c r="S64" s="647"/>
    </row>
    <row r="65" spans="2:19" ht="19.5" x14ac:dyDescent="0.35">
      <c r="C65" s="634" t="s">
        <v>1096</v>
      </c>
      <c r="D65" s="653">
        <f>IF(AND(ABS(E63)&gt;0.03,F46*(E63+F10)/(E64+F10)&gt;1),((E64+F10)/F46-F36)/(E63+F10-F36),1)</f>
        <v>1</v>
      </c>
      <c r="K65" s="633"/>
      <c r="L65" s="633"/>
      <c r="M65" s="633"/>
      <c r="N65" s="633"/>
      <c r="O65" s="634" t="s">
        <v>1106</v>
      </c>
      <c r="P65" s="663">
        <f>'Tank Sample Calc - 1'!E39</f>
        <v>1</v>
      </c>
      <c r="Q65" s="636" t="str">
        <f>IF(D65&lt;&gt;0,IF(ABS(P65-D65)/ABS(D65)&gt;S18,"ERROR","OKAY"),IF(P65&lt;&gt;D65,"ERROR","OKAY"))</f>
        <v>OKAY</v>
      </c>
      <c r="R65" s="660"/>
      <c r="S65" s="647"/>
    </row>
    <row r="66" spans="2:19" x14ac:dyDescent="0.25">
      <c r="C66" s="634" t="s">
        <v>1107</v>
      </c>
      <c r="D66" s="648">
        <f>'Tank Sample Calc - 1'!H7</f>
        <v>0</v>
      </c>
      <c r="K66" s="633"/>
      <c r="L66" s="633"/>
      <c r="M66" s="633"/>
      <c r="N66" s="633"/>
      <c r="O66" s="634"/>
      <c r="P66" s="663"/>
      <c r="Q66" s="636"/>
      <c r="R66" s="660"/>
      <c r="S66" s="647"/>
    </row>
    <row r="67" spans="2:19" x14ac:dyDescent="0.25">
      <c r="K67" s="633"/>
      <c r="L67" s="633"/>
      <c r="M67" s="633"/>
      <c r="N67" s="633"/>
      <c r="O67" s="633"/>
      <c r="P67" s="637"/>
      <c r="Q67" s="638"/>
      <c r="R67" s="637"/>
      <c r="S67" s="646"/>
    </row>
    <row r="68" spans="2:19" x14ac:dyDescent="0.25">
      <c r="B68" s="633" t="s">
        <v>1108</v>
      </c>
      <c r="E68" s="688"/>
      <c r="F68" s="689" t="str">
        <f>I7</f>
        <v>this period</v>
      </c>
      <c r="G68" s="690">
        <f>I8</f>
        <v>2024</v>
      </c>
      <c r="K68" s="633"/>
      <c r="L68" s="633"/>
      <c r="M68" s="633"/>
      <c r="N68" s="633"/>
      <c r="O68" s="633"/>
      <c r="P68" s="636" t="s">
        <v>1075</v>
      </c>
      <c r="Q68" s="636"/>
      <c r="R68" s="636"/>
      <c r="S68" s="647"/>
    </row>
    <row r="69" spans="2:19" x14ac:dyDescent="0.25">
      <c r="C69" s="633" t="s">
        <v>1109</v>
      </c>
      <c r="E69" s="659"/>
      <c r="F69" s="691">
        <f ca="1">IF(OR(ISBLANK(E6),G6&lt;&gt;""),"",J23*PI()*E17^2/4*D55*D57*F44*F37)</f>
        <v>8.5448848580293784E-4</v>
      </c>
      <c r="G69" s="668" t="s">
        <v>1110</v>
      </c>
      <c r="H69" s="660" t="str">
        <f t="shared" ref="H69:H76" si="0">H$43</f>
        <v>this period</v>
      </c>
      <c r="K69" s="660" t="s">
        <v>1111</v>
      </c>
      <c r="M69" s="633"/>
      <c r="N69" s="633"/>
      <c r="O69" s="634" t="s">
        <v>1112</v>
      </c>
      <c r="P69" s="663">
        <f>'Tank Sample Calc - 1'!E50</f>
        <v>8.5448848580293784E-4</v>
      </c>
      <c r="Q69" s="636" t="str">
        <f ca="1">IF(F69&lt;&gt;0,IF(ABS(P69-F69)/ABS(F69)&gt;S18,"ERROR","OKAY"),IF(P69&lt;&gt;F69,"ERROR","OKAY"))</f>
        <v>OKAY</v>
      </c>
      <c r="R69" s="660"/>
      <c r="S69" s="633"/>
    </row>
    <row r="70" spans="2:19" x14ac:dyDescent="0.25">
      <c r="C70" s="633" t="s">
        <v>1113</v>
      </c>
      <c r="E70" s="659"/>
      <c r="F70" s="692">
        <f ca="1">IF(OR(ISBLANK(E6),G6&lt;&gt;""),"",F45*(F44/365)*F21*(PI()*E17^2/4)*F46*F28*F37*D65)</f>
        <v>4.1549083367565885E-3</v>
      </c>
      <c r="G70" s="668" t="s">
        <v>1110</v>
      </c>
      <c r="H70" s="660" t="str">
        <f t="shared" si="0"/>
        <v>this period</v>
      </c>
      <c r="K70" s="660" t="s">
        <v>1114</v>
      </c>
      <c r="L70" s="660"/>
      <c r="M70" s="633"/>
      <c r="N70" s="633"/>
      <c r="O70" s="634" t="s">
        <v>1115</v>
      </c>
      <c r="P70" s="663">
        <f>'Tank Sample Calc - 1'!H1</f>
        <v>4.1549083367565885E-3</v>
      </c>
      <c r="Q70" s="636" t="str">
        <f ca="1">IF(F70&lt;&gt;0,IF(ABS(P70-F70)/ABS(F70)&gt;S18,"ERROR","OKAY"),IF(P70&lt;&gt;F70,"ERROR","OKAY"))</f>
        <v>OKAY</v>
      </c>
      <c r="R70" s="660"/>
      <c r="S70" s="633"/>
    </row>
    <row r="71" spans="2:19" x14ac:dyDescent="0.25">
      <c r="C71" s="668" t="s">
        <v>1116</v>
      </c>
      <c r="F71" s="692">
        <f ca="1">F69+F70</f>
        <v>5.0093968225595267E-3</v>
      </c>
      <c r="G71" s="668" t="s">
        <v>1110</v>
      </c>
      <c r="H71" s="660" t="str">
        <f t="shared" si="0"/>
        <v>this period</v>
      </c>
      <c r="K71" s="660" t="s">
        <v>1117</v>
      </c>
      <c r="L71" s="660"/>
      <c r="M71" s="633"/>
      <c r="N71" s="633"/>
      <c r="O71" s="634" t="s">
        <v>1118</v>
      </c>
      <c r="P71" s="663">
        <f>'Tank Sample Calc - 3'!P69+'Tank Sample Calc - 3'!P70</f>
        <v>5.0093968225595267E-3</v>
      </c>
      <c r="Q71" s="636" t="str">
        <f ca="1">IF(F71&lt;&gt;0,IF(ABS(P71-F71)/ABS(F71)&gt;$S$18,"ERROR","OKAY"),IF(P71&lt;&gt;F71,"ERROR","OKAY"))</f>
        <v>OKAY</v>
      </c>
      <c r="R71" s="660"/>
      <c r="S71" s="633"/>
    </row>
    <row r="72" spans="2:19" x14ac:dyDescent="0.25">
      <c r="F72" s="693">
        <f ca="1">F71/2000</f>
        <v>2.5046984112797633E-6</v>
      </c>
      <c r="G72" s="633" t="s">
        <v>1119</v>
      </c>
      <c r="H72" s="660" t="str">
        <f t="shared" si="0"/>
        <v>this period</v>
      </c>
      <c r="N72" s="633"/>
      <c r="O72" s="633"/>
      <c r="Q72" s="636"/>
    </row>
    <row r="73" spans="2:19" x14ac:dyDescent="0.25">
      <c r="B73" s="680" t="s">
        <v>1120</v>
      </c>
      <c r="C73"/>
      <c r="F73" s="691">
        <f ca="1">F69*(1-D66*'Tank Sample Calc - 1'!H46)</f>
        <v>8.5448848580293784E-4</v>
      </c>
      <c r="G73" s="668" t="s">
        <v>1110</v>
      </c>
      <c r="H73" s="660" t="str">
        <f t="shared" si="0"/>
        <v>this period</v>
      </c>
      <c r="J73" s="647" t="s">
        <v>1121</v>
      </c>
      <c r="N73" s="633"/>
      <c r="O73" s="634" t="s">
        <v>1122</v>
      </c>
      <c r="P73" s="663">
        <f>'Tank Sample Calc - 1'!H19</f>
        <v>8.5448848580293784E-4</v>
      </c>
      <c r="Q73" s="636" t="str">
        <f ca="1">IF(F73&lt;&gt;0,IF(ABS(P73-F73)/ABS(F73)&gt;$S$18,"ERROR","OKAY"),IF(P73&lt;&gt;F73,"ERROR","OKAY"))</f>
        <v>OKAY</v>
      </c>
    </row>
    <row r="74" spans="2:19" x14ac:dyDescent="0.25">
      <c r="C74" s="633" t="s">
        <v>1123</v>
      </c>
      <c r="F74" s="692">
        <f ca="1">F70*(1-D66*'Tank Sample Calc - 1'!H46)</f>
        <v>4.1549083367565885E-3</v>
      </c>
      <c r="G74" s="668" t="s">
        <v>1110</v>
      </c>
      <c r="H74" s="660" t="str">
        <f t="shared" si="0"/>
        <v>this period</v>
      </c>
      <c r="J74" s="647" t="s">
        <v>1121</v>
      </c>
      <c r="N74" s="633"/>
      <c r="O74" s="634" t="s">
        <v>1124</v>
      </c>
      <c r="P74" s="663">
        <f>'Tank Sample Calc - 1'!H20</f>
        <v>4.1549083367565885E-3</v>
      </c>
      <c r="Q74" s="636" t="str">
        <f ca="1">IF(F74&lt;&gt;0,IF(ABS(P74-F74)/ABS(F74)&gt;$S$18,"ERROR","OKAY"),IF(P74&lt;&gt;F74,"ERROR","OKAY"))</f>
        <v>OKAY</v>
      </c>
    </row>
    <row r="75" spans="2:19" x14ac:dyDescent="0.25">
      <c r="C75"/>
      <c r="D75" s="668" t="s">
        <v>1125</v>
      </c>
      <c r="F75" s="692">
        <f ca="1">F71*(1-D66*'Tank Sample Calc - 1'!H46)</f>
        <v>5.0093968225595267E-3</v>
      </c>
      <c r="G75" s="668" t="s">
        <v>1110</v>
      </c>
      <c r="H75" s="660" t="str">
        <f t="shared" si="0"/>
        <v>this period</v>
      </c>
      <c r="J75" s="647" t="s">
        <v>1121</v>
      </c>
      <c r="N75" s="633"/>
      <c r="O75" s="634" t="s">
        <v>1126</v>
      </c>
      <c r="P75" s="663">
        <f>'Tank Sample Calc - 1'!H25</f>
        <v>5.0093968225595267E-3</v>
      </c>
      <c r="Q75" s="636" t="str">
        <f ca="1">IF(F75&lt;&gt;0,IF(ABS(P75-F75)/ABS(F75)&gt;$S$18,"ERROR","OKAY"),IF(P75&lt;&gt;F75,"ERROR","OKAY"))</f>
        <v>OKAY</v>
      </c>
    </row>
    <row r="76" spans="2:19" ht="16.5" thickBot="1" x14ac:dyDescent="0.3">
      <c r="F76" s="694">
        <f ca="1">F72*(1-D66*'Tank Sample Calc - 1'!H46)</f>
        <v>2.5046984112797633E-6</v>
      </c>
      <c r="G76" s="695" t="s">
        <v>1119</v>
      </c>
      <c r="H76" s="696" t="str">
        <f t="shared" si="0"/>
        <v>this period</v>
      </c>
      <c r="J76" s="647" t="s">
        <v>1121</v>
      </c>
      <c r="N76" s="633"/>
      <c r="O76" s="633"/>
    </row>
    <row r="77" spans="2:19" ht="16.5" thickTop="1" x14ac:dyDescent="0.25"/>
    <row r="82" spans="5:7" x14ac:dyDescent="0.25">
      <c r="E82" s="634"/>
      <c r="F82" s="697"/>
      <c r="G82" s="668"/>
    </row>
  </sheetData>
  <sheetProtection formatCells="0" formatColumns="0" formatRows="0"/>
  <mergeCells count="2">
    <mergeCell ref="E6:F6"/>
    <mergeCell ref="E43:F43"/>
  </mergeCells>
  <conditionalFormatting sqref="Q19 Q23:Q24 Q27 Q31 Q34 Q37 Q50 Q55 Q57 Q65:Q66 Q69:Q75">
    <cfRule type="containsErrors" dxfId="3" priority="1">
      <formula>ISERROR(Q19)</formula>
    </cfRule>
    <cfRule type="cellIs" dxfId="2" priority="2" operator="equal">
      <formula>"ERROR"</formula>
    </cfRule>
  </conditionalFormatting>
  <pageMargins left="0.75" right="0.75" top="0.5" bottom="0.5" header="0.3" footer="0.3"/>
  <pageSetup scale="64" fitToHeight="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61146-077D-40F5-A8E9-AA688B023BB7}">
  <sheetPr>
    <tabColor theme="1"/>
  </sheetPr>
  <dimension ref="B2:AM3"/>
  <sheetViews>
    <sheetView workbookViewId="0">
      <selection activeCell="F31" sqref="F31"/>
    </sheetView>
  </sheetViews>
  <sheetFormatPr defaultRowHeight="15" x14ac:dyDescent="0.25"/>
  <sheetData>
    <row r="2" spans="2:39" x14ac:dyDescent="0.25">
      <c r="B2" s="157" t="s">
        <v>611</v>
      </c>
      <c r="C2" s="157" t="s">
        <v>612</v>
      </c>
      <c r="D2" s="157" t="s">
        <v>613</v>
      </c>
      <c r="E2" s="157" t="s">
        <v>1127</v>
      </c>
      <c r="F2" s="157" t="s">
        <v>1128</v>
      </c>
      <c r="G2" s="157" t="s">
        <v>1129</v>
      </c>
      <c r="H2" s="157" t="s">
        <v>1130</v>
      </c>
      <c r="I2" s="157" t="s">
        <v>1131</v>
      </c>
      <c r="J2" s="157" t="s">
        <v>1132</v>
      </c>
      <c r="K2" s="157" t="s">
        <v>1133</v>
      </c>
      <c r="L2" s="157" t="s">
        <v>1134</v>
      </c>
      <c r="M2" s="157" t="s">
        <v>1135</v>
      </c>
      <c r="N2" s="157" t="s">
        <v>1136</v>
      </c>
      <c r="O2" s="157" t="s">
        <v>1137</v>
      </c>
      <c r="P2" s="157" t="s">
        <v>1138</v>
      </c>
      <c r="Q2" s="157" t="s">
        <v>1139</v>
      </c>
      <c r="R2" s="157" t="s">
        <v>1140</v>
      </c>
      <c r="S2" s="157" t="s">
        <v>1141</v>
      </c>
      <c r="T2" s="157" t="s">
        <v>1142</v>
      </c>
      <c r="U2" s="157" t="s">
        <v>1143</v>
      </c>
      <c r="V2" s="157" t="s">
        <v>1144</v>
      </c>
      <c r="W2" s="157" t="s">
        <v>1145</v>
      </c>
      <c r="X2" s="157" t="s">
        <v>1146</v>
      </c>
      <c r="Y2" s="157" t="s">
        <v>1147</v>
      </c>
      <c r="Z2" s="157" t="s">
        <v>1148</v>
      </c>
      <c r="AA2" s="157" t="s">
        <v>1149</v>
      </c>
      <c r="AB2" s="157" t="s">
        <v>1150</v>
      </c>
      <c r="AC2" s="157" t="s">
        <v>1151</v>
      </c>
      <c r="AD2" s="157" t="s">
        <v>1152</v>
      </c>
      <c r="AE2" s="157" t="s">
        <v>1153</v>
      </c>
      <c r="AF2" s="157" t="s">
        <v>1154</v>
      </c>
      <c r="AG2" s="157" t="s">
        <v>892</v>
      </c>
      <c r="AH2" s="157" t="s">
        <v>1155</v>
      </c>
      <c r="AI2" s="157" t="s">
        <v>1156</v>
      </c>
      <c r="AJ2" s="157" t="s">
        <v>898</v>
      </c>
      <c r="AK2" s="157" t="s">
        <v>1157</v>
      </c>
      <c r="AL2" s="157" t="s">
        <v>1158</v>
      </c>
      <c r="AM2" s="157" t="s">
        <v>1159</v>
      </c>
    </row>
    <row r="3" spans="2:39" x14ac:dyDescent="0.25">
      <c r="B3" s="158"/>
      <c r="C3" s="158"/>
      <c r="D3" s="159"/>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07663-A264-4227-85FE-0D372ED72D5C}">
  <dimension ref="A1:M205"/>
  <sheetViews>
    <sheetView topLeftCell="B11" workbookViewId="0">
      <selection activeCell="K37" sqref="K37"/>
    </sheetView>
  </sheetViews>
  <sheetFormatPr defaultRowHeight="15" x14ac:dyDescent="0.2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ht="20.100000000000001" customHeight="1" thickBot="1" x14ac:dyDescent="0.3"/>
    <row r="10" spans="1:13" ht="50.1" customHeight="1" thickBot="1" x14ac:dyDescent="0.3">
      <c r="A10" s="839" t="s">
        <v>1160</v>
      </c>
      <c r="B10" s="840"/>
      <c r="C10" s="840"/>
      <c r="D10" s="841" t="s">
        <v>1161</v>
      </c>
      <c r="E10" s="842"/>
      <c r="F10" s="839" t="s">
        <v>1162</v>
      </c>
      <c r="G10" s="840"/>
      <c r="H10" s="840"/>
      <c r="I10" s="840"/>
      <c r="J10" s="840"/>
      <c r="K10" s="840"/>
      <c r="L10" s="840"/>
      <c r="M10" s="843"/>
    </row>
    <row r="11" spans="1:13" ht="20.100000000000001" customHeight="1" thickBot="1" x14ac:dyDescent="0.3">
      <c r="A11" s="844" t="s">
        <v>1163</v>
      </c>
      <c r="B11" s="846" t="s">
        <v>1164</v>
      </c>
      <c r="C11" s="848" t="s">
        <v>1165</v>
      </c>
      <c r="D11" s="850" t="s">
        <v>1166</v>
      </c>
      <c r="E11" s="852" t="s">
        <v>1167</v>
      </c>
      <c r="F11" s="854" t="s">
        <v>1168</v>
      </c>
      <c r="G11" s="852" t="s">
        <v>1169</v>
      </c>
      <c r="H11" s="833" t="s">
        <v>1170</v>
      </c>
      <c r="I11" s="834"/>
      <c r="J11" s="835"/>
      <c r="K11" s="836" t="s">
        <v>1171</v>
      </c>
      <c r="L11" s="837"/>
      <c r="M11" s="838"/>
    </row>
    <row r="12" spans="1:13" ht="48" customHeight="1" thickBot="1" x14ac:dyDescent="0.3">
      <c r="A12" s="845"/>
      <c r="B12" s="847"/>
      <c r="C12" s="849"/>
      <c r="D12" s="851"/>
      <c r="E12" s="853"/>
      <c r="F12" s="855"/>
      <c r="G12" s="853"/>
      <c r="H12" s="5" t="s">
        <v>1172</v>
      </c>
      <c r="I12" s="6" t="s">
        <v>1173</v>
      </c>
      <c r="J12" s="7" t="s">
        <v>1174</v>
      </c>
      <c r="K12" s="8" t="s">
        <v>1172</v>
      </c>
      <c r="L12" s="6" t="s">
        <v>1173</v>
      </c>
      <c r="M12" s="7" t="s">
        <v>1174</v>
      </c>
    </row>
    <row r="13" spans="1:13" x14ac:dyDescent="0.25">
      <c r="A13" s="9" t="s">
        <v>1175</v>
      </c>
      <c r="B13" s="10" t="s">
        <v>1176</v>
      </c>
      <c r="C13" s="11" t="s">
        <v>1177</v>
      </c>
      <c r="D13" s="12" t="s">
        <v>1178</v>
      </c>
      <c r="E13" s="13" t="s">
        <v>1179</v>
      </c>
      <c r="F13" s="12" t="s">
        <v>519</v>
      </c>
      <c r="G13" s="14" t="s">
        <v>1180</v>
      </c>
      <c r="H13" s="15">
        <v>100</v>
      </c>
      <c r="I13" s="16">
        <v>140</v>
      </c>
      <c r="J13" s="13">
        <v>200</v>
      </c>
      <c r="K13" s="15">
        <v>0.3</v>
      </c>
      <c r="L13" s="16">
        <v>0.5</v>
      </c>
      <c r="M13" s="13">
        <v>0.8</v>
      </c>
    </row>
    <row r="14" spans="1:13" x14ac:dyDescent="0.25">
      <c r="A14" s="17"/>
      <c r="B14" s="18"/>
      <c r="C14" s="19"/>
      <c r="D14" s="20"/>
      <c r="E14" s="21"/>
      <c r="F14" s="20"/>
      <c r="G14" s="22"/>
      <c r="H14" s="23"/>
      <c r="I14" s="24"/>
      <c r="J14" s="21"/>
      <c r="K14" s="23"/>
      <c r="L14" s="24"/>
      <c r="M14" s="21"/>
    </row>
    <row r="15" spans="1:13" x14ac:dyDescent="0.25">
      <c r="A15" s="25" t="s">
        <v>1181</v>
      </c>
      <c r="B15" s="26" t="s">
        <v>1182</v>
      </c>
      <c r="C15" s="27"/>
      <c r="D15" s="28" t="s">
        <v>1178</v>
      </c>
      <c r="E15" s="29" t="s">
        <v>1183</v>
      </c>
      <c r="F15" s="28" t="s">
        <v>1184</v>
      </c>
      <c r="G15" s="30" t="s">
        <v>1185</v>
      </c>
      <c r="H15" s="31">
        <f>Throughputs!C4/1000</f>
        <v>173.06800000000001</v>
      </c>
      <c r="I15" s="32">
        <f>Throughputs!D4/1000</f>
        <v>408</v>
      </c>
      <c r="J15" s="29">
        <f>I15</f>
        <v>408</v>
      </c>
      <c r="K15" s="31">
        <f>Throughputs!F4/1000</f>
        <v>1.1178082191780823</v>
      </c>
      <c r="L15" s="32">
        <f>Throughputs!G4/1000</f>
        <v>1.1178082191780823</v>
      </c>
      <c r="M15" s="29">
        <f>L15</f>
        <v>1.1178082191780823</v>
      </c>
    </row>
    <row r="16" spans="1:13" x14ac:dyDescent="0.25">
      <c r="A16" s="25" t="s">
        <v>1186</v>
      </c>
      <c r="B16" s="26" t="s">
        <v>1187</v>
      </c>
      <c r="C16" s="27"/>
      <c r="D16" s="28" t="s">
        <v>1178</v>
      </c>
      <c r="E16" s="29" t="s">
        <v>1188</v>
      </c>
      <c r="F16" s="28" t="s">
        <v>1189</v>
      </c>
      <c r="G16" s="30" t="s">
        <v>1190</v>
      </c>
      <c r="H16" s="31">
        <f>Throughputs!$C$5</f>
        <v>110989</v>
      </c>
      <c r="I16" s="32">
        <f>Throughputs!$D$5</f>
        <v>262800</v>
      </c>
      <c r="J16" s="29">
        <f t="shared" ref="J16:J23" si="0">I16</f>
        <v>262800</v>
      </c>
      <c r="K16" s="111">
        <f>Throughputs!$F$5</f>
        <v>800</v>
      </c>
      <c r="L16" s="32">
        <f>Throughputs!$G$5</f>
        <v>800</v>
      </c>
      <c r="M16" s="29">
        <f t="shared" ref="M16:M23" si="1">L16</f>
        <v>800</v>
      </c>
    </row>
    <row r="17" spans="1:13" x14ac:dyDescent="0.25">
      <c r="A17" s="25" t="s">
        <v>1191</v>
      </c>
      <c r="B17" s="26" t="s">
        <v>1192</v>
      </c>
      <c r="C17" s="27"/>
      <c r="D17" s="28" t="s">
        <v>1178</v>
      </c>
      <c r="E17" s="29" t="s">
        <v>1193</v>
      </c>
      <c r="F17" s="28" t="s">
        <v>1189</v>
      </c>
      <c r="G17" s="30" t="s">
        <v>1190</v>
      </c>
      <c r="H17" s="31">
        <f>Throughputs!$C$6</f>
        <v>110989</v>
      </c>
      <c r="I17" s="32">
        <f>Throughputs!$D$6</f>
        <v>262800</v>
      </c>
      <c r="J17" s="29">
        <f>I17</f>
        <v>262800</v>
      </c>
      <c r="K17" s="111">
        <f>Throughputs!$F$6</f>
        <v>800</v>
      </c>
      <c r="L17" s="32">
        <f>Throughputs!$G$6</f>
        <v>800</v>
      </c>
      <c r="M17" s="29">
        <f>L17</f>
        <v>800</v>
      </c>
    </row>
    <row r="18" spans="1:13" x14ac:dyDescent="0.25">
      <c r="A18" s="112" t="s">
        <v>1194</v>
      </c>
      <c r="B18" s="113" t="s">
        <v>1195</v>
      </c>
      <c r="C18" s="113"/>
      <c r="D18" s="112" t="s">
        <v>1196</v>
      </c>
      <c r="E18" s="112" t="s">
        <v>1197</v>
      </c>
      <c r="F18" s="112" t="s">
        <v>1189</v>
      </c>
      <c r="G18" s="113" t="s">
        <v>1190</v>
      </c>
      <c r="H18" s="112">
        <f>Throughputs!$C$6</f>
        <v>110989</v>
      </c>
      <c r="I18" s="112">
        <f>Throughputs!$D$6</f>
        <v>262800</v>
      </c>
      <c r="J18" s="112">
        <f>I18</f>
        <v>262800</v>
      </c>
      <c r="K18" s="112">
        <f>Throughputs!$F$6</f>
        <v>800</v>
      </c>
      <c r="L18" s="112">
        <f>Throughputs!$G$6</f>
        <v>800</v>
      </c>
      <c r="M18" s="112">
        <f>L18</f>
        <v>800</v>
      </c>
    </row>
    <row r="19" spans="1:13" x14ac:dyDescent="0.25">
      <c r="A19" s="25" t="s">
        <v>1198</v>
      </c>
      <c r="B19" s="26" t="s">
        <v>1199</v>
      </c>
      <c r="C19" s="27"/>
      <c r="D19" s="28" t="s">
        <v>1178</v>
      </c>
      <c r="E19" s="29" t="s">
        <v>1200</v>
      </c>
      <c r="F19" s="28" t="s">
        <v>1189</v>
      </c>
      <c r="G19" s="30" t="s">
        <v>1190</v>
      </c>
      <c r="H19" s="31">
        <f>Throughputs!$C$7</f>
        <v>110989</v>
      </c>
      <c r="I19" s="32">
        <f>Throughputs!$D$7</f>
        <v>262800</v>
      </c>
      <c r="J19" s="29">
        <f t="shared" si="0"/>
        <v>262800</v>
      </c>
      <c r="K19" s="111">
        <f>Throughputs!$F$7</f>
        <v>800</v>
      </c>
      <c r="L19" s="32">
        <f>Throughputs!$G$7</f>
        <v>800</v>
      </c>
      <c r="M19" s="29">
        <f t="shared" si="1"/>
        <v>800</v>
      </c>
    </row>
    <row r="20" spans="1:13" x14ac:dyDescent="0.25">
      <c r="A20" s="25" t="s">
        <v>1201</v>
      </c>
      <c r="B20" s="26" t="s">
        <v>1202</v>
      </c>
      <c r="C20" s="27"/>
      <c r="D20" s="28" t="s">
        <v>1196</v>
      </c>
      <c r="E20" s="29" t="s">
        <v>1203</v>
      </c>
      <c r="F20" s="28" t="s">
        <v>1189</v>
      </c>
      <c r="G20" s="30" t="s">
        <v>1190</v>
      </c>
      <c r="H20" s="31">
        <f>Throughputs!$C$7</f>
        <v>110989</v>
      </c>
      <c r="I20" s="32">
        <f>Throughputs!$D$7</f>
        <v>262800</v>
      </c>
      <c r="J20" s="29">
        <f t="shared" ref="J20" si="2">I20</f>
        <v>262800</v>
      </c>
      <c r="K20" s="31">
        <f>Throughputs!$F$7</f>
        <v>800</v>
      </c>
      <c r="L20" s="32">
        <f>Throughputs!$G$7</f>
        <v>800</v>
      </c>
      <c r="M20" s="29">
        <f t="shared" ref="M20" si="3">L20</f>
        <v>800</v>
      </c>
    </row>
    <row r="21" spans="1:13" x14ac:dyDescent="0.25">
      <c r="A21" s="25" t="s">
        <v>1204</v>
      </c>
      <c r="B21" s="26" t="s">
        <v>1205</v>
      </c>
      <c r="C21" s="27"/>
      <c r="D21" s="28" t="s">
        <v>1196</v>
      </c>
      <c r="E21" s="29" t="s">
        <v>1206</v>
      </c>
      <c r="F21" s="28" t="s">
        <v>1189</v>
      </c>
      <c r="G21" s="30" t="s">
        <v>1190</v>
      </c>
      <c r="H21" s="31">
        <f>Stockpiles!$C$32</f>
        <v>152104.04300000001</v>
      </c>
      <c r="I21" s="32">
        <f>Stockpiles!$C$32</f>
        <v>152104.04300000001</v>
      </c>
      <c r="J21" s="29">
        <f t="shared" si="0"/>
        <v>152104.04300000001</v>
      </c>
      <c r="K21" s="31">
        <f>Stockpiles!$C$34</f>
        <v>2249.8580000000002</v>
      </c>
      <c r="L21" s="32">
        <f>Stockpiles!$C$34</f>
        <v>2249.8580000000002</v>
      </c>
      <c r="M21" s="29">
        <f t="shared" si="1"/>
        <v>2249.8580000000002</v>
      </c>
    </row>
    <row r="22" spans="1:13" x14ac:dyDescent="0.25">
      <c r="A22" s="25" t="s">
        <v>1207</v>
      </c>
      <c r="B22" s="26" t="s">
        <v>1208</v>
      </c>
      <c r="C22" s="27"/>
      <c r="D22" s="28" t="s">
        <v>1196</v>
      </c>
      <c r="E22" s="29" t="s">
        <v>1209</v>
      </c>
      <c r="F22" s="28" t="s">
        <v>1210</v>
      </c>
      <c r="G22" s="30" t="s">
        <v>1211</v>
      </c>
      <c r="H22" s="31">
        <f>Stockpiles!$C$54</f>
        <v>1.1044397409021969</v>
      </c>
      <c r="I22" s="32">
        <f>Stockpiles!$C$54</f>
        <v>1.1044397409021969</v>
      </c>
      <c r="J22" s="29">
        <f t="shared" ref="J22" si="4">I22</f>
        <v>1.1044397409021969</v>
      </c>
      <c r="K22" s="31">
        <f>Stockpiles!$C$56</f>
        <v>1.1044397409021969</v>
      </c>
      <c r="L22" s="32">
        <f>Stockpiles!$C$56</f>
        <v>1.1044397409021969</v>
      </c>
      <c r="M22" s="29">
        <f t="shared" ref="M22" si="5">L22</f>
        <v>1.1044397409021969</v>
      </c>
    </row>
    <row r="23" spans="1:13" x14ac:dyDescent="0.25">
      <c r="A23" s="25" t="s">
        <v>1212</v>
      </c>
      <c r="B23" s="26" t="s">
        <v>1213</v>
      </c>
      <c r="C23" s="27"/>
      <c r="D23" s="28" t="s">
        <v>1196</v>
      </c>
      <c r="E23" s="29" t="s">
        <v>1214</v>
      </c>
      <c r="F23" s="28" t="s">
        <v>1189</v>
      </c>
      <c r="G23" s="30" t="s">
        <v>1190</v>
      </c>
      <c r="H23" s="31">
        <f>Stockpiles!$C$33</f>
        <v>17584.671000000002</v>
      </c>
      <c r="I23" s="32">
        <f>Stockpiles!$C$33</f>
        <v>17584.671000000002</v>
      </c>
      <c r="J23" s="29">
        <f t="shared" si="0"/>
        <v>17584.671000000002</v>
      </c>
      <c r="K23" s="31">
        <f>Stockpiles!$C$35</f>
        <v>1382.4460000000001</v>
      </c>
      <c r="L23" s="32">
        <f>Stockpiles!$C$35</f>
        <v>1382.4460000000001</v>
      </c>
      <c r="M23" s="29">
        <f t="shared" si="1"/>
        <v>1382.4460000000001</v>
      </c>
    </row>
    <row r="24" spans="1:13" x14ac:dyDescent="0.25">
      <c r="A24" s="25" t="s">
        <v>1215</v>
      </c>
      <c r="B24" s="26" t="s">
        <v>1216</v>
      </c>
      <c r="C24" s="27"/>
      <c r="D24" s="28" t="s">
        <v>1196</v>
      </c>
      <c r="E24" s="29" t="s">
        <v>1217</v>
      </c>
      <c r="F24" s="28" t="s">
        <v>1210</v>
      </c>
      <c r="G24" s="30" t="s">
        <v>1218</v>
      </c>
      <c r="H24" s="31">
        <f>Stockpiles!$C$55</f>
        <v>1.999271406413847</v>
      </c>
      <c r="I24" s="32">
        <f>Stockpiles!$C$55</f>
        <v>1.999271406413847</v>
      </c>
      <c r="J24" s="29">
        <f t="shared" ref="J24" si="6">I24</f>
        <v>1.999271406413847</v>
      </c>
      <c r="K24" s="31">
        <f>Stockpiles!$C$57</f>
        <v>1.999271406413847</v>
      </c>
      <c r="L24" s="32">
        <f>Stockpiles!$C$57</f>
        <v>1.999271406413847</v>
      </c>
      <c r="M24" s="29">
        <f t="shared" ref="M24" si="7">L24</f>
        <v>1.999271406413847</v>
      </c>
    </row>
    <row r="25" spans="1:13" x14ac:dyDescent="0.25">
      <c r="A25" s="25" t="s">
        <v>1219</v>
      </c>
      <c r="B25" s="26" t="s">
        <v>1220</v>
      </c>
      <c r="C25" s="27"/>
      <c r="D25" s="28" t="s">
        <v>1196</v>
      </c>
      <c r="E25" s="29" t="s">
        <v>1221</v>
      </c>
      <c r="F25" s="28" t="s">
        <v>1222</v>
      </c>
      <c r="G25" s="30" t="s">
        <v>1223</v>
      </c>
      <c r="H25" s="31">
        <f>165/1000</f>
        <v>0.16500000000000001</v>
      </c>
      <c r="I25" s="32">
        <f>H25</f>
        <v>0.16500000000000001</v>
      </c>
      <c r="J25" s="29">
        <f>I25</f>
        <v>0.16500000000000001</v>
      </c>
      <c r="K25" s="31">
        <f t="shared" ref="K25:K28" si="8">H25/365</f>
        <v>4.5205479452054795E-4</v>
      </c>
      <c r="L25" s="32">
        <f>K25</f>
        <v>4.5205479452054795E-4</v>
      </c>
      <c r="M25" s="29">
        <f>L25</f>
        <v>4.5205479452054795E-4</v>
      </c>
    </row>
    <row r="26" spans="1:13" x14ac:dyDescent="0.25">
      <c r="A26" s="25" t="s">
        <v>1224</v>
      </c>
      <c r="B26" s="26" t="s">
        <v>1225</v>
      </c>
      <c r="C26" s="27"/>
      <c r="D26" s="28" t="s">
        <v>1196</v>
      </c>
      <c r="E26" s="29" t="s">
        <v>1221</v>
      </c>
      <c r="F26" s="28" t="s">
        <v>1222</v>
      </c>
      <c r="G26" s="30" t="s">
        <v>1223</v>
      </c>
      <c r="H26" s="31">
        <v>0.1</v>
      </c>
      <c r="I26" s="32">
        <v>0.1</v>
      </c>
      <c r="J26" s="29">
        <f>I26</f>
        <v>0.1</v>
      </c>
      <c r="K26" s="31">
        <f>H26/365</f>
        <v>2.7397260273972606E-4</v>
      </c>
      <c r="L26" s="32">
        <f t="shared" ref="L26:M26" si="9">I26/365</f>
        <v>2.7397260273972606E-4</v>
      </c>
      <c r="M26" s="29">
        <f t="shared" si="9"/>
        <v>2.7397260273972606E-4</v>
      </c>
    </row>
    <row r="27" spans="1:13" x14ac:dyDescent="0.25">
      <c r="A27" s="25" t="s">
        <v>1226</v>
      </c>
      <c r="B27" s="26" t="s">
        <v>1227</v>
      </c>
      <c r="C27" s="27"/>
      <c r="D27" s="28" t="s">
        <v>1196</v>
      </c>
      <c r="E27" s="29" t="s">
        <v>1221</v>
      </c>
      <c r="F27" s="28" t="s">
        <v>1222</v>
      </c>
      <c r="G27" s="30" t="s">
        <v>1223</v>
      </c>
      <c r="H27" s="31">
        <v>5.0000000000000001E-3</v>
      </c>
      <c r="I27" s="32">
        <v>5.0000000000000001E-3</v>
      </c>
      <c r="J27" s="29">
        <f>I27</f>
        <v>5.0000000000000001E-3</v>
      </c>
      <c r="K27" s="31">
        <f>H27/365</f>
        <v>1.3698630136986302E-5</v>
      </c>
      <c r="L27" s="32">
        <f t="shared" ref="L27:M27" si="10">I27/365</f>
        <v>1.3698630136986302E-5</v>
      </c>
      <c r="M27" s="29">
        <f t="shared" si="10"/>
        <v>1.3698630136986302E-5</v>
      </c>
    </row>
    <row r="28" spans="1:13" x14ac:dyDescent="0.25">
      <c r="A28" s="25" t="s">
        <v>1228</v>
      </c>
      <c r="B28" s="26" t="s">
        <v>1229</v>
      </c>
      <c r="C28" s="27"/>
      <c r="D28" s="28" t="s">
        <v>1196</v>
      </c>
      <c r="E28" s="29" t="s">
        <v>1221</v>
      </c>
      <c r="F28" s="28" t="s">
        <v>1222</v>
      </c>
      <c r="G28" s="30" t="s">
        <v>1223</v>
      </c>
      <c r="H28" s="31">
        <v>0.2</v>
      </c>
      <c r="I28" s="32">
        <f>H28</f>
        <v>0.2</v>
      </c>
      <c r="J28" s="29">
        <f>I28</f>
        <v>0.2</v>
      </c>
      <c r="K28" s="31">
        <f t="shared" si="8"/>
        <v>5.4794520547945212E-4</v>
      </c>
      <c r="L28" s="32">
        <f>K28</f>
        <v>5.4794520547945212E-4</v>
      </c>
      <c r="M28" s="29">
        <f>L28</f>
        <v>5.4794520547945212E-4</v>
      </c>
    </row>
    <row r="29" spans="1:13" x14ac:dyDescent="0.25">
      <c r="A29" s="25" t="s">
        <v>1230</v>
      </c>
      <c r="B29" s="26" t="s">
        <v>1231</v>
      </c>
      <c r="C29" s="27"/>
      <c r="D29" s="28" t="s">
        <v>1196</v>
      </c>
      <c r="E29" s="29" t="s">
        <v>1232</v>
      </c>
      <c r="F29" s="28" t="s">
        <v>1189</v>
      </c>
      <c r="G29" s="30" t="s">
        <v>1211</v>
      </c>
      <c r="H29" s="31">
        <f>Throughputs!C8*6</f>
        <v>665934</v>
      </c>
      <c r="I29" s="32">
        <f>Throughputs!D8*6</f>
        <v>1576800</v>
      </c>
      <c r="J29" s="29">
        <f>I29</f>
        <v>1576800</v>
      </c>
      <c r="K29" s="111">
        <f>Throughputs!F8*6</f>
        <v>4800</v>
      </c>
      <c r="L29" s="32">
        <f>Throughputs!G8*6</f>
        <v>4800</v>
      </c>
      <c r="M29" s="29">
        <f>L29</f>
        <v>4800</v>
      </c>
    </row>
    <row r="30" spans="1:13" x14ac:dyDescent="0.25">
      <c r="A30" s="25"/>
      <c r="B30" s="113"/>
      <c r="C30" s="27"/>
      <c r="D30" s="28"/>
      <c r="E30" s="29"/>
      <c r="F30" s="28"/>
      <c r="G30" s="30"/>
      <c r="H30" s="31"/>
      <c r="I30" s="32"/>
      <c r="J30" s="29"/>
      <c r="K30" s="31"/>
      <c r="L30" s="32"/>
      <c r="M30" s="29"/>
    </row>
    <row r="31" spans="1:13" x14ac:dyDescent="0.25">
      <c r="A31" s="25"/>
      <c r="B31" s="113"/>
      <c r="C31" s="27"/>
      <c r="D31" s="28"/>
      <c r="E31" s="29"/>
      <c r="F31" s="28"/>
      <c r="G31" s="30"/>
      <c r="H31" s="31"/>
      <c r="I31" s="32"/>
      <c r="J31" s="29"/>
      <c r="K31" s="31"/>
      <c r="L31" s="32"/>
      <c r="M31" s="29"/>
    </row>
    <row r="32" spans="1:13" x14ac:dyDescent="0.25">
      <c r="A32" s="25"/>
      <c r="B32" s="26"/>
      <c r="C32" s="27"/>
      <c r="D32" s="28"/>
      <c r="E32" s="29"/>
      <c r="F32" s="28"/>
      <c r="G32" s="30"/>
      <c r="H32" s="31"/>
      <c r="I32" s="32"/>
      <c r="J32" s="29"/>
      <c r="K32" s="31"/>
      <c r="L32" s="32"/>
      <c r="M32" s="29"/>
    </row>
    <row r="33" spans="1:13" x14ac:dyDescent="0.25">
      <c r="A33" s="25"/>
      <c r="B33" s="26"/>
      <c r="C33" s="27"/>
      <c r="D33" s="28"/>
      <c r="E33" s="29"/>
      <c r="F33" s="28"/>
      <c r="G33" s="30"/>
      <c r="H33" s="31"/>
      <c r="I33" s="32"/>
      <c r="J33" s="29"/>
      <c r="K33" s="31"/>
      <c r="L33" s="32"/>
      <c r="M33" s="29"/>
    </row>
    <row r="34" spans="1:13" x14ac:dyDescent="0.25">
      <c r="A34" s="25"/>
      <c r="B34" s="26"/>
      <c r="C34" s="27"/>
      <c r="D34" s="28"/>
      <c r="E34" s="29"/>
      <c r="F34" s="28"/>
      <c r="G34" s="30"/>
      <c r="H34" s="31"/>
      <c r="I34" s="32"/>
      <c r="J34" s="29"/>
      <c r="K34" s="31"/>
      <c r="L34" s="32"/>
      <c r="M34" s="29"/>
    </row>
    <row r="35" spans="1:13" x14ac:dyDescent="0.25">
      <c r="A35" s="25" t="s">
        <v>1233</v>
      </c>
      <c r="B35" s="26" t="s">
        <v>1234</v>
      </c>
      <c r="C35" s="27"/>
      <c r="D35" s="28" t="s">
        <v>1196</v>
      </c>
      <c r="E35" s="29" t="s">
        <v>1235</v>
      </c>
      <c r="F35" s="28" t="s">
        <v>1189</v>
      </c>
      <c r="G35" s="30" t="s">
        <v>1236</v>
      </c>
      <c r="H35" s="31">
        <f>Throughputs!C9</f>
        <v>110989</v>
      </c>
      <c r="I35" s="32">
        <f>Throughputs!D9</f>
        <v>262800</v>
      </c>
      <c r="J35" s="29">
        <f>I35</f>
        <v>262800</v>
      </c>
      <c r="K35" s="111">
        <f>Throughputs!F9</f>
        <v>800</v>
      </c>
      <c r="L35" s="32">
        <f>Throughputs!G9</f>
        <v>800</v>
      </c>
      <c r="M35" s="29">
        <f>L35</f>
        <v>800</v>
      </c>
    </row>
    <row r="36" spans="1:13" x14ac:dyDescent="0.25">
      <c r="A36" s="25" t="s">
        <v>1237</v>
      </c>
      <c r="B36" s="26" t="s">
        <v>1238</v>
      </c>
      <c r="C36" s="27"/>
      <c r="D36" s="28" t="s">
        <v>1196</v>
      </c>
      <c r="E36" s="29" t="s">
        <v>1239</v>
      </c>
      <c r="F36" s="28" t="s">
        <v>1240</v>
      </c>
      <c r="G36" s="30" t="s">
        <v>1241</v>
      </c>
      <c r="H36" s="238">
        <f>'Unpaved Roads'!$D$39*5673</f>
        <v>1611.6477272727275</v>
      </c>
      <c r="I36" s="32">
        <f>'Unpaved Roads'!$F$39</f>
        <v>2986.3636363636365</v>
      </c>
      <c r="J36" s="29">
        <f>I36</f>
        <v>2986.3636363636365</v>
      </c>
      <c r="K36" s="223">
        <f>'Unpaved Roads'!$E$39</f>
        <v>11.647727272727273</v>
      </c>
      <c r="L36" s="32">
        <f>'Unpaved Roads'!$E$39</f>
        <v>11.647727272727273</v>
      </c>
      <c r="M36" s="29">
        <f>L36</f>
        <v>11.647727272727273</v>
      </c>
    </row>
    <row r="37" spans="1:13" x14ac:dyDescent="0.25">
      <c r="A37" s="25" t="s">
        <v>1242</v>
      </c>
      <c r="B37" s="26" t="s">
        <v>1243</v>
      </c>
      <c r="C37" s="27"/>
      <c r="D37" s="28" t="s">
        <v>1196</v>
      </c>
      <c r="E37" s="29" t="s">
        <v>1244</v>
      </c>
      <c r="F37" s="28" t="s">
        <v>1245</v>
      </c>
      <c r="G37" s="30" t="s">
        <v>1246</v>
      </c>
      <c r="H37" s="238">
        <f>'Storage Tanks'!$C$4</f>
        <v>204000</v>
      </c>
      <c r="I37" s="32">
        <f>'Storage Tanks'!$C$4</f>
        <v>204000</v>
      </c>
      <c r="J37" s="29">
        <f>I37</f>
        <v>204000</v>
      </c>
      <c r="K37" s="238">
        <f>'Storage Tanks'!$C$5</f>
        <v>12161.466355441462</v>
      </c>
      <c r="L37" s="32">
        <f>'Storage Tanks'!$C$5</f>
        <v>12161.466355441462</v>
      </c>
      <c r="M37" s="29">
        <f>L37</f>
        <v>12161.466355441462</v>
      </c>
    </row>
    <row r="38" spans="1:13" x14ac:dyDescent="0.25">
      <c r="A38" s="25" t="s">
        <v>1247</v>
      </c>
      <c r="B38" s="26" t="s">
        <v>1248</v>
      </c>
      <c r="C38" s="27"/>
      <c r="D38" s="28" t="s">
        <v>1196</v>
      </c>
      <c r="E38" s="29" t="s">
        <v>1249</v>
      </c>
      <c r="F38" s="28" t="s">
        <v>1245</v>
      </c>
      <c r="G38" s="30" t="s">
        <v>1246</v>
      </c>
      <c r="H38" s="31">
        <f>'Storage Tanks'!$C$4</f>
        <v>204000</v>
      </c>
      <c r="I38" s="32">
        <f>'Storage Tanks'!$C$4</f>
        <v>204000</v>
      </c>
      <c r="J38" s="29">
        <f>I38</f>
        <v>204000</v>
      </c>
      <c r="K38" s="31">
        <f>'Storage Tanks'!$C$5</f>
        <v>12161.466355441462</v>
      </c>
      <c r="L38" s="32">
        <f>'Storage Tanks'!$C$5</f>
        <v>12161.466355441462</v>
      </c>
      <c r="M38" s="29">
        <f>L38</f>
        <v>12161.466355441462</v>
      </c>
    </row>
    <row r="39" spans="1:13" x14ac:dyDescent="0.25">
      <c r="A39" s="112"/>
      <c r="B39" s="113"/>
      <c r="C39" s="113"/>
      <c r="D39" s="112"/>
      <c r="E39" s="112"/>
      <c r="F39" s="112"/>
      <c r="G39" s="113"/>
      <c r="H39" s="112"/>
      <c r="I39" s="112"/>
      <c r="J39" s="112"/>
      <c r="K39" s="112"/>
      <c r="L39" s="112"/>
      <c r="M39" s="112"/>
    </row>
    <row r="40" spans="1:13" x14ac:dyDescent="0.25">
      <c r="A40" s="112"/>
      <c r="B40" s="113"/>
      <c r="C40" s="113"/>
      <c r="D40" s="112"/>
      <c r="E40" s="112"/>
      <c r="F40" s="112"/>
      <c r="G40" s="113"/>
      <c r="H40" s="112"/>
      <c r="I40" s="112"/>
      <c r="J40" s="112"/>
      <c r="K40" s="112"/>
      <c r="L40" s="112"/>
      <c r="M40" s="112"/>
    </row>
    <row r="41" spans="1:13" x14ac:dyDescent="0.25">
      <c r="A41" s="112"/>
      <c r="B41" s="113"/>
      <c r="C41" s="113"/>
      <c r="D41" s="112"/>
      <c r="E41" s="112"/>
      <c r="F41" s="112"/>
      <c r="G41" s="113"/>
      <c r="H41" s="112"/>
      <c r="I41" s="112"/>
      <c r="J41" s="112"/>
      <c r="K41" s="112"/>
      <c r="L41" s="112"/>
      <c r="M41" s="112"/>
    </row>
    <row r="42" spans="1:13" x14ac:dyDescent="0.25">
      <c r="A42" s="112"/>
      <c r="B42" s="113"/>
      <c r="C42" s="113"/>
      <c r="D42" s="112"/>
      <c r="E42" s="112"/>
      <c r="F42" s="112"/>
      <c r="G42" s="113"/>
      <c r="H42" s="112"/>
      <c r="I42" s="112"/>
      <c r="J42" s="112"/>
      <c r="K42" s="112"/>
      <c r="L42" s="112"/>
      <c r="M42" s="112"/>
    </row>
    <row r="43" spans="1:13" x14ac:dyDescent="0.25">
      <c r="A43" s="112"/>
      <c r="B43" s="113"/>
      <c r="C43" s="113"/>
      <c r="D43" s="112"/>
      <c r="E43" s="112"/>
      <c r="F43" s="112"/>
      <c r="G43" s="113"/>
      <c r="H43" s="112"/>
      <c r="I43" s="112"/>
      <c r="J43" s="112"/>
      <c r="K43" s="112"/>
      <c r="L43" s="112"/>
      <c r="M43" s="112"/>
    </row>
    <row r="44" spans="1:13" x14ac:dyDescent="0.25">
      <c r="A44" s="112"/>
      <c r="B44" s="113"/>
      <c r="C44" s="113"/>
      <c r="D44" s="112"/>
      <c r="E44" s="112"/>
      <c r="F44" s="112"/>
      <c r="G44" s="113"/>
      <c r="H44" s="112"/>
      <c r="I44" s="112"/>
      <c r="J44" s="112"/>
      <c r="K44" s="112"/>
      <c r="L44" s="112"/>
      <c r="M44" s="112"/>
    </row>
    <row r="45" spans="1:13" x14ac:dyDescent="0.25">
      <c r="A45" s="25"/>
      <c r="B45" s="26"/>
      <c r="C45" s="27"/>
      <c r="D45" s="28"/>
      <c r="E45" s="29"/>
      <c r="F45" s="28"/>
      <c r="G45" s="30"/>
      <c r="H45" s="31"/>
      <c r="I45" s="32"/>
      <c r="J45" s="29"/>
      <c r="K45" s="31"/>
      <c r="L45" s="32"/>
      <c r="M45" s="29"/>
    </row>
    <row r="46" spans="1:13" x14ac:dyDescent="0.25">
      <c r="A46" s="25"/>
      <c r="B46" s="26"/>
      <c r="C46" s="27"/>
      <c r="D46" s="28"/>
      <c r="E46" s="29"/>
      <c r="F46" s="28"/>
      <c r="G46" s="30"/>
      <c r="H46" s="31"/>
      <c r="I46" s="32"/>
      <c r="J46" s="29"/>
      <c r="K46" s="31"/>
      <c r="L46" s="32"/>
      <c r="M46" s="29"/>
    </row>
    <row r="47" spans="1:13" x14ac:dyDescent="0.25">
      <c r="A47" s="25"/>
      <c r="B47" s="26"/>
      <c r="C47" s="27"/>
      <c r="D47" s="28"/>
      <c r="E47" s="29"/>
      <c r="F47" s="28"/>
      <c r="G47" s="30"/>
      <c r="H47" s="31"/>
      <c r="I47" s="32"/>
      <c r="J47" s="29"/>
      <c r="K47" s="31"/>
      <c r="L47" s="32"/>
      <c r="M47" s="29"/>
    </row>
    <row r="48" spans="1:13" x14ac:dyDescent="0.25">
      <c r="A48" s="25"/>
      <c r="B48" s="26"/>
      <c r="C48" s="27"/>
      <c r="D48" s="28"/>
      <c r="E48" s="29"/>
      <c r="F48" s="28"/>
      <c r="G48" s="30"/>
      <c r="H48" s="31"/>
      <c r="I48" s="32"/>
      <c r="J48" s="29"/>
      <c r="K48" s="31"/>
      <c r="L48" s="32"/>
      <c r="M48" s="29"/>
    </row>
    <row r="49" spans="1:13" x14ac:dyDescent="0.25">
      <c r="A49" s="25"/>
      <c r="B49" s="26"/>
      <c r="C49" s="27"/>
      <c r="D49" s="28"/>
      <c r="E49" s="29"/>
      <c r="F49" s="28"/>
      <c r="G49" s="30"/>
      <c r="H49" s="31"/>
      <c r="I49" s="32"/>
      <c r="J49" s="29"/>
      <c r="K49" s="31"/>
      <c r="L49" s="32"/>
      <c r="M49" s="29"/>
    </row>
    <row r="50" spans="1:13" x14ac:dyDescent="0.25">
      <c r="A50" s="25"/>
      <c r="B50" s="26"/>
      <c r="C50" s="27"/>
      <c r="D50" s="28"/>
      <c r="E50" s="29"/>
      <c r="F50" s="28"/>
      <c r="G50" s="30"/>
      <c r="H50" s="31"/>
      <c r="I50" s="32"/>
      <c r="J50" s="29"/>
      <c r="K50" s="31"/>
      <c r="L50" s="32"/>
      <c r="M50" s="29"/>
    </row>
    <row r="51" spans="1:13" x14ac:dyDescent="0.25">
      <c r="A51" s="25"/>
      <c r="B51" s="26"/>
      <c r="C51" s="27"/>
      <c r="D51" s="28"/>
      <c r="E51" s="29"/>
      <c r="F51" s="28"/>
      <c r="G51" s="30"/>
      <c r="H51" s="31"/>
      <c r="I51" s="32"/>
      <c r="J51" s="29"/>
      <c r="K51" s="31"/>
      <c r="L51" s="32"/>
      <c r="M51" s="29"/>
    </row>
    <row r="52" spans="1:13" x14ac:dyDescent="0.25">
      <c r="A52" s="25"/>
      <c r="B52" s="26"/>
      <c r="C52" s="27"/>
      <c r="D52" s="28"/>
      <c r="E52" s="29"/>
      <c r="F52" s="28"/>
      <c r="G52" s="30"/>
      <c r="H52" s="31"/>
      <c r="I52" s="32"/>
      <c r="J52" s="29"/>
      <c r="K52" s="31"/>
      <c r="L52" s="32"/>
      <c r="M52" s="29"/>
    </row>
    <row r="53" spans="1:13" x14ac:dyDescent="0.25">
      <c r="A53" s="25"/>
      <c r="B53" s="26"/>
      <c r="C53" s="27"/>
      <c r="D53" s="28"/>
      <c r="E53" s="29"/>
      <c r="F53" s="28"/>
      <c r="G53" s="30"/>
      <c r="H53" s="31"/>
      <c r="I53" s="32"/>
      <c r="J53" s="29"/>
      <c r="K53" s="31"/>
      <c r="L53" s="32"/>
      <c r="M53" s="29"/>
    </row>
    <row r="54" spans="1:13" x14ac:dyDescent="0.25">
      <c r="A54" s="25"/>
      <c r="B54" s="26"/>
      <c r="C54" s="27"/>
      <c r="D54" s="28"/>
      <c r="E54" s="29"/>
      <c r="F54" s="28"/>
      <c r="G54" s="30"/>
      <c r="H54" s="31"/>
      <c r="I54" s="32"/>
      <c r="J54" s="29"/>
      <c r="K54" s="31"/>
      <c r="L54" s="32"/>
      <c r="M54" s="29"/>
    </row>
    <row r="55" spans="1:13" x14ac:dyDescent="0.25">
      <c r="A55" s="25"/>
      <c r="B55" s="26"/>
      <c r="C55" s="27"/>
      <c r="D55" s="28"/>
      <c r="E55" s="29"/>
      <c r="F55" s="28"/>
      <c r="G55" s="30"/>
      <c r="H55" s="31"/>
      <c r="I55" s="32"/>
      <c r="J55" s="29"/>
      <c r="K55" s="31"/>
      <c r="L55" s="32"/>
      <c r="M55" s="29"/>
    </row>
    <row r="56" spans="1:13" x14ac:dyDescent="0.25">
      <c r="A56" s="25"/>
      <c r="B56" s="26"/>
      <c r="C56" s="27"/>
      <c r="D56" s="28"/>
      <c r="E56" s="29"/>
      <c r="F56" s="28"/>
      <c r="G56" s="30"/>
      <c r="H56" s="31"/>
      <c r="I56" s="32"/>
      <c r="J56" s="29"/>
      <c r="K56" s="31"/>
      <c r="L56" s="32"/>
      <c r="M56" s="29"/>
    </row>
    <row r="57" spans="1:13" x14ac:dyDescent="0.25">
      <c r="A57" s="25"/>
      <c r="B57" s="26"/>
      <c r="C57" s="27"/>
      <c r="D57" s="28"/>
      <c r="E57" s="29"/>
      <c r="F57" s="28"/>
      <c r="G57" s="30"/>
      <c r="H57" s="31"/>
      <c r="I57" s="32"/>
      <c r="J57" s="29"/>
      <c r="K57" s="31"/>
      <c r="L57" s="32"/>
      <c r="M57" s="29"/>
    </row>
    <row r="58" spans="1:13" x14ac:dyDescent="0.25">
      <c r="A58" s="25"/>
      <c r="B58" s="26"/>
      <c r="C58" s="27"/>
      <c r="D58" s="28"/>
      <c r="E58" s="29"/>
      <c r="F58" s="28"/>
      <c r="G58" s="30"/>
      <c r="H58" s="31"/>
      <c r="I58" s="32"/>
      <c r="J58" s="29"/>
      <c r="K58" s="31"/>
      <c r="L58" s="32"/>
      <c r="M58" s="29"/>
    </row>
    <row r="59" spans="1:13" x14ac:dyDescent="0.25">
      <c r="A59" s="25"/>
      <c r="B59" s="26"/>
      <c r="C59" s="27"/>
      <c r="D59" s="28"/>
      <c r="E59" s="29"/>
      <c r="F59" s="28"/>
      <c r="G59" s="30"/>
      <c r="H59" s="31"/>
      <c r="I59" s="32"/>
      <c r="J59" s="29"/>
      <c r="K59" s="31"/>
      <c r="L59" s="32"/>
      <c r="M59" s="29"/>
    </row>
    <row r="60" spans="1:13" x14ac:dyDescent="0.25">
      <c r="A60" s="25"/>
      <c r="B60" s="26"/>
      <c r="C60" s="27"/>
      <c r="D60" s="28"/>
      <c r="E60" s="29"/>
      <c r="F60" s="28"/>
      <c r="G60" s="30"/>
      <c r="H60" s="31"/>
      <c r="I60" s="32"/>
      <c r="J60" s="29"/>
      <c r="K60" s="31"/>
      <c r="L60" s="32"/>
      <c r="M60" s="29"/>
    </row>
    <row r="61" spans="1:13" x14ac:dyDescent="0.25">
      <c r="A61" s="25"/>
      <c r="B61" s="26"/>
      <c r="C61" s="27"/>
      <c r="D61" s="28"/>
      <c r="E61" s="29"/>
      <c r="F61" s="28"/>
      <c r="G61" s="30"/>
      <c r="H61" s="31"/>
      <c r="I61" s="32"/>
      <c r="J61" s="29"/>
      <c r="K61" s="31"/>
      <c r="L61" s="32"/>
      <c r="M61" s="29"/>
    </row>
    <row r="62" spans="1:13" x14ac:dyDescent="0.25">
      <c r="A62" s="25"/>
      <c r="B62" s="26"/>
      <c r="C62" s="27"/>
      <c r="D62" s="28"/>
      <c r="E62" s="29"/>
      <c r="F62" s="28"/>
      <c r="G62" s="30"/>
      <c r="H62" s="31"/>
      <c r="I62" s="32"/>
      <c r="J62" s="29"/>
      <c r="K62" s="31"/>
      <c r="L62" s="32"/>
      <c r="M62" s="29"/>
    </row>
    <row r="63" spans="1:13" x14ac:dyDescent="0.25">
      <c r="A63" s="25"/>
      <c r="B63" s="26"/>
      <c r="C63" s="27"/>
      <c r="D63" s="28"/>
      <c r="E63" s="29"/>
      <c r="F63" s="28"/>
      <c r="G63" s="30"/>
      <c r="H63" s="31"/>
      <c r="I63" s="32"/>
      <c r="J63" s="29"/>
      <c r="K63" s="31"/>
      <c r="L63" s="32"/>
      <c r="M63" s="29"/>
    </row>
    <row r="64" spans="1:13" x14ac:dyDescent="0.25">
      <c r="A64" s="25"/>
      <c r="B64" s="26"/>
      <c r="C64" s="27"/>
      <c r="D64" s="28"/>
      <c r="E64" s="29"/>
      <c r="F64" s="28"/>
      <c r="G64" s="30"/>
      <c r="H64" s="31"/>
      <c r="I64" s="32"/>
      <c r="J64" s="29"/>
      <c r="K64" s="31"/>
      <c r="L64" s="32"/>
      <c r="M64" s="29"/>
    </row>
    <row r="65" spans="1:13" x14ac:dyDescent="0.25">
      <c r="A65" s="25"/>
      <c r="B65" s="26"/>
      <c r="C65" s="27"/>
      <c r="D65" s="28"/>
      <c r="E65" s="29"/>
      <c r="F65" s="28"/>
      <c r="G65" s="30"/>
      <c r="H65" s="31"/>
      <c r="I65" s="32"/>
      <c r="J65" s="29"/>
      <c r="K65" s="31"/>
      <c r="L65" s="32"/>
      <c r="M65" s="29"/>
    </row>
    <row r="66" spans="1:13" x14ac:dyDescent="0.25">
      <c r="A66" s="25"/>
      <c r="B66" s="26"/>
      <c r="C66" s="27"/>
      <c r="D66" s="28"/>
      <c r="E66" s="29"/>
      <c r="F66" s="28"/>
      <c r="G66" s="30"/>
      <c r="H66" s="31"/>
      <c r="I66" s="32"/>
      <c r="J66" s="29"/>
      <c r="K66" s="31"/>
      <c r="L66" s="32"/>
      <c r="M66" s="29"/>
    </row>
    <row r="67" spans="1:13" x14ac:dyDescent="0.25">
      <c r="A67" s="25"/>
      <c r="B67" s="26"/>
      <c r="C67" s="27"/>
      <c r="D67" s="28"/>
      <c r="E67" s="29"/>
      <c r="F67" s="28"/>
      <c r="G67" s="30"/>
      <c r="H67" s="31"/>
      <c r="I67" s="32"/>
      <c r="J67" s="29"/>
      <c r="K67" s="31"/>
      <c r="L67" s="32"/>
      <c r="M67" s="29"/>
    </row>
    <row r="68" spans="1:13" x14ac:dyDescent="0.25">
      <c r="A68" s="25"/>
      <c r="B68" s="26"/>
      <c r="C68" s="27"/>
      <c r="D68" s="28"/>
      <c r="E68" s="29"/>
      <c r="F68" s="28"/>
      <c r="G68" s="30"/>
      <c r="H68" s="31"/>
      <c r="I68" s="32"/>
      <c r="J68" s="29"/>
      <c r="K68" s="31"/>
      <c r="L68" s="32"/>
      <c r="M68" s="29"/>
    </row>
    <row r="69" spans="1:13" x14ac:dyDescent="0.25">
      <c r="A69" s="25"/>
      <c r="B69" s="26"/>
      <c r="C69" s="27"/>
      <c r="D69" s="28"/>
      <c r="E69" s="29"/>
      <c r="F69" s="28"/>
      <c r="G69" s="30"/>
      <c r="H69" s="31"/>
      <c r="I69" s="32"/>
      <c r="J69" s="29"/>
      <c r="K69" s="31"/>
      <c r="L69" s="32"/>
      <c r="M69" s="29"/>
    </row>
    <row r="70" spans="1:13" x14ac:dyDescent="0.25">
      <c r="A70" s="25"/>
      <c r="B70" s="26"/>
      <c r="C70" s="27"/>
      <c r="D70" s="28"/>
      <c r="E70" s="29"/>
      <c r="F70" s="28"/>
      <c r="G70" s="30"/>
      <c r="H70" s="31"/>
      <c r="I70" s="32"/>
      <c r="J70" s="29"/>
      <c r="K70" s="31"/>
      <c r="L70" s="32"/>
      <c r="M70" s="29"/>
    </row>
    <row r="71" spans="1:13" x14ac:dyDescent="0.25">
      <c r="A71" s="25"/>
      <c r="B71" s="26"/>
      <c r="C71" s="27"/>
      <c r="D71" s="28"/>
      <c r="E71" s="29"/>
      <c r="F71" s="28"/>
      <c r="G71" s="30"/>
      <c r="H71" s="31"/>
      <c r="I71" s="32"/>
      <c r="J71" s="29"/>
      <c r="K71" s="31"/>
      <c r="L71" s="32"/>
      <c r="M71" s="29"/>
    </row>
    <row r="72" spans="1:13" x14ac:dyDescent="0.25">
      <c r="A72" s="25"/>
      <c r="B72" s="26"/>
      <c r="C72" s="27"/>
      <c r="D72" s="28"/>
      <c r="E72" s="29"/>
      <c r="F72" s="28"/>
      <c r="G72" s="30"/>
      <c r="H72" s="31"/>
      <c r="I72" s="32"/>
      <c r="J72" s="29"/>
      <c r="K72" s="31"/>
      <c r="L72" s="32"/>
      <c r="M72" s="29"/>
    </row>
    <row r="73" spans="1:13" x14ac:dyDescent="0.25">
      <c r="A73" s="25"/>
      <c r="B73" s="26"/>
      <c r="C73" s="27"/>
      <c r="D73" s="28"/>
      <c r="E73" s="29"/>
      <c r="F73" s="28"/>
      <c r="G73" s="30"/>
      <c r="H73" s="31"/>
      <c r="I73" s="32"/>
      <c r="J73" s="29"/>
      <c r="K73" s="31"/>
      <c r="L73" s="32"/>
      <c r="M73" s="29"/>
    </row>
    <row r="74" spans="1:13" x14ac:dyDescent="0.25">
      <c r="A74" s="25"/>
      <c r="B74" s="26"/>
      <c r="C74" s="27"/>
      <c r="D74" s="28"/>
      <c r="E74" s="29"/>
      <c r="F74" s="28"/>
      <c r="G74" s="30"/>
      <c r="H74" s="31"/>
      <c r="I74" s="32"/>
      <c r="J74" s="29"/>
      <c r="K74" s="31"/>
      <c r="L74" s="32"/>
      <c r="M74" s="29"/>
    </row>
    <row r="75" spans="1:13" x14ac:dyDescent="0.25">
      <c r="A75" s="25"/>
      <c r="B75" s="26"/>
      <c r="C75" s="27"/>
      <c r="D75" s="28"/>
      <c r="E75" s="29"/>
      <c r="F75" s="28"/>
      <c r="G75" s="30"/>
      <c r="H75" s="31"/>
      <c r="I75" s="32"/>
      <c r="J75" s="29"/>
      <c r="K75" s="31"/>
      <c r="L75" s="32"/>
      <c r="M75" s="29"/>
    </row>
    <row r="76" spans="1:13" x14ac:dyDescent="0.25">
      <c r="A76" s="25"/>
      <c r="B76" s="26"/>
      <c r="C76" s="27"/>
      <c r="D76" s="28"/>
      <c r="E76" s="29"/>
      <c r="F76" s="28"/>
      <c r="G76" s="30"/>
      <c r="H76" s="31"/>
      <c r="I76" s="32"/>
      <c r="J76" s="29"/>
      <c r="K76" s="31"/>
      <c r="L76" s="32"/>
      <c r="M76" s="29"/>
    </row>
    <row r="77" spans="1:13" x14ac:dyDescent="0.25">
      <c r="A77" s="25"/>
      <c r="B77" s="26"/>
      <c r="C77" s="27"/>
      <c r="D77" s="28"/>
      <c r="E77" s="29"/>
      <c r="F77" s="28"/>
      <c r="G77" s="30"/>
      <c r="H77" s="31"/>
      <c r="I77" s="32"/>
      <c r="J77" s="29"/>
      <c r="K77" s="31"/>
      <c r="L77" s="32"/>
      <c r="M77" s="29"/>
    </row>
    <row r="78" spans="1:13" x14ac:dyDescent="0.25">
      <c r="A78" s="25"/>
      <c r="B78" s="26"/>
      <c r="C78" s="27"/>
      <c r="D78" s="28"/>
      <c r="E78" s="29"/>
      <c r="F78" s="28"/>
      <c r="G78" s="30"/>
      <c r="H78" s="31"/>
      <c r="I78" s="32"/>
      <c r="J78" s="29"/>
      <c r="K78" s="31"/>
      <c r="L78" s="32"/>
      <c r="M78" s="29"/>
    </row>
    <row r="79" spans="1:13" x14ac:dyDescent="0.25">
      <c r="A79" s="25"/>
      <c r="B79" s="26"/>
      <c r="C79" s="27"/>
      <c r="D79" s="28"/>
      <c r="E79" s="29"/>
      <c r="F79" s="28"/>
      <c r="G79" s="30"/>
      <c r="H79" s="31"/>
      <c r="I79" s="32"/>
      <c r="J79" s="29"/>
      <c r="K79" s="31"/>
      <c r="L79" s="32"/>
      <c r="M79" s="29"/>
    </row>
    <row r="80" spans="1:13" x14ac:dyDescent="0.25">
      <c r="A80" s="25"/>
      <c r="B80" s="26"/>
      <c r="C80" s="27"/>
      <c r="D80" s="28"/>
      <c r="E80" s="29"/>
      <c r="F80" s="28"/>
      <c r="G80" s="30"/>
      <c r="H80" s="31"/>
      <c r="I80" s="32"/>
      <c r="J80" s="29"/>
      <c r="K80" s="31"/>
      <c r="L80" s="32"/>
      <c r="M80" s="29"/>
    </row>
    <row r="81" spans="1:13" x14ac:dyDescent="0.25">
      <c r="A81" s="25"/>
      <c r="B81" s="26"/>
      <c r="C81" s="27"/>
      <c r="D81" s="28"/>
      <c r="E81" s="29"/>
      <c r="F81" s="28"/>
      <c r="G81" s="30"/>
      <c r="H81" s="31"/>
      <c r="I81" s="32"/>
      <c r="J81" s="29"/>
      <c r="K81" s="31"/>
      <c r="L81" s="32"/>
      <c r="M81" s="29"/>
    </row>
    <row r="82" spans="1:13" x14ac:dyDescent="0.25">
      <c r="A82" s="25"/>
      <c r="B82" s="26"/>
      <c r="C82" s="27"/>
      <c r="D82" s="28"/>
      <c r="E82" s="29"/>
      <c r="F82" s="28"/>
      <c r="G82" s="30"/>
      <c r="H82" s="31"/>
      <c r="I82" s="32"/>
      <c r="J82" s="29"/>
      <c r="K82" s="31"/>
      <c r="L82" s="32"/>
      <c r="M82" s="29"/>
    </row>
    <row r="83" spans="1:13" x14ac:dyDescent="0.25">
      <c r="A83" s="25"/>
      <c r="B83" s="26"/>
      <c r="C83" s="27"/>
      <c r="D83" s="28"/>
      <c r="E83" s="29"/>
      <c r="F83" s="28"/>
      <c r="G83" s="30"/>
      <c r="H83" s="31"/>
      <c r="I83" s="32"/>
      <c r="J83" s="29"/>
      <c r="K83" s="31"/>
      <c r="L83" s="32"/>
      <c r="M83" s="29"/>
    </row>
    <row r="84" spans="1:13" x14ac:dyDescent="0.25">
      <c r="A84" s="25"/>
      <c r="B84" s="26"/>
      <c r="C84" s="27"/>
      <c r="D84" s="28"/>
      <c r="E84" s="29"/>
      <c r="F84" s="28"/>
      <c r="G84" s="30"/>
      <c r="H84" s="31"/>
      <c r="I84" s="32"/>
      <c r="J84" s="29"/>
      <c r="K84" s="31"/>
      <c r="L84" s="32"/>
      <c r="M84" s="29"/>
    </row>
    <row r="85" spans="1:13" x14ac:dyDescent="0.25">
      <c r="A85" s="25"/>
      <c r="B85" s="26"/>
      <c r="C85" s="27"/>
      <c r="D85" s="28"/>
      <c r="E85" s="29"/>
      <c r="F85" s="28"/>
      <c r="G85" s="30"/>
      <c r="H85" s="31"/>
      <c r="I85" s="32"/>
      <c r="J85" s="29"/>
      <c r="K85" s="31"/>
      <c r="L85" s="32"/>
      <c r="M85" s="29"/>
    </row>
    <row r="86" spans="1:13" x14ac:dyDescent="0.25">
      <c r="A86" s="25"/>
      <c r="B86" s="26"/>
      <c r="C86" s="27"/>
      <c r="D86" s="28"/>
      <c r="E86" s="29"/>
      <c r="F86" s="28"/>
      <c r="G86" s="30"/>
      <c r="H86" s="31"/>
      <c r="I86" s="32"/>
      <c r="J86" s="29"/>
      <c r="K86" s="31"/>
      <c r="L86" s="32"/>
      <c r="M86" s="29"/>
    </row>
    <row r="87" spans="1:13" x14ac:dyDescent="0.25">
      <c r="A87" s="25"/>
      <c r="B87" s="26"/>
      <c r="C87" s="27"/>
      <c r="D87" s="28"/>
      <c r="E87" s="29"/>
      <c r="F87" s="28"/>
      <c r="G87" s="30"/>
      <c r="H87" s="31"/>
      <c r="I87" s="32"/>
      <c r="J87" s="29"/>
      <c r="K87" s="31"/>
      <c r="L87" s="32"/>
      <c r="M87" s="29"/>
    </row>
    <row r="88" spans="1:13" x14ac:dyDescent="0.25">
      <c r="A88" s="25"/>
      <c r="B88" s="26"/>
      <c r="C88" s="27"/>
      <c r="D88" s="28"/>
      <c r="E88" s="29"/>
      <c r="F88" s="28"/>
      <c r="G88" s="30"/>
      <c r="H88" s="31"/>
      <c r="I88" s="32"/>
      <c r="J88" s="29"/>
      <c r="K88" s="31"/>
      <c r="L88" s="32"/>
      <c r="M88" s="29"/>
    </row>
    <row r="89" spans="1:13" x14ac:dyDescent="0.25">
      <c r="A89" s="25"/>
      <c r="B89" s="26"/>
      <c r="C89" s="27"/>
      <c r="D89" s="28"/>
      <c r="E89" s="29"/>
      <c r="F89" s="28"/>
      <c r="G89" s="30"/>
      <c r="H89" s="31"/>
      <c r="I89" s="32"/>
      <c r="J89" s="29"/>
      <c r="K89" s="31"/>
      <c r="L89" s="32"/>
      <c r="M89" s="29"/>
    </row>
    <row r="90" spans="1:13" x14ac:dyDescent="0.25">
      <c r="A90" s="25"/>
      <c r="B90" s="26"/>
      <c r="C90" s="27"/>
      <c r="D90" s="28"/>
      <c r="E90" s="29"/>
      <c r="F90" s="28"/>
      <c r="G90" s="30"/>
      <c r="H90" s="31"/>
      <c r="I90" s="32"/>
      <c r="J90" s="29"/>
      <c r="K90" s="31"/>
      <c r="L90" s="32"/>
      <c r="M90" s="29"/>
    </row>
    <row r="91" spans="1:13" x14ac:dyDescent="0.25">
      <c r="A91" s="25"/>
      <c r="B91" s="26"/>
      <c r="C91" s="27"/>
      <c r="D91" s="28"/>
      <c r="E91" s="29"/>
      <c r="F91" s="28"/>
      <c r="G91" s="30"/>
      <c r="H91" s="31"/>
      <c r="I91" s="32"/>
      <c r="J91" s="29"/>
      <c r="K91" s="31"/>
      <c r="L91" s="32"/>
      <c r="M91" s="29"/>
    </row>
    <row r="92" spans="1:13" x14ac:dyDescent="0.25">
      <c r="A92" s="25"/>
      <c r="B92" s="26"/>
      <c r="C92" s="27"/>
      <c r="D92" s="28"/>
      <c r="E92" s="29"/>
      <c r="F92" s="28"/>
      <c r="G92" s="30"/>
      <c r="H92" s="31"/>
      <c r="I92" s="32"/>
      <c r="J92" s="29"/>
      <c r="K92" s="31"/>
      <c r="L92" s="32"/>
      <c r="M92" s="29"/>
    </row>
    <row r="93" spans="1:13" x14ac:dyDescent="0.25">
      <c r="A93" s="25"/>
      <c r="B93" s="26"/>
      <c r="C93" s="27"/>
      <c r="D93" s="28"/>
      <c r="E93" s="29"/>
      <c r="F93" s="28"/>
      <c r="G93" s="30"/>
      <c r="H93" s="31"/>
      <c r="I93" s="32"/>
      <c r="J93" s="29"/>
      <c r="K93" s="31"/>
      <c r="L93" s="32"/>
      <c r="M93" s="29"/>
    </row>
    <row r="94" spans="1:13" x14ac:dyDescent="0.25">
      <c r="A94" s="25"/>
      <c r="B94" s="26"/>
      <c r="C94" s="27"/>
      <c r="D94" s="28"/>
      <c r="E94" s="29"/>
      <c r="F94" s="28"/>
      <c r="G94" s="30"/>
      <c r="H94" s="31"/>
      <c r="I94" s="32"/>
      <c r="J94" s="29"/>
      <c r="K94" s="31"/>
      <c r="L94" s="32"/>
      <c r="M94" s="29"/>
    </row>
    <row r="95" spans="1:13" x14ac:dyDescent="0.25">
      <c r="A95" s="25"/>
      <c r="B95" s="26"/>
      <c r="C95" s="27"/>
      <c r="D95" s="28"/>
      <c r="E95" s="29"/>
      <c r="F95" s="28"/>
      <c r="G95" s="30"/>
      <c r="H95" s="31"/>
      <c r="I95" s="32"/>
      <c r="J95" s="29"/>
      <c r="K95" s="31"/>
      <c r="L95" s="32"/>
      <c r="M95" s="29"/>
    </row>
    <row r="96" spans="1:13" x14ac:dyDescent="0.25">
      <c r="A96" s="25"/>
      <c r="B96" s="26"/>
      <c r="C96" s="27"/>
      <c r="D96" s="28"/>
      <c r="E96" s="29"/>
      <c r="F96" s="28"/>
      <c r="G96" s="30"/>
      <c r="H96" s="31"/>
      <c r="I96" s="32"/>
      <c r="J96" s="29"/>
      <c r="K96" s="31"/>
      <c r="L96" s="32"/>
      <c r="M96" s="29"/>
    </row>
    <row r="97" spans="1:13" x14ac:dyDescent="0.25">
      <c r="A97" s="25"/>
      <c r="B97" s="26"/>
      <c r="C97" s="27"/>
      <c r="D97" s="28"/>
      <c r="E97" s="29"/>
      <c r="F97" s="28"/>
      <c r="G97" s="30"/>
      <c r="H97" s="31"/>
      <c r="I97" s="32"/>
      <c r="J97" s="29"/>
      <c r="K97" s="31"/>
      <c r="L97" s="32"/>
      <c r="M97" s="29"/>
    </row>
    <row r="98" spans="1:13" x14ac:dyDescent="0.25">
      <c r="A98" s="25"/>
      <c r="B98" s="26"/>
      <c r="C98" s="27"/>
      <c r="D98" s="28"/>
      <c r="E98" s="29"/>
      <c r="F98" s="28"/>
      <c r="G98" s="30"/>
      <c r="H98" s="31"/>
      <c r="I98" s="32"/>
      <c r="J98" s="29"/>
      <c r="K98" s="31"/>
      <c r="L98" s="32"/>
      <c r="M98" s="29"/>
    </row>
    <row r="99" spans="1:13" x14ac:dyDescent="0.25">
      <c r="A99" s="25"/>
      <c r="B99" s="26"/>
      <c r="C99" s="27"/>
      <c r="D99" s="28"/>
      <c r="E99" s="29"/>
      <c r="F99" s="28"/>
      <c r="G99" s="30"/>
      <c r="H99" s="31"/>
      <c r="I99" s="32"/>
      <c r="J99" s="29"/>
      <c r="K99" s="31"/>
      <c r="L99" s="32"/>
      <c r="M99" s="29"/>
    </row>
    <row r="100" spans="1:13" x14ac:dyDescent="0.25">
      <c r="A100" s="25"/>
      <c r="B100" s="26"/>
      <c r="C100" s="27"/>
      <c r="D100" s="28"/>
      <c r="E100" s="29"/>
      <c r="F100" s="28"/>
      <c r="G100" s="30"/>
      <c r="H100" s="31"/>
      <c r="I100" s="32"/>
      <c r="J100" s="29"/>
      <c r="K100" s="31"/>
      <c r="L100" s="32"/>
      <c r="M100" s="29"/>
    </row>
    <row r="101" spans="1:13" x14ac:dyDescent="0.25">
      <c r="A101" s="25"/>
      <c r="B101" s="26"/>
      <c r="C101" s="27"/>
      <c r="D101" s="28"/>
      <c r="E101" s="29"/>
      <c r="F101" s="28"/>
      <c r="G101" s="30"/>
      <c r="H101" s="31"/>
      <c r="I101" s="32"/>
      <c r="J101" s="29"/>
      <c r="K101" s="31"/>
      <c r="L101" s="32"/>
      <c r="M101" s="29"/>
    </row>
    <row r="102" spans="1:13" x14ac:dyDescent="0.25">
      <c r="A102" s="25"/>
      <c r="B102" s="26"/>
      <c r="C102" s="27"/>
      <c r="D102" s="28"/>
      <c r="E102" s="29"/>
      <c r="F102" s="28"/>
      <c r="G102" s="30"/>
      <c r="H102" s="31"/>
      <c r="I102" s="32"/>
      <c r="J102" s="29"/>
      <c r="K102" s="31"/>
      <c r="L102" s="32"/>
      <c r="M102" s="29"/>
    </row>
    <row r="103" spans="1:13" x14ac:dyDescent="0.25">
      <c r="A103" s="25"/>
      <c r="B103" s="26"/>
      <c r="C103" s="27"/>
      <c r="D103" s="28"/>
      <c r="E103" s="29"/>
      <c r="F103" s="28"/>
      <c r="G103" s="30"/>
      <c r="H103" s="31"/>
      <c r="I103" s="32"/>
      <c r="J103" s="29"/>
      <c r="K103" s="31"/>
      <c r="L103" s="32"/>
      <c r="M103" s="29"/>
    </row>
    <row r="104" spans="1:13" x14ac:dyDescent="0.25">
      <c r="A104" s="25"/>
      <c r="B104" s="26"/>
      <c r="C104" s="27"/>
      <c r="D104" s="28"/>
      <c r="E104" s="29"/>
      <c r="F104" s="28"/>
      <c r="G104" s="30"/>
      <c r="H104" s="31"/>
      <c r="I104" s="32"/>
      <c r="J104" s="29"/>
      <c r="K104" s="31"/>
      <c r="L104" s="32"/>
      <c r="M104" s="29"/>
    </row>
    <row r="105" spans="1:13" x14ac:dyDescent="0.25">
      <c r="A105" s="25"/>
      <c r="B105" s="26"/>
      <c r="C105" s="27"/>
      <c r="D105" s="28"/>
      <c r="E105" s="29"/>
      <c r="F105" s="28"/>
      <c r="G105" s="30"/>
      <c r="H105" s="31"/>
      <c r="I105" s="32"/>
      <c r="J105" s="29"/>
      <c r="K105" s="31"/>
      <c r="L105" s="32"/>
      <c r="M105" s="29"/>
    </row>
    <row r="106" spans="1:13" x14ac:dyDescent="0.25">
      <c r="A106" s="25"/>
      <c r="B106" s="26"/>
      <c r="C106" s="27"/>
      <c r="D106" s="28"/>
      <c r="E106" s="29"/>
      <c r="F106" s="28"/>
      <c r="G106" s="30"/>
      <c r="H106" s="31"/>
      <c r="I106" s="32"/>
      <c r="J106" s="29"/>
      <c r="K106" s="31"/>
      <c r="L106" s="32"/>
      <c r="M106" s="29"/>
    </row>
    <row r="107" spans="1:13" x14ac:dyDescent="0.25">
      <c r="A107" s="25"/>
      <c r="B107" s="26"/>
      <c r="C107" s="27"/>
      <c r="D107" s="28"/>
      <c r="E107" s="29"/>
      <c r="F107" s="28"/>
      <c r="G107" s="30"/>
      <c r="H107" s="31"/>
      <c r="I107" s="32"/>
      <c r="J107" s="29"/>
      <c r="K107" s="31"/>
      <c r="L107" s="32"/>
      <c r="M107" s="29"/>
    </row>
    <row r="108" spans="1:13" x14ac:dyDescent="0.25">
      <c r="A108" s="25"/>
      <c r="B108" s="26"/>
      <c r="C108" s="27"/>
      <c r="D108" s="28"/>
      <c r="E108" s="29"/>
      <c r="F108" s="28"/>
      <c r="G108" s="30"/>
      <c r="H108" s="31"/>
      <c r="I108" s="32"/>
      <c r="J108" s="29"/>
      <c r="K108" s="31"/>
      <c r="L108" s="32"/>
      <c r="M108" s="29"/>
    </row>
    <row r="109" spans="1:13" x14ac:dyDescent="0.25">
      <c r="A109" s="25"/>
      <c r="B109" s="26"/>
      <c r="C109" s="27"/>
      <c r="D109" s="28"/>
      <c r="E109" s="29"/>
      <c r="F109" s="28"/>
      <c r="G109" s="30"/>
      <c r="H109" s="31"/>
      <c r="I109" s="32"/>
      <c r="J109" s="29"/>
      <c r="K109" s="31"/>
      <c r="L109" s="32"/>
      <c r="M109" s="29"/>
    </row>
    <row r="110" spans="1:13" x14ac:dyDescent="0.25">
      <c r="A110" s="25"/>
      <c r="B110" s="26"/>
      <c r="C110" s="27"/>
      <c r="D110" s="28"/>
      <c r="E110" s="29"/>
      <c r="F110" s="28"/>
      <c r="G110" s="30"/>
      <c r="H110" s="31"/>
      <c r="I110" s="32"/>
      <c r="J110" s="29"/>
      <c r="K110" s="31"/>
      <c r="L110" s="32"/>
      <c r="M110" s="29"/>
    </row>
    <row r="111" spans="1:13" x14ac:dyDescent="0.25">
      <c r="A111" s="25"/>
      <c r="B111" s="26"/>
      <c r="C111" s="27"/>
      <c r="D111" s="28"/>
      <c r="E111" s="29"/>
      <c r="F111" s="28"/>
      <c r="G111" s="30"/>
      <c r="H111" s="31"/>
      <c r="I111" s="32"/>
      <c r="J111" s="29"/>
      <c r="K111" s="31"/>
      <c r="L111" s="32"/>
      <c r="M111" s="29"/>
    </row>
    <row r="112" spans="1:13" x14ac:dyDescent="0.25">
      <c r="A112" s="25"/>
      <c r="B112" s="26"/>
      <c r="C112" s="27"/>
      <c r="D112" s="28"/>
      <c r="E112" s="29"/>
      <c r="F112" s="28"/>
      <c r="G112" s="30"/>
      <c r="H112" s="31"/>
      <c r="I112" s="32"/>
      <c r="J112" s="29"/>
      <c r="K112" s="31"/>
      <c r="L112" s="32"/>
      <c r="M112" s="29"/>
    </row>
    <row r="113" spans="1:13" x14ac:dyDescent="0.25">
      <c r="A113" s="25"/>
      <c r="B113" s="26"/>
      <c r="C113" s="27"/>
      <c r="D113" s="28"/>
      <c r="E113" s="29"/>
      <c r="F113" s="28"/>
      <c r="G113" s="30"/>
      <c r="H113" s="31"/>
      <c r="I113" s="32"/>
      <c r="J113" s="29"/>
      <c r="K113" s="31"/>
      <c r="L113" s="32"/>
      <c r="M113" s="29"/>
    </row>
    <row r="114" spans="1:13" x14ac:dyDescent="0.25">
      <c r="A114" s="25"/>
      <c r="B114" s="26"/>
      <c r="C114" s="27"/>
      <c r="D114" s="28"/>
      <c r="E114" s="29"/>
      <c r="F114" s="28"/>
      <c r="G114" s="30"/>
      <c r="H114" s="31"/>
      <c r="I114" s="32"/>
      <c r="J114" s="29"/>
      <c r="K114" s="31"/>
      <c r="L114" s="32"/>
      <c r="M114" s="29"/>
    </row>
    <row r="115" spans="1:13" x14ac:dyDescent="0.25">
      <c r="A115" s="25"/>
      <c r="B115" s="26"/>
      <c r="C115" s="27"/>
      <c r="D115" s="28"/>
      <c r="E115" s="29"/>
      <c r="F115" s="28"/>
      <c r="G115" s="30"/>
      <c r="H115" s="31"/>
      <c r="I115" s="32"/>
      <c r="J115" s="29"/>
      <c r="K115" s="31"/>
      <c r="L115" s="32"/>
      <c r="M115" s="29"/>
    </row>
    <row r="116" spans="1:13" x14ac:dyDescent="0.25">
      <c r="A116" s="25"/>
      <c r="B116" s="26"/>
      <c r="C116" s="27"/>
      <c r="D116" s="28"/>
      <c r="E116" s="29"/>
      <c r="F116" s="28"/>
      <c r="G116" s="30"/>
      <c r="H116" s="31"/>
      <c r="I116" s="32"/>
      <c r="J116" s="29"/>
      <c r="K116" s="31"/>
      <c r="L116" s="32"/>
      <c r="M116" s="29"/>
    </row>
    <row r="117" spans="1:13" x14ac:dyDescent="0.25">
      <c r="A117" s="25"/>
      <c r="B117" s="26"/>
      <c r="C117" s="27"/>
      <c r="D117" s="28"/>
      <c r="E117" s="29"/>
      <c r="F117" s="28"/>
      <c r="G117" s="30"/>
      <c r="H117" s="31"/>
      <c r="I117" s="32"/>
      <c r="J117" s="29"/>
      <c r="K117" s="31"/>
      <c r="L117" s="32"/>
      <c r="M117" s="29"/>
    </row>
    <row r="118" spans="1:13" x14ac:dyDescent="0.25">
      <c r="A118" s="25"/>
      <c r="B118" s="26"/>
      <c r="C118" s="27"/>
      <c r="D118" s="28"/>
      <c r="E118" s="29"/>
      <c r="F118" s="28"/>
      <c r="G118" s="30"/>
      <c r="H118" s="31"/>
      <c r="I118" s="32"/>
      <c r="J118" s="29"/>
      <c r="K118" s="31"/>
      <c r="L118" s="32"/>
      <c r="M118" s="29"/>
    </row>
    <row r="119" spans="1:13" x14ac:dyDescent="0.25">
      <c r="A119" s="25"/>
      <c r="B119" s="26"/>
      <c r="C119" s="27"/>
      <c r="D119" s="28"/>
      <c r="E119" s="29"/>
      <c r="F119" s="28"/>
      <c r="G119" s="30"/>
      <c r="H119" s="31"/>
      <c r="I119" s="32"/>
      <c r="J119" s="29"/>
      <c r="K119" s="31"/>
      <c r="L119" s="32"/>
      <c r="M119" s="29"/>
    </row>
    <row r="120" spans="1:13" x14ac:dyDescent="0.25">
      <c r="A120" s="25"/>
      <c r="B120" s="26"/>
      <c r="C120" s="27"/>
      <c r="D120" s="28"/>
      <c r="E120" s="29"/>
      <c r="F120" s="28"/>
      <c r="G120" s="30"/>
      <c r="H120" s="31"/>
      <c r="I120" s="32"/>
      <c r="J120" s="29"/>
      <c r="K120" s="31"/>
      <c r="L120" s="32"/>
      <c r="M120" s="29"/>
    </row>
    <row r="121" spans="1:13" x14ac:dyDescent="0.25">
      <c r="A121" s="25"/>
      <c r="B121" s="26"/>
      <c r="C121" s="27"/>
      <c r="D121" s="28"/>
      <c r="E121" s="29"/>
      <c r="F121" s="28"/>
      <c r="G121" s="30"/>
      <c r="H121" s="31"/>
      <c r="I121" s="32"/>
      <c r="J121" s="29"/>
      <c r="K121" s="31"/>
      <c r="L121" s="32"/>
      <c r="M121" s="29"/>
    </row>
    <row r="122" spans="1:13" x14ac:dyDescent="0.25">
      <c r="A122" s="25"/>
      <c r="B122" s="26"/>
      <c r="C122" s="27"/>
      <c r="D122" s="28"/>
      <c r="E122" s="29"/>
      <c r="F122" s="28"/>
      <c r="G122" s="30"/>
      <c r="H122" s="31"/>
      <c r="I122" s="32"/>
      <c r="J122" s="29"/>
      <c r="K122" s="31"/>
      <c r="L122" s="32"/>
      <c r="M122" s="29"/>
    </row>
    <row r="123" spans="1:13" x14ac:dyDescent="0.25">
      <c r="A123" s="25"/>
      <c r="B123" s="26"/>
      <c r="C123" s="27"/>
      <c r="D123" s="28"/>
      <c r="E123" s="29"/>
      <c r="F123" s="28"/>
      <c r="G123" s="30"/>
      <c r="H123" s="31"/>
      <c r="I123" s="32"/>
      <c r="J123" s="29"/>
      <c r="K123" s="31"/>
      <c r="L123" s="32"/>
      <c r="M123" s="29"/>
    </row>
    <row r="124" spans="1:13" x14ac:dyDescent="0.25">
      <c r="A124" s="25"/>
      <c r="B124" s="26"/>
      <c r="C124" s="27"/>
      <c r="D124" s="28"/>
      <c r="E124" s="29"/>
      <c r="F124" s="28"/>
      <c r="G124" s="30"/>
      <c r="H124" s="31"/>
      <c r="I124" s="32"/>
      <c r="J124" s="29"/>
      <c r="K124" s="31"/>
      <c r="L124" s="32"/>
      <c r="M124" s="29"/>
    </row>
    <row r="125" spans="1:13" x14ac:dyDescent="0.25">
      <c r="A125" s="25"/>
      <c r="B125" s="26"/>
      <c r="C125" s="27"/>
      <c r="D125" s="28"/>
      <c r="E125" s="29"/>
      <c r="F125" s="28"/>
      <c r="G125" s="30"/>
      <c r="H125" s="31"/>
      <c r="I125" s="32"/>
      <c r="J125" s="29"/>
      <c r="K125" s="31"/>
      <c r="L125" s="32"/>
      <c r="M125" s="29"/>
    </row>
    <row r="126" spans="1:13" x14ac:dyDescent="0.25">
      <c r="A126" s="25"/>
      <c r="B126" s="26"/>
      <c r="C126" s="27"/>
      <c r="D126" s="28"/>
      <c r="E126" s="29"/>
      <c r="F126" s="28"/>
      <c r="G126" s="30"/>
      <c r="H126" s="31"/>
      <c r="I126" s="32"/>
      <c r="J126" s="29"/>
      <c r="K126" s="31"/>
      <c r="L126" s="32"/>
      <c r="M126" s="29"/>
    </row>
    <row r="127" spans="1:13" x14ac:dyDescent="0.25">
      <c r="A127" s="25"/>
      <c r="B127" s="26"/>
      <c r="C127" s="27"/>
      <c r="D127" s="28"/>
      <c r="E127" s="29"/>
      <c r="F127" s="28"/>
      <c r="G127" s="30"/>
      <c r="H127" s="31"/>
      <c r="I127" s="32"/>
      <c r="J127" s="29"/>
      <c r="K127" s="31"/>
      <c r="L127" s="32"/>
      <c r="M127" s="29"/>
    </row>
    <row r="128" spans="1:13" x14ac:dyDescent="0.25">
      <c r="A128" s="25"/>
      <c r="B128" s="26"/>
      <c r="C128" s="27"/>
      <c r="D128" s="28"/>
      <c r="E128" s="29"/>
      <c r="F128" s="28"/>
      <c r="G128" s="30"/>
      <c r="H128" s="31"/>
      <c r="I128" s="32"/>
      <c r="J128" s="29"/>
      <c r="K128" s="31"/>
      <c r="L128" s="32"/>
      <c r="M128" s="29"/>
    </row>
    <row r="129" spans="1:13" x14ac:dyDescent="0.25">
      <c r="A129" s="25"/>
      <c r="B129" s="26"/>
      <c r="C129" s="27"/>
      <c r="D129" s="28"/>
      <c r="E129" s="29"/>
      <c r="F129" s="28"/>
      <c r="G129" s="30"/>
      <c r="H129" s="31"/>
      <c r="I129" s="32"/>
      <c r="J129" s="29"/>
      <c r="K129" s="31"/>
      <c r="L129" s="32"/>
      <c r="M129" s="29"/>
    </row>
    <row r="130" spans="1:13" x14ac:dyDescent="0.25">
      <c r="A130" s="25"/>
      <c r="B130" s="26"/>
      <c r="C130" s="27"/>
      <c r="D130" s="28"/>
      <c r="E130" s="29"/>
      <c r="F130" s="28"/>
      <c r="G130" s="30"/>
      <c r="H130" s="31"/>
      <c r="I130" s="32"/>
      <c r="J130" s="29"/>
      <c r="K130" s="31"/>
      <c r="L130" s="32"/>
      <c r="M130" s="29"/>
    </row>
    <row r="131" spans="1:13" x14ac:dyDescent="0.25">
      <c r="A131" s="25"/>
      <c r="B131" s="26"/>
      <c r="C131" s="27"/>
      <c r="D131" s="28"/>
      <c r="E131" s="29"/>
      <c r="F131" s="28"/>
      <c r="G131" s="30"/>
      <c r="H131" s="31"/>
      <c r="I131" s="32"/>
      <c r="J131" s="29"/>
      <c r="K131" s="31"/>
      <c r="L131" s="32"/>
      <c r="M131" s="29"/>
    </row>
    <row r="132" spans="1:13" x14ac:dyDescent="0.25">
      <c r="A132" s="25"/>
      <c r="B132" s="26"/>
      <c r="C132" s="27"/>
      <c r="D132" s="28"/>
      <c r="E132" s="29"/>
      <c r="F132" s="28"/>
      <c r="G132" s="30"/>
      <c r="H132" s="31"/>
      <c r="I132" s="32"/>
      <c r="J132" s="29"/>
      <c r="K132" s="31"/>
      <c r="L132" s="32"/>
      <c r="M132" s="29"/>
    </row>
    <row r="133" spans="1:13" x14ac:dyDescent="0.25">
      <c r="A133" s="25"/>
      <c r="B133" s="26"/>
      <c r="C133" s="27"/>
      <c r="D133" s="28"/>
      <c r="E133" s="29"/>
      <c r="F133" s="28"/>
      <c r="G133" s="30"/>
      <c r="H133" s="31"/>
      <c r="I133" s="32"/>
      <c r="J133" s="29"/>
      <c r="K133" s="31"/>
      <c r="L133" s="32"/>
      <c r="M133" s="29"/>
    </row>
    <row r="134" spans="1:13" x14ac:dyDescent="0.25">
      <c r="A134" s="25"/>
      <c r="B134" s="26"/>
      <c r="C134" s="27"/>
      <c r="D134" s="28"/>
      <c r="E134" s="29"/>
      <c r="F134" s="28"/>
      <c r="G134" s="30"/>
      <c r="H134" s="31"/>
      <c r="I134" s="32"/>
      <c r="J134" s="29"/>
      <c r="K134" s="31"/>
      <c r="L134" s="32"/>
      <c r="M134" s="29"/>
    </row>
    <row r="135" spans="1:13" x14ac:dyDescent="0.25">
      <c r="A135" s="25"/>
      <c r="B135" s="26"/>
      <c r="C135" s="27"/>
      <c r="D135" s="28"/>
      <c r="E135" s="29"/>
      <c r="F135" s="28"/>
      <c r="G135" s="30"/>
      <c r="H135" s="31"/>
      <c r="I135" s="32"/>
      <c r="J135" s="29"/>
      <c r="K135" s="31"/>
      <c r="L135" s="32"/>
      <c r="M135" s="29"/>
    </row>
    <row r="136" spans="1:13" x14ac:dyDescent="0.25">
      <c r="A136" s="25"/>
      <c r="B136" s="26"/>
      <c r="C136" s="27"/>
      <c r="D136" s="28"/>
      <c r="E136" s="29"/>
      <c r="F136" s="28"/>
      <c r="G136" s="30"/>
      <c r="H136" s="31"/>
      <c r="I136" s="32"/>
      <c r="J136" s="29"/>
      <c r="K136" s="31"/>
      <c r="L136" s="32"/>
      <c r="M136" s="29"/>
    </row>
    <row r="137" spans="1:13" x14ac:dyDescent="0.25">
      <c r="A137" s="25"/>
      <c r="B137" s="26"/>
      <c r="C137" s="27"/>
      <c r="D137" s="28"/>
      <c r="E137" s="29"/>
      <c r="F137" s="28"/>
      <c r="G137" s="30"/>
      <c r="H137" s="31"/>
      <c r="I137" s="32"/>
      <c r="J137" s="29"/>
      <c r="K137" s="31"/>
      <c r="L137" s="32"/>
      <c r="M137" s="29"/>
    </row>
    <row r="138" spans="1:13" x14ac:dyDescent="0.25">
      <c r="A138" s="25"/>
      <c r="B138" s="26"/>
      <c r="C138" s="27"/>
      <c r="D138" s="28"/>
      <c r="E138" s="29"/>
      <c r="F138" s="28"/>
      <c r="G138" s="30"/>
      <c r="H138" s="31"/>
      <c r="I138" s="32"/>
      <c r="J138" s="29"/>
      <c r="K138" s="31"/>
      <c r="L138" s="32"/>
      <c r="M138" s="29"/>
    </row>
    <row r="139" spans="1:13" x14ac:dyDescent="0.25">
      <c r="A139" s="25"/>
      <c r="B139" s="26"/>
      <c r="C139" s="27"/>
      <c r="D139" s="28"/>
      <c r="E139" s="29"/>
      <c r="F139" s="28"/>
      <c r="G139" s="30"/>
      <c r="H139" s="31"/>
      <c r="I139" s="32"/>
      <c r="J139" s="29"/>
      <c r="K139" s="31"/>
      <c r="L139" s="32"/>
      <c r="M139" s="29"/>
    </row>
    <row r="140" spans="1:13" x14ac:dyDescent="0.25">
      <c r="A140" s="25"/>
      <c r="B140" s="26"/>
      <c r="C140" s="27"/>
      <c r="D140" s="28"/>
      <c r="E140" s="29"/>
      <c r="F140" s="28"/>
      <c r="G140" s="30"/>
      <c r="H140" s="31"/>
      <c r="I140" s="32"/>
      <c r="J140" s="29"/>
      <c r="K140" s="31"/>
      <c r="L140" s="32"/>
      <c r="M140" s="29"/>
    </row>
    <row r="141" spans="1:13" x14ac:dyDescent="0.25">
      <c r="A141" s="25"/>
      <c r="B141" s="26"/>
      <c r="C141" s="27"/>
      <c r="D141" s="28"/>
      <c r="E141" s="29"/>
      <c r="F141" s="28"/>
      <c r="G141" s="30"/>
      <c r="H141" s="31"/>
      <c r="I141" s="32"/>
      <c r="J141" s="29"/>
      <c r="K141" s="31"/>
      <c r="L141" s="32"/>
      <c r="M141" s="29"/>
    </row>
    <row r="142" spans="1:13" x14ac:dyDescent="0.25">
      <c r="A142" s="25"/>
      <c r="B142" s="26"/>
      <c r="C142" s="27"/>
      <c r="D142" s="28"/>
      <c r="E142" s="29"/>
      <c r="F142" s="28"/>
      <c r="G142" s="30"/>
      <c r="H142" s="31"/>
      <c r="I142" s="32"/>
      <c r="J142" s="29"/>
      <c r="K142" s="31"/>
      <c r="L142" s="32"/>
      <c r="M142" s="29"/>
    </row>
    <row r="143" spans="1:13" x14ac:dyDescent="0.25">
      <c r="A143" s="25"/>
      <c r="B143" s="26"/>
      <c r="C143" s="27"/>
      <c r="D143" s="28"/>
      <c r="E143" s="29"/>
      <c r="F143" s="28"/>
      <c r="G143" s="30"/>
      <c r="H143" s="31"/>
      <c r="I143" s="32"/>
      <c r="J143" s="29"/>
      <c r="K143" s="31"/>
      <c r="L143" s="32"/>
      <c r="M143" s="29"/>
    </row>
    <row r="144" spans="1:13" x14ac:dyDescent="0.25">
      <c r="A144" s="25"/>
      <c r="B144" s="26"/>
      <c r="C144" s="27"/>
      <c r="D144" s="28"/>
      <c r="E144" s="29"/>
      <c r="F144" s="28"/>
      <c r="G144" s="30"/>
      <c r="H144" s="31"/>
      <c r="I144" s="32"/>
      <c r="J144" s="29"/>
      <c r="K144" s="31"/>
      <c r="L144" s="32"/>
      <c r="M144" s="29"/>
    </row>
    <row r="145" spans="1:13" x14ac:dyDescent="0.25">
      <c r="A145" s="25"/>
      <c r="B145" s="26"/>
      <c r="C145" s="27"/>
      <c r="D145" s="28"/>
      <c r="E145" s="29"/>
      <c r="F145" s="28"/>
      <c r="G145" s="30"/>
      <c r="H145" s="31"/>
      <c r="I145" s="32"/>
      <c r="J145" s="29"/>
      <c r="K145" s="31"/>
      <c r="L145" s="32"/>
      <c r="M145" s="29"/>
    </row>
    <row r="146" spans="1:13" x14ac:dyDescent="0.25">
      <c r="A146" s="25"/>
      <c r="B146" s="26"/>
      <c r="C146" s="27"/>
      <c r="D146" s="28"/>
      <c r="E146" s="29"/>
      <c r="F146" s="28"/>
      <c r="G146" s="30"/>
      <c r="H146" s="31"/>
      <c r="I146" s="32"/>
      <c r="J146" s="29"/>
      <c r="K146" s="31"/>
      <c r="L146" s="32"/>
      <c r="M146" s="29"/>
    </row>
    <row r="147" spans="1:13" x14ac:dyDescent="0.25">
      <c r="A147" s="25"/>
      <c r="B147" s="26"/>
      <c r="C147" s="27"/>
      <c r="D147" s="28"/>
      <c r="E147" s="29"/>
      <c r="F147" s="28"/>
      <c r="G147" s="30"/>
      <c r="H147" s="31"/>
      <c r="I147" s="32"/>
      <c r="J147" s="29"/>
      <c r="K147" s="31"/>
      <c r="L147" s="32"/>
      <c r="M147" s="29"/>
    </row>
    <row r="148" spans="1:13" x14ac:dyDescent="0.25">
      <c r="A148" s="25"/>
      <c r="B148" s="26"/>
      <c r="C148" s="27"/>
      <c r="D148" s="28"/>
      <c r="E148" s="29"/>
      <c r="F148" s="28"/>
      <c r="G148" s="30"/>
      <c r="H148" s="31"/>
      <c r="I148" s="32"/>
      <c r="J148" s="29"/>
      <c r="K148" s="31"/>
      <c r="L148" s="32"/>
      <c r="M148" s="29"/>
    </row>
    <row r="149" spans="1:13" x14ac:dyDescent="0.25">
      <c r="A149" s="25"/>
      <c r="B149" s="26"/>
      <c r="C149" s="27"/>
      <c r="D149" s="28"/>
      <c r="E149" s="29"/>
      <c r="F149" s="28"/>
      <c r="G149" s="30"/>
      <c r="H149" s="31"/>
      <c r="I149" s="32"/>
      <c r="J149" s="29"/>
      <c r="K149" s="31"/>
      <c r="L149" s="32"/>
      <c r="M149" s="29"/>
    </row>
    <row r="150" spans="1:13" x14ac:dyDescent="0.25">
      <c r="A150" s="25"/>
      <c r="B150" s="26"/>
      <c r="C150" s="27"/>
      <c r="D150" s="28"/>
      <c r="E150" s="29"/>
      <c r="F150" s="28"/>
      <c r="G150" s="30"/>
      <c r="H150" s="31"/>
      <c r="I150" s="32"/>
      <c r="J150" s="29"/>
      <c r="K150" s="31"/>
      <c r="L150" s="32"/>
      <c r="M150" s="29"/>
    </row>
    <row r="151" spans="1:13" x14ac:dyDescent="0.25">
      <c r="A151" s="25"/>
      <c r="B151" s="26"/>
      <c r="C151" s="27"/>
      <c r="D151" s="28"/>
      <c r="E151" s="29"/>
      <c r="F151" s="28"/>
      <c r="G151" s="30"/>
      <c r="H151" s="31"/>
      <c r="I151" s="32"/>
      <c r="J151" s="29"/>
      <c r="K151" s="31"/>
      <c r="L151" s="32"/>
      <c r="M151" s="29"/>
    </row>
    <row r="152" spans="1:13" x14ac:dyDescent="0.25">
      <c r="A152" s="25"/>
      <c r="B152" s="26"/>
      <c r="C152" s="27"/>
      <c r="D152" s="28"/>
      <c r="E152" s="29"/>
      <c r="F152" s="28"/>
      <c r="G152" s="30"/>
      <c r="H152" s="31"/>
      <c r="I152" s="32"/>
      <c r="J152" s="29"/>
      <c r="K152" s="31"/>
      <c r="L152" s="32"/>
      <c r="M152" s="29"/>
    </row>
    <row r="153" spans="1:13" x14ac:dyDescent="0.25">
      <c r="A153" s="25"/>
      <c r="B153" s="26"/>
      <c r="C153" s="27"/>
      <c r="D153" s="28"/>
      <c r="E153" s="29"/>
      <c r="F153" s="28"/>
      <c r="G153" s="30"/>
      <c r="H153" s="31"/>
      <c r="I153" s="32"/>
      <c r="J153" s="29"/>
      <c r="K153" s="31"/>
      <c r="L153" s="32"/>
      <c r="M153" s="29"/>
    </row>
    <row r="154" spans="1:13" x14ac:dyDescent="0.25">
      <c r="A154" s="25"/>
      <c r="B154" s="26"/>
      <c r="C154" s="27"/>
      <c r="D154" s="28"/>
      <c r="E154" s="29"/>
      <c r="F154" s="28"/>
      <c r="G154" s="30"/>
      <c r="H154" s="31"/>
      <c r="I154" s="32"/>
      <c r="J154" s="29"/>
      <c r="K154" s="31"/>
      <c r="L154" s="32"/>
      <c r="M154" s="29"/>
    </row>
    <row r="155" spans="1:13" x14ac:dyDescent="0.25">
      <c r="A155" s="25"/>
      <c r="B155" s="26"/>
      <c r="C155" s="27"/>
      <c r="D155" s="28"/>
      <c r="E155" s="29"/>
      <c r="F155" s="28"/>
      <c r="G155" s="30"/>
      <c r="H155" s="31"/>
      <c r="I155" s="32"/>
      <c r="J155" s="29"/>
      <c r="K155" s="31"/>
      <c r="L155" s="32"/>
      <c r="M155" s="29"/>
    </row>
    <row r="156" spans="1:13" x14ac:dyDescent="0.25">
      <c r="A156" s="25"/>
      <c r="B156" s="26"/>
      <c r="C156" s="27"/>
      <c r="D156" s="28"/>
      <c r="E156" s="29"/>
      <c r="F156" s="28"/>
      <c r="G156" s="30"/>
      <c r="H156" s="31"/>
      <c r="I156" s="32"/>
      <c r="J156" s="29"/>
      <c r="K156" s="31"/>
      <c r="L156" s="32"/>
      <c r="M156" s="29"/>
    </row>
    <row r="157" spans="1:13" x14ac:dyDescent="0.25">
      <c r="A157" s="25"/>
      <c r="B157" s="26"/>
      <c r="C157" s="27"/>
      <c r="D157" s="28"/>
      <c r="E157" s="29"/>
      <c r="F157" s="28"/>
      <c r="G157" s="30"/>
      <c r="H157" s="31"/>
      <c r="I157" s="32"/>
      <c r="J157" s="29"/>
      <c r="K157" s="31"/>
      <c r="L157" s="32"/>
      <c r="M157" s="29"/>
    </row>
    <row r="158" spans="1:13" x14ac:dyDescent="0.25">
      <c r="A158" s="25"/>
      <c r="B158" s="26"/>
      <c r="C158" s="27"/>
      <c r="D158" s="28"/>
      <c r="E158" s="29"/>
      <c r="F158" s="28"/>
      <c r="G158" s="30"/>
      <c r="H158" s="31"/>
      <c r="I158" s="32"/>
      <c r="J158" s="29"/>
      <c r="K158" s="31"/>
      <c r="L158" s="32"/>
      <c r="M158" s="29"/>
    </row>
    <row r="159" spans="1:13" x14ac:dyDescent="0.25">
      <c r="A159" s="25"/>
      <c r="B159" s="26"/>
      <c r="C159" s="27"/>
      <c r="D159" s="28"/>
      <c r="E159" s="29"/>
      <c r="F159" s="28"/>
      <c r="G159" s="30"/>
      <c r="H159" s="31"/>
      <c r="I159" s="32"/>
      <c r="J159" s="29"/>
      <c r="K159" s="31"/>
      <c r="L159" s="32"/>
      <c r="M159" s="29"/>
    </row>
    <row r="160" spans="1:13" x14ac:dyDescent="0.25">
      <c r="A160" s="25"/>
      <c r="B160" s="26"/>
      <c r="C160" s="27"/>
      <c r="D160" s="28"/>
      <c r="E160" s="29"/>
      <c r="F160" s="28"/>
      <c r="G160" s="30"/>
      <c r="H160" s="31"/>
      <c r="I160" s="32"/>
      <c r="J160" s="29"/>
      <c r="K160" s="31"/>
      <c r="L160" s="32"/>
      <c r="M160" s="29"/>
    </row>
    <row r="161" spans="1:13" x14ac:dyDescent="0.25">
      <c r="A161" s="25"/>
      <c r="B161" s="26"/>
      <c r="C161" s="27"/>
      <c r="D161" s="28"/>
      <c r="E161" s="29"/>
      <c r="F161" s="28"/>
      <c r="G161" s="30"/>
      <c r="H161" s="31"/>
      <c r="I161" s="32"/>
      <c r="J161" s="29"/>
      <c r="K161" s="31"/>
      <c r="L161" s="32"/>
      <c r="M161" s="29"/>
    </row>
    <row r="162" spans="1:13" x14ac:dyDescent="0.25">
      <c r="A162" s="25"/>
      <c r="B162" s="26"/>
      <c r="C162" s="27"/>
      <c r="D162" s="28"/>
      <c r="E162" s="29"/>
      <c r="F162" s="28"/>
      <c r="G162" s="30"/>
      <c r="H162" s="31"/>
      <c r="I162" s="32"/>
      <c r="J162" s="29"/>
      <c r="K162" s="31"/>
      <c r="L162" s="32"/>
      <c r="M162" s="29"/>
    </row>
    <row r="163" spans="1:13" x14ac:dyDescent="0.25">
      <c r="A163" s="25"/>
      <c r="B163" s="26"/>
      <c r="C163" s="27"/>
      <c r="D163" s="28"/>
      <c r="E163" s="29"/>
      <c r="F163" s="28"/>
      <c r="G163" s="30"/>
      <c r="H163" s="31"/>
      <c r="I163" s="32"/>
      <c r="J163" s="29"/>
      <c r="K163" s="31"/>
      <c r="L163" s="32"/>
      <c r="M163" s="29"/>
    </row>
    <row r="164" spans="1:13" x14ac:dyDescent="0.25">
      <c r="A164" s="25"/>
      <c r="B164" s="26"/>
      <c r="C164" s="27"/>
      <c r="D164" s="28"/>
      <c r="E164" s="29"/>
      <c r="F164" s="28"/>
      <c r="G164" s="30"/>
      <c r="H164" s="31"/>
      <c r="I164" s="32"/>
      <c r="J164" s="29"/>
      <c r="K164" s="31"/>
      <c r="L164" s="32"/>
      <c r="M164" s="29"/>
    </row>
    <row r="165" spans="1:13" x14ac:dyDescent="0.25">
      <c r="A165" s="25"/>
      <c r="B165" s="26"/>
      <c r="C165" s="27"/>
      <c r="D165" s="28"/>
      <c r="E165" s="29"/>
      <c r="F165" s="28"/>
      <c r="G165" s="30"/>
      <c r="H165" s="31"/>
      <c r="I165" s="32"/>
      <c r="J165" s="29"/>
      <c r="K165" s="31"/>
      <c r="L165" s="32"/>
      <c r="M165" s="29"/>
    </row>
    <row r="166" spans="1:13" x14ac:dyDescent="0.25">
      <c r="A166" s="25"/>
      <c r="B166" s="26"/>
      <c r="C166" s="27"/>
      <c r="D166" s="28"/>
      <c r="E166" s="29"/>
      <c r="F166" s="28"/>
      <c r="G166" s="30"/>
      <c r="H166" s="31"/>
      <c r="I166" s="32"/>
      <c r="J166" s="29"/>
      <c r="K166" s="31"/>
      <c r="L166" s="32"/>
      <c r="M166" s="29"/>
    </row>
    <row r="167" spans="1:13" x14ac:dyDescent="0.25">
      <c r="A167" s="25"/>
      <c r="B167" s="26"/>
      <c r="C167" s="27"/>
      <c r="D167" s="28"/>
      <c r="E167" s="29"/>
      <c r="F167" s="28"/>
      <c r="G167" s="30"/>
      <c r="H167" s="31"/>
      <c r="I167" s="32"/>
      <c r="J167" s="29"/>
      <c r="K167" s="31"/>
      <c r="L167" s="32"/>
      <c r="M167" s="29"/>
    </row>
    <row r="168" spans="1:13" x14ac:dyDescent="0.25">
      <c r="A168" s="25"/>
      <c r="B168" s="26"/>
      <c r="C168" s="27"/>
      <c r="D168" s="28"/>
      <c r="E168" s="29"/>
      <c r="F168" s="28"/>
      <c r="G168" s="30"/>
      <c r="H168" s="31"/>
      <c r="I168" s="32"/>
      <c r="J168" s="29"/>
      <c r="K168" s="31"/>
      <c r="L168" s="32"/>
      <c r="M168" s="29"/>
    </row>
    <row r="169" spans="1:13" x14ac:dyDescent="0.25">
      <c r="A169" s="25"/>
      <c r="B169" s="26"/>
      <c r="C169" s="27"/>
      <c r="D169" s="28"/>
      <c r="E169" s="29"/>
      <c r="F169" s="28"/>
      <c r="G169" s="30"/>
      <c r="H169" s="31"/>
      <c r="I169" s="32"/>
      <c r="J169" s="29"/>
      <c r="K169" s="31"/>
      <c r="L169" s="32"/>
      <c r="M169" s="29"/>
    </row>
    <row r="170" spans="1:13" x14ac:dyDescent="0.25">
      <c r="A170" s="25"/>
      <c r="B170" s="26"/>
      <c r="C170" s="27"/>
      <c r="D170" s="28"/>
      <c r="E170" s="29"/>
      <c r="F170" s="28"/>
      <c r="G170" s="30"/>
      <c r="H170" s="31"/>
      <c r="I170" s="32"/>
      <c r="J170" s="29"/>
      <c r="K170" s="31"/>
      <c r="L170" s="32"/>
      <c r="M170" s="29"/>
    </row>
    <row r="171" spans="1:13" x14ac:dyDescent="0.25">
      <c r="A171" s="25"/>
      <c r="B171" s="26"/>
      <c r="C171" s="27"/>
      <c r="D171" s="28"/>
      <c r="E171" s="29"/>
      <c r="F171" s="28"/>
      <c r="G171" s="30"/>
      <c r="H171" s="31"/>
      <c r="I171" s="32"/>
      <c r="J171" s="29"/>
      <c r="K171" s="31"/>
      <c r="L171" s="32"/>
      <c r="M171" s="29"/>
    </row>
    <row r="172" spans="1:13" x14ac:dyDescent="0.25">
      <c r="A172" s="25"/>
      <c r="B172" s="26"/>
      <c r="C172" s="27"/>
      <c r="D172" s="28"/>
      <c r="E172" s="29"/>
      <c r="F172" s="28"/>
      <c r="G172" s="30"/>
      <c r="H172" s="31"/>
      <c r="I172" s="32"/>
      <c r="J172" s="29"/>
      <c r="K172" s="31"/>
      <c r="L172" s="32"/>
      <c r="M172" s="29"/>
    </row>
    <row r="173" spans="1:13" x14ac:dyDescent="0.25">
      <c r="A173" s="25"/>
      <c r="B173" s="26"/>
      <c r="C173" s="27"/>
      <c r="D173" s="28"/>
      <c r="E173" s="29"/>
      <c r="F173" s="28"/>
      <c r="G173" s="30"/>
      <c r="H173" s="31"/>
      <c r="I173" s="32"/>
      <c r="J173" s="29"/>
      <c r="K173" s="31"/>
      <c r="L173" s="32"/>
      <c r="M173" s="29"/>
    </row>
    <row r="174" spans="1:13" x14ac:dyDescent="0.25">
      <c r="A174" s="25"/>
      <c r="B174" s="26"/>
      <c r="C174" s="27"/>
      <c r="D174" s="28"/>
      <c r="E174" s="29"/>
      <c r="F174" s="28"/>
      <c r="G174" s="30"/>
      <c r="H174" s="31"/>
      <c r="I174" s="32"/>
      <c r="J174" s="29"/>
      <c r="K174" s="31"/>
      <c r="L174" s="32"/>
      <c r="M174" s="29"/>
    </row>
    <row r="175" spans="1:13" x14ac:dyDescent="0.25">
      <c r="A175" s="25"/>
      <c r="B175" s="26"/>
      <c r="C175" s="27"/>
      <c r="D175" s="28"/>
      <c r="E175" s="29"/>
      <c r="F175" s="28"/>
      <c r="G175" s="30"/>
      <c r="H175" s="31"/>
      <c r="I175" s="32"/>
      <c r="J175" s="29"/>
      <c r="K175" s="31"/>
      <c r="L175" s="32"/>
      <c r="M175" s="29"/>
    </row>
    <row r="176" spans="1:13" x14ac:dyDescent="0.25">
      <c r="A176" s="25"/>
      <c r="B176" s="26"/>
      <c r="C176" s="27"/>
      <c r="D176" s="28"/>
      <c r="E176" s="29"/>
      <c r="F176" s="28"/>
      <c r="G176" s="30"/>
      <c r="H176" s="31"/>
      <c r="I176" s="32"/>
      <c r="J176" s="29"/>
      <c r="K176" s="31"/>
      <c r="L176" s="32"/>
      <c r="M176" s="29"/>
    </row>
    <row r="177" spans="1:13" x14ac:dyDescent="0.25">
      <c r="A177" s="25"/>
      <c r="B177" s="26"/>
      <c r="C177" s="27"/>
      <c r="D177" s="28"/>
      <c r="E177" s="29"/>
      <c r="F177" s="28"/>
      <c r="G177" s="30"/>
      <c r="H177" s="31"/>
      <c r="I177" s="32"/>
      <c r="J177" s="29"/>
      <c r="K177" s="31"/>
      <c r="L177" s="32"/>
      <c r="M177" s="29"/>
    </row>
    <row r="178" spans="1:13" x14ac:dyDescent="0.25">
      <c r="A178" s="25"/>
      <c r="B178" s="26"/>
      <c r="C178" s="27"/>
      <c r="D178" s="28"/>
      <c r="E178" s="29"/>
      <c r="F178" s="28"/>
      <c r="G178" s="30"/>
      <c r="H178" s="31"/>
      <c r="I178" s="32"/>
      <c r="J178" s="29"/>
      <c r="K178" s="31"/>
      <c r="L178" s="32"/>
      <c r="M178" s="29"/>
    </row>
    <row r="179" spans="1:13" x14ac:dyDescent="0.25">
      <c r="A179" s="25"/>
      <c r="B179" s="26"/>
      <c r="C179" s="27"/>
      <c r="D179" s="28"/>
      <c r="E179" s="29"/>
      <c r="F179" s="28"/>
      <c r="G179" s="30"/>
      <c r="H179" s="31"/>
      <c r="I179" s="32"/>
      <c r="J179" s="29"/>
      <c r="K179" s="31"/>
      <c r="L179" s="32"/>
      <c r="M179" s="29"/>
    </row>
    <row r="180" spans="1:13" x14ac:dyDescent="0.25">
      <c r="A180" s="25"/>
      <c r="B180" s="26"/>
      <c r="C180" s="27"/>
      <c r="D180" s="28"/>
      <c r="E180" s="29"/>
      <c r="F180" s="28"/>
      <c r="G180" s="30"/>
      <c r="H180" s="31"/>
      <c r="I180" s="32"/>
      <c r="J180" s="29"/>
      <c r="K180" s="31"/>
      <c r="L180" s="32"/>
      <c r="M180" s="29"/>
    </row>
    <row r="181" spans="1:13" x14ac:dyDescent="0.25">
      <c r="A181" s="25"/>
      <c r="B181" s="26"/>
      <c r="C181" s="27"/>
      <c r="D181" s="28"/>
      <c r="E181" s="29"/>
      <c r="F181" s="28"/>
      <c r="G181" s="30"/>
      <c r="H181" s="31"/>
      <c r="I181" s="32"/>
      <c r="J181" s="29"/>
      <c r="K181" s="31"/>
      <c r="L181" s="32"/>
      <c r="M181" s="29"/>
    </row>
    <row r="182" spans="1:13" x14ac:dyDescent="0.25">
      <c r="A182" s="25"/>
      <c r="B182" s="26"/>
      <c r="C182" s="27"/>
      <c r="D182" s="28"/>
      <c r="E182" s="29"/>
      <c r="F182" s="28"/>
      <c r="G182" s="30"/>
      <c r="H182" s="31"/>
      <c r="I182" s="32"/>
      <c r="J182" s="29"/>
      <c r="K182" s="31"/>
      <c r="L182" s="32"/>
      <c r="M182" s="29"/>
    </row>
    <row r="183" spans="1:13" x14ac:dyDescent="0.25">
      <c r="A183" s="25"/>
      <c r="B183" s="26"/>
      <c r="C183" s="27"/>
      <c r="D183" s="28"/>
      <c r="E183" s="29"/>
      <c r="F183" s="28"/>
      <c r="G183" s="30"/>
      <c r="H183" s="31"/>
      <c r="I183" s="32"/>
      <c r="J183" s="29"/>
      <c r="K183" s="31"/>
      <c r="L183" s="32"/>
      <c r="M183" s="29"/>
    </row>
    <row r="184" spans="1:13" x14ac:dyDescent="0.25">
      <c r="A184" s="25"/>
      <c r="B184" s="26"/>
      <c r="C184" s="27"/>
      <c r="D184" s="28"/>
      <c r="E184" s="29"/>
      <c r="F184" s="28"/>
      <c r="G184" s="30"/>
      <c r="H184" s="31"/>
      <c r="I184" s="32"/>
      <c r="J184" s="29"/>
      <c r="K184" s="31"/>
      <c r="L184" s="32"/>
      <c r="M184" s="29"/>
    </row>
    <row r="185" spans="1:13" x14ac:dyDescent="0.25">
      <c r="A185" s="25"/>
      <c r="B185" s="26"/>
      <c r="C185" s="27"/>
      <c r="D185" s="28"/>
      <c r="E185" s="29"/>
      <c r="F185" s="28"/>
      <c r="G185" s="30"/>
      <c r="H185" s="31"/>
      <c r="I185" s="32"/>
      <c r="J185" s="29"/>
      <c r="K185" s="31"/>
      <c r="L185" s="32"/>
      <c r="M185" s="29"/>
    </row>
    <row r="186" spans="1:13" x14ac:dyDescent="0.25">
      <c r="A186" s="25"/>
      <c r="B186" s="26"/>
      <c r="C186" s="27"/>
      <c r="D186" s="28"/>
      <c r="E186" s="29"/>
      <c r="F186" s="28"/>
      <c r="G186" s="30"/>
      <c r="H186" s="31"/>
      <c r="I186" s="32"/>
      <c r="J186" s="29"/>
      <c r="K186" s="31"/>
      <c r="L186" s="32"/>
      <c r="M186" s="29"/>
    </row>
    <row r="187" spans="1:13" x14ac:dyDescent="0.25">
      <c r="A187" s="25"/>
      <c r="B187" s="26"/>
      <c r="C187" s="27"/>
      <c r="D187" s="28"/>
      <c r="E187" s="29"/>
      <c r="F187" s="28"/>
      <c r="G187" s="30"/>
      <c r="H187" s="31"/>
      <c r="I187" s="32"/>
      <c r="J187" s="29"/>
      <c r="K187" s="31"/>
      <c r="L187" s="32"/>
      <c r="M187" s="29"/>
    </row>
    <row r="188" spans="1:13" x14ac:dyDescent="0.25">
      <c r="A188" s="25"/>
      <c r="B188" s="26"/>
      <c r="C188" s="27"/>
      <c r="D188" s="28"/>
      <c r="E188" s="29"/>
      <c r="F188" s="28"/>
      <c r="G188" s="30"/>
      <c r="H188" s="31"/>
      <c r="I188" s="32"/>
      <c r="J188" s="29"/>
      <c r="K188" s="31"/>
      <c r="L188" s="32"/>
      <c r="M188" s="29"/>
    </row>
    <row r="189" spans="1:13" x14ac:dyDescent="0.25">
      <c r="A189" s="25"/>
      <c r="B189" s="26"/>
      <c r="C189" s="27"/>
      <c r="D189" s="28"/>
      <c r="E189" s="29"/>
      <c r="F189" s="28"/>
      <c r="G189" s="30"/>
      <c r="H189" s="31"/>
      <c r="I189" s="32"/>
      <c r="J189" s="29"/>
      <c r="K189" s="31"/>
      <c r="L189" s="32"/>
      <c r="M189" s="29"/>
    </row>
    <row r="190" spans="1:13" x14ac:dyDescent="0.25">
      <c r="A190" s="25"/>
      <c r="B190" s="26"/>
      <c r="C190" s="27"/>
      <c r="D190" s="28"/>
      <c r="E190" s="29"/>
      <c r="F190" s="28"/>
      <c r="G190" s="30"/>
      <c r="H190" s="31"/>
      <c r="I190" s="32"/>
      <c r="J190" s="29"/>
      <c r="K190" s="31"/>
      <c r="L190" s="32"/>
      <c r="M190" s="29"/>
    </row>
    <row r="191" spans="1:13" x14ac:dyDescent="0.25">
      <c r="A191" s="25"/>
      <c r="B191" s="26"/>
      <c r="C191" s="27"/>
      <c r="D191" s="28"/>
      <c r="E191" s="29"/>
      <c r="F191" s="28"/>
      <c r="G191" s="30"/>
      <c r="H191" s="31"/>
      <c r="I191" s="32"/>
      <c r="J191" s="29"/>
      <c r="K191" s="31"/>
      <c r="L191" s="32"/>
      <c r="M191" s="29"/>
    </row>
    <row r="192" spans="1:13" x14ac:dyDescent="0.25">
      <c r="A192" s="25"/>
      <c r="B192" s="26"/>
      <c r="C192" s="27"/>
      <c r="D192" s="28"/>
      <c r="E192" s="29"/>
      <c r="F192" s="28"/>
      <c r="G192" s="30"/>
      <c r="H192" s="31"/>
      <c r="I192" s="32"/>
      <c r="J192" s="29"/>
      <c r="K192" s="31"/>
      <c r="L192" s="32"/>
      <c r="M192" s="29"/>
    </row>
    <row r="193" spans="1:13" x14ac:dyDescent="0.25">
      <c r="A193" s="25"/>
      <c r="B193" s="26"/>
      <c r="C193" s="27"/>
      <c r="D193" s="28"/>
      <c r="E193" s="29"/>
      <c r="F193" s="28"/>
      <c r="G193" s="30"/>
      <c r="H193" s="31"/>
      <c r="I193" s="32"/>
      <c r="J193" s="29"/>
      <c r="K193" s="31"/>
      <c r="L193" s="32"/>
      <c r="M193" s="29"/>
    </row>
    <row r="194" spans="1:13" x14ac:dyDescent="0.25">
      <c r="A194" s="25"/>
      <c r="B194" s="26"/>
      <c r="C194" s="27"/>
      <c r="D194" s="28"/>
      <c r="E194" s="29"/>
      <c r="F194" s="28"/>
      <c r="G194" s="30"/>
      <c r="H194" s="31"/>
      <c r="I194" s="32"/>
      <c r="J194" s="29"/>
      <c r="K194" s="31"/>
      <c r="L194" s="32"/>
      <c r="M194" s="29"/>
    </row>
    <row r="195" spans="1:13" x14ac:dyDescent="0.25">
      <c r="A195" s="25"/>
      <c r="B195" s="26"/>
      <c r="C195" s="27"/>
      <c r="D195" s="28"/>
      <c r="E195" s="29"/>
      <c r="F195" s="28"/>
      <c r="G195" s="30"/>
      <c r="H195" s="31"/>
      <c r="I195" s="32"/>
      <c r="J195" s="29"/>
      <c r="K195" s="31"/>
      <c r="L195" s="32"/>
      <c r="M195" s="29"/>
    </row>
    <row r="196" spans="1:13" x14ac:dyDescent="0.25">
      <c r="A196" s="25"/>
      <c r="B196" s="26"/>
      <c r="C196" s="27"/>
      <c r="D196" s="28"/>
      <c r="E196" s="29"/>
      <c r="F196" s="28"/>
      <c r="G196" s="30"/>
      <c r="H196" s="31"/>
      <c r="I196" s="32"/>
      <c r="J196" s="29"/>
      <c r="K196" s="31"/>
      <c r="L196" s="32"/>
      <c r="M196" s="29"/>
    </row>
    <row r="197" spans="1:13" x14ac:dyDescent="0.25">
      <c r="A197" s="25"/>
      <c r="B197" s="26"/>
      <c r="C197" s="27"/>
      <c r="D197" s="28"/>
      <c r="E197" s="29"/>
      <c r="F197" s="28"/>
      <c r="G197" s="30"/>
      <c r="H197" s="31"/>
      <c r="I197" s="32"/>
      <c r="J197" s="29"/>
      <c r="K197" s="31"/>
      <c r="L197" s="32"/>
      <c r="M197" s="29"/>
    </row>
    <row r="198" spans="1:13" x14ac:dyDescent="0.25">
      <c r="A198" s="25"/>
      <c r="B198" s="26"/>
      <c r="C198" s="27"/>
      <c r="D198" s="28"/>
      <c r="E198" s="29"/>
      <c r="F198" s="28"/>
      <c r="G198" s="30"/>
      <c r="H198" s="31"/>
      <c r="I198" s="32"/>
      <c r="J198" s="29"/>
      <c r="K198" s="31"/>
      <c r="L198" s="32"/>
      <c r="M198" s="29"/>
    </row>
    <row r="199" spans="1:13" x14ac:dyDescent="0.25">
      <c r="A199" s="25"/>
      <c r="B199" s="26"/>
      <c r="C199" s="27"/>
      <c r="D199" s="28"/>
      <c r="E199" s="29"/>
      <c r="F199" s="28"/>
      <c r="G199" s="30"/>
      <c r="H199" s="31"/>
      <c r="I199" s="32"/>
      <c r="J199" s="29"/>
      <c r="K199" s="31"/>
      <c r="L199" s="32"/>
      <c r="M199" s="29"/>
    </row>
    <row r="200" spans="1:13" x14ac:dyDescent="0.25">
      <c r="A200" s="25"/>
      <c r="B200" s="26"/>
      <c r="C200" s="27"/>
      <c r="D200" s="28"/>
      <c r="E200" s="29"/>
      <c r="F200" s="28"/>
      <c r="G200" s="30"/>
      <c r="H200" s="31"/>
      <c r="I200" s="32"/>
      <c r="J200" s="29"/>
      <c r="K200" s="31"/>
      <c r="L200" s="32"/>
      <c r="M200" s="29"/>
    </row>
    <row r="201" spans="1:13" x14ac:dyDescent="0.25">
      <c r="A201" s="25"/>
      <c r="B201" s="26"/>
      <c r="C201" s="27"/>
      <c r="D201" s="28"/>
      <c r="E201" s="29"/>
      <c r="F201" s="28"/>
      <c r="G201" s="30"/>
      <c r="H201" s="31"/>
      <c r="I201" s="32"/>
      <c r="J201" s="29"/>
      <c r="K201" s="31"/>
      <c r="L201" s="32"/>
      <c r="M201" s="29"/>
    </row>
    <row r="202" spans="1:13" x14ac:dyDescent="0.25">
      <c r="A202" s="25"/>
      <c r="B202" s="26"/>
      <c r="C202" s="27"/>
      <c r="D202" s="28"/>
      <c r="E202" s="29"/>
      <c r="F202" s="28"/>
      <c r="G202" s="30"/>
      <c r="H202" s="31"/>
      <c r="I202" s="32"/>
      <c r="J202" s="29"/>
      <c r="K202" s="31"/>
      <c r="L202" s="32"/>
      <c r="M202" s="29"/>
    </row>
    <row r="203" spans="1:13" x14ac:dyDescent="0.25">
      <c r="A203" s="25"/>
      <c r="B203" s="26"/>
      <c r="C203" s="27"/>
      <c r="D203" s="28"/>
      <c r="E203" s="29"/>
      <c r="F203" s="28"/>
      <c r="G203" s="30"/>
      <c r="H203" s="31"/>
      <c r="I203" s="32"/>
      <c r="J203" s="29"/>
      <c r="K203" s="31"/>
      <c r="L203" s="32"/>
      <c r="M203" s="29"/>
    </row>
    <row r="204" spans="1:13" ht="15.75" thickBot="1" x14ac:dyDescent="0.3">
      <c r="A204" s="33"/>
      <c r="B204" s="34"/>
      <c r="C204" s="35"/>
      <c r="D204" s="36"/>
      <c r="E204" s="37"/>
      <c r="F204" s="36"/>
      <c r="G204" s="38"/>
      <c r="H204" s="39"/>
      <c r="I204" s="40"/>
      <c r="J204" s="37"/>
      <c r="K204" s="39"/>
      <c r="L204" s="40"/>
      <c r="M204" s="37"/>
    </row>
    <row r="205" spans="1:13" ht="39.950000000000003" customHeight="1" thickBot="1" x14ac:dyDescent="0.3">
      <c r="A205" s="41"/>
      <c r="B205" s="42"/>
      <c r="C205" s="42"/>
      <c r="D205" s="43"/>
      <c r="E205" s="43"/>
      <c r="F205" s="43"/>
      <c r="G205" s="42"/>
      <c r="H205" s="43"/>
      <c r="I205" s="43"/>
      <c r="J205" s="43"/>
      <c r="K205" s="43"/>
      <c r="L205" s="43"/>
      <c r="M205" s="44"/>
    </row>
  </sheetData>
  <sheetProtection algorithmName="SHA-512" hashValue="5HyxnPh5yZRUkaWc2XLTyVHPHTS5Fc4WhHk1Fh5uX5m0suvz7RtiYyehg/T4JJFFV4iGc1g6l1M182ZPJauT1w==" saltValue="yRnkkifJD8nuYBd7XdQIRw==" spinCount="100000" sheet="1" objects="1" insertRows="0"/>
  <mergeCells count="12">
    <mergeCell ref="H11:J11"/>
    <mergeCell ref="K11:M11"/>
    <mergeCell ref="A10:C10"/>
    <mergeCell ref="D10:E10"/>
    <mergeCell ref="F10:M10"/>
    <mergeCell ref="A11:A12"/>
    <mergeCell ref="B11:B12"/>
    <mergeCell ref="C11:C12"/>
    <mergeCell ref="D11:D12"/>
    <mergeCell ref="E11:E12"/>
    <mergeCell ref="F11:F12"/>
    <mergeCell ref="G11:G12"/>
  </mergeCells>
  <phoneticPr fontId="25" type="noConversion"/>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AE7A3-D078-4E63-B906-A63E41D7026D}">
  <dimension ref="A8:AD576"/>
  <sheetViews>
    <sheetView topLeftCell="A341" zoomScale="70" zoomScaleNormal="70" workbookViewId="0">
      <selection activeCell="F336" sqref="F336"/>
    </sheetView>
  </sheetViews>
  <sheetFormatPr defaultRowHeight="15" x14ac:dyDescent="0.25"/>
  <cols>
    <col min="1" max="1" width="22.5703125" style="3" customWidth="1"/>
    <col min="2" max="2" width="16.85546875" style="716" customWidth="1"/>
    <col min="3" max="3" width="49.5703125" style="2" bestFit="1" customWidth="1"/>
    <col min="4" max="4" width="2.42578125" style="3" hidden="1" customWidth="1"/>
    <col min="5" max="5" width="9.140625" style="210" customWidth="1"/>
    <col min="6" max="6" width="25.5703125" style="3" customWidth="1"/>
    <col min="7" max="7" width="18.5703125" style="114" customWidth="1"/>
    <col min="8" max="8" width="18.5703125" style="3" customWidth="1"/>
    <col min="9" max="9" width="60.5703125" style="2" customWidth="1"/>
    <col min="10" max="15" width="18.5703125" style="114" customWidth="1"/>
    <col min="16" max="16384" width="9.140625" style="2"/>
  </cols>
  <sheetData>
    <row r="8" spans="1:15" ht="15.75" thickBot="1" x14ac:dyDescent="0.3"/>
    <row r="9" spans="1:15" ht="20.100000000000001" customHeight="1" thickBot="1" x14ac:dyDescent="0.35">
      <c r="A9" s="203"/>
      <c r="B9" s="717"/>
      <c r="C9" s="211"/>
      <c r="D9" s="203"/>
      <c r="E9" s="206"/>
      <c r="F9" s="211"/>
      <c r="G9" s="718"/>
      <c r="H9" s="211"/>
      <c r="I9" s="211"/>
      <c r="J9" s="865" t="s">
        <v>1250</v>
      </c>
      <c r="K9" s="866"/>
      <c r="L9" s="866"/>
      <c r="M9" s="866"/>
      <c r="N9" s="866"/>
      <c r="O9" s="867"/>
    </row>
    <row r="10" spans="1:15" ht="21" thickBot="1" x14ac:dyDescent="0.3">
      <c r="A10" s="868" t="s">
        <v>1251</v>
      </c>
      <c r="B10" s="871" t="s">
        <v>113</v>
      </c>
      <c r="C10" s="872"/>
      <c r="D10" s="873"/>
      <c r="E10" s="877" t="s">
        <v>1252</v>
      </c>
      <c r="F10" s="880" t="s">
        <v>1253</v>
      </c>
      <c r="G10" s="881"/>
      <c r="H10" s="881"/>
      <c r="I10" s="882"/>
      <c r="J10" s="883" t="s">
        <v>1254</v>
      </c>
      <c r="K10" s="884"/>
      <c r="L10" s="885"/>
      <c r="M10" s="889" t="s">
        <v>1255</v>
      </c>
      <c r="N10" s="890"/>
      <c r="O10" s="891"/>
    </row>
    <row r="11" spans="1:15" ht="18.75" thickBot="1" x14ac:dyDescent="0.3">
      <c r="A11" s="869"/>
      <c r="B11" s="874"/>
      <c r="C11" s="875"/>
      <c r="D11" s="876"/>
      <c r="E11" s="878"/>
      <c r="F11" s="895" t="s">
        <v>1256</v>
      </c>
      <c r="G11" s="896"/>
      <c r="H11" s="897" t="s">
        <v>4</v>
      </c>
      <c r="I11" s="897" t="s">
        <v>1257</v>
      </c>
      <c r="J11" s="886"/>
      <c r="K11" s="887"/>
      <c r="L11" s="888"/>
      <c r="M11" s="892"/>
      <c r="N11" s="893"/>
      <c r="O11" s="894"/>
    </row>
    <row r="12" spans="1:15" ht="20.100000000000001" customHeight="1" thickBot="1" x14ac:dyDescent="0.3">
      <c r="A12" s="870"/>
      <c r="B12" s="719" t="s">
        <v>1258</v>
      </c>
      <c r="C12" s="217" t="s">
        <v>116</v>
      </c>
      <c r="D12" s="720" t="s">
        <v>1259</v>
      </c>
      <c r="E12" s="879"/>
      <c r="F12" s="721" t="s">
        <v>1260</v>
      </c>
      <c r="G12" s="722" t="s">
        <v>1261</v>
      </c>
      <c r="H12" s="898"/>
      <c r="I12" s="898"/>
      <c r="J12" s="723" t="s">
        <v>1172</v>
      </c>
      <c r="K12" s="724" t="s">
        <v>1262</v>
      </c>
      <c r="L12" s="725" t="s">
        <v>1174</v>
      </c>
      <c r="M12" s="726" t="s">
        <v>1172</v>
      </c>
      <c r="N12" s="724" t="s">
        <v>1262</v>
      </c>
      <c r="O12" s="727" t="s">
        <v>1174</v>
      </c>
    </row>
    <row r="13" spans="1:15" ht="15.75" customHeight="1" x14ac:dyDescent="0.25">
      <c r="A13" s="204" t="s">
        <v>1175</v>
      </c>
      <c r="B13" s="728" t="s">
        <v>1263</v>
      </c>
      <c r="C13" s="218" t="str">
        <f>IFERROR(IF(B13="No CAS","",INDEX('DEQ Pollutant List'!$C$7:$C$611,MATCH('3. Pollutant Emissions - EF'!B13,'DEQ Pollutant List'!$B$7:$B$611,0))),"")</f>
        <v/>
      </c>
      <c r="D13" s="127" t="str">
        <f>IFERROR(IF(OR($B13="",$B13="No CAS",$B13="18540-29-9",$B13="7440-02-0"),INDEX('DEQ Pollutant List'!$A$7:$A$611,MATCH($C13,'DEQ Pollutant List'!$C$7:$C$611,0)),INDEX('DEQ Pollutant List'!$A$7:$A$611,MATCH($B13,'DEQ Pollutant List'!$B$7:$B$611,0))),"")</f>
        <v/>
      </c>
      <c r="E13" s="207">
        <v>0.97499999999999998</v>
      </c>
      <c r="F13" s="729">
        <v>2.5</v>
      </c>
      <c r="G13" s="730"/>
      <c r="H13" s="127" t="s">
        <v>492</v>
      </c>
      <c r="I13" s="731" t="s">
        <v>1264</v>
      </c>
      <c r="J13" s="732">
        <f>$F13*'2. Emissions Units &amp; Activities'!H$13*(1-$E13)</f>
        <v>6.2500000000000053</v>
      </c>
      <c r="K13" s="733">
        <f>$F13*'2. Emissions Units &amp; Activities'!I$13*(1-$E13)</f>
        <v>8.7500000000000071</v>
      </c>
      <c r="L13" s="734">
        <f>$F13*'2. Emissions Units &amp; Activities'!J$13*(1-$E13)</f>
        <v>12.500000000000011</v>
      </c>
      <c r="M13" s="732">
        <f>$F13*'2. Emissions Units &amp; Activities'!K$13*(1-$E13)</f>
        <v>1.8750000000000017E-2</v>
      </c>
      <c r="N13" s="733">
        <f>$F13*'2. Emissions Units &amp; Activities'!L$13*(1-$E13)</f>
        <v>3.1250000000000028E-2</v>
      </c>
      <c r="O13" s="734">
        <f>$F13*'2. Emissions Units &amp; Activities'!M$13*(1-$E13)</f>
        <v>5.0000000000000044E-2</v>
      </c>
    </row>
    <row r="14" spans="1:15" x14ac:dyDescent="0.25">
      <c r="A14" s="204" t="s">
        <v>1175</v>
      </c>
      <c r="B14" s="735" t="s">
        <v>306</v>
      </c>
      <c r="C14" s="219" t="str">
        <f>IFERROR(IF(B14="No CAS","",INDEX('DEQ Pollutant List'!$C$7:$C$611,MATCH('3. Pollutant Emissions - EF'!B14,'DEQ Pollutant List'!$B$7:$B$611,0))),"")</f>
        <v/>
      </c>
      <c r="D14" s="127" t="str">
        <f>IFERROR(IF(OR($B14="",$B14="No CAS"),INDEX('DEQ Pollutant List'!$A$7:$A$611,MATCH($C14,'DEQ Pollutant List'!$C$7:$C$611,0)),INDEX('DEQ Pollutant List'!$A$7:$A$611,MATCH($B14,'DEQ Pollutant List'!$B$7:$B$611,0))),"")</f>
        <v/>
      </c>
      <c r="E14" s="208">
        <v>0</v>
      </c>
      <c r="F14" s="736">
        <v>0.1</v>
      </c>
      <c r="G14" s="737"/>
      <c r="H14" s="127" t="s">
        <v>492</v>
      </c>
      <c r="I14" s="731" t="s">
        <v>1265</v>
      </c>
      <c r="J14" s="738">
        <f>$F14*'2. Emissions Units &amp; Activities'!H$13*(1-$E14)</f>
        <v>10</v>
      </c>
      <c r="K14" s="739">
        <f>$F14*'2. Emissions Units &amp; Activities'!I$13*(1-$E14)</f>
        <v>14</v>
      </c>
      <c r="L14" s="734">
        <f>$F14*'2. Emissions Units &amp; Activities'!J$13*(1-$E14)</f>
        <v>20</v>
      </c>
      <c r="M14" s="738">
        <f>$F14*'2. Emissions Units &amp; Activities'!K$13*(1-$E14)</f>
        <v>0.03</v>
      </c>
      <c r="N14" s="739">
        <f>$F14*'2. Emissions Units &amp; Activities'!L$13*(1-$E14)</f>
        <v>0.05</v>
      </c>
      <c r="O14" s="734">
        <f>$F14*'2. Emissions Units &amp; Activities'!M$13*(1-$E14)</f>
        <v>8.0000000000000016E-2</v>
      </c>
    </row>
    <row r="15" spans="1:15" ht="47.25" customHeight="1" thickBot="1" x14ac:dyDescent="0.3">
      <c r="A15" s="205"/>
      <c r="B15" s="740"/>
      <c r="C15" s="220" t="str">
        <f>IFERROR(IF(B15="No CAS","",INDEX(#REF!,MATCH('3. Pollutant Emissions - EF'!B15,#REF!,0))),"")</f>
        <v/>
      </c>
      <c r="D15" s="127" t="str">
        <f>IFERROR(IF(OR($B15="",$B15="No CAS"),INDEX('DEQ Pollutant List'!$A$7:$A$611,MATCH($C15,'DEQ Pollutant List'!$C$7:$C$611,0)),INDEX('DEQ Pollutant List'!$A$7:$A$611,MATCH($B15,'DEQ Pollutant List'!$B$7:$B$611,0))),"")</f>
        <v/>
      </c>
      <c r="E15" s="209"/>
      <c r="F15" s="741"/>
      <c r="G15" s="742"/>
      <c r="H15" s="212"/>
      <c r="I15" s="743"/>
      <c r="J15" s="744"/>
      <c r="K15" s="745"/>
      <c r="L15" s="746"/>
      <c r="M15" s="744"/>
      <c r="N15" s="745"/>
      <c r="O15" s="746"/>
    </row>
    <row r="16" spans="1:15" x14ac:dyDescent="0.25">
      <c r="A16" s="134" t="s">
        <v>1181</v>
      </c>
      <c r="B16" s="271" t="s">
        <v>1266</v>
      </c>
      <c r="C16" s="221" t="str">
        <f>IFERROR(IF(B16="No CAS","",INDEX('DEQ Pollutant List'!$B$7:$B$611,MATCH('3. Pollutant Emissions - EF'!B16,'DEQ Pollutant List'!$A$7:$A$611,0))),"")</f>
        <v>1,1,1-Trichloroethane (methyl chloroform)</v>
      </c>
      <c r="E16" s="126">
        <v>0</v>
      </c>
      <c r="F16" s="114">
        <f>Dryer!D15</f>
        <v>2.3599999999999999E-4</v>
      </c>
      <c r="G16" s="114">
        <f>F16</f>
        <v>2.3599999999999999E-4</v>
      </c>
      <c r="H16" s="152" t="s">
        <v>1267</v>
      </c>
      <c r="I16" s="272" t="s">
        <v>379</v>
      </c>
      <c r="J16" s="273">
        <f>(F16*'2. Emissions Units &amp; Activities'!$H$15)</f>
        <v>4.0844048000000001E-2</v>
      </c>
      <c r="K16" s="116">
        <f>(F16*'2. Emissions Units &amp; Activities'!$I$15)</f>
        <v>9.6287999999999999E-2</v>
      </c>
      <c r="L16" s="114">
        <f>K16</f>
        <v>9.6287999999999999E-2</v>
      </c>
      <c r="M16" s="116">
        <f>G16*'2. Emissions Units &amp; Activities'!$K$15</f>
        <v>2.6380273972602739E-4</v>
      </c>
      <c r="N16" s="116">
        <f>G16*'2. Emissions Units &amp; Activities'!$L$15</f>
        <v>2.6380273972602739E-4</v>
      </c>
      <c r="O16" s="263">
        <f>N16</f>
        <v>2.6380273972602739E-4</v>
      </c>
    </row>
    <row r="17" spans="1:15" x14ac:dyDescent="0.25">
      <c r="A17" s="134" t="s">
        <v>1181</v>
      </c>
      <c r="B17" s="274" t="s">
        <v>1268</v>
      </c>
      <c r="C17" s="124" t="str">
        <f>IFERROR(IF(B17="No CAS","",INDEX('DEQ Pollutant List'!$B$7:$B$611,MATCH('3. Pollutant Emissions - EF'!B17,'DEQ Pollutant List'!$A$7:$A$611,0))),"")</f>
        <v>Acenaphthene</v>
      </c>
      <c r="D17" s="127"/>
      <c r="E17" s="126">
        <v>0</v>
      </c>
      <c r="F17" s="114">
        <f>Dryer!D16</f>
        <v>2.1100000000000001E-5</v>
      </c>
      <c r="G17" s="114">
        <f t="shared" ref="G17:G55" si="0">F17</f>
        <v>2.1100000000000001E-5</v>
      </c>
      <c r="H17" s="152" t="s">
        <v>1267</v>
      </c>
      <c r="I17" s="117" t="s">
        <v>379</v>
      </c>
      <c r="J17" s="273">
        <f>(F17*'2. Emissions Units &amp; Activities'!$H$15)</f>
        <v>3.6517348000000005E-3</v>
      </c>
      <c r="K17" s="116">
        <f>(F17*'2. Emissions Units &amp; Activities'!$I$15)</f>
        <v>8.6087999999999998E-3</v>
      </c>
      <c r="L17" s="114">
        <f t="shared" ref="L17:L55" si="1">K17</f>
        <v>8.6087999999999998E-3</v>
      </c>
      <c r="M17" s="116">
        <f>G17*'2. Emissions Units &amp; Activities'!$K$15</f>
        <v>2.3585753424657537E-5</v>
      </c>
      <c r="N17" s="116">
        <f>G17*'2. Emissions Units &amp; Activities'!$L$15</f>
        <v>2.3585753424657537E-5</v>
      </c>
      <c r="O17" s="263">
        <f t="shared" ref="O17:O55" si="2">N17</f>
        <v>2.3585753424657537E-5</v>
      </c>
    </row>
    <row r="18" spans="1:15" x14ac:dyDescent="0.25">
      <c r="A18" s="134" t="s">
        <v>1181</v>
      </c>
      <c r="B18" s="128" t="s">
        <v>1269</v>
      </c>
      <c r="C18" s="124" t="str">
        <f>IFERROR(IF(B18="No CAS","",INDEX('DEQ Pollutant List'!$B$7:$B$611,MATCH('3. Pollutant Emissions - EF'!B18,'DEQ Pollutant List'!$A$7:$A$611,0))),"")</f>
        <v>Acenaphthylene</v>
      </c>
      <c r="D18" s="127" t="str">
        <f>IFERROR(IF(OR($B18="",$B18="No CAS"),INDEX('DEQ Pollutant List'!$A$7:$A$611,MATCH($C18,'DEQ Pollutant List'!$C$7:$C$611,0)),INDEX('DEQ Pollutant List'!$A$7:$A$611,MATCH($B18,'DEQ Pollutant List'!$B$7:$B$611,0))),"")</f>
        <v/>
      </c>
      <c r="E18" s="126">
        <v>0</v>
      </c>
      <c r="F18" s="114">
        <f>Dryer!D17</f>
        <v>2.53E-7</v>
      </c>
      <c r="G18" s="114">
        <f t="shared" si="0"/>
        <v>2.53E-7</v>
      </c>
      <c r="H18" s="152" t="s">
        <v>1267</v>
      </c>
      <c r="I18" s="117" t="s">
        <v>379</v>
      </c>
      <c r="J18" s="273">
        <f>(F18*'2. Emissions Units &amp; Activities'!$H$15)</f>
        <v>4.3786204000000002E-5</v>
      </c>
      <c r="K18" s="116">
        <f>(F18*'2. Emissions Units &amp; Activities'!$I$15)</f>
        <v>1.03224E-4</v>
      </c>
      <c r="L18" s="114">
        <f t="shared" si="1"/>
        <v>1.03224E-4</v>
      </c>
      <c r="M18" s="116">
        <f>G18*'2. Emissions Units &amp; Activities'!$K$15</f>
        <v>2.828054794520548E-7</v>
      </c>
      <c r="N18" s="116">
        <f>G18*'2. Emissions Units &amp; Activities'!$L$15</f>
        <v>2.828054794520548E-7</v>
      </c>
      <c r="O18" s="263">
        <f t="shared" si="2"/>
        <v>2.828054794520548E-7</v>
      </c>
    </row>
    <row r="19" spans="1:15" x14ac:dyDescent="0.25">
      <c r="A19" s="134" t="s">
        <v>1181</v>
      </c>
      <c r="B19" s="128" t="s">
        <v>746</v>
      </c>
      <c r="C19" s="124" t="str">
        <f>IFERROR(IF(B19="No CAS","",INDEX('DEQ Pollutant List'!$B$7:$B$611,MATCH('3. Pollutant Emissions - EF'!B19,'DEQ Pollutant List'!$A$7:$A$611,0))),"")</f>
        <v>Anthracene</v>
      </c>
      <c r="D19" s="127" t="str">
        <f>IFERROR(IF(OR($B19="",$B19="No CAS"),INDEX('DEQ Pollutant List'!$A$7:$A$611,MATCH($C19,'DEQ Pollutant List'!$C$7:$C$611,0)),INDEX('DEQ Pollutant List'!$A$7:$A$611,MATCH($B19,'DEQ Pollutant List'!$B$7:$B$611,0))),"")</f>
        <v/>
      </c>
      <c r="E19" s="126">
        <v>0</v>
      </c>
      <c r="F19" s="114">
        <f>Dryer!D18</f>
        <v>1.22E-6</v>
      </c>
      <c r="G19" s="114">
        <f t="shared" si="0"/>
        <v>1.22E-6</v>
      </c>
      <c r="H19" s="152" t="s">
        <v>1267</v>
      </c>
      <c r="I19" s="117" t="s">
        <v>379</v>
      </c>
      <c r="J19" s="273">
        <f>(F19*'2. Emissions Units &amp; Activities'!$H$15)</f>
        <v>2.1114296E-4</v>
      </c>
      <c r="K19" s="116">
        <f>(F19*'2. Emissions Units &amp; Activities'!$I$15)</f>
        <v>4.9775999999999998E-4</v>
      </c>
      <c r="L19" s="114">
        <f t="shared" si="1"/>
        <v>4.9775999999999998E-4</v>
      </c>
      <c r="M19" s="116">
        <f>G19*'2. Emissions Units &amp; Activities'!$K$15</f>
        <v>1.3637260273972604E-6</v>
      </c>
      <c r="N19" s="116">
        <f>G19*'2. Emissions Units &amp; Activities'!$L$15</f>
        <v>1.3637260273972604E-6</v>
      </c>
      <c r="O19" s="263">
        <f t="shared" si="2"/>
        <v>1.3637260273972604E-6</v>
      </c>
    </row>
    <row r="20" spans="1:15" x14ac:dyDescent="0.25">
      <c r="A20" s="134" t="s">
        <v>1181</v>
      </c>
      <c r="B20" s="128" t="s">
        <v>311</v>
      </c>
      <c r="C20" s="124" t="s">
        <v>1270</v>
      </c>
      <c r="D20" s="127" t="str">
        <f>IFERROR(IF(OR($B20="",$B20="No CAS"),INDEX('DEQ Pollutant List'!$A$7:$A$611,MATCH($C20,'DEQ Pollutant List'!$C$7:$C$611,0)),INDEX('DEQ Pollutant List'!$A$7:$A$611,MATCH($B20,'DEQ Pollutant List'!$B$7:$B$611,0))),"")</f>
        <v/>
      </c>
      <c r="E20" s="126">
        <v>0</v>
      </c>
      <c r="F20" s="114">
        <f>Dryer!D19</f>
        <v>5.2500000000000003E-3</v>
      </c>
      <c r="G20" s="114">
        <f t="shared" si="0"/>
        <v>5.2500000000000003E-3</v>
      </c>
      <c r="H20" s="152" t="s">
        <v>1267</v>
      </c>
      <c r="I20" s="117" t="s">
        <v>379</v>
      </c>
      <c r="J20" s="273">
        <f>(F20*'2. Emissions Units &amp; Activities'!$H$15)</f>
        <v>0.90860700000000016</v>
      </c>
      <c r="K20" s="116">
        <f>(F20*'2. Emissions Units &amp; Activities'!$I$15)</f>
        <v>2.1420000000000003</v>
      </c>
      <c r="L20" s="114">
        <f t="shared" si="1"/>
        <v>2.1420000000000003</v>
      </c>
      <c r="M20" s="116">
        <f>G20*'2. Emissions Units &amp; Activities'!$K$15</f>
        <v>5.8684931506849322E-3</v>
      </c>
      <c r="N20" s="116">
        <f>G20*'2. Emissions Units &amp; Activities'!$L$15</f>
        <v>5.8684931506849322E-3</v>
      </c>
      <c r="O20" s="263">
        <f t="shared" si="2"/>
        <v>5.8684931506849322E-3</v>
      </c>
    </row>
    <row r="21" spans="1:15" x14ac:dyDescent="0.25">
      <c r="A21" s="134" t="s">
        <v>1181</v>
      </c>
      <c r="B21" s="128" t="s">
        <v>306</v>
      </c>
      <c r="C21" s="124" t="str">
        <f>IFERROR(IF(B21="No CAS","",INDEX('DEQ Pollutant List'!$B$7:$B$611,MATCH('3. Pollutant Emissions - EF'!B21,'DEQ Pollutant List'!$A$7:$A$611,0))),"")</f>
        <v>Arsenic and compounds</v>
      </c>
      <c r="D21" s="127" t="str">
        <f>IFERROR(IF(OR($B21="",$B21="No CAS"),INDEX('DEQ Pollutant List'!$A$7:$A$611,MATCH($C21,'DEQ Pollutant List'!$C$7:$C$611,0)),INDEX('DEQ Pollutant List'!$A$7:$A$611,MATCH($B21,'DEQ Pollutant List'!$B$7:$B$611,0))),"")</f>
        <v/>
      </c>
      <c r="E21" s="126">
        <v>0</v>
      </c>
      <c r="F21" s="114">
        <f>Dryer!D20</f>
        <v>3.9399999999999999E-3</v>
      </c>
      <c r="G21" s="114">
        <f t="shared" si="0"/>
        <v>3.9399999999999999E-3</v>
      </c>
      <c r="H21" s="152" t="s">
        <v>1267</v>
      </c>
      <c r="I21" s="117" t="s">
        <v>383</v>
      </c>
      <c r="J21" s="273">
        <f>(F21*'2. Emissions Units &amp; Activities'!$H$15)</f>
        <v>0.68188791999999998</v>
      </c>
      <c r="K21" s="116">
        <f>(F21*'2. Emissions Units &amp; Activities'!$I$15)</f>
        <v>1.6075200000000001</v>
      </c>
      <c r="L21" s="114">
        <f t="shared" si="1"/>
        <v>1.6075200000000001</v>
      </c>
      <c r="M21" s="116">
        <f>G21*'2. Emissions Units &amp; Activities'!$K$15</f>
        <v>4.4041643835616437E-3</v>
      </c>
      <c r="N21" s="116">
        <f>G21*'2. Emissions Units &amp; Activities'!$L$15</f>
        <v>4.4041643835616437E-3</v>
      </c>
      <c r="O21" s="263">
        <f t="shared" si="2"/>
        <v>4.4041643835616437E-3</v>
      </c>
    </row>
    <row r="22" spans="1:15" x14ac:dyDescent="0.25">
      <c r="A22" s="134" t="s">
        <v>1181</v>
      </c>
      <c r="B22" s="128" t="s">
        <v>142</v>
      </c>
      <c r="C22" s="124" t="str">
        <f>IFERROR(IF(B22="No CAS","",INDEX('DEQ Pollutant List'!$B$7:$B$611,MATCH('3. Pollutant Emissions - EF'!B22,'DEQ Pollutant List'!$A$7:$A$611,0))),"")</f>
        <v>Barium and compounds</v>
      </c>
      <c r="D22" s="127" t="str">
        <f>IFERROR(IF(OR($B22="",$B22="No CAS"),INDEX('DEQ Pollutant List'!$A$7:$A$611,MATCH($C22,'DEQ Pollutant List'!$C$7:$C$611,0)),INDEX('DEQ Pollutant List'!$A$7:$A$611,MATCH($B22,'DEQ Pollutant List'!$B$7:$B$611,0))),"")</f>
        <v/>
      </c>
      <c r="E22" s="126">
        <v>0</v>
      </c>
      <c r="F22" s="114">
        <f>Dryer!D21</f>
        <v>2.5699999999999998E-3</v>
      </c>
      <c r="G22" s="114">
        <f t="shared" si="0"/>
        <v>2.5699999999999998E-3</v>
      </c>
      <c r="H22" s="152" t="s">
        <v>1267</v>
      </c>
      <c r="I22" s="117" t="s">
        <v>379</v>
      </c>
      <c r="J22" s="273">
        <f>(F22*'2. Emissions Units &amp; Activities'!$H$15)</f>
        <v>0.44478476</v>
      </c>
      <c r="K22" s="116">
        <f>(F22*'2. Emissions Units &amp; Activities'!$I$15)</f>
        <v>1.0485599999999999</v>
      </c>
      <c r="L22" s="114">
        <f t="shared" si="1"/>
        <v>1.0485599999999999</v>
      </c>
      <c r="M22" s="116">
        <f>G22*'2. Emissions Units &amp; Activities'!$K$15</f>
        <v>2.8727671232876713E-3</v>
      </c>
      <c r="N22" s="116">
        <f>G22*'2. Emissions Units &amp; Activities'!$L$15</f>
        <v>2.8727671232876713E-3</v>
      </c>
      <c r="O22" s="263">
        <f t="shared" si="2"/>
        <v>2.8727671232876713E-3</v>
      </c>
    </row>
    <row r="23" spans="1:15" x14ac:dyDescent="0.25">
      <c r="A23" s="134" t="s">
        <v>1181</v>
      </c>
      <c r="B23" s="128" t="s">
        <v>1271</v>
      </c>
      <c r="C23" s="124" t="str">
        <f>IFERROR(IF(B23="No CAS","",INDEX('DEQ Pollutant List'!$B$7:$B$611,MATCH('3. Pollutant Emissions - EF'!B23,'DEQ Pollutant List'!$A$7:$A$611,0))),"")</f>
        <v>Benz[a]anthracene</v>
      </c>
      <c r="D23" s="127" t="str">
        <f>IFERROR(IF(OR($B23="",$B23="No CAS"),INDEX('DEQ Pollutant List'!$A$7:$A$611,MATCH($C23,'DEQ Pollutant List'!$C$7:$C$611,0)),INDEX('DEQ Pollutant List'!$A$7:$A$611,MATCH($B23,'DEQ Pollutant List'!$B$7:$B$611,0))),"")</f>
        <v/>
      </c>
      <c r="E23" s="126">
        <v>0</v>
      </c>
      <c r="F23" s="114">
        <f>Dryer!D22</f>
        <v>4.0099999999999997E-6</v>
      </c>
      <c r="G23" s="114">
        <f t="shared" si="0"/>
        <v>4.0099999999999997E-6</v>
      </c>
      <c r="H23" s="152" t="s">
        <v>1267</v>
      </c>
      <c r="I23" s="117" t="s">
        <v>379</v>
      </c>
      <c r="J23" s="273">
        <f>(F23*'2. Emissions Units &amp; Activities'!$H$15)</f>
        <v>6.9400267999999998E-4</v>
      </c>
      <c r="K23" s="116">
        <f>(F23*'2. Emissions Units &amp; Activities'!$I$15)</f>
        <v>1.6360799999999998E-3</v>
      </c>
      <c r="L23" s="114">
        <f t="shared" si="1"/>
        <v>1.6360799999999998E-3</v>
      </c>
      <c r="M23" s="116">
        <f>G23*'2. Emissions Units &amp; Activities'!$K$15</f>
        <v>4.4824109589041092E-6</v>
      </c>
      <c r="N23" s="116">
        <f>G23*'2. Emissions Units &amp; Activities'!$L$15</f>
        <v>4.4824109589041092E-6</v>
      </c>
      <c r="O23" s="263">
        <f t="shared" si="2"/>
        <v>4.4824109589041092E-6</v>
      </c>
    </row>
    <row r="24" spans="1:15" x14ac:dyDescent="0.25">
      <c r="A24" s="134" t="s">
        <v>1181</v>
      </c>
      <c r="B24" s="128" t="s">
        <v>601</v>
      </c>
      <c r="C24" s="124" t="str">
        <f>IFERROR(IF(B24="No CAS","",INDEX('DEQ Pollutant List'!$B$7:$B$611,MATCH('3. Pollutant Emissions - EF'!B24,'DEQ Pollutant List'!$A$7:$A$611,0))),"")</f>
        <v>Benzene</v>
      </c>
      <c r="D24" s="127" t="str">
        <f>IFERROR(IF(OR($B24="",$B24="No CAS"),INDEX('DEQ Pollutant List'!$A$7:$A$611,MATCH($C24,'DEQ Pollutant List'!$C$7:$C$611,0)),INDEX('DEQ Pollutant List'!$A$7:$A$611,MATCH($B24,'DEQ Pollutant List'!$B$7:$B$611,0))),"")</f>
        <v/>
      </c>
      <c r="E24" s="126">
        <v>0</v>
      </c>
      <c r="F24" s="114">
        <f>Dryer!D23</f>
        <v>2.14E-4</v>
      </c>
      <c r="G24" s="114">
        <f t="shared" si="0"/>
        <v>2.14E-4</v>
      </c>
      <c r="H24" s="152" t="s">
        <v>1267</v>
      </c>
      <c r="I24" s="117" t="s">
        <v>379</v>
      </c>
      <c r="J24" s="273">
        <f>(F24*'2. Emissions Units &amp; Activities'!$H$15)</f>
        <v>3.7036552E-2</v>
      </c>
      <c r="K24" s="116">
        <f>(F24*'2. Emissions Units &amp; Activities'!$I$15)</f>
        <v>8.7312000000000001E-2</v>
      </c>
      <c r="L24" s="114">
        <f t="shared" si="1"/>
        <v>8.7312000000000001E-2</v>
      </c>
      <c r="M24" s="116">
        <f>G24*'2. Emissions Units &amp; Activities'!$K$15</f>
        <v>2.3921095890410961E-4</v>
      </c>
      <c r="N24" s="116">
        <f>G24*'2. Emissions Units &amp; Activities'!$L$15</f>
        <v>2.3921095890410961E-4</v>
      </c>
      <c r="O24" s="263">
        <f t="shared" si="2"/>
        <v>2.3921095890410961E-4</v>
      </c>
    </row>
    <row r="25" spans="1:15" x14ac:dyDescent="0.25">
      <c r="A25" s="134" t="s">
        <v>1181</v>
      </c>
      <c r="B25" s="128" t="s">
        <v>1272</v>
      </c>
      <c r="C25" s="124" t="str">
        <f>IFERROR(IF(B25="No CAS","",INDEX('DEQ Pollutant List'!$B$7:$B$611,MATCH('3. Pollutant Emissions - EF'!B25,'DEQ Pollutant List'!$A$7:$A$611,0))),"")</f>
        <v>Benzo[b]fluoranthene</v>
      </c>
      <c r="D25" s="127" t="str">
        <f>IFERROR(IF(OR($B25="",$B25="No CAS"),INDEX('DEQ Pollutant List'!$A$7:$A$611,MATCH($C25,'DEQ Pollutant List'!$C$7:$C$611,0)),INDEX('DEQ Pollutant List'!$A$7:$A$611,MATCH($B25,'DEQ Pollutant List'!$B$7:$B$611,0))),"")</f>
        <v/>
      </c>
      <c r="E25" s="126">
        <v>0</v>
      </c>
      <c r="F25" s="114">
        <f>Dryer!D24</f>
        <v>1.48E-6</v>
      </c>
      <c r="G25" s="114">
        <f t="shared" si="0"/>
        <v>1.48E-6</v>
      </c>
      <c r="H25" s="152" t="s">
        <v>1267</v>
      </c>
      <c r="I25" s="117" t="s">
        <v>379</v>
      </c>
      <c r="J25" s="273">
        <f>(F25*'2. Emissions Units &amp; Activities'!$H$15)</f>
        <v>2.5614064000000001E-4</v>
      </c>
      <c r="K25" s="116">
        <f>(F25*'2. Emissions Units &amp; Activities'!$I$15)</f>
        <v>6.0384000000000002E-4</v>
      </c>
      <c r="L25" s="114">
        <f t="shared" si="1"/>
        <v>6.0384000000000002E-4</v>
      </c>
      <c r="M25" s="116">
        <f>G25*'2. Emissions Units &amp; Activities'!$K$15</f>
        <v>1.6543561643835617E-6</v>
      </c>
      <c r="N25" s="116">
        <f>G25*'2. Emissions Units &amp; Activities'!$L$15</f>
        <v>1.6543561643835617E-6</v>
      </c>
      <c r="O25" s="263">
        <f t="shared" si="2"/>
        <v>1.6543561643835617E-6</v>
      </c>
    </row>
    <row r="26" spans="1:15" x14ac:dyDescent="0.25">
      <c r="A26" s="134" t="s">
        <v>1181</v>
      </c>
      <c r="B26" s="128" t="s">
        <v>602</v>
      </c>
      <c r="C26" s="124" t="str">
        <f>IFERROR(IF(B26="No CAS","",INDEX('DEQ Pollutant List'!$B$7:$B$611,MATCH('3. Pollutant Emissions - EF'!B26,'DEQ Pollutant List'!$A$7:$A$611,0))),"")</f>
        <v>Benzo[g,h,i]perylene</v>
      </c>
      <c r="D26" s="127" t="str">
        <f>IFERROR(IF(OR($B26="",$B26="No CAS"),INDEX('DEQ Pollutant List'!$A$7:$A$611,MATCH($C26,'DEQ Pollutant List'!$C$7:$C$611,0)),INDEX('DEQ Pollutant List'!$A$7:$A$611,MATCH($B26,'DEQ Pollutant List'!$B$7:$B$611,0))),"")</f>
        <v/>
      </c>
      <c r="E26" s="126">
        <v>0</v>
      </c>
      <c r="F26" s="114">
        <f>Dryer!D25</f>
        <v>2.26E-6</v>
      </c>
      <c r="G26" s="114">
        <f t="shared" si="0"/>
        <v>2.26E-6</v>
      </c>
      <c r="H26" s="152" t="s">
        <v>1267</v>
      </c>
      <c r="I26" s="117" t="s">
        <v>379</v>
      </c>
      <c r="J26" s="273">
        <f>(F26*'2. Emissions Units &amp; Activities'!$H$15)</f>
        <v>3.9113368000000004E-4</v>
      </c>
      <c r="K26" s="116">
        <f>(F26*'2. Emissions Units &amp; Activities'!$I$15)</f>
        <v>9.2208000000000004E-4</v>
      </c>
      <c r="L26" s="114">
        <f t="shared" si="1"/>
        <v>9.2208000000000004E-4</v>
      </c>
      <c r="M26" s="116">
        <f>G26*'2. Emissions Units &amp; Activities'!$K$15</f>
        <v>2.5262465753424657E-6</v>
      </c>
      <c r="N26" s="116">
        <f>G26*'2. Emissions Units &amp; Activities'!$L$15</f>
        <v>2.5262465753424657E-6</v>
      </c>
      <c r="O26" s="263">
        <f t="shared" si="2"/>
        <v>2.5262465753424657E-6</v>
      </c>
    </row>
    <row r="27" spans="1:15" x14ac:dyDescent="0.25">
      <c r="A27" s="134" t="s">
        <v>1181</v>
      </c>
      <c r="B27" s="128" t="s">
        <v>307</v>
      </c>
      <c r="C27" s="124" t="str">
        <f>IFERROR(IF(B27="No CAS","",INDEX('DEQ Pollutant List'!$B$7:$B$611,MATCH('3. Pollutant Emissions - EF'!B27,'DEQ Pollutant List'!$A$7:$A$611,0))),"")</f>
        <v>Beryllium and compounds</v>
      </c>
      <c r="D27" s="127" t="str">
        <f>IFERROR(IF(OR($B27="",$B27="No CAS"),INDEX('DEQ Pollutant List'!$A$7:$A$611,MATCH($C27,'DEQ Pollutant List'!$C$7:$C$611,0)),INDEX('DEQ Pollutant List'!$A$7:$A$611,MATCH($B27,'DEQ Pollutant List'!$B$7:$B$611,0))),"")</f>
        <v/>
      </c>
      <c r="E27" s="126">
        <v>0</v>
      </c>
      <c r="F27" s="114">
        <f>Dryer!D26</f>
        <v>2.7800000000000001E-5</v>
      </c>
      <c r="G27" s="114">
        <f t="shared" si="0"/>
        <v>2.7800000000000001E-5</v>
      </c>
      <c r="H27" s="152" t="s">
        <v>1267</v>
      </c>
      <c r="I27" s="117" t="s">
        <v>379</v>
      </c>
      <c r="J27" s="273">
        <f>(F27*'2. Emissions Units &amp; Activities'!$H$15)</f>
        <v>4.8112904000000003E-3</v>
      </c>
      <c r="K27" s="116">
        <f>(F27*'2. Emissions Units &amp; Activities'!$I$15)</f>
        <v>1.1342400000000001E-2</v>
      </c>
      <c r="L27" s="114">
        <f t="shared" si="1"/>
        <v>1.1342400000000001E-2</v>
      </c>
      <c r="M27" s="116">
        <f>G27*'2. Emissions Units &amp; Activities'!$K$15</f>
        <v>3.1075068493150689E-5</v>
      </c>
      <c r="N27" s="116">
        <f>G27*'2. Emissions Units &amp; Activities'!$L$15</f>
        <v>3.1075068493150689E-5</v>
      </c>
      <c r="O27" s="263">
        <f t="shared" si="2"/>
        <v>3.1075068493150689E-5</v>
      </c>
    </row>
    <row r="28" spans="1:15" x14ac:dyDescent="0.25">
      <c r="A28" s="134" t="s">
        <v>1181</v>
      </c>
      <c r="B28" s="128" t="s">
        <v>308</v>
      </c>
      <c r="C28" s="124" t="str">
        <f>IFERROR(IF(B28="No CAS","",INDEX('DEQ Pollutant List'!$B$7:$B$611,MATCH('3. Pollutant Emissions - EF'!B28,'DEQ Pollutant List'!$A$7:$A$611,0))),"")</f>
        <v>Cadmium and compounds</v>
      </c>
      <c r="D28" s="127" t="str">
        <f>IFERROR(IF(OR($B28="",$B28="No CAS"),INDEX('DEQ Pollutant List'!$A$7:$A$611,MATCH($C28,'DEQ Pollutant List'!$C$7:$C$611,0)),INDEX('DEQ Pollutant List'!$A$7:$A$611,MATCH($B28,'DEQ Pollutant List'!$B$7:$B$611,0))),"")</f>
        <v/>
      </c>
      <c r="E28" s="126">
        <v>0</v>
      </c>
      <c r="F28" s="114">
        <f>Dryer!D27</f>
        <v>3.9399999999999998E-4</v>
      </c>
      <c r="G28" s="114">
        <f t="shared" si="0"/>
        <v>3.9399999999999998E-4</v>
      </c>
      <c r="H28" s="152" t="s">
        <v>1267</v>
      </c>
      <c r="I28" s="117" t="s">
        <v>388</v>
      </c>
      <c r="J28" s="273">
        <f>(F28*'2. Emissions Units &amp; Activities'!$H$15)</f>
        <v>6.8188791999999998E-2</v>
      </c>
      <c r="K28" s="116">
        <f>(F28*'2. Emissions Units &amp; Activities'!$I$15)</f>
        <v>0.16075200000000001</v>
      </c>
      <c r="L28" s="114">
        <f t="shared" si="1"/>
        <v>0.16075200000000001</v>
      </c>
      <c r="M28" s="116">
        <f>G28*'2. Emissions Units &amp; Activities'!$K$15</f>
        <v>4.4041643835616442E-4</v>
      </c>
      <c r="N28" s="116">
        <f>G28*'2. Emissions Units &amp; Activities'!$L$15</f>
        <v>4.4041643835616442E-4</v>
      </c>
      <c r="O28" s="263">
        <f t="shared" si="2"/>
        <v>4.4041643835616442E-4</v>
      </c>
    </row>
    <row r="29" spans="1:15" x14ac:dyDescent="0.25">
      <c r="A29" s="134" t="s">
        <v>1181</v>
      </c>
      <c r="B29" s="128" t="s">
        <v>55</v>
      </c>
      <c r="C29" s="124" t="str">
        <f>IFERROR(IF(B29="No CAS","",INDEX('DEQ Pollutant List'!$B$7:$B$611,MATCH('3. Pollutant Emissions - EF'!B29,'DEQ Pollutant List'!$A$7:$A$611,0))),"")</f>
        <v>Chromium VI, chromate and dichromate particulate</v>
      </c>
      <c r="D29" s="127" t="str">
        <f>IFERROR(IF(OR($B29="",$B29="No CAS"),INDEX('DEQ Pollutant List'!$A$7:$A$611,MATCH($C29,'DEQ Pollutant List'!$C$7:$C$611,0)),INDEX('DEQ Pollutant List'!$A$7:$A$611,MATCH($B29,'DEQ Pollutant List'!$B$7:$B$611,0))),"")</f>
        <v/>
      </c>
      <c r="E29" s="126">
        <v>0</v>
      </c>
      <c r="F29" s="114">
        <f>Dryer!D28</f>
        <v>2.4800000000000001E-4</v>
      </c>
      <c r="G29" s="114">
        <f t="shared" si="0"/>
        <v>2.4800000000000001E-4</v>
      </c>
      <c r="H29" s="152" t="s">
        <v>1267</v>
      </c>
      <c r="I29" s="117" t="s">
        <v>379</v>
      </c>
      <c r="J29" s="273">
        <f>(F29*'2. Emissions Units &amp; Activities'!$H$15)</f>
        <v>4.2920864000000003E-2</v>
      </c>
      <c r="K29" s="116">
        <f>(F29*'2. Emissions Units &amp; Activities'!$I$15)</f>
        <v>0.10118400000000001</v>
      </c>
      <c r="L29" s="114">
        <f t="shared" si="1"/>
        <v>0.10118400000000001</v>
      </c>
      <c r="M29" s="116">
        <f>G29*'2. Emissions Units &amp; Activities'!$K$15</f>
        <v>2.7721643835616441E-4</v>
      </c>
      <c r="N29" s="116">
        <f>G29*'2. Emissions Units &amp; Activities'!$L$15</f>
        <v>2.7721643835616441E-4</v>
      </c>
      <c r="O29" s="263">
        <f t="shared" si="2"/>
        <v>2.7721643835616441E-4</v>
      </c>
    </row>
    <row r="30" spans="1:15" x14ac:dyDescent="0.25">
      <c r="A30" s="134" t="s">
        <v>1181</v>
      </c>
      <c r="B30" s="128" t="s">
        <v>605</v>
      </c>
      <c r="C30" s="124" t="str">
        <f>IFERROR(IF(B30="No CAS","",INDEX('DEQ Pollutant List'!$B$7:$B$611,MATCH('3. Pollutant Emissions - EF'!B30,'DEQ Pollutant List'!$A$7:$A$611,0))),"")</f>
        <v>Chrysene</v>
      </c>
      <c r="D30" s="127" t="str">
        <f>IFERROR(IF(OR($B30="",$B30="No CAS"),INDEX('DEQ Pollutant List'!$A$7:$A$611,MATCH($C30,'DEQ Pollutant List'!$C$7:$C$611,0)),INDEX('DEQ Pollutant List'!$A$7:$A$611,MATCH($B30,'DEQ Pollutant List'!$B$7:$B$611,0))),"")</f>
        <v/>
      </c>
      <c r="E30" s="126">
        <v>0</v>
      </c>
      <c r="F30" s="114">
        <f>Dryer!D29</f>
        <v>2.3800000000000001E-6</v>
      </c>
      <c r="G30" s="114">
        <f t="shared" si="0"/>
        <v>2.3800000000000001E-6</v>
      </c>
      <c r="H30" s="152" t="s">
        <v>1267</v>
      </c>
      <c r="I30" s="117" t="s">
        <v>379</v>
      </c>
      <c r="J30" s="273">
        <f>(F30*'2. Emissions Units &amp; Activities'!$H$15)</f>
        <v>4.1190184000000006E-4</v>
      </c>
      <c r="K30" s="116">
        <f>(F30*'2. Emissions Units &amp; Activities'!$I$15)</f>
        <v>9.7104000000000005E-4</v>
      </c>
      <c r="L30" s="114">
        <f t="shared" si="1"/>
        <v>9.7104000000000005E-4</v>
      </c>
      <c r="M30" s="116">
        <f>G30*'2. Emissions Units &amp; Activities'!$K$15</f>
        <v>2.660383561643836E-6</v>
      </c>
      <c r="N30" s="116">
        <f>G30*'2. Emissions Units &amp; Activities'!$L$15</f>
        <v>2.660383561643836E-6</v>
      </c>
      <c r="O30" s="263">
        <f t="shared" si="2"/>
        <v>2.660383561643836E-6</v>
      </c>
    </row>
    <row r="31" spans="1:15" x14ac:dyDescent="0.25">
      <c r="A31" s="134" t="s">
        <v>1181</v>
      </c>
      <c r="B31" s="128" t="s">
        <v>147</v>
      </c>
      <c r="C31" s="124" t="str">
        <f>IFERROR(IF(B31="No CAS","",INDEX('DEQ Pollutant List'!$B$7:$B$611,MATCH('3. Pollutant Emissions - EF'!B31,'DEQ Pollutant List'!$A$7:$A$611,0))),"")</f>
        <v>Cobalt and compounds</v>
      </c>
      <c r="D31" s="127" t="str">
        <f>IFERROR(IF(OR($B31="",$B31="No CAS"),INDEX('DEQ Pollutant List'!$A$7:$A$611,MATCH($C31,'DEQ Pollutant List'!$C$7:$C$611,0)),INDEX('DEQ Pollutant List'!$A$7:$A$611,MATCH($B31,'DEQ Pollutant List'!$B$7:$B$611,0))),"")</f>
        <v/>
      </c>
      <c r="E31" s="126">
        <v>0</v>
      </c>
      <c r="F31" s="114">
        <f>Dryer!D30</f>
        <v>6.0200000000000002E-3</v>
      </c>
      <c r="G31" s="114">
        <f t="shared" si="0"/>
        <v>6.0200000000000002E-3</v>
      </c>
      <c r="H31" s="152" t="s">
        <v>1267</v>
      </c>
      <c r="I31" s="117" t="s">
        <v>379</v>
      </c>
      <c r="J31" s="273">
        <f>(F31*'2. Emissions Units &amp; Activities'!$H$15)</f>
        <v>1.0418693600000002</v>
      </c>
      <c r="K31" s="116">
        <f>(F31*'2. Emissions Units &amp; Activities'!$I$15)</f>
        <v>2.4561600000000001</v>
      </c>
      <c r="L31" s="114">
        <f t="shared" si="1"/>
        <v>2.4561600000000001</v>
      </c>
      <c r="M31" s="116">
        <f>G31*'2. Emissions Units &amp; Activities'!$K$15</f>
        <v>6.7292054794520556E-3</v>
      </c>
      <c r="N31" s="116">
        <f>G31*'2. Emissions Units &amp; Activities'!$L$15</f>
        <v>6.7292054794520556E-3</v>
      </c>
      <c r="O31" s="263">
        <f t="shared" si="2"/>
        <v>6.7292054794520556E-3</v>
      </c>
    </row>
    <row r="32" spans="1:15" x14ac:dyDescent="0.25">
      <c r="A32" s="134" t="s">
        <v>1181</v>
      </c>
      <c r="B32" s="128" t="s">
        <v>205</v>
      </c>
      <c r="C32" s="124" t="str">
        <f>IFERROR(IF(B32="No CAS","",INDEX('DEQ Pollutant List'!$B$7:$B$611,MATCH('3. Pollutant Emissions - EF'!B32,'DEQ Pollutant List'!$A$7:$A$611,0))),"")</f>
        <v>Copper and compounds</v>
      </c>
      <c r="D32" s="127" t="str">
        <f>IFERROR(IF(OR($B32="",$B32="No CAS"),INDEX('DEQ Pollutant List'!$A$7:$A$611,MATCH($C32,'DEQ Pollutant List'!$C$7:$C$611,0)),INDEX('DEQ Pollutant List'!$A$7:$A$611,MATCH($B32,'DEQ Pollutant List'!$B$7:$B$611,0))),"")</f>
        <v/>
      </c>
      <c r="E32" s="126">
        <v>0</v>
      </c>
      <c r="F32" s="114">
        <f>Dryer!D31</f>
        <v>1.7600000000000001E-3</v>
      </c>
      <c r="G32" s="114">
        <f t="shared" si="0"/>
        <v>1.7600000000000001E-3</v>
      </c>
      <c r="H32" s="152" t="s">
        <v>1267</v>
      </c>
      <c r="I32" s="117" t="s">
        <v>379</v>
      </c>
      <c r="J32" s="273">
        <f>(F32*'2. Emissions Units &amp; Activities'!$H$15)</f>
        <v>0.30459968000000004</v>
      </c>
      <c r="K32" s="116">
        <f>(F32*'2. Emissions Units &amp; Activities'!$I$15)</f>
        <v>0.71808000000000005</v>
      </c>
      <c r="L32" s="114">
        <f t="shared" si="1"/>
        <v>0.71808000000000005</v>
      </c>
      <c r="M32" s="116">
        <f>G32*'2. Emissions Units &amp; Activities'!$K$15</f>
        <v>1.9673424657534249E-3</v>
      </c>
      <c r="N32" s="116">
        <f>G32*'2. Emissions Units &amp; Activities'!$L$15</f>
        <v>1.9673424657534249E-3</v>
      </c>
      <c r="O32" s="263">
        <f t="shared" si="2"/>
        <v>1.9673424657534249E-3</v>
      </c>
    </row>
    <row r="33" spans="1:30" x14ac:dyDescent="0.25">
      <c r="A33" s="134" t="s">
        <v>1181</v>
      </c>
      <c r="B33" s="128" t="s">
        <v>1273</v>
      </c>
      <c r="C33" s="124" t="str">
        <f>IFERROR(IF(B33="No CAS","",INDEX('DEQ Pollutant List'!$B$7:$B$611,MATCH('3. Pollutant Emissions - EF'!B33,'DEQ Pollutant List'!$A$7:$A$611,0))),"")</f>
        <v>Dibenz[a,h]anthracene</v>
      </c>
      <c r="D33" s="127"/>
      <c r="E33" s="126">
        <v>0</v>
      </c>
      <c r="F33" s="114">
        <f>Dryer!D32</f>
        <v>1.6700000000000001E-6</v>
      </c>
      <c r="G33" s="114">
        <f t="shared" si="0"/>
        <v>1.6700000000000001E-6</v>
      </c>
      <c r="H33" s="152" t="s">
        <v>1267</v>
      </c>
      <c r="I33" s="117" t="s">
        <v>379</v>
      </c>
      <c r="J33" s="273">
        <f>(F33*'2. Emissions Units &amp; Activities'!$H$15)</f>
        <v>2.8902356000000005E-4</v>
      </c>
      <c r="K33" s="116">
        <f>(F33*'2. Emissions Units &amp; Activities'!$I$15)</f>
        <v>6.8136E-4</v>
      </c>
      <c r="L33" s="114">
        <f t="shared" si="1"/>
        <v>6.8136E-4</v>
      </c>
      <c r="M33" s="116">
        <f>G33*'2. Emissions Units &amp; Activities'!$K$15</f>
        <v>1.8667397260273975E-6</v>
      </c>
      <c r="N33" s="116">
        <f>G33*'2. Emissions Units &amp; Activities'!$L$15</f>
        <v>1.8667397260273975E-6</v>
      </c>
      <c r="O33" s="263">
        <f t="shared" si="2"/>
        <v>1.8667397260273975E-6</v>
      </c>
    </row>
    <row r="34" spans="1:30" x14ac:dyDescent="0.25">
      <c r="A34" s="134" t="s">
        <v>1181</v>
      </c>
      <c r="B34" s="128" t="s">
        <v>151</v>
      </c>
      <c r="C34" s="124" t="str">
        <f>IFERROR(IF(B34="No CAS","",INDEX('DEQ Pollutant List'!$B$7:$B$611,MATCH('3. Pollutant Emissions - EF'!B34,'DEQ Pollutant List'!$A$7:$A$611,0))),"")</f>
        <v>Ethyl benzene</v>
      </c>
      <c r="D34" s="127"/>
      <c r="E34" s="126">
        <v>0</v>
      </c>
      <c r="F34" s="114">
        <f>Dryer!D33</f>
        <v>6.3600000000000001E-5</v>
      </c>
      <c r="G34" s="114">
        <f t="shared" si="0"/>
        <v>6.3600000000000001E-5</v>
      </c>
      <c r="H34" s="152" t="s">
        <v>1267</v>
      </c>
      <c r="I34" s="117" t="s">
        <v>379</v>
      </c>
      <c r="J34" s="273">
        <f>(F34*'2. Emissions Units &amp; Activities'!$H$15)</f>
        <v>1.10071248E-2</v>
      </c>
      <c r="K34" s="116">
        <f>(F34*'2. Emissions Units &amp; Activities'!$I$15)</f>
        <v>2.5948800000000001E-2</v>
      </c>
      <c r="L34" s="114">
        <f t="shared" si="1"/>
        <v>2.5948800000000001E-2</v>
      </c>
      <c r="M34" s="116">
        <f>G34*'2. Emissions Units &amp; Activities'!$K$15</f>
        <v>7.1092602739726039E-5</v>
      </c>
      <c r="N34" s="116">
        <f>G34*'2. Emissions Units &amp; Activities'!$L$15</f>
        <v>7.1092602739726039E-5</v>
      </c>
      <c r="O34" s="263">
        <f t="shared" si="2"/>
        <v>7.1092602739726039E-5</v>
      </c>
    </row>
    <row r="35" spans="1:30" x14ac:dyDescent="0.25">
      <c r="A35" s="134" t="s">
        <v>1181</v>
      </c>
      <c r="B35" s="128" t="s">
        <v>1274</v>
      </c>
      <c r="C35" s="124" t="str">
        <f>IFERROR(IF(B35="No CAS","",INDEX('DEQ Pollutant List'!$B$7:$B$611,MATCH('3. Pollutant Emissions - EF'!B35,'DEQ Pollutant List'!$A$7:$A$611,0))),"")</f>
        <v>Fluoranthene</v>
      </c>
      <c r="D35" s="127"/>
      <c r="E35" s="126">
        <v>0</v>
      </c>
      <c r="F35" s="114">
        <f>Dryer!D34</f>
        <v>4.8400000000000002E-6</v>
      </c>
      <c r="G35" s="114">
        <f t="shared" si="0"/>
        <v>4.8400000000000002E-6</v>
      </c>
      <c r="H35" s="152" t="s">
        <v>1267</v>
      </c>
      <c r="I35" s="117" t="s">
        <v>379</v>
      </c>
      <c r="J35" s="273">
        <f>(F35*'2. Emissions Units &amp; Activities'!$H$15)</f>
        <v>8.3764912000000005E-4</v>
      </c>
      <c r="K35" s="116">
        <f>(F35*'2. Emissions Units &amp; Activities'!$I$15)</f>
        <v>1.9747200000000001E-3</v>
      </c>
      <c r="L35" s="114">
        <f t="shared" si="1"/>
        <v>1.9747200000000001E-3</v>
      </c>
      <c r="M35" s="116">
        <f>G35*'2. Emissions Units &amp; Activities'!$K$15</f>
        <v>5.4101917808219181E-6</v>
      </c>
      <c r="N35" s="116">
        <f>G35*'2. Emissions Units &amp; Activities'!$L$15</f>
        <v>5.4101917808219181E-6</v>
      </c>
      <c r="O35" s="263">
        <f t="shared" si="2"/>
        <v>5.4101917808219181E-6</v>
      </c>
    </row>
    <row r="36" spans="1:30" x14ac:dyDescent="0.25">
      <c r="A36" s="134" t="s">
        <v>1181</v>
      </c>
      <c r="B36" s="128" t="s">
        <v>1275</v>
      </c>
      <c r="C36" s="124" t="str">
        <f>IFERROR(IF(B36="No CAS","",INDEX('DEQ Pollutant List'!$B$7:$B$611,MATCH('3. Pollutant Emissions - EF'!B36,'DEQ Pollutant List'!$A$7:$A$611,0))),"")</f>
        <v>Fluorene</v>
      </c>
      <c r="D36" s="127"/>
      <c r="E36" s="126">
        <v>0</v>
      </c>
      <c r="F36" s="114">
        <f>Dryer!D35</f>
        <v>4.4700000000000004E-6</v>
      </c>
      <c r="G36" s="114">
        <f t="shared" si="0"/>
        <v>4.4700000000000004E-6</v>
      </c>
      <c r="H36" s="152" t="s">
        <v>1267</v>
      </c>
      <c r="I36" s="117" t="s">
        <v>379</v>
      </c>
      <c r="J36" s="273">
        <f>(F36*'2. Emissions Units &amp; Activities'!$H$15)</f>
        <v>7.736139600000001E-4</v>
      </c>
      <c r="K36" s="116">
        <f>(F36*'2. Emissions Units &amp; Activities'!$I$15)</f>
        <v>1.8237600000000002E-3</v>
      </c>
      <c r="L36" s="114">
        <f t="shared" si="1"/>
        <v>1.8237600000000002E-3</v>
      </c>
      <c r="M36" s="116">
        <f>G36*'2. Emissions Units &amp; Activities'!$K$15</f>
        <v>4.996602739726028E-6</v>
      </c>
      <c r="N36" s="116">
        <f>G36*'2. Emissions Units &amp; Activities'!$L$15</f>
        <v>4.996602739726028E-6</v>
      </c>
      <c r="O36" s="263">
        <f t="shared" si="2"/>
        <v>4.996602739726028E-6</v>
      </c>
    </row>
    <row r="37" spans="1:30" x14ac:dyDescent="0.25">
      <c r="A37" s="134" t="s">
        <v>1181</v>
      </c>
      <c r="B37" s="128">
        <v>239</v>
      </c>
      <c r="C37" s="124" t="str">
        <f>IFERROR(IF(B37="No CAS","",INDEX('DEQ Pollutant List'!$B$7:$B$611,MATCH('3. Pollutant Emissions - EF'!B37,'DEQ Pollutant List'!$A$7:$A$611,0))),"")</f>
        <v>Fluorides</v>
      </c>
      <c r="D37" s="127"/>
      <c r="E37" s="126">
        <v>0</v>
      </c>
      <c r="F37" s="114">
        <f>Dryer!D36</f>
        <v>3.73E-2</v>
      </c>
      <c r="G37" s="114">
        <f t="shared" si="0"/>
        <v>3.73E-2</v>
      </c>
      <c r="H37" s="152" t="s">
        <v>1267</v>
      </c>
      <c r="I37" s="117" t="s">
        <v>379</v>
      </c>
      <c r="J37" s="273">
        <f>(F37*'2. Emissions Units &amp; Activities'!$H$15)</f>
        <v>6.4554364000000009</v>
      </c>
      <c r="K37" s="116">
        <f>(F37*'2. Emissions Units &amp; Activities'!$I$15)</f>
        <v>15.218399999999999</v>
      </c>
      <c r="L37" s="114">
        <f t="shared" si="1"/>
        <v>15.218399999999999</v>
      </c>
      <c r="M37" s="116">
        <f>G37*'2. Emissions Units &amp; Activities'!$K$15</f>
        <v>4.1694246575342465E-2</v>
      </c>
      <c r="N37" s="116">
        <f>G37*'2. Emissions Units &amp; Activities'!$L$15</f>
        <v>4.1694246575342465E-2</v>
      </c>
      <c r="O37" s="263">
        <f t="shared" si="2"/>
        <v>4.1694246575342465E-2</v>
      </c>
    </row>
    <row r="38" spans="1:30" s="747" customFormat="1" x14ac:dyDescent="0.25">
      <c r="A38" s="134" t="s">
        <v>1181</v>
      </c>
      <c r="B38" s="274" t="s">
        <v>1276</v>
      </c>
      <c r="C38" s="124" t="str">
        <f>IFERROR(IF(B38="No CAS","",INDEX('DEQ Pollutant List'!$B$7:$B$611,MATCH('3. Pollutant Emissions - EF'!B38,'DEQ Pollutant List'!$A$7:$A$611,0))),"")</f>
        <v>Formaldehyde</v>
      </c>
      <c r="D38" s="127"/>
      <c r="E38" s="126">
        <v>0</v>
      </c>
      <c r="F38" s="114">
        <f>Dryer!D37</f>
        <v>3.3000000000000002E-2</v>
      </c>
      <c r="G38" s="114">
        <f t="shared" si="0"/>
        <v>3.3000000000000002E-2</v>
      </c>
      <c r="H38" s="152" t="s">
        <v>1267</v>
      </c>
      <c r="I38" s="275" t="s">
        <v>379</v>
      </c>
      <c r="J38" s="273">
        <f>(F38*'2. Emissions Units &amp; Activities'!$H$15)</f>
        <v>5.7112440000000007</v>
      </c>
      <c r="K38" s="116">
        <f>(F38*'2. Emissions Units &amp; Activities'!$I$15)</f>
        <v>13.464</v>
      </c>
      <c r="L38" s="114">
        <f t="shared" si="1"/>
        <v>13.464</v>
      </c>
      <c r="M38" s="116">
        <f>G38*'2. Emissions Units &amp; Activities'!$K$15</f>
        <v>3.6887671232876715E-2</v>
      </c>
      <c r="N38" s="116">
        <f>G38*'2. Emissions Units &amp; Activities'!$L$15</f>
        <v>3.6887671232876715E-2</v>
      </c>
      <c r="O38" s="263">
        <f t="shared" si="2"/>
        <v>3.6887671232876715E-2</v>
      </c>
      <c r="P38" s="2"/>
      <c r="Q38" s="2"/>
      <c r="R38" s="2"/>
      <c r="S38" s="2"/>
      <c r="T38" s="2"/>
      <c r="U38" s="2"/>
      <c r="V38" s="2"/>
      <c r="W38" s="2"/>
      <c r="X38" s="2"/>
      <c r="Y38" s="2"/>
      <c r="Z38" s="2"/>
      <c r="AA38" s="2"/>
      <c r="AB38" s="2"/>
      <c r="AC38" s="2"/>
      <c r="AD38" s="2"/>
    </row>
    <row r="39" spans="1:30" x14ac:dyDescent="0.25">
      <c r="A39" s="134" t="s">
        <v>1181</v>
      </c>
      <c r="B39" s="274" t="s">
        <v>1277</v>
      </c>
      <c r="C39" s="124" t="str">
        <f>IFERROR(IF(B39="No CAS","",INDEX('DEQ Pollutant List'!$B$7:$B$611,MATCH('3. Pollutant Emissions - EF'!B39,'DEQ Pollutant List'!$A$7:$A$611,0))),"")</f>
        <v>Indeno[1,2,3-cd]pyrene</v>
      </c>
      <c r="E39" s="126">
        <v>0</v>
      </c>
      <c r="F39" s="114">
        <f>Dryer!D38</f>
        <v>2.1399999999999998E-6</v>
      </c>
      <c r="G39" s="114">
        <f t="shared" si="0"/>
        <v>2.1399999999999998E-6</v>
      </c>
      <c r="H39" s="152" t="s">
        <v>1267</v>
      </c>
      <c r="I39" s="275" t="s">
        <v>379</v>
      </c>
      <c r="J39" s="273">
        <f>(F39*'2. Emissions Units &amp; Activities'!$H$15)</f>
        <v>3.7036551999999998E-4</v>
      </c>
      <c r="K39" s="116">
        <f>(F39*'2. Emissions Units &amp; Activities'!$I$15)</f>
        <v>8.7311999999999991E-4</v>
      </c>
      <c r="L39" s="114">
        <f t="shared" si="1"/>
        <v>8.7311999999999991E-4</v>
      </c>
      <c r="M39" s="116">
        <f>G39*'2. Emissions Units &amp; Activities'!$K$15</f>
        <v>2.3921095890410958E-6</v>
      </c>
      <c r="N39" s="116">
        <f>G39*'2. Emissions Units &amp; Activities'!$L$15</f>
        <v>2.3921095890410958E-6</v>
      </c>
      <c r="O39" s="263">
        <f t="shared" si="2"/>
        <v>2.3921095890410958E-6</v>
      </c>
    </row>
    <row r="40" spans="1:30" x14ac:dyDescent="0.25">
      <c r="A40" s="134" t="s">
        <v>1181</v>
      </c>
      <c r="B40" s="274" t="s">
        <v>310</v>
      </c>
      <c r="C40" s="124" t="str">
        <f>IFERROR(IF(B40="No CAS","",INDEX('DEQ Pollutant List'!$B$7:$B$611,MATCH('3. Pollutant Emissions - EF'!B40,'DEQ Pollutant List'!$A$7:$A$611,0))),"")</f>
        <v>Lead and compounds</v>
      </c>
      <c r="D40" s="127"/>
      <c r="E40" s="126">
        <v>0</v>
      </c>
      <c r="F40" s="114">
        <f>Dryer!D39</f>
        <v>0.11268400000000001</v>
      </c>
      <c r="G40" s="114">
        <f t="shared" si="0"/>
        <v>0.11268400000000001</v>
      </c>
      <c r="H40" s="152" t="s">
        <v>1267</v>
      </c>
      <c r="I40" s="117" t="s">
        <v>383</v>
      </c>
      <c r="J40" s="273">
        <f>(F40*'2. Emissions Units &amp; Activities'!$H$15)</f>
        <v>19.501994512000003</v>
      </c>
      <c r="K40" s="116">
        <f>(F40*'2. Emissions Units &amp; Activities'!$I$15)</f>
        <v>45.975072000000004</v>
      </c>
      <c r="L40" s="114">
        <f t="shared" si="1"/>
        <v>45.975072000000004</v>
      </c>
      <c r="M40" s="116">
        <f>G40*'2. Emissions Units &amp; Activities'!$K$15</f>
        <v>0.12595910136986302</v>
      </c>
      <c r="N40" s="116">
        <f>G40*'2. Emissions Units &amp; Activities'!$L$15</f>
        <v>0.12595910136986302</v>
      </c>
      <c r="O40" s="263">
        <f t="shared" si="2"/>
        <v>0.12595910136986302</v>
      </c>
    </row>
    <row r="41" spans="1:30" x14ac:dyDescent="0.25">
      <c r="A41" s="134" t="s">
        <v>1181</v>
      </c>
      <c r="B41" s="128" t="s">
        <v>181</v>
      </c>
      <c r="C41" s="124" t="str">
        <f>IFERROR(IF(B41="No CAS","",INDEX('DEQ Pollutant List'!$B$7:$B$611,MATCH('3. Pollutant Emissions - EF'!B41,'DEQ Pollutant List'!$A$7:$A$611,0))),"")</f>
        <v>Manganese and compounds</v>
      </c>
      <c r="D41" s="127" t="str">
        <f>IFERROR(IF(OR($B41="",$B41="No CAS"),INDEX('DEQ Pollutant List'!$A$7:$A$611,MATCH($C41,'DEQ Pollutant List'!$C$7:$C$611,0)),INDEX('DEQ Pollutant List'!$A$7:$A$611,MATCH($B41,'DEQ Pollutant List'!$B$7:$B$611,0))),"")</f>
        <v/>
      </c>
      <c r="E41" s="126">
        <v>0</v>
      </c>
      <c r="F41" s="114">
        <f>Dryer!D40</f>
        <v>3.0000000000000001E-3</v>
      </c>
      <c r="G41" s="114">
        <f t="shared" si="0"/>
        <v>3.0000000000000001E-3</v>
      </c>
      <c r="H41" s="152" t="s">
        <v>1267</v>
      </c>
      <c r="I41" s="117" t="s">
        <v>379</v>
      </c>
      <c r="J41" s="273">
        <f>(F41*'2. Emissions Units &amp; Activities'!$H$15)</f>
        <v>0.519204</v>
      </c>
      <c r="K41" s="116">
        <f>(F41*'2. Emissions Units &amp; Activities'!$I$15)</f>
        <v>1.224</v>
      </c>
      <c r="L41" s="114">
        <f t="shared" si="1"/>
        <v>1.224</v>
      </c>
      <c r="M41" s="116">
        <f>G41*'2. Emissions Units &amp; Activities'!$K$15</f>
        <v>3.3534246575342469E-3</v>
      </c>
      <c r="N41" s="116">
        <f>G41*'2. Emissions Units &amp; Activities'!$L$15</f>
        <v>3.3534246575342469E-3</v>
      </c>
      <c r="O41" s="263">
        <f t="shared" si="2"/>
        <v>3.3534246575342469E-3</v>
      </c>
    </row>
    <row r="42" spans="1:30" x14ac:dyDescent="0.25">
      <c r="A42" s="134" t="s">
        <v>1181</v>
      </c>
      <c r="B42" s="128" t="s">
        <v>309</v>
      </c>
      <c r="C42" s="124" t="str">
        <f>IFERROR(IF(B42="No CAS","",INDEX('DEQ Pollutant List'!$B$7:$B$611,MATCH('3. Pollutant Emissions - EF'!B42,'DEQ Pollutant List'!$A$7:$A$611,0))),"")</f>
        <v>Mercury and compounds</v>
      </c>
      <c r="D42" s="127" t="str">
        <f>IFERROR(IF(OR($B42="",$B42="No CAS"),INDEX('DEQ Pollutant List'!$A$7:$A$611,MATCH($C42,'DEQ Pollutant List'!$C$7:$C$611,0)),INDEX('DEQ Pollutant List'!$A$7:$A$611,MATCH($B42,'DEQ Pollutant List'!$B$7:$B$611,0))),"")</f>
        <v/>
      </c>
      <c r="E42" s="126">
        <v>0</v>
      </c>
      <c r="F42" s="114">
        <f>Dryer!D41</f>
        <v>1.13E-4</v>
      </c>
      <c r="G42" s="114">
        <f t="shared" si="0"/>
        <v>1.13E-4</v>
      </c>
      <c r="H42" s="152" t="s">
        <v>1267</v>
      </c>
      <c r="I42" s="117" t="s">
        <v>379</v>
      </c>
      <c r="J42" s="273">
        <f>(F42*'2. Emissions Units &amp; Activities'!$H$15)</f>
        <v>1.9556684000000001E-2</v>
      </c>
      <c r="K42" s="116">
        <f>(F42*'2. Emissions Units &amp; Activities'!$I$15)</f>
        <v>4.6103999999999999E-2</v>
      </c>
      <c r="L42" s="114">
        <f t="shared" si="1"/>
        <v>4.6103999999999999E-2</v>
      </c>
      <c r="M42" s="116">
        <f>G42*'2. Emissions Units &amp; Activities'!$K$15</f>
        <v>1.2631232876712329E-4</v>
      </c>
      <c r="N42" s="116">
        <f>G42*'2. Emissions Units &amp; Activities'!$L$15</f>
        <v>1.2631232876712329E-4</v>
      </c>
      <c r="O42" s="263">
        <f t="shared" si="2"/>
        <v>1.2631232876712329E-4</v>
      </c>
    </row>
    <row r="43" spans="1:30" x14ac:dyDescent="0.25">
      <c r="A43" s="134" t="s">
        <v>1181</v>
      </c>
      <c r="B43" s="128" t="s">
        <v>66</v>
      </c>
      <c r="C43" s="124" t="s">
        <v>1270</v>
      </c>
      <c r="D43" s="127" t="str">
        <f>IFERROR(IF(OR($B43="",$B43="No CAS"),INDEX('DEQ Pollutant List'!$A$7:$A$611,MATCH($C43,'DEQ Pollutant List'!$C$7:$C$611,0)),INDEX('DEQ Pollutant List'!$A$7:$A$611,MATCH($B43,'DEQ Pollutant List'!$B$7:$B$611,0))),"")</f>
        <v/>
      </c>
      <c r="E43" s="126">
        <v>0</v>
      </c>
      <c r="F43" s="114">
        <f>Dryer!D42</f>
        <v>1.1805000000000001E-3</v>
      </c>
      <c r="G43" s="114">
        <f t="shared" si="0"/>
        <v>1.1805000000000001E-3</v>
      </c>
      <c r="H43" s="152" t="s">
        <v>1267</v>
      </c>
      <c r="I43" s="117" t="s">
        <v>379</v>
      </c>
      <c r="J43" s="273">
        <f>(F43*'2. Emissions Units &amp; Activities'!$H$15)</f>
        <v>0.20430677400000002</v>
      </c>
      <c r="K43" s="116">
        <f>(F43*'2. Emissions Units &amp; Activities'!$I$15)</f>
        <v>0.48164400000000007</v>
      </c>
      <c r="L43" s="114">
        <f t="shared" si="1"/>
        <v>0.48164400000000007</v>
      </c>
      <c r="M43" s="116">
        <f>G43*'2. Emissions Units &amp; Activities'!$K$15</f>
        <v>1.3195726027397262E-3</v>
      </c>
      <c r="N43" s="116">
        <f>G43*'2. Emissions Units &amp; Activities'!$L$15</f>
        <v>1.3195726027397262E-3</v>
      </c>
      <c r="O43" s="263">
        <f t="shared" si="2"/>
        <v>1.3195726027397262E-3</v>
      </c>
    </row>
    <row r="44" spans="1:30" x14ac:dyDescent="0.25">
      <c r="A44" s="134" t="s">
        <v>1181</v>
      </c>
      <c r="B44" s="128" t="s">
        <v>604</v>
      </c>
      <c r="C44" s="124" t="str">
        <f>IFERROR(IF(B44="No CAS","",INDEX('DEQ Pollutant List'!$B$7:$B$611,MATCH('3. Pollutant Emissions - EF'!B44,'DEQ Pollutant List'!$A$7:$A$611,0))),"")</f>
        <v>Naphthalene</v>
      </c>
      <c r="D44" s="127" t="str">
        <f>IFERROR(IF(OR($B44="",$B44="No CAS"),INDEX('DEQ Pollutant List'!$A$7:$A$611,MATCH($C44,'DEQ Pollutant List'!$C$7:$C$611,0)),INDEX('DEQ Pollutant List'!$A$7:$A$611,MATCH($B44,'DEQ Pollutant List'!$B$7:$B$611,0))),"")</f>
        <v/>
      </c>
      <c r="E44" s="126">
        <v>0</v>
      </c>
      <c r="F44" s="114">
        <f>Dryer!D43</f>
        <v>1.1299999999999999E-3</v>
      </c>
      <c r="G44" s="114">
        <f t="shared" si="0"/>
        <v>1.1299999999999999E-3</v>
      </c>
      <c r="H44" s="152" t="s">
        <v>1267</v>
      </c>
      <c r="I44" s="117" t="s">
        <v>379</v>
      </c>
      <c r="J44" s="273">
        <f>(F44*'2. Emissions Units &amp; Activities'!$H$15)</f>
        <v>0.19556683999999999</v>
      </c>
      <c r="K44" s="116">
        <f>(F44*'2. Emissions Units &amp; Activities'!$I$15)</f>
        <v>0.46103999999999995</v>
      </c>
      <c r="L44" s="114">
        <f t="shared" si="1"/>
        <v>0.46103999999999995</v>
      </c>
      <c r="M44" s="116">
        <f>G44*'2. Emissions Units &amp; Activities'!$K$15</f>
        <v>1.2631232876712329E-3</v>
      </c>
      <c r="N44" s="116">
        <f>G44*'2. Emissions Units &amp; Activities'!$L$15</f>
        <v>1.2631232876712329E-3</v>
      </c>
      <c r="O44" s="263">
        <f t="shared" si="2"/>
        <v>1.2631232876712329E-3</v>
      </c>
    </row>
    <row r="45" spans="1:30" x14ac:dyDescent="0.25">
      <c r="A45" s="134" t="s">
        <v>1181</v>
      </c>
      <c r="B45" s="128" t="s">
        <v>212</v>
      </c>
      <c r="C45" s="124" t="str">
        <f>IFERROR(IF(B45="No CAS","",INDEX('DEQ Pollutant List'!$B$7:$B$611,MATCH('3. Pollutant Emissions - EF'!B45,'DEQ Pollutant List'!$A$7:$A$611,0))),"")</f>
        <v>Nickel and compounds</v>
      </c>
      <c r="D45" s="127" t="str">
        <f>IFERROR(IF(OR($B45="",$B45="No CAS"),INDEX('DEQ Pollutant List'!$A$7:$A$611,MATCH($C45,'DEQ Pollutant List'!$C$7:$C$611,0)),INDEX('DEQ Pollutant List'!$A$7:$A$611,MATCH($B45,'DEQ Pollutant List'!$B$7:$B$611,0))),"")</f>
        <v/>
      </c>
      <c r="E45" s="126">
        <v>0</v>
      </c>
      <c r="F45" s="114">
        <f>Dryer!D44</f>
        <v>8.4500000000000006E-2</v>
      </c>
      <c r="G45" s="114">
        <f t="shared" si="0"/>
        <v>8.4500000000000006E-2</v>
      </c>
      <c r="H45" s="152" t="s">
        <v>1267</v>
      </c>
      <c r="I45" s="117" t="s">
        <v>379</v>
      </c>
      <c r="J45" s="273">
        <f>(F45*'2. Emissions Units &amp; Activities'!$H$15)</f>
        <v>14.624246000000001</v>
      </c>
      <c r="K45" s="116">
        <f>(F45*'2. Emissions Units &amp; Activities'!$I$15)</f>
        <v>34.475999999999999</v>
      </c>
      <c r="L45" s="114">
        <f t="shared" si="1"/>
        <v>34.475999999999999</v>
      </c>
      <c r="M45" s="116">
        <f>G45*'2. Emissions Units &amp; Activities'!$K$15</f>
        <v>9.4454794520547961E-2</v>
      </c>
      <c r="N45" s="116">
        <f>G45*'2. Emissions Units &amp; Activities'!$L$15</f>
        <v>9.4454794520547961E-2</v>
      </c>
      <c r="O45" s="263">
        <f t="shared" si="2"/>
        <v>9.4454794520547961E-2</v>
      </c>
    </row>
    <row r="46" spans="1:30" x14ac:dyDescent="0.25">
      <c r="A46" s="134" t="s">
        <v>1181</v>
      </c>
      <c r="B46" s="128" t="s">
        <v>1278</v>
      </c>
      <c r="C46" s="124" t="str">
        <f>IFERROR(IF(B46="No CAS","",INDEX('DEQ Pollutant List'!$B$7:$B$611,MATCH('3. Pollutant Emissions - EF'!B46,'DEQ Pollutant List'!$A$7:$A$611,0))),"")</f>
        <v>Octachlorodibenzo-p-dioxin (OCDD)</v>
      </c>
      <c r="D46" s="127" t="str">
        <f>IFERROR(IF(OR($B46="",$B46="No CAS"),INDEX('DEQ Pollutant List'!$A$7:$A$611,MATCH($C46,'DEQ Pollutant List'!$C$7:$C$611,0)),INDEX('DEQ Pollutant List'!$A$7:$A$611,MATCH($B46,'DEQ Pollutant List'!$B$7:$B$611,0))),"")</f>
        <v/>
      </c>
      <c r="E46" s="126">
        <v>0</v>
      </c>
      <c r="F46" s="114">
        <f>Dryer!D45</f>
        <v>3.1E-9</v>
      </c>
      <c r="G46" s="114">
        <f t="shared" si="0"/>
        <v>3.1E-9</v>
      </c>
      <c r="H46" s="152" t="s">
        <v>1267</v>
      </c>
      <c r="I46" s="117" t="s">
        <v>379</v>
      </c>
      <c r="J46" s="273">
        <f>(F46*'2. Emissions Units &amp; Activities'!$H$15)</f>
        <v>5.3651080000000007E-7</v>
      </c>
      <c r="K46" s="116">
        <f>(F46*'2. Emissions Units &amp; Activities'!$I$15)</f>
        <v>1.2647999999999999E-6</v>
      </c>
      <c r="L46" s="114">
        <f t="shared" si="1"/>
        <v>1.2647999999999999E-6</v>
      </c>
      <c r="M46" s="116">
        <f>G46*'2. Emissions Units &amp; Activities'!$K$15</f>
        <v>3.4652054794520549E-9</v>
      </c>
      <c r="N46" s="116">
        <f>G46*'2. Emissions Units &amp; Activities'!$L$15</f>
        <v>3.4652054794520549E-9</v>
      </c>
      <c r="O46" s="263">
        <f t="shared" si="2"/>
        <v>3.4652054794520549E-9</v>
      </c>
    </row>
    <row r="47" spans="1:30" x14ac:dyDescent="0.25">
      <c r="A47" s="134" t="s">
        <v>1181</v>
      </c>
      <c r="B47" s="128" t="s">
        <v>144</v>
      </c>
      <c r="C47" s="124" t="str">
        <f>IFERROR(IF(B47="No CAS","",INDEX('DEQ Pollutant List'!$B$7:$B$611,MATCH('3. Pollutant Emissions - EF'!B47,'DEQ Pollutant List'!$A$7:$A$611,0))),"")</f>
        <v>Xylene (mixture), including m-xylene, o-xylene, p-xylene</v>
      </c>
      <c r="D47" s="127" t="str">
        <f>IFERROR(IF(OR($B47="",$B47="No CAS"),INDEX('DEQ Pollutant List'!$A$7:$A$611,MATCH($C47,'DEQ Pollutant List'!$C$7:$C$611,0)),INDEX('DEQ Pollutant List'!$A$7:$A$611,MATCH($B47,'DEQ Pollutant List'!$B$7:$B$611,0))),"")</f>
        <v/>
      </c>
      <c r="E47" s="126">
        <v>0</v>
      </c>
      <c r="F47" s="114">
        <f>Dryer!D46</f>
        <v>1.0900000000000001E-4</v>
      </c>
      <c r="G47" s="114">
        <f t="shared" si="0"/>
        <v>1.0900000000000001E-4</v>
      </c>
      <c r="H47" s="152" t="s">
        <v>1267</v>
      </c>
      <c r="I47" s="117" t="s">
        <v>379</v>
      </c>
      <c r="J47" s="273">
        <f>(F47*'2. Emissions Units &amp; Activities'!$H$15)</f>
        <v>1.8864412000000004E-2</v>
      </c>
      <c r="K47" s="116">
        <f>(F47*'2. Emissions Units &amp; Activities'!$I$15)</f>
        <v>4.4472000000000005E-2</v>
      </c>
      <c r="L47" s="114">
        <f t="shared" si="1"/>
        <v>4.4472000000000005E-2</v>
      </c>
      <c r="M47" s="116">
        <f>G47*'2. Emissions Units &amp; Activities'!$K$15</f>
        <v>1.2184109589041097E-4</v>
      </c>
      <c r="N47" s="116">
        <f>G47*'2. Emissions Units &amp; Activities'!$L$15</f>
        <v>1.2184109589041097E-4</v>
      </c>
      <c r="O47" s="263">
        <f t="shared" si="2"/>
        <v>1.2184109589041097E-4</v>
      </c>
    </row>
    <row r="48" spans="1:30" x14ac:dyDescent="0.25">
      <c r="A48" s="134" t="s">
        <v>1181</v>
      </c>
      <c r="B48" s="128" t="s">
        <v>1279</v>
      </c>
      <c r="C48" s="124" t="str">
        <f>IFERROR(IF(B48="No CAS","",INDEX('DEQ Pollutant List'!$B$7:$B$611,MATCH('3. Pollutant Emissions - EF'!B48,'DEQ Pollutant List'!$A$7:$A$611,0))),"")</f>
        <v>Polychlorinated biphenyls (PCBs)</v>
      </c>
      <c r="D48" s="127" t="str">
        <f>IFERROR(IF(OR($B48="",$B48="No CAS"),INDEX('DEQ Pollutant List'!$A$7:$A$611,MATCH($C48,'DEQ Pollutant List'!$C$7:$C$611,0)),INDEX('DEQ Pollutant List'!$A$7:$A$611,MATCH($B48,'DEQ Pollutant List'!$B$7:$B$611,0))),"")</f>
        <v/>
      </c>
      <c r="E48" s="126">
        <v>0</v>
      </c>
      <c r="F48" s="114">
        <f>Dryer!D47</f>
        <v>3.9399999999999999E-3</v>
      </c>
      <c r="G48" s="114">
        <f t="shared" si="0"/>
        <v>3.9399999999999999E-3</v>
      </c>
      <c r="H48" s="152" t="s">
        <v>1267</v>
      </c>
      <c r="I48" s="117" t="s">
        <v>383</v>
      </c>
      <c r="J48" s="273">
        <f>(F48*'2. Emissions Units &amp; Activities'!$H$15)</f>
        <v>0.68188791999999998</v>
      </c>
      <c r="K48" s="116">
        <f>(F48*'2. Emissions Units &amp; Activities'!$I$15)</f>
        <v>1.6075200000000001</v>
      </c>
      <c r="L48" s="114">
        <f t="shared" si="1"/>
        <v>1.6075200000000001</v>
      </c>
      <c r="M48" s="116">
        <f>G48*'2. Emissions Units &amp; Activities'!$K$15</f>
        <v>4.4041643835616437E-3</v>
      </c>
      <c r="N48" s="116">
        <f>G48*'2. Emissions Units &amp; Activities'!$L$15</f>
        <v>4.4041643835616437E-3</v>
      </c>
      <c r="O48" s="263">
        <f t="shared" si="2"/>
        <v>4.4041643835616437E-3</v>
      </c>
    </row>
    <row r="49" spans="1:30" x14ac:dyDescent="0.25">
      <c r="A49" s="134" t="s">
        <v>1181</v>
      </c>
      <c r="B49" s="128" t="s">
        <v>767</v>
      </c>
      <c r="C49" s="124" t="str">
        <f>IFERROR(IF(B49="No CAS","",INDEX('DEQ Pollutant List'!$B$7:$B$611,MATCH('3. Pollutant Emissions - EF'!B49,'DEQ Pollutant List'!$A$7:$A$611,0))),"")</f>
        <v>Phenanthrene</v>
      </c>
      <c r="D49" s="127" t="str">
        <f>IFERROR(IF(OR($B49="",$B49="No CAS"),INDEX('DEQ Pollutant List'!$A$7:$A$611,MATCH($C49,'DEQ Pollutant List'!$C$7:$C$611,0)),INDEX('DEQ Pollutant List'!$A$7:$A$611,MATCH($B49,'DEQ Pollutant List'!$B$7:$B$611,0))),"")</f>
        <v/>
      </c>
      <c r="E49" s="126">
        <v>0</v>
      </c>
      <c r="F49" s="114">
        <f>Dryer!D48</f>
        <v>1.0499999999999999E-5</v>
      </c>
      <c r="G49" s="114">
        <f t="shared" si="0"/>
        <v>1.0499999999999999E-5</v>
      </c>
      <c r="H49" s="152" t="s">
        <v>1267</v>
      </c>
      <c r="I49" s="117" t="s">
        <v>379</v>
      </c>
      <c r="J49" s="273">
        <f>(F49*'2. Emissions Units &amp; Activities'!$H$15)</f>
        <v>1.8172139999999999E-3</v>
      </c>
      <c r="K49" s="116">
        <f>(F49*'2. Emissions Units &amp; Activities'!$I$15)</f>
        <v>4.2839999999999996E-3</v>
      </c>
      <c r="L49" s="114">
        <f t="shared" si="1"/>
        <v>4.2839999999999996E-3</v>
      </c>
      <c r="M49" s="116">
        <f>G49*'2. Emissions Units &amp; Activities'!$K$15</f>
        <v>1.1736986301369863E-5</v>
      </c>
      <c r="N49" s="116">
        <f>G49*'2. Emissions Units &amp; Activities'!$L$15</f>
        <v>1.1736986301369863E-5</v>
      </c>
      <c r="O49" s="263">
        <f t="shared" si="2"/>
        <v>1.1736986301369863E-5</v>
      </c>
    </row>
    <row r="50" spans="1:30" x14ac:dyDescent="0.25">
      <c r="A50" s="134" t="s">
        <v>1181</v>
      </c>
      <c r="B50" s="128">
        <v>504</v>
      </c>
      <c r="C50" s="124" t="str">
        <f>IFERROR(IF(B50="No CAS","",INDEX('DEQ Pollutant List'!$B$7:$B$611,MATCH('3. Pollutant Emissions - EF'!B50,'DEQ Pollutant List'!$A$7:$A$611,0))),"")</f>
        <v>Phosphorus and compounds</v>
      </c>
      <c r="D50" s="127" t="str">
        <f>IFERROR(IF(OR($B50="",$B50="No CAS"),INDEX('DEQ Pollutant List'!$A$7:$A$611,MATCH($C50,'DEQ Pollutant List'!$C$7:$C$611,0)),INDEX('DEQ Pollutant List'!$A$7:$A$611,MATCH($B50,'DEQ Pollutant List'!$B$7:$B$611,0))),"")</f>
        <v/>
      </c>
      <c r="E50" s="126">
        <v>0</v>
      </c>
      <c r="F50" s="114">
        <f>Dryer!D49</f>
        <v>9.4599999999999997E-3</v>
      </c>
      <c r="G50" s="114">
        <f t="shared" si="0"/>
        <v>9.4599999999999997E-3</v>
      </c>
      <c r="H50" s="152" t="s">
        <v>1267</v>
      </c>
      <c r="I50" s="117" t="s">
        <v>379</v>
      </c>
      <c r="J50" s="273">
        <f>(F50*'2. Emissions Units &amp; Activities'!$H$15)</f>
        <v>1.6372232799999999</v>
      </c>
      <c r="K50" s="116">
        <f>(F50*'2. Emissions Units &amp; Activities'!$I$15)</f>
        <v>3.85968</v>
      </c>
      <c r="L50" s="114">
        <f t="shared" si="1"/>
        <v>3.85968</v>
      </c>
      <c r="M50" s="116">
        <f>G50*'2. Emissions Units &amp; Activities'!$K$15</f>
        <v>1.0574465753424658E-2</v>
      </c>
      <c r="N50" s="116">
        <f>G50*'2. Emissions Units &amp; Activities'!$L$15</f>
        <v>1.0574465753424658E-2</v>
      </c>
      <c r="O50" s="263">
        <f t="shared" si="2"/>
        <v>1.0574465753424658E-2</v>
      </c>
    </row>
    <row r="51" spans="1:30" x14ac:dyDescent="0.25">
      <c r="A51" s="134" t="s">
        <v>1181</v>
      </c>
      <c r="B51" s="128" t="s">
        <v>1280</v>
      </c>
      <c r="C51" s="124" t="str">
        <f>IFERROR(IF(B51="No CAS","",INDEX('DEQ Pollutant List'!$B$7:$B$611,MATCH('3. Pollutant Emissions - EF'!B51,'DEQ Pollutant List'!$A$7:$A$611,0))),"")</f>
        <v>Pyrene</v>
      </c>
      <c r="D51" s="127" t="str">
        <f>IFERROR(IF(OR($B51="",$B51="No CAS"),INDEX('DEQ Pollutant List'!$A$7:$A$611,MATCH($C51,'DEQ Pollutant List'!$C$7:$C$611,0)),INDEX('DEQ Pollutant List'!$A$7:$A$611,MATCH($B51,'DEQ Pollutant List'!$B$7:$B$611,0))),"")</f>
        <v/>
      </c>
      <c r="E51" s="126">
        <v>0</v>
      </c>
      <c r="F51" s="114">
        <f>Dryer!D50</f>
        <v>4.25E-6</v>
      </c>
      <c r="G51" s="114">
        <f t="shared" si="0"/>
        <v>4.25E-6</v>
      </c>
      <c r="H51" s="152" t="s">
        <v>1267</v>
      </c>
      <c r="I51" s="117" t="s">
        <v>379</v>
      </c>
      <c r="J51" s="273">
        <f>(F51*'2. Emissions Units &amp; Activities'!$H$15)</f>
        <v>7.3553900000000001E-4</v>
      </c>
      <c r="K51" s="116">
        <f>(F51*'2. Emissions Units &amp; Activities'!$I$15)</f>
        <v>1.7340000000000001E-3</v>
      </c>
      <c r="L51" s="114">
        <f t="shared" si="1"/>
        <v>1.7340000000000001E-3</v>
      </c>
      <c r="M51" s="116">
        <f>G51*'2. Emissions Units &amp; Activities'!$K$15</f>
        <v>4.7506849315068499E-6</v>
      </c>
      <c r="N51" s="116">
        <f>G51*'2. Emissions Units &amp; Activities'!$L$15</f>
        <v>4.7506849315068499E-6</v>
      </c>
      <c r="O51" s="263">
        <f t="shared" si="2"/>
        <v>4.7506849315068499E-6</v>
      </c>
    </row>
    <row r="52" spans="1:30" x14ac:dyDescent="0.25">
      <c r="A52" s="134" t="s">
        <v>1181</v>
      </c>
      <c r="B52" s="128" t="s">
        <v>312</v>
      </c>
      <c r="C52" s="124" t="str">
        <f>IFERROR(IF(B52="No CAS","",INDEX('DEQ Pollutant List'!$B$7:$B$611,MATCH('3. Pollutant Emissions - EF'!B52,'DEQ Pollutant List'!$A$7:$A$611,0))),"")</f>
        <v>Selenium and compounds</v>
      </c>
      <c r="D52" s="127" t="str">
        <f>IFERROR(IF(OR($B52="",$B52="No CAS"),INDEX('DEQ Pollutant List'!$A$7:$A$611,MATCH($C52,'DEQ Pollutant List'!$C$7:$C$611,0)),INDEX('DEQ Pollutant List'!$A$7:$A$611,MATCH($B52,'DEQ Pollutant List'!$B$7:$B$611,0))),"")</f>
        <v/>
      </c>
      <c r="E52" s="126">
        <v>0</v>
      </c>
      <c r="F52" s="114">
        <f>Dryer!D51</f>
        <v>6.8300000000000001E-4</v>
      </c>
      <c r="G52" s="114">
        <f t="shared" si="0"/>
        <v>6.8300000000000001E-4</v>
      </c>
      <c r="H52" s="152" t="s">
        <v>1267</v>
      </c>
      <c r="I52" s="117" t="s">
        <v>379</v>
      </c>
      <c r="J52" s="273">
        <f>(F52*'2. Emissions Units &amp; Activities'!$H$15)</f>
        <v>0.11820544400000001</v>
      </c>
      <c r="K52" s="116">
        <f>(F52*'2. Emissions Units &amp; Activities'!$I$15)</f>
        <v>0.27866400000000002</v>
      </c>
      <c r="L52" s="114">
        <f t="shared" si="1"/>
        <v>0.27866400000000002</v>
      </c>
      <c r="M52" s="116">
        <f>G52*'2. Emissions Units &amp; Activities'!$K$15</f>
        <v>7.6346301369863015E-4</v>
      </c>
      <c r="N52" s="116">
        <f>G52*'2. Emissions Units &amp; Activities'!$L$15</f>
        <v>7.6346301369863015E-4</v>
      </c>
      <c r="O52" s="263">
        <f t="shared" si="2"/>
        <v>7.6346301369863015E-4</v>
      </c>
    </row>
    <row r="53" spans="1:30" x14ac:dyDescent="0.25">
      <c r="A53" s="134" t="s">
        <v>1181</v>
      </c>
      <c r="B53" s="128" t="s">
        <v>606</v>
      </c>
      <c r="C53" s="124" t="str">
        <f>IFERROR(IF(B53="No CAS","",INDEX('DEQ Pollutant List'!$B$7:$B$611,MATCH('3. Pollutant Emissions - EF'!B53,'DEQ Pollutant List'!$A$7:$A$611,0))),"")</f>
        <v>Toluene</v>
      </c>
      <c r="D53" s="127" t="str">
        <f>IFERROR(IF(OR($B53="",$B53="No CAS"),INDEX('DEQ Pollutant List'!$A$7:$A$611,MATCH($C53,'DEQ Pollutant List'!$C$7:$C$611,0)),INDEX('DEQ Pollutant List'!$A$7:$A$611,MATCH($B53,'DEQ Pollutant List'!$B$7:$B$611,0))),"")</f>
        <v/>
      </c>
      <c r="E53" s="126">
        <v>0</v>
      </c>
      <c r="F53" s="114">
        <f>Dryer!D52</f>
        <v>6.1999999999999998E-3</v>
      </c>
      <c r="G53" s="114">
        <f t="shared" si="0"/>
        <v>6.1999999999999998E-3</v>
      </c>
      <c r="H53" s="152" t="s">
        <v>1267</v>
      </c>
      <c r="I53" s="117" t="s">
        <v>379</v>
      </c>
      <c r="J53" s="273">
        <f>(F53*'2. Emissions Units &amp; Activities'!$H$15)</f>
        <v>1.0730216000000001</v>
      </c>
      <c r="K53" s="116">
        <f>(F53*'2. Emissions Units &amp; Activities'!$I$15)</f>
        <v>2.5295999999999998</v>
      </c>
      <c r="L53" s="114">
        <f t="shared" si="1"/>
        <v>2.5295999999999998</v>
      </c>
      <c r="M53" s="116">
        <f>G53*'2. Emissions Units &amp; Activities'!$K$15</f>
        <v>6.9304109589041095E-3</v>
      </c>
      <c r="N53" s="116">
        <f>G53*'2. Emissions Units &amp; Activities'!$L$15</f>
        <v>6.9304109589041095E-3</v>
      </c>
      <c r="O53" s="263">
        <f t="shared" si="2"/>
        <v>6.9304109589041095E-3</v>
      </c>
    </row>
    <row r="54" spans="1:30" x14ac:dyDescent="0.25">
      <c r="A54" s="134" t="s">
        <v>1181</v>
      </c>
      <c r="B54" s="128" t="s">
        <v>214</v>
      </c>
      <c r="C54" s="124" t="str">
        <f>IFERROR(IF(B54="No CAS","",INDEX('DEQ Pollutant List'!$B$7:$B$611,MATCH('3. Pollutant Emissions - EF'!B54,'DEQ Pollutant List'!$A$7:$A$611,0))),"")</f>
        <v>Vanadium (fume or dust)</v>
      </c>
      <c r="D54" s="127" t="str">
        <f>IFERROR(IF(OR($B54="",$B54="No CAS"),INDEX('DEQ Pollutant List'!$A$7:$A$611,MATCH($C54,'DEQ Pollutant List'!$C$7:$C$611,0)),INDEX('DEQ Pollutant List'!$A$7:$A$611,MATCH($B54,'DEQ Pollutant List'!$B$7:$B$611,0))),"")</f>
        <v/>
      </c>
      <c r="E54" s="126">
        <v>0</v>
      </c>
      <c r="F54" s="114">
        <f>Dryer!D53</f>
        <v>3.1800000000000002E-2</v>
      </c>
      <c r="G54" s="114">
        <f t="shared" si="0"/>
        <v>3.1800000000000002E-2</v>
      </c>
      <c r="H54" s="152" t="s">
        <v>1267</v>
      </c>
      <c r="I54" s="117" t="s">
        <v>379</v>
      </c>
      <c r="J54" s="273">
        <f>(F54*'2. Emissions Units &amp; Activities'!$H$15)</f>
        <v>5.5035624000000007</v>
      </c>
      <c r="K54" s="116">
        <f>(F54*'2. Emissions Units &amp; Activities'!$I$15)</f>
        <v>12.974400000000001</v>
      </c>
      <c r="L54" s="114">
        <f t="shared" si="1"/>
        <v>12.974400000000001</v>
      </c>
      <c r="M54" s="116">
        <f>G54*'2. Emissions Units &amp; Activities'!$K$15</f>
        <v>3.5546301369863018E-2</v>
      </c>
      <c r="N54" s="116">
        <f>G54*'2. Emissions Units &amp; Activities'!$L$15</f>
        <v>3.5546301369863018E-2</v>
      </c>
      <c r="O54" s="263">
        <f t="shared" si="2"/>
        <v>3.5546301369863018E-2</v>
      </c>
    </row>
    <row r="55" spans="1:30" ht="15.75" thickBot="1" x14ac:dyDescent="0.3">
      <c r="A55" s="188" t="s">
        <v>1181</v>
      </c>
      <c r="B55" s="276" t="s">
        <v>315</v>
      </c>
      <c r="C55" s="222" t="str">
        <f>IFERROR(IF(B55="No CAS","",INDEX('DEQ Pollutant List'!$B$7:$B$611,MATCH('3. Pollutant Emissions - EF'!B55,'DEQ Pollutant List'!$A$7:$A$611,0))),"")</f>
        <v>Zinc and compounds</v>
      </c>
      <c r="D55" s="189" t="str">
        <f>IFERROR(IF(OR($B55="",$B55="No CAS"),INDEX('DEQ Pollutant List'!$A$7:$A$611,MATCH($C55,'DEQ Pollutant List'!$C$7:$C$611,0)),INDEX('DEQ Pollutant List'!$A$7:$A$611,MATCH($B55,'DEQ Pollutant List'!$B$7:$B$611,0))),"")</f>
        <v/>
      </c>
      <c r="E55" s="190">
        <v>0</v>
      </c>
      <c r="F55" s="234">
        <f>Dryer!D54</f>
        <v>2.9100000000000001E-2</v>
      </c>
      <c r="G55" s="234">
        <f t="shared" si="0"/>
        <v>2.9100000000000001E-2</v>
      </c>
      <c r="H55" s="213" t="s">
        <v>1267</v>
      </c>
      <c r="I55" s="201" t="s">
        <v>379</v>
      </c>
      <c r="J55" s="231">
        <f>(F55*'2. Emissions Units &amp; Activities'!$H$15)</f>
        <v>5.0362788000000007</v>
      </c>
      <c r="K55" s="202">
        <f>(F55*'2. Emissions Units &amp; Activities'!$I$15)</f>
        <v>11.8728</v>
      </c>
      <c r="L55" s="234">
        <f t="shared" si="1"/>
        <v>11.8728</v>
      </c>
      <c r="M55" s="202">
        <f>G55*'2. Emissions Units &amp; Activities'!$K$15</f>
        <v>3.2528219178082192E-2</v>
      </c>
      <c r="N55" s="202">
        <f>G55*'2. Emissions Units &amp; Activities'!$L$15</f>
        <v>3.2528219178082192E-2</v>
      </c>
      <c r="O55" s="277">
        <f t="shared" si="2"/>
        <v>3.2528219178082192E-2</v>
      </c>
    </row>
    <row r="56" spans="1:30" x14ac:dyDescent="0.25">
      <c r="A56" s="191" t="s">
        <v>1186</v>
      </c>
      <c r="B56" s="278" t="s">
        <v>305</v>
      </c>
      <c r="C56" s="214" t="str">
        <f>IFERROR(IF(B56="No CAS","",INDEX('DEQ Pollutant List'!$B$7:$B$611,MATCH('3. Pollutant Emissions - EF'!B56,'DEQ Pollutant List'!$A$7:$A$611,0))),"")</f>
        <v>Silver and compounds</v>
      </c>
      <c r="D56" s="192" t="str">
        <f>IFERROR(IF(OR($B56="",$B56="No CAS"),INDEX('DEQ Pollutant List'!$A$7:$A$611,MATCH($C56,'DEQ Pollutant List'!$C$7:$C$611,0)),INDEX('DEQ Pollutant List'!$A$7:$A$611,MATCH($B56,'DEQ Pollutant List'!$B$7:$B$611,0))),"")</f>
        <v/>
      </c>
      <c r="E56" s="193">
        <v>0</v>
      </c>
      <c r="F56" s="197">
        <f>Baghouses!E13</f>
        <v>8.9999999999999999E-10</v>
      </c>
      <c r="G56" s="194">
        <f t="shared" ref="G56:G79" si="3">F56</f>
        <v>8.9999999999999999E-10</v>
      </c>
      <c r="H56" s="195" t="s">
        <v>492</v>
      </c>
      <c r="I56" s="196" t="s">
        <v>1281</v>
      </c>
      <c r="J56" s="197">
        <f>F56*'2. Emissions Units &amp; Activities'!$H$16</f>
        <v>9.9890100000000001E-5</v>
      </c>
      <c r="K56" s="327">
        <f>F56*'2. Emissions Units &amp; Activities'!$I$16</f>
        <v>2.3651999999999999E-4</v>
      </c>
      <c r="L56" s="281">
        <f t="shared" ref="L56" si="4">K56</f>
        <v>2.3651999999999999E-4</v>
      </c>
      <c r="M56" s="282">
        <f>G56*'2. Emissions Units &amp; Activities'!$K$16</f>
        <v>7.1999999999999999E-7</v>
      </c>
      <c r="N56" s="283">
        <f>G56*'2. Emissions Units &amp; Activities'!$L$16</f>
        <v>7.1999999999999999E-7</v>
      </c>
      <c r="O56" s="284">
        <f>N56</f>
        <v>7.1999999999999999E-7</v>
      </c>
    </row>
    <row r="57" spans="1:30" s="748" customFormat="1" x14ac:dyDescent="0.25">
      <c r="A57" s="125" t="s">
        <v>1186</v>
      </c>
      <c r="B57" s="128" t="s">
        <v>190</v>
      </c>
      <c r="C57" s="123" t="str">
        <f>IFERROR(IF(B57="No CAS","",INDEX('DEQ Pollutant List'!$B$7:$B$611,MATCH('3. Pollutant Emissions - EF'!B57,'DEQ Pollutant List'!$A$7:$A$611,0))),"")</f>
        <v>Aluminum and compounds</v>
      </c>
      <c r="D57" s="127" t="str">
        <f>IFERROR(IF(OR($B57="",$B57="No CAS"),INDEX('DEQ Pollutant List'!$A$7:$A$611,MATCH($C57,'DEQ Pollutant List'!$C$7:$C$611,0)),INDEX('DEQ Pollutant List'!$A$7:$A$611,MATCH($B57,'DEQ Pollutant List'!$B$7:$B$611,0))),"")</f>
        <v/>
      </c>
      <c r="E57" s="126">
        <v>0</v>
      </c>
      <c r="F57" s="116">
        <f>Baghouses!E14</f>
        <v>2.2940999999999994E-3</v>
      </c>
      <c r="G57" s="129">
        <f t="shared" si="3"/>
        <v>2.2940999999999994E-3</v>
      </c>
      <c r="H57" s="115" t="s">
        <v>492</v>
      </c>
      <c r="I57" s="117" t="s">
        <v>1281</v>
      </c>
      <c r="J57" s="116">
        <f>F57*'2. Emissions Units &amp; Activities'!$H$16</f>
        <v>254.61986489999993</v>
      </c>
      <c r="K57" s="291">
        <f>G57*'2. Emissions Units &amp; Activities'!$I$16</f>
        <v>602.88947999999982</v>
      </c>
      <c r="L57" s="114">
        <f t="shared" ref="L57:L79" si="5">K57</f>
        <v>602.88947999999982</v>
      </c>
      <c r="M57" s="118">
        <f>G57*'2. Emissions Units &amp; Activities'!$K$16</f>
        <v>1.8352799999999996</v>
      </c>
      <c r="N57" s="119">
        <f>G57*'2. Emissions Units &amp; Activities'!$L$16</f>
        <v>1.8352799999999996</v>
      </c>
      <c r="O57" s="120">
        <f t="shared" ref="O57:O79" si="6">N57</f>
        <v>1.8352799999999996</v>
      </c>
      <c r="P57" s="2"/>
      <c r="Q57" s="2"/>
      <c r="R57" s="2"/>
      <c r="S57" s="2"/>
      <c r="T57" s="2"/>
      <c r="U57" s="2"/>
      <c r="V57" s="2"/>
      <c r="W57" s="2"/>
      <c r="X57" s="2"/>
      <c r="Y57" s="2"/>
      <c r="Z57" s="2"/>
      <c r="AA57" s="2"/>
      <c r="AB57" s="2"/>
      <c r="AC57" s="2"/>
      <c r="AD57" s="2"/>
    </row>
    <row r="58" spans="1:30" x14ac:dyDescent="0.25">
      <c r="A58" s="125" t="s">
        <v>1186</v>
      </c>
      <c r="B58" s="128" t="s">
        <v>306</v>
      </c>
      <c r="C58" s="123" t="str">
        <f>IFERROR(IF(B58="No CAS","",INDEX('DEQ Pollutant List'!$B$7:$B$611,MATCH('3. Pollutant Emissions - EF'!B58,'DEQ Pollutant List'!$A$7:$A$611,0))),"")</f>
        <v>Arsenic and compounds</v>
      </c>
      <c r="D58" s="127" t="str">
        <f>IFERROR(IF(OR($B58="",$B58="No CAS"),INDEX('DEQ Pollutant List'!$A$7:$A$611,MATCH($C58,'DEQ Pollutant List'!$C$7:$C$611,0)),INDEX('DEQ Pollutant List'!$A$7:$A$611,MATCH($B58,'DEQ Pollutant List'!$B$7:$B$611,0))),"")</f>
        <v/>
      </c>
      <c r="E58" s="126">
        <v>0</v>
      </c>
      <c r="F58" s="116">
        <f>Baghouses!E15</f>
        <v>9.3600000000000018E-8</v>
      </c>
      <c r="G58" s="129">
        <f t="shared" si="3"/>
        <v>9.3600000000000018E-8</v>
      </c>
      <c r="H58" s="115" t="s">
        <v>492</v>
      </c>
      <c r="I58" s="117" t="s">
        <v>1281</v>
      </c>
      <c r="J58" s="116">
        <f>F58*'2. Emissions Units &amp; Activities'!$H$16</f>
        <v>1.0388570400000002E-2</v>
      </c>
      <c r="K58" s="291">
        <f>G58*'2. Emissions Units &amp; Activities'!$I$16</f>
        <v>2.4598080000000005E-2</v>
      </c>
      <c r="L58" s="114">
        <f t="shared" si="5"/>
        <v>2.4598080000000005E-2</v>
      </c>
      <c r="M58" s="118">
        <f>G58*'2. Emissions Units &amp; Activities'!$K$16</f>
        <v>7.4880000000000015E-5</v>
      </c>
      <c r="N58" s="119">
        <f>G58*'2. Emissions Units &amp; Activities'!$L$16</f>
        <v>7.4880000000000015E-5</v>
      </c>
      <c r="O58" s="120">
        <f t="shared" si="6"/>
        <v>7.4880000000000015E-5</v>
      </c>
    </row>
    <row r="59" spans="1:30" x14ac:dyDescent="0.25">
      <c r="A59" s="125" t="s">
        <v>1186</v>
      </c>
      <c r="B59" s="128" t="s">
        <v>142</v>
      </c>
      <c r="C59" s="123" t="str">
        <f>IFERROR(IF(B59="No CAS","",INDEX('DEQ Pollutant List'!$B$7:$B$611,MATCH('3. Pollutant Emissions - EF'!B59,'DEQ Pollutant List'!$A$7:$A$611,0))),"")</f>
        <v>Barium and compounds</v>
      </c>
      <c r="D59" s="127" t="str">
        <f>IFERROR(IF(OR($B59="",$B59="No CAS"),INDEX('DEQ Pollutant List'!$A$7:$A$611,MATCH($C59,'DEQ Pollutant List'!$C$7:$C$611,0)),INDEX('DEQ Pollutant List'!$A$7:$A$611,MATCH($B59,'DEQ Pollutant List'!$B$7:$B$611,0))),"")</f>
        <v/>
      </c>
      <c r="E59" s="126">
        <v>0</v>
      </c>
      <c r="F59" s="116">
        <f>Baghouses!E16</f>
        <v>1.008E-5</v>
      </c>
      <c r="G59" s="129">
        <f t="shared" si="3"/>
        <v>1.008E-5</v>
      </c>
      <c r="H59" s="115" t="s">
        <v>492</v>
      </c>
      <c r="I59" s="117" t="s">
        <v>1281</v>
      </c>
      <c r="J59" s="116">
        <f>F59*'2. Emissions Units &amp; Activities'!$H$16</f>
        <v>1.1187691200000001</v>
      </c>
      <c r="K59" s="291">
        <f>G59*'2. Emissions Units &amp; Activities'!$I$16</f>
        <v>2.6490239999999998</v>
      </c>
      <c r="L59" s="114">
        <f t="shared" si="5"/>
        <v>2.6490239999999998</v>
      </c>
      <c r="M59" s="118">
        <f>G59*'2. Emissions Units &amp; Activities'!$K$16</f>
        <v>8.064E-3</v>
      </c>
      <c r="N59" s="119">
        <f>G59*'2. Emissions Units &amp; Activities'!$L$16</f>
        <v>8.064E-3</v>
      </c>
      <c r="O59" s="120">
        <f t="shared" si="6"/>
        <v>8.064E-3</v>
      </c>
    </row>
    <row r="60" spans="1:30" x14ac:dyDescent="0.25">
      <c r="A60" s="125" t="s">
        <v>1186</v>
      </c>
      <c r="B60" s="128" t="s">
        <v>307</v>
      </c>
      <c r="C60" s="123" t="str">
        <f>IFERROR(IF(B60="No CAS","",INDEX('DEQ Pollutant List'!$B$7:$B$611,MATCH('3. Pollutant Emissions - EF'!B60,'DEQ Pollutant List'!$A$7:$A$611,0))),"")</f>
        <v>Beryllium and compounds</v>
      </c>
      <c r="D60" s="127" t="str">
        <f>IFERROR(IF(OR($B60="",$B60="No CAS"),INDEX('DEQ Pollutant List'!$A$7:$A$611,MATCH($C60,'DEQ Pollutant List'!$C$7:$C$611,0)),INDEX('DEQ Pollutant List'!$A$7:$A$611,MATCH($B60,'DEQ Pollutant List'!$B$7:$B$611,0))),"")</f>
        <v/>
      </c>
      <c r="E60" s="126">
        <v>0</v>
      </c>
      <c r="F60" s="116">
        <f>Baghouses!E17</f>
        <v>1.1015999999999999E-7</v>
      </c>
      <c r="G60" s="129">
        <f t="shared" si="3"/>
        <v>1.1015999999999999E-7</v>
      </c>
      <c r="H60" s="115" t="s">
        <v>492</v>
      </c>
      <c r="I60" s="117" t="s">
        <v>1281</v>
      </c>
      <c r="J60" s="116">
        <f>F60*'2. Emissions Units &amp; Activities'!$H$16</f>
        <v>1.2226548239999999E-2</v>
      </c>
      <c r="K60" s="291">
        <f>G60*'2. Emissions Units &amp; Activities'!$I$16</f>
        <v>2.8950047999999996E-2</v>
      </c>
      <c r="L60" s="114">
        <f t="shared" si="5"/>
        <v>2.8950047999999996E-2</v>
      </c>
      <c r="M60" s="118">
        <f>G60*'2. Emissions Units &amp; Activities'!$K$16</f>
        <v>8.8127999999999994E-5</v>
      </c>
      <c r="N60" s="119">
        <f>G60*'2. Emissions Units &amp; Activities'!$L$16</f>
        <v>8.8127999999999994E-5</v>
      </c>
      <c r="O60" s="120">
        <f t="shared" si="6"/>
        <v>8.8127999999999994E-5</v>
      </c>
    </row>
    <row r="61" spans="1:30" x14ac:dyDescent="0.25">
      <c r="A61" s="125" t="s">
        <v>1186</v>
      </c>
      <c r="B61" s="128" t="s">
        <v>308</v>
      </c>
      <c r="C61" s="123" t="str">
        <f>IFERROR(IF(B61="No CAS","",INDEX('DEQ Pollutant List'!$B$7:$B$611,MATCH('3. Pollutant Emissions - EF'!B61,'DEQ Pollutant List'!$A$7:$A$611,0))),"")</f>
        <v>Cadmium and compounds</v>
      </c>
      <c r="D61" s="127" t="str">
        <f>IFERROR(IF(OR($B61="",$B61="No CAS"),INDEX('DEQ Pollutant List'!$A$7:$A$611,MATCH($C61,'DEQ Pollutant List'!$C$7:$C$611,0)),INDEX('DEQ Pollutant List'!$A$7:$A$611,MATCH($B61,'DEQ Pollutant List'!$B$7:$B$611,0))),"")</f>
        <v/>
      </c>
      <c r="E61" s="126">
        <v>0</v>
      </c>
      <c r="F61" s="116">
        <f>Baghouses!E18</f>
        <v>2.88E-9</v>
      </c>
      <c r="G61" s="129">
        <f t="shared" si="3"/>
        <v>2.88E-9</v>
      </c>
      <c r="H61" s="115" t="s">
        <v>492</v>
      </c>
      <c r="I61" s="117" t="s">
        <v>1281</v>
      </c>
      <c r="J61" s="116">
        <f>F61*'2. Emissions Units &amp; Activities'!$H$16</f>
        <v>3.1964831999999998E-4</v>
      </c>
      <c r="K61" s="291">
        <f>G61*'2. Emissions Units &amp; Activities'!$I$16</f>
        <v>7.56864E-4</v>
      </c>
      <c r="L61" s="114">
        <f t="shared" si="5"/>
        <v>7.56864E-4</v>
      </c>
      <c r="M61" s="118">
        <f>G61*'2. Emissions Units &amp; Activities'!$K$16</f>
        <v>2.3039999999999999E-6</v>
      </c>
      <c r="N61" s="119">
        <f>G61*'2. Emissions Units &amp; Activities'!$L$16</f>
        <v>2.3039999999999999E-6</v>
      </c>
      <c r="O61" s="120">
        <f t="shared" si="6"/>
        <v>2.3039999999999999E-6</v>
      </c>
    </row>
    <row r="62" spans="1:30" x14ac:dyDescent="0.25">
      <c r="A62" s="125" t="s">
        <v>1186</v>
      </c>
      <c r="B62" s="128" t="s">
        <v>147</v>
      </c>
      <c r="C62" s="123" t="str">
        <f>IFERROR(IF(B62="No CAS","",INDEX('DEQ Pollutant List'!$B$7:$B$611,MATCH('3. Pollutant Emissions - EF'!B62,'DEQ Pollutant List'!$A$7:$A$611,0))),"")</f>
        <v>Cobalt and compounds</v>
      </c>
      <c r="D62" s="127" t="str">
        <f>IFERROR(IF(OR($B62="",$B62="No CAS"),INDEX('DEQ Pollutant List'!$A$7:$A$611,MATCH($C62,'DEQ Pollutant List'!$C$7:$C$611,0)),INDEX('DEQ Pollutant List'!$A$7:$A$611,MATCH($B62,'DEQ Pollutant List'!$B$7:$B$611,0))),"")</f>
        <v/>
      </c>
      <c r="E62" s="126">
        <v>0</v>
      </c>
      <c r="F62" s="116">
        <f>Baghouses!E19</f>
        <v>3.6E-9</v>
      </c>
      <c r="G62" s="129">
        <f t="shared" si="3"/>
        <v>3.6E-9</v>
      </c>
      <c r="H62" s="115" t="s">
        <v>492</v>
      </c>
      <c r="I62" s="117" t="s">
        <v>1281</v>
      </c>
      <c r="J62" s="116">
        <f>F62*'2. Emissions Units &amp; Activities'!$H$16</f>
        <v>3.995604E-4</v>
      </c>
      <c r="K62" s="291">
        <f>G62*'2. Emissions Units &amp; Activities'!$I$16</f>
        <v>9.4607999999999997E-4</v>
      </c>
      <c r="L62" s="114">
        <f t="shared" si="5"/>
        <v>9.4607999999999997E-4</v>
      </c>
      <c r="M62" s="118">
        <f>G62*'2. Emissions Units &amp; Activities'!$K$16</f>
        <v>2.88E-6</v>
      </c>
      <c r="N62" s="119">
        <f>G62*'2. Emissions Units &amp; Activities'!$L$16</f>
        <v>2.88E-6</v>
      </c>
      <c r="O62" s="120">
        <f t="shared" si="6"/>
        <v>2.88E-6</v>
      </c>
    </row>
    <row r="63" spans="1:30" x14ac:dyDescent="0.25">
      <c r="A63" s="125" t="s">
        <v>1186</v>
      </c>
      <c r="B63" s="128" t="s">
        <v>205</v>
      </c>
      <c r="C63" s="123" t="str">
        <f>IFERROR(IF(B63="No CAS","",INDEX('DEQ Pollutant List'!$B$7:$B$611,MATCH('3. Pollutant Emissions - EF'!B63,'DEQ Pollutant List'!$A$7:$A$611,0))),"")</f>
        <v>Copper and compounds</v>
      </c>
      <c r="D63" s="127" t="str">
        <f>IFERROR(IF(OR($B63="",$B63="No CAS"),INDEX('DEQ Pollutant List'!$A$7:$A$611,MATCH($C63,'DEQ Pollutant List'!$C$7:$C$611,0)),INDEX('DEQ Pollutant List'!$A$7:$A$611,MATCH($B63,'DEQ Pollutant List'!$B$7:$B$611,0))),"")</f>
        <v/>
      </c>
      <c r="E63" s="126">
        <v>0</v>
      </c>
      <c r="F63" s="116">
        <f>Baghouses!E20</f>
        <v>1.8720000000000004E-7</v>
      </c>
      <c r="G63" s="129">
        <f t="shared" si="3"/>
        <v>1.8720000000000004E-7</v>
      </c>
      <c r="H63" s="115" t="s">
        <v>492</v>
      </c>
      <c r="I63" s="117" t="s">
        <v>1281</v>
      </c>
      <c r="J63" s="116">
        <f>F63*'2. Emissions Units &amp; Activities'!$H$16</f>
        <v>2.0777140800000003E-2</v>
      </c>
      <c r="K63" s="291">
        <f>G63*'2. Emissions Units &amp; Activities'!$I$16</f>
        <v>4.919616000000001E-2</v>
      </c>
      <c r="L63" s="114">
        <f t="shared" si="5"/>
        <v>4.919616000000001E-2</v>
      </c>
      <c r="M63" s="118">
        <f>G63*'2. Emissions Units &amp; Activities'!$K$16</f>
        <v>1.4976000000000003E-4</v>
      </c>
      <c r="N63" s="119">
        <f>G63*'2. Emissions Units &amp; Activities'!$L$16</f>
        <v>1.4976000000000003E-4</v>
      </c>
      <c r="O63" s="120">
        <f t="shared" si="6"/>
        <v>1.4976000000000003E-4</v>
      </c>
    </row>
    <row r="64" spans="1:30" x14ac:dyDescent="0.25">
      <c r="A64" s="125" t="s">
        <v>1186</v>
      </c>
      <c r="B64" s="128" t="s">
        <v>55</v>
      </c>
      <c r="C64" s="123" t="str">
        <f>IFERROR(IF(B64="No CAS","",INDEX('DEQ Pollutant List'!$B$7:$B$611,MATCH('3. Pollutant Emissions - EF'!B64,'DEQ Pollutant List'!$A$7:$A$611,0))),"")</f>
        <v>Chromium VI, chromate and dichromate particulate</v>
      </c>
      <c r="D64" s="127" t="str">
        <f>IFERROR(IF(OR($B64="",$B64="No CAS"),INDEX('DEQ Pollutant List'!$A$7:$A$611,MATCH($C64,'DEQ Pollutant List'!$C$7:$C$611,0)),INDEX('DEQ Pollutant List'!$A$7:$A$611,MATCH($B64,'DEQ Pollutant List'!$B$7:$B$611,0))),"")</f>
        <v/>
      </c>
      <c r="E64" s="126">
        <v>0</v>
      </c>
      <c r="F64" s="116">
        <f>Baghouses!E21</f>
        <v>2.8677600000000003E-7</v>
      </c>
      <c r="G64" s="129">
        <f t="shared" si="3"/>
        <v>2.8677600000000003E-7</v>
      </c>
      <c r="H64" s="115" t="s">
        <v>492</v>
      </c>
      <c r="I64" s="117" t="s">
        <v>1281</v>
      </c>
      <c r="J64" s="116">
        <f>F64*'2. Emissions Units &amp; Activities'!$H$16</f>
        <v>3.1828981464000004E-2</v>
      </c>
      <c r="K64" s="291">
        <f>G64*'2. Emissions Units &amp; Activities'!$I$16</f>
        <v>7.5364732800000001E-2</v>
      </c>
      <c r="L64" s="114">
        <f t="shared" si="5"/>
        <v>7.5364732800000001E-2</v>
      </c>
      <c r="M64" s="118">
        <f>G64*'2. Emissions Units &amp; Activities'!$K$16</f>
        <v>2.2942080000000001E-4</v>
      </c>
      <c r="N64" s="119">
        <f>G64*'2. Emissions Units &amp; Activities'!$L$16</f>
        <v>2.2942080000000001E-4</v>
      </c>
      <c r="O64" s="120">
        <f t="shared" si="6"/>
        <v>2.2942080000000001E-4</v>
      </c>
    </row>
    <row r="65" spans="1:15" x14ac:dyDescent="0.25">
      <c r="A65" s="125" t="s">
        <v>1186</v>
      </c>
      <c r="B65" s="128" t="s">
        <v>309</v>
      </c>
      <c r="C65" s="123" t="str">
        <f>IFERROR(IF(B65="No CAS","",INDEX('DEQ Pollutant List'!$B$7:$B$611,MATCH('3. Pollutant Emissions - EF'!B65,'DEQ Pollutant List'!$A$7:$A$611,0))),"")</f>
        <v>Mercury and compounds</v>
      </c>
      <c r="D65" s="127" t="str">
        <f>IFERROR(IF(OR($B65="",$B65="No CAS"),INDEX('DEQ Pollutant List'!$A$7:$A$611,MATCH($C65,'DEQ Pollutant List'!$C$7:$C$611,0)),INDEX('DEQ Pollutant List'!$A$7:$A$611,MATCH($B65,'DEQ Pollutant List'!$B$7:$B$611,0))),"")</f>
        <v/>
      </c>
      <c r="E65" s="126">
        <v>0</v>
      </c>
      <c r="F65" s="116">
        <f>Baghouses!E22</f>
        <v>7.2E-10</v>
      </c>
      <c r="G65" s="129">
        <f t="shared" si="3"/>
        <v>7.2E-10</v>
      </c>
      <c r="H65" s="115" t="s">
        <v>492</v>
      </c>
      <c r="I65" s="117" t="s">
        <v>1281</v>
      </c>
      <c r="J65" s="116">
        <f>F65*'2. Emissions Units &amp; Activities'!$H$16</f>
        <v>7.9912079999999995E-5</v>
      </c>
      <c r="K65" s="291">
        <f>G65*'2. Emissions Units &amp; Activities'!$I$16</f>
        <v>1.89216E-4</v>
      </c>
      <c r="L65" s="114">
        <f t="shared" si="5"/>
        <v>1.89216E-4</v>
      </c>
      <c r="M65" s="118">
        <f>G65*'2. Emissions Units &amp; Activities'!$K$16</f>
        <v>5.7599999999999997E-7</v>
      </c>
      <c r="N65" s="119">
        <f>G65*'2. Emissions Units &amp; Activities'!$L$16</f>
        <v>5.7599999999999997E-7</v>
      </c>
      <c r="O65" s="120">
        <f t="shared" si="6"/>
        <v>5.7599999999999997E-7</v>
      </c>
    </row>
    <row r="66" spans="1:15" x14ac:dyDescent="0.25">
      <c r="A66" s="125" t="s">
        <v>1186</v>
      </c>
      <c r="B66" s="128" t="s">
        <v>181</v>
      </c>
      <c r="C66" s="123" t="str">
        <f>IFERROR(IF(B66="No CAS","",INDEX('DEQ Pollutant List'!$B$7:$B$611,MATCH('3. Pollutant Emissions - EF'!B66,'DEQ Pollutant List'!$A$7:$A$611,0))),"")</f>
        <v>Manganese and compounds</v>
      </c>
      <c r="D66" s="127" t="str">
        <f>IFERROR(IF(OR($B66="",$B66="No CAS"),INDEX('DEQ Pollutant List'!$A$7:$A$611,MATCH($C66,'DEQ Pollutant List'!$C$7:$C$611,0)),INDEX('DEQ Pollutant List'!$A$7:$A$611,MATCH($B66,'DEQ Pollutant List'!$B$7:$B$611,0))),"")</f>
        <v/>
      </c>
      <c r="E66" s="126">
        <v>0</v>
      </c>
      <c r="F66" s="116">
        <f>Baghouses!E23</f>
        <v>1.8107999999999997E-5</v>
      </c>
      <c r="G66" s="129">
        <f t="shared" si="3"/>
        <v>1.8107999999999997E-5</v>
      </c>
      <c r="H66" s="115" t="s">
        <v>492</v>
      </c>
      <c r="I66" s="117" t="s">
        <v>1281</v>
      </c>
      <c r="J66" s="116">
        <f>F66*'2. Emissions Units &amp; Activities'!$H$16</f>
        <v>2.0097888119999996</v>
      </c>
      <c r="K66" s="291">
        <f>G66*'2. Emissions Units &amp; Activities'!$I$16</f>
        <v>4.7587823999999994</v>
      </c>
      <c r="L66" s="114">
        <f t="shared" si="5"/>
        <v>4.7587823999999994</v>
      </c>
      <c r="M66" s="118">
        <f>G66*'2. Emissions Units &amp; Activities'!$K$16</f>
        <v>1.4486399999999997E-2</v>
      </c>
      <c r="N66" s="119">
        <f>G66*'2. Emissions Units &amp; Activities'!$L$16</f>
        <v>1.4486399999999997E-2</v>
      </c>
      <c r="O66" s="120">
        <f t="shared" si="6"/>
        <v>1.4486399999999997E-2</v>
      </c>
    </row>
    <row r="67" spans="1:15" x14ac:dyDescent="0.25">
      <c r="A67" s="125" t="s">
        <v>1186</v>
      </c>
      <c r="B67" s="128" t="s">
        <v>66</v>
      </c>
      <c r="C67" s="123" t="str">
        <f>IFERROR(IF(B67="No CAS","",INDEX('DEQ Pollutant List'!$B$7:$B$611,MATCH('3. Pollutant Emissions - EF'!B67,'DEQ Pollutant List'!$A$7:$A$611,0))),"")</f>
        <v>Molybdenum trioxide</v>
      </c>
      <c r="D67" s="127" t="str">
        <f>IFERROR(IF(OR($B67="",$B67="No CAS"),INDEX('DEQ Pollutant List'!$A$7:$A$611,MATCH($C67,'DEQ Pollutant List'!$C$7:$C$611,0)),INDEX('DEQ Pollutant List'!$A$7:$A$611,MATCH($B67,'DEQ Pollutant List'!$B$7:$B$611,0))),"")</f>
        <v/>
      </c>
      <c r="E67" s="126">
        <v>0</v>
      </c>
      <c r="F67" s="116">
        <f>Baghouses!E24</f>
        <v>3.3463885180163097E-7</v>
      </c>
      <c r="G67" s="129">
        <f t="shared" si="3"/>
        <v>3.3463885180163097E-7</v>
      </c>
      <c r="H67" s="115" t="s">
        <v>492</v>
      </c>
      <c r="I67" s="117" t="s">
        <v>1281</v>
      </c>
      <c r="J67" s="116">
        <f>F67*'2. Emissions Units &amp; Activities'!$H$16</f>
        <v>3.7141231522611222E-2</v>
      </c>
      <c r="K67" s="291">
        <f>G67*'2. Emissions Units &amp; Activities'!$I$16</f>
        <v>8.7943090253468623E-2</v>
      </c>
      <c r="L67" s="114">
        <f t="shared" si="5"/>
        <v>8.7943090253468623E-2</v>
      </c>
      <c r="M67" s="118">
        <f>G67*'2. Emissions Units &amp; Activities'!$K$16</f>
        <v>2.6771108144130478E-4</v>
      </c>
      <c r="N67" s="119">
        <f>G67*'2. Emissions Units &amp; Activities'!$L$16</f>
        <v>2.6771108144130478E-4</v>
      </c>
      <c r="O67" s="120">
        <f t="shared" si="6"/>
        <v>2.6771108144130478E-4</v>
      </c>
    </row>
    <row r="68" spans="1:15" x14ac:dyDescent="0.25">
      <c r="A68" s="125" t="s">
        <v>1186</v>
      </c>
      <c r="B68" s="128" t="s">
        <v>212</v>
      </c>
      <c r="C68" s="123" t="str">
        <f>IFERROR(IF(B68="No CAS","",INDEX('DEQ Pollutant List'!$B$7:$B$611,MATCH('3. Pollutant Emissions - EF'!B68,'DEQ Pollutant List'!$A$7:$A$611,0))),"")</f>
        <v>Nickel and compounds</v>
      </c>
      <c r="D68" s="127" t="str">
        <f>IFERROR(IF(OR($B68="",$B68="No CAS"),INDEX('DEQ Pollutant List'!$A$7:$A$611,MATCH($C68,'DEQ Pollutant List'!$C$7:$C$611,0)),INDEX('DEQ Pollutant List'!$A$7:$A$611,MATCH($B68,'DEQ Pollutant List'!$B$7:$B$611,0))),"")</f>
        <v/>
      </c>
      <c r="E68" s="126">
        <v>0</v>
      </c>
      <c r="F68" s="116">
        <f>Baghouses!E25</f>
        <v>7.1999999999999996E-8</v>
      </c>
      <c r="G68" s="129">
        <f t="shared" si="3"/>
        <v>7.1999999999999996E-8</v>
      </c>
      <c r="H68" s="115" t="s">
        <v>492</v>
      </c>
      <c r="I68" s="117" t="s">
        <v>1281</v>
      </c>
      <c r="J68" s="116">
        <f>F68*'2. Emissions Units &amp; Activities'!$H$16</f>
        <v>7.9912079999999996E-3</v>
      </c>
      <c r="K68" s="291">
        <f>G68*'2. Emissions Units &amp; Activities'!$I$16</f>
        <v>1.89216E-2</v>
      </c>
      <c r="L68" s="114">
        <f t="shared" si="5"/>
        <v>1.89216E-2</v>
      </c>
      <c r="M68" s="118">
        <f>G68*'2. Emissions Units &amp; Activities'!$K$16</f>
        <v>5.7599999999999997E-5</v>
      </c>
      <c r="N68" s="119">
        <f>G68*'2. Emissions Units &amp; Activities'!$L$16</f>
        <v>5.7599999999999997E-5</v>
      </c>
      <c r="O68" s="120">
        <f t="shared" si="6"/>
        <v>5.7599999999999997E-5</v>
      </c>
    </row>
    <row r="69" spans="1:15" x14ac:dyDescent="0.25">
      <c r="A69" s="125" t="s">
        <v>1186</v>
      </c>
      <c r="B69" s="128" t="s">
        <v>310</v>
      </c>
      <c r="C69" s="123" t="str">
        <f>IFERROR(IF(B69="No CAS","",INDEX('DEQ Pollutant List'!$B$7:$B$611,MATCH('3. Pollutant Emissions - EF'!B69,'DEQ Pollutant List'!$A$7:$A$611,0))),"")</f>
        <v>Lead and compounds</v>
      </c>
      <c r="D69" s="127" t="str">
        <f>IFERROR(IF(OR($B69="",$B69="No CAS"),INDEX('DEQ Pollutant List'!$A$7:$A$611,MATCH($C69,'DEQ Pollutant List'!$C$7:$C$611,0)),INDEX('DEQ Pollutant List'!$A$7:$A$611,MATCH($B69,'DEQ Pollutant List'!$B$7:$B$611,0))),"")</f>
        <v/>
      </c>
      <c r="E69" s="126">
        <v>0</v>
      </c>
      <c r="F69" s="116">
        <f>Baghouses!E26</f>
        <v>8.9999999999999996E-7</v>
      </c>
      <c r="G69" s="129">
        <f t="shared" si="3"/>
        <v>8.9999999999999996E-7</v>
      </c>
      <c r="H69" s="115" t="s">
        <v>492</v>
      </c>
      <c r="I69" s="117" t="s">
        <v>1281</v>
      </c>
      <c r="J69" s="116">
        <f>F69*'2. Emissions Units &amp; Activities'!$H$16</f>
        <v>9.9890099999999996E-2</v>
      </c>
      <c r="K69" s="291">
        <f>G69*'2. Emissions Units &amp; Activities'!$I$16</f>
        <v>0.23651999999999998</v>
      </c>
      <c r="L69" s="114">
        <f t="shared" si="5"/>
        <v>0.23651999999999998</v>
      </c>
      <c r="M69" s="118">
        <f>G69*'2. Emissions Units &amp; Activities'!$K$16</f>
        <v>7.1999999999999994E-4</v>
      </c>
      <c r="N69" s="119">
        <f>G69*'2. Emissions Units &amp; Activities'!$L$16</f>
        <v>7.1999999999999994E-4</v>
      </c>
      <c r="O69" s="120">
        <f t="shared" si="6"/>
        <v>7.1999999999999994E-4</v>
      </c>
    </row>
    <row r="70" spans="1:15" x14ac:dyDescent="0.25">
      <c r="A70" s="125" t="s">
        <v>1186</v>
      </c>
      <c r="B70" s="128" t="s">
        <v>311</v>
      </c>
      <c r="C70" s="123" t="str">
        <f>IFERROR(IF(B70="No CAS","",INDEX('DEQ Pollutant List'!$B$7:$B$611,MATCH('3. Pollutant Emissions - EF'!B70,'DEQ Pollutant List'!$A$7:$A$611,0))),"")</f>
        <v>Antimony and compounds</v>
      </c>
      <c r="D70" s="127" t="str">
        <f>IFERROR(IF(OR($B70="",$B70="No CAS"),INDEX('DEQ Pollutant List'!$A$7:$A$611,MATCH($C70,'DEQ Pollutant List'!$C$7:$C$611,0)),INDEX('DEQ Pollutant List'!$A$7:$A$611,MATCH($B70,'DEQ Pollutant List'!$B$7:$B$611,0))),"")</f>
        <v/>
      </c>
      <c r="E70" s="126">
        <v>0</v>
      </c>
      <c r="F70" s="116">
        <f>Baghouses!E27</f>
        <v>1.3319999999999999E-8</v>
      </c>
      <c r="G70" s="129">
        <f t="shared" si="3"/>
        <v>1.3319999999999999E-8</v>
      </c>
      <c r="H70" s="115" t="s">
        <v>492</v>
      </c>
      <c r="I70" s="117" t="s">
        <v>1281</v>
      </c>
      <c r="J70" s="116">
        <f>F70*'2. Emissions Units &amp; Activities'!$H$16</f>
        <v>1.4783734799999999E-3</v>
      </c>
      <c r="K70" s="291">
        <f>G70*'2. Emissions Units &amp; Activities'!$I$16</f>
        <v>3.5004960000000001E-3</v>
      </c>
      <c r="L70" s="114">
        <f t="shared" si="5"/>
        <v>3.5004960000000001E-3</v>
      </c>
      <c r="M70" s="118">
        <f>G70*'2. Emissions Units &amp; Activities'!$K$16</f>
        <v>1.0655999999999999E-5</v>
      </c>
      <c r="N70" s="119">
        <f>G70*'2. Emissions Units &amp; Activities'!$L$16</f>
        <v>1.0655999999999999E-5</v>
      </c>
      <c r="O70" s="120">
        <f t="shared" si="6"/>
        <v>1.0655999999999999E-5</v>
      </c>
    </row>
    <row r="71" spans="1:15" x14ac:dyDescent="0.25">
      <c r="A71" s="125" t="s">
        <v>1186</v>
      </c>
      <c r="B71" s="279" t="s">
        <v>312</v>
      </c>
      <c r="C71" s="123" t="str">
        <f>IFERROR(IF(B71="No CAS","",INDEX('DEQ Pollutant List'!$B$7:$B$611,MATCH('3. Pollutant Emissions - EF'!B71,'DEQ Pollutant List'!$A$7:$A$611,0))),"")</f>
        <v>Selenium and compounds</v>
      </c>
      <c r="D71" s="127" t="str">
        <f>IFERROR(IF(OR($B71="",$B71="No CAS"),INDEX('DEQ Pollutant List'!$A$7:$A$611,MATCH($C71,'DEQ Pollutant List'!$C$7:$C$611,0)),INDEX('DEQ Pollutant List'!$A$7:$A$611,MATCH($B71,'DEQ Pollutant List'!$B$7:$B$611,0))),"")</f>
        <v/>
      </c>
      <c r="E71" s="126">
        <v>0</v>
      </c>
      <c r="F71" s="116">
        <f>Baghouses!E28</f>
        <v>6.8399999999999995E-9</v>
      </c>
      <c r="G71" s="129">
        <f t="shared" si="3"/>
        <v>6.8399999999999995E-9</v>
      </c>
      <c r="H71" s="115" t="s">
        <v>492</v>
      </c>
      <c r="I71" s="117" t="s">
        <v>1281</v>
      </c>
      <c r="J71" s="116">
        <f>F71*'2. Emissions Units &amp; Activities'!$H$16</f>
        <v>7.5916476E-4</v>
      </c>
      <c r="K71" s="291">
        <f>G71*'2. Emissions Units &amp; Activities'!$I$16</f>
        <v>1.7975519999999998E-3</v>
      </c>
      <c r="L71" s="114">
        <f t="shared" si="5"/>
        <v>1.7975519999999998E-3</v>
      </c>
      <c r="M71" s="118">
        <f>G71*'2. Emissions Units &amp; Activities'!$K$16</f>
        <v>5.4719999999999994E-6</v>
      </c>
      <c r="N71" s="119">
        <f>G71*'2. Emissions Units &amp; Activities'!$L$16</f>
        <v>5.4719999999999994E-6</v>
      </c>
      <c r="O71" s="120">
        <f t="shared" si="6"/>
        <v>5.4719999999999994E-6</v>
      </c>
    </row>
    <row r="72" spans="1:15" x14ac:dyDescent="0.25">
      <c r="A72" s="125" t="s">
        <v>1186</v>
      </c>
      <c r="B72" s="279" t="s">
        <v>314</v>
      </c>
      <c r="C72" s="123" t="str">
        <f>IFERROR(IF(B72="No CAS","",INDEX('DEQ Pollutant List'!$B$7:$B$611,MATCH('3. Pollutant Emissions - EF'!B72,'DEQ Pollutant List'!$A$7:$A$611,0))),"")</f>
        <v>Thallium and compounds</v>
      </c>
      <c r="D72" s="127" t="str">
        <f>IFERROR(IF(OR($B72="",$B72="No CAS"),INDEX('DEQ Pollutant List'!$A$7:$A$611,MATCH($C72,'DEQ Pollutant List'!$C$7:$C$611,0)),INDEX('DEQ Pollutant List'!$A$7:$A$611,MATCH($B72,'DEQ Pollutant List'!$B$7:$B$611,0))),"")</f>
        <v/>
      </c>
      <c r="E72" s="126">
        <v>0</v>
      </c>
      <c r="F72" s="116">
        <f>Baghouses!E29</f>
        <v>1.5804E-8</v>
      </c>
      <c r="G72" s="129">
        <f t="shared" si="3"/>
        <v>1.5804E-8</v>
      </c>
      <c r="H72" s="115" t="s">
        <v>492</v>
      </c>
      <c r="I72" s="117" t="s">
        <v>1281</v>
      </c>
      <c r="J72" s="116">
        <f>F72*'2. Emissions Units &amp; Activities'!$H$16</f>
        <v>1.754070156E-3</v>
      </c>
      <c r="K72" s="291">
        <f>G72*'2. Emissions Units &amp; Activities'!$I$16</f>
        <v>4.1532912E-3</v>
      </c>
      <c r="L72" s="114">
        <f t="shared" si="5"/>
        <v>4.1532912E-3</v>
      </c>
      <c r="M72" s="118">
        <f>G72*'2. Emissions Units &amp; Activities'!$K$16</f>
        <v>1.2643200000000001E-5</v>
      </c>
      <c r="N72" s="119">
        <f>G72*'2. Emissions Units &amp; Activities'!$L$16</f>
        <v>1.2643200000000001E-5</v>
      </c>
      <c r="O72" s="120">
        <f t="shared" si="6"/>
        <v>1.2643200000000001E-5</v>
      </c>
    </row>
    <row r="73" spans="1:15" x14ac:dyDescent="0.25">
      <c r="A73" s="125" t="s">
        <v>1186</v>
      </c>
      <c r="B73" s="279" t="s">
        <v>315</v>
      </c>
      <c r="C73" s="123" t="str">
        <f>IFERROR(IF(B73="No CAS","",INDEX('DEQ Pollutant List'!$B$7:$B$611,MATCH('3. Pollutant Emissions - EF'!B73,'DEQ Pollutant List'!$A$7:$A$611,0))),"")</f>
        <v>Zinc and compounds</v>
      </c>
      <c r="D73" s="127" t="str">
        <f>IFERROR(IF(OR($B73="",$B73="No CAS"),INDEX('DEQ Pollutant List'!$A$7:$A$611,MATCH($C73,'DEQ Pollutant List'!$C$7:$C$611,0)),INDEX('DEQ Pollutant List'!$A$7:$A$611,MATCH($B73,'DEQ Pollutant List'!$B$7:$B$611,0))),"")</f>
        <v/>
      </c>
      <c r="E73" s="126">
        <v>0</v>
      </c>
      <c r="F73" s="116">
        <f>Baghouses!E30</f>
        <v>1.08E-6</v>
      </c>
      <c r="G73" s="129">
        <f t="shared" si="3"/>
        <v>1.08E-6</v>
      </c>
      <c r="H73" s="115" t="s">
        <v>492</v>
      </c>
      <c r="I73" s="117" t="s">
        <v>1281</v>
      </c>
      <c r="J73" s="116">
        <f>F73*'2. Emissions Units &amp; Activities'!$H$16</f>
        <v>0.11986812000000001</v>
      </c>
      <c r="K73" s="291">
        <f>G73*'2. Emissions Units &amp; Activities'!$I$16</f>
        <v>0.28382400000000002</v>
      </c>
      <c r="L73" s="114">
        <f t="shared" si="5"/>
        <v>0.28382400000000002</v>
      </c>
      <c r="M73" s="118">
        <f>G73*'2. Emissions Units &amp; Activities'!$K$16</f>
        <v>8.6400000000000008E-4</v>
      </c>
      <c r="N73" s="119">
        <f>G73*'2. Emissions Units &amp; Activities'!$L$16</f>
        <v>8.6400000000000008E-4</v>
      </c>
      <c r="O73" s="120">
        <f t="shared" si="6"/>
        <v>8.6400000000000008E-4</v>
      </c>
    </row>
    <row r="74" spans="1:15" x14ac:dyDescent="0.25">
      <c r="A74" s="125" t="s">
        <v>1186</v>
      </c>
      <c r="B74" s="279" t="s">
        <v>142</v>
      </c>
      <c r="C74" s="123" t="str">
        <f>IFERROR(IF(B74="No CAS","",INDEX('DEQ Pollutant List'!$B$7:$B$611,MATCH('3. Pollutant Emissions - EF'!B74,'DEQ Pollutant List'!$A$7:$A$611,0))),"")</f>
        <v>Barium and compounds</v>
      </c>
      <c r="D74" s="127" t="str">
        <f>IFERROR(IF(OR($B74="",$B74="No CAS"),INDEX('DEQ Pollutant List'!$A$7:$A$611,MATCH($C74,'DEQ Pollutant List'!$C$7:$C$611,0)),INDEX('DEQ Pollutant List'!$A$7:$A$611,MATCH($B74,'DEQ Pollutant List'!$B$7:$B$611,0))),"")</f>
        <v/>
      </c>
      <c r="E74" s="126">
        <v>0</v>
      </c>
      <c r="F74" s="116">
        <f>Baghouses!E31</f>
        <v>7.1999999999999997E-6</v>
      </c>
      <c r="G74" s="129">
        <f t="shared" si="3"/>
        <v>7.1999999999999997E-6</v>
      </c>
      <c r="H74" s="115" t="s">
        <v>492</v>
      </c>
      <c r="I74" s="117" t="s">
        <v>1281</v>
      </c>
      <c r="J74" s="116">
        <f>F74*'2. Emissions Units &amp; Activities'!$H$16</f>
        <v>0.79912079999999996</v>
      </c>
      <c r="K74" s="291">
        <f>G74*'2. Emissions Units &amp; Activities'!$I$16</f>
        <v>1.8921599999999998</v>
      </c>
      <c r="L74" s="114">
        <f t="shared" si="5"/>
        <v>1.8921599999999998</v>
      </c>
      <c r="M74" s="118">
        <f>G74*'2. Emissions Units &amp; Activities'!$K$16</f>
        <v>5.7599999999999995E-3</v>
      </c>
      <c r="N74" s="119">
        <f>G74*'2. Emissions Units &amp; Activities'!$L$16</f>
        <v>5.7599999999999995E-3</v>
      </c>
      <c r="O74" s="120">
        <f t="shared" si="6"/>
        <v>5.7599999999999995E-3</v>
      </c>
    </row>
    <row r="75" spans="1:15" x14ac:dyDescent="0.25">
      <c r="A75" s="125" t="s">
        <v>1186</v>
      </c>
      <c r="B75" s="279">
        <v>504</v>
      </c>
      <c r="C75" s="123" t="str">
        <f>IFERROR(IF(B75="No CAS","",INDEX('DEQ Pollutant List'!$B$7:$B$611,MATCH('3. Pollutant Emissions - EF'!B75,'DEQ Pollutant List'!$A$7:$A$611,0))),"")</f>
        <v>Phosphorus and compounds</v>
      </c>
      <c r="D75" s="127" t="str">
        <f>IFERROR(IF(OR($B75="",$B75="No CAS"),INDEX('DEQ Pollutant List'!$A$7:$A$611,MATCH($C75,'DEQ Pollutant List'!$C$7:$C$611,0)),INDEX('DEQ Pollutant List'!$A$7:$A$611,MATCH($B75,'DEQ Pollutant List'!$B$7:$B$611,0))),"")</f>
        <v/>
      </c>
      <c r="E75" s="126">
        <v>0</v>
      </c>
      <c r="F75" s="116">
        <f>Baghouses!E32</f>
        <v>1.1880000000000001E-6</v>
      </c>
      <c r="G75" s="129">
        <f t="shared" si="3"/>
        <v>1.1880000000000001E-6</v>
      </c>
      <c r="H75" s="115" t="s">
        <v>492</v>
      </c>
      <c r="I75" s="117" t="s">
        <v>1281</v>
      </c>
      <c r="J75" s="116">
        <f>F75*'2. Emissions Units &amp; Activities'!$H$16</f>
        <v>0.13185493200000001</v>
      </c>
      <c r="K75" s="291">
        <f>G75*'2. Emissions Units &amp; Activities'!$I$16</f>
        <v>0.31220640000000005</v>
      </c>
      <c r="L75" s="114">
        <f t="shared" si="5"/>
        <v>0.31220640000000005</v>
      </c>
      <c r="M75" s="118">
        <f>G75*'2. Emissions Units &amp; Activities'!$K$16</f>
        <v>9.5040000000000012E-4</v>
      </c>
      <c r="N75" s="119">
        <f>G75*'2. Emissions Units &amp; Activities'!$L$16</f>
        <v>9.5040000000000012E-4</v>
      </c>
      <c r="O75" s="120">
        <f t="shared" si="6"/>
        <v>9.5040000000000012E-4</v>
      </c>
    </row>
    <row r="76" spans="1:15" x14ac:dyDescent="0.25">
      <c r="A76" s="125" t="s">
        <v>1186</v>
      </c>
      <c r="B76" s="279" t="s">
        <v>316</v>
      </c>
      <c r="C76" s="123" t="str">
        <f>IFERROR(IF(B76="No CAS","",INDEX('DEQ Pollutant List'!$B$7:$B$611,MATCH('3. Pollutant Emissions - EF'!B76,'DEQ Pollutant List'!$A$7:$A$611,0))),"")</f>
        <v>Phosphorus pentoxide</v>
      </c>
      <c r="D76" s="127"/>
      <c r="E76" s="126">
        <v>0</v>
      </c>
      <c r="F76" s="116">
        <f>Baghouses!E33</f>
        <v>2.88E-6</v>
      </c>
      <c r="G76" s="129">
        <f t="shared" si="3"/>
        <v>2.88E-6</v>
      </c>
      <c r="H76" s="115" t="s">
        <v>492</v>
      </c>
      <c r="I76" s="117" t="s">
        <v>1281</v>
      </c>
      <c r="J76" s="116">
        <f>F76*'2. Emissions Units &amp; Activities'!$H$16</f>
        <v>0.31964831999999999</v>
      </c>
      <c r="K76" s="291">
        <f>G76*'2. Emissions Units &amp; Activities'!$I$16</f>
        <v>0.75686399999999998</v>
      </c>
      <c r="L76" s="114">
        <f t="shared" si="5"/>
        <v>0.75686399999999998</v>
      </c>
      <c r="M76" s="118">
        <f>G76*'2. Emissions Units &amp; Activities'!$K$16</f>
        <v>2.3040000000000001E-3</v>
      </c>
      <c r="N76" s="119">
        <f>G76*'2. Emissions Units &amp; Activities'!$L$16</f>
        <v>2.3040000000000001E-3</v>
      </c>
      <c r="O76" s="120">
        <f t="shared" si="6"/>
        <v>2.3040000000000001E-3</v>
      </c>
    </row>
    <row r="77" spans="1:15" x14ac:dyDescent="0.25">
      <c r="A77" s="125" t="s">
        <v>1186</v>
      </c>
      <c r="B77" s="279" t="s">
        <v>183</v>
      </c>
      <c r="C77" s="123" t="str">
        <f>IFERROR(IF(B77="No CAS","",INDEX('DEQ Pollutant List'!$B$7:$B$611,MATCH('3. Pollutant Emissions - EF'!B77,'DEQ Pollutant List'!$A$7:$A$611,0))),"")</f>
        <v>Silica, crystalline (respirable)</v>
      </c>
      <c r="D77" s="127"/>
      <c r="E77" s="126">
        <v>0</v>
      </c>
      <c r="F77" s="116">
        <f>Baghouses!E34</f>
        <v>1.3415399999999998E-3</v>
      </c>
      <c r="G77" s="129">
        <f t="shared" si="3"/>
        <v>1.3415399999999998E-3</v>
      </c>
      <c r="H77" s="115" t="s">
        <v>492</v>
      </c>
      <c r="I77" s="117" t="s">
        <v>1281</v>
      </c>
      <c r="J77" s="116">
        <f>F77*'2. Emissions Units &amp; Activities'!$H$16</f>
        <v>148.89618305999997</v>
      </c>
      <c r="K77" s="291">
        <f>G77*'2. Emissions Units &amp; Activities'!$I$16</f>
        <v>352.55671199999995</v>
      </c>
      <c r="L77" s="114">
        <f t="shared" si="5"/>
        <v>352.55671199999995</v>
      </c>
      <c r="M77" s="118">
        <f>G77*'2. Emissions Units &amp; Activities'!$K$16</f>
        <v>1.0732319999999997</v>
      </c>
      <c r="N77" s="119">
        <f>G77*'2. Emissions Units &amp; Activities'!$L$16</f>
        <v>1.0732319999999997</v>
      </c>
      <c r="O77" s="120">
        <f t="shared" si="6"/>
        <v>1.0732319999999997</v>
      </c>
    </row>
    <row r="78" spans="1:15" x14ac:dyDescent="0.25">
      <c r="A78" s="125" t="s">
        <v>1186</v>
      </c>
      <c r="B78" s="279" t="s">
        <v>317</v>
      </c>
      <c r="C78" s="123" t="str">
        <f>IFERROR(IF(B78="No CAS","",INDEX('DEQ Pollutant List'!$B$7:$B$611,MATCH('3. Pollutant Emissions - EF'!B78,'DEQ Pollutant List'!$A$7:$A$611,0))),"")</f>
        <v>Sulfur trioxide</v>
      </c>
      <c r="D78" s="127"/>
      <c r="E78" s="126">
        <v>0</v>
      </c>
      <c r="F78" s="116">
        <f>Baghouses!E35</f>
        <v>8.9999999999999996E-7</v>
      </c>
      <c r="G78" s="129">
        <f t="shared" si="3"/>
        <v>8.9999999999999996E-7</v>
      </c>
      <c r="H78" s="115" t="s">
        <v>492</v>
      </c>
      <c r="I78" s="117" t="s">
        <v>1281</v>
      </c>
      <c r="J78" s="116">
        <f>F78*'2. Emissions Units &amp; Activities'!$H$16</f>
        <v>9.9890099999999996E-2</v>
      </c>
      <c r="K78" s="291">
        <f>G78*'2. Emissions Units &amp; Activities'!$I$16</f>
        <v>0.23651999999999998</v>
      </c>
      <c r="L78" s="114">
        <f t="shared" si="5"/>
        <v>0.23651999999999998</v>
      </c>
      <c r="M78" s="118">
        <f>G78*'2. Emissions Units &amp; Activities'!$K$16</f>
        <v>7.1999999999999994E-4</v>
      </c>
      <c r="N78" s="119">
        <f>G78*'2. Emissions Units &amp; Activities'!$L$16</f>
        <v>7.1999999999999994E-4</v>
      </c>
      <c r="O78" s="120">
        <f t="shared" si="6"/>
        <v>7.1999999999999994E-4</v>
      </c>
    </row>
    <row r="79" spans="1:15" ht="15.75" thickBot="1" x14ac:dyDescent="0.3">
      <c r="A79" s="198" t="s">
        <v>1186</v>
      </c>
      <c r="B79" s="280" t="s">
        <v>318</v>
      </c>
      <c r="C79" s="216" t="str">
        <f>IFERROR(IF(B79="No CAS","",INDEX('DEQ Pollutant List'!$B$7:$B$611,MATCH('3. Pollutant Emissions - EF'!B79,'DEQ Pollutant List'!$A$7:$A$611,0))),"")</f>
        <v>Vanadium pentoxide</v>
      </c>
      <c r="D79" s="189"/>
      <c r="E79" s="190">
        <v>0</v>
      </c>
      <c r="F79" s="202">
        <f>Baghouses!E36</f>
        <v>8.9999999999999996E-7</v>
      </c>
      <c r="G79" s="199">
        <f t="shared" si="3"/>
        <v>8.9999999999999996E-7</v>
      </c>
      <c r="H79" s="200" t="s">
        <v>492</v>
      </c>
      <c r="I79" s="201" t="s">
        <v>1281</v>
      </c>
      <c r="J79" s="202">
        <f>F79*'2. Emissions Units &amp; Activities'!$H$16</f>
        <v>9.9890099999999996E-2</v>
      </c>
      <c r="K79" s="295">
        <f>G79*'2. Emissions Units &amp; Activities'!$I$16</f>
        <v>0.23651999999999998</v>
      </c>
      <c r="L79" s="234">
        <f t="shared" si="5"/>
        <v>0.23651999999999998</v>
      </c>
      <c r="M79" s="232">
        <f>G79*'2. Emissions Units &amp; Activities'!$K$16</f>
        <v>7.1999999999999994E-4</v>
      </c>
      <c r="N79" s="235">
        <f>G79*'2. Emissions Units &amp; Activities'!$L$16</f>
        <v>7.1999999999999994E-4</v>
      </c>
      <c r="O79" s="236">
        <f t="shared" si="6"/>
        <v>7.1999999999999994E-4</v>
      </c>
    </row>
    <row r="80" spans="1:15" x14ac:dyDescent="0.25">
      <c r="A80" s="191" t="s">
        <v>1191</v>
      </c>
      <c r="B80" s="285" t="s">
        <v>305</v>
      </c>
      <c r="C80" s="214" t="str">
        <f>IFERROR(IF(B80="No CAS","",INDEX('DEQ Pollutant List'!$B$7:$B$611,MATCH('3. Pollutant Emissions - EF'!B80,'DEQ Pollutant List'!$A$7:$A$611,0))),"")</f>
        <v>Silver and compounds</v>
      </c>
      <c r="D80" s="192"/>
      <c r="E80" s="193">
        <v>0</v>
      </c>
      <c r="F80" s="197">
        <f>Baghouses!K13</f>
        <v>5.0000000000000003E-10</v>
      </c>
      <c r="G80" s="194">
        <f>F80</f>
        <v>5.0000000000000003E-10</v>
      </c>
      <c r="H80" s="195" t="s">
        <v>492</v>
      </c>
      <c r="I80" s="196" t="s">
        <v>1281</v>
      </c>
      <c r="J80" s="282">
        <f>F80*'2. Emissions Units &amp; Activities'!$H$17</f>
        <v>5.5494500000000002E-5</v>
      </c>
      <c r="K80" s="286">
        <f>F80*'2. Emissions Units &amp; Activities'!$I$17</f>
        <v>1.314E-4</v>
      </c>
      <c r="L80" s="281">
        <f>K80</f>
        <v>1.314E-4</v>
      </c>
      <c r="M80" s="282">
        <f>G80*'2. Emissions Units &amp; Activities'!$K$17</f>
        <v>4.0000000000000003E-7</v>
      </c>
      <c r="N80" s="283">
        <f>G80*'2. Emissions Units &amp; Activities'!$L$17</f>
        <v>4.0000000000000003E-7</v>
      </c>
      <c r="O80" s="284">
        <f t="shared" ref="O80" si="7">N80</f>
        <v>4.0000000000000003E-7</v>
      </c>
    </row>
    <row r="81" spans="1:30" s="747" customFormat="1" x14ac:dyDescent="0.25">
      <c r="A81" s="125" t="s">
        <v>1191</v>
      </c>
      <c r="B81" s="279" t="s">
        <v>190</v>
      </c>
      <c r="C81" s="123" t="str">
        <f>IFERROR(IF(B81="No CAS","",INDEX('DEQ Pollutant List'!$B$7:$B$611,MATCH('3. Pollutant Emissions - EF'!B81,'DEQ Pollutant List'!$A$7:$A$611,0))),"")</f>
        <v>Aluminum and compounds</v>
      </c>
      <c r="D81" s="127"/>
      <c r="E81" s="126">
        <v>0</v>
      </c>
      <c r="F81" s="116">
        <f>Baghouses!K14</f>
        <v>1.2744999999999998E-3</v>
      </c>
      <c r="G81" s="129">
        <f t="shared" ref="G81:G102" si="8">F81</f>
        <v>1.2744999999999998E-3</v>
      </c>
      <c r="H81" s="115" t="s">
        <v>492</v>
      </c>
      <c r="I81" s="117" t="s">
        <v>1281</v>
      </c>
      <c r="J81" s="118">
        <f>F81*'2. Emissions Units &amp; Activities'!$H$17</f>
        <v>141.45548049999996</v>
      </c>
      <c r="K81" s="121">
        <f>F81*'2. Emissions Units &amp; Activities'!$I$17</f>
        <v>334.93859999999995</v>
      </c>
      <c r="L81" s="114">
        <f t="shared" ref="L81:L103" si="9">K81</f>
        <v>334.93859999999995</v>
      </c>
      <c r="M81" s="118">
        <f>G81*'2. Emissions Units &amp; Activities'!$K$17</f>
        <v>1.0195999999999998</v>
      </c>
      <c r="N81" s="119">
        <f>G81*'2. Emissions Units &amp; Activities'!$L$17</f>
        <v>1.0195999999999998</v>
      </c>
      <c r="O81" s="120">
        <f t="shared" ref="O81:O103" si="10">N81</f>
        <v>1.0195999999999998</v>
      </c>
      <c r="P81" s="2"/>
      <c r="Q81" s="2"/>
      <c r="R81" s="2"/>
      <c r="S81" s="2"/>
      <c r="T81" s="2"/>
      <c r="U81" s="2"/>
      <c r="V81" s="2"/>
      <c r="W81" s="2"/>
      <c r="X81" s="2"/>
      <c r="Y81" s="2"/>
      <c r="Z81" s="2"/>
      <c r="AA81" s="2"/>
      <c r="AB81" s="2"/>
      <c r="AC81" s="2"/>
      <c r="AD81" s="2"/>
    </row>
    <row r="82" spans="1:30" x14ac:dyDescent="0.25">
      <c r="A82" s="125" t="s">
        <v>1191</v>
      </c>
      <c r="B82" s="279" t="s">
        <v>306</v>
      </c>
      <c r="C82" s="123" t="str">
        <f>IFERROR(IF(B82="No CAS","",INDEX('DEQ Pollutant List'!$B$7:$B$611,MATCH('3. Pollutant Emissions - EF'!B82,'DEQ Pollutant List'!$A$7:$A$611,0))),"")</f>
        <v>Arsenic and compounds</v>
      </c>
      <c r="D82" s="127"/>
      <c r="E82" s="126">
        <v>0</v>
      </c>
      <c r="F82" s="116">
        <f>Baghouses!K15</f>
        <v>5.2000000000000009E-8</v>
      </c>
      <c r="G82" s="129">
        <f t="shared" si="8"/>
        <v>5.2000000000000009E-8</v>
      </c>
      <c r="H82" s="115" t="s">
        <v>492</v>
      </c>
      <c r="I82" s="117" t="s">
        <v>1281</v>
      </c>
      <c r="J82" s="118">
        <f>F82*'2. Emissions Units &amp; Activities'!$H$17</f>
        <v>5.7714280000000012E-3</v>
      </c>
      <c r="K82" s="121">
        <f>F82*'2. Emissions Units &amp; Activities'!$I$17</f>
        <v>1.3665600000000002E-2</v>
      </c>
      <c r="L82" s="114">
        <f t="shared" si="9"/>
        <v>1.3665600000000002E-2</v>
      </c>
      <c r="M82" s="118">
        <f>G82*'2. Emissions Units &amp; Activities'!$K$17</f>
        <v>4.1600000000000008E-5</v>
      </c>
      <c r="N82" s="119">
        <f>G82*'2. Emissions Units &amp; Activities'!$L$17</f>
        <v>4.1600000000000008E-5</v>
      </c>
      <c r="O82" s="120">
        <f t="shared" si="10"/>
        <v>4.1600000000000008E-5</v>
      </c>
    </row>
    <row r="83" spans="1:30" x14ac:dyDescent="0.25">
      <c r="A83" s="125" t="s">
        <v>1191</v>
      </c>
      <c r="B83" s="279" t="s">
        <v>142</v>
      </c>
      <c r="C83" s="123" t="str">
        <f>IFERROR(IF(B83="No CAS","",INDEX('DEQ Pollutant List'!$B$7:$B$611,MATCH('3. Pollutant Emissions - EF'!B83,'DEQ Pollutant List'!$A$7:$A$611,0))),"")</f>
        <v>Barium and compounds</v>
      </c>
      <c r="D83" s="127"/>
      <c r="E83" s="126">
        <v>0</v>
      </c>
      <c r="F83" s="116">
        <f>Baghouses!K16</f>
        <v>5.6000000000000006E-6</v>
      </c>
      <c r="G83" s="129">
        <f t="shared" si="8"/>
        <v>5.6000000000000006E-6</v>
      </c>
      <c r="H83" s="115" t="s">
        <v>492</v>
      </c>
      <c r="I83" s="117" t="s">
        <v>1281</v>
      </c>
      <c r="J83" s="118">
        <f>F83*'2. Emissions Units &amp; Activities'!$H$17</f>
        <v>0.62153840000000005</v>
      </c>
      <c r="K83" s="121">
        <f>F83*'2. Emissions Units &amp; Activities'!$I$17</f>
        <v>1.4716800000000001</v>
      </c>
      <c r="L83" s="114">
        <f t="shared" si="9"/>
        <v>1.4716800000000001</v>
      </c>
      <c r="M83" s="118">
        <f>G83*'2. Emissions Units &amp; Activities'!$K$17</f>
        <v>4.4800000000000005E-3</v>
      </c>
      <c r="N83" s="119">
        <f>G83*'2. Emissions Units &amp; Activities'!$L$17</f>
        <v>4.4800000000000005E-3</v>
      </c>
      <c r="O83" s="120">
        <f t="shared" si="10"/>
        <v>4.4800000000000005E-3</v>
      </c>
    </row>
    <row r="84" spans="1:30" x14ac:dyDescent="0.25">
      <c r="A84" s="125" t="s">
        <v>1191</v>
      </c>
      <c r="B84" s="279" t="s">
        <v>307</v>
      </c>
      <c r="C84" s="123" t="str">
        <f>IFERROR(IF(B84="No CAS","",INDEX('DEQ Pollutant List'!$B$7:$B$611,MATCH('3. Pollutant Emissions - EF'!B84,'DEQ Pollutant List'!$A$7:$A$611,0))),"")</f>
        <v>Beryllium and compounds</v>
      </c>
      <c r="D84" s="127"/>
      <c r="E84" s="126">
        <v>0</v>
      </c>
      <c r="F84" s="116">
        <f>Baghouses!K17</f>
        <v>6.1200000000000005E-8</v>
      </c>
      <c r="G84" s="129">
        <f t="shared" si="8"/>
        <v>6.1200000000000005E-8</v>
      </c>
      <c r="H84" s="115" t="s">
        <v>492</v>
      </c>
      <c r="I84" s="117" t="s">
        <v>1281</v>
      </c>
      <c r="J84" s="118">
        <f>F84*'2. Emissions Units &amp; Activities'!$H$17</f>
        <v>6.7925268000000004E-3</v>
      </c>
      <c r="K84" s="121">
        <f>F84*'2. Emissions Units &amp; Activities'!$I$17</f>
        <v>1.6083360000000001E-2</v>
      </c>
      <c r="L84" s="114">
        <f t="shared" si="9"/>
        <v>1.6083360000000001E-2</v>
      </c>
      <c r="M84" s="118">
        <f>G84*'2. Emissions Units &amp; Activities'!$K$17</f>
        <v>4.8960000000000006E-5</v>
      </c>
      <c r="N84" s="119">
        <f>G84*'2. Emissions Units &amp; Activities'!$L$17</f>
        <v>4.8960000000000006E-5</v>
      </c>
      <c r="O84" s="120">
        <f t="shared" si="10"/>
        <v>4.8960000000000006E-5</v>
      </c>
    </row>
    <row r="85" spans="1:30" x14ac:dyDescent="0.25">
      <c r="A85" s="125" t="s">
        <v>1191</v>
      </c>
      <c r="B85" s="279" t="s">
        <v>308</v>
      </c>
      <c r="C85" s="123" t="str">
        <f>IFERROR(IF(B85="No CAS","",INDEX('DEQ Pollutant List'!$B$7:$B$611,MATCH('3. Pollutant Emissions - EF'!B85,'DEQ Pollutant List'!$A$7:$A$611,0))),"")</f>
        <v>Cadmium and compounds</v>
      </c>
      <c r="D85" s="127" t="str">
        <f>IFERROR(IF(OR($B85="",$B85="No CAS"),INDEX('DEQ Pollutant List'!$A$7:$A$611,MATCH($C85,'DEQ Pollutant List'!$C$7:$C$611,0)),INDEX('DEQ Pollutant List'!$A$7:$A$611,MATCH($B85,'DEQ Pollutant List'!$B$7:$B$611,0))),"")</f>
        <v/>
      </c>
      <c r="E85" s="126">
        <v>0</v>
      </c>
      <c r="F85" s="116">
        <f>Baghouses!K18</f>
        <v>1.6000000000000001E-9</v>
      </c>
      <c r="G85" s="129">
        <f t="shared" si="8"/>
        <v>1.6000000000000001E-9</v>
      </c>
      <c r="H85" s="115" t="s">
        <v>492</v>
      </c>
      <c r="I85" s="117" t="s">
        <v>1281</v>
      </c>
      <c r="J85" s="118">
        <f>F85*'2. Emissions Units &amp; Activities'!$H$17</f>
        <v>1.775824E-4</v>
      </c>
      <c r="K85" s="121">
        <f>F85*'2. Emissions Units &amp; Activities'!$I$17</f>
        <v>4.2048000000000004E-4</v>
      </c>
      <c r="L85" s="114">
        <f t="shared" si="9"/>
        <v>4.2048000000000004E-4</v>
      </c>
      <c r="M85" s="118">
        <f>G85*'2. Emissions Units &amp; Activities'!$K$17</f>
        <v>1.28E-6</v>
      </c>
      <c r="N85" s="119">
        <f>G85*'2. Emissions Units &amp; Activities'!$L$17</f>
        <v>1.28E-6</v>
      </c>
      <c r="O85" s="120">
        <f t="shared" si="10"/>
        <v>1.28E-6</v>
      </c>
    </row>
    <row r="86" spans="1:30" x14ac:dyDescent="0.25">
      <c r="A86" s="215" t="s">
        <v>1191</v>
      </c>
      <c r="B86" s="279" t="s">
        <v>147</v>
      </c>
      <c r="C86" s="123" t="str">
        <f>IFERROR(IF(B86="No CAS","",INDEX('DEQ Pollutant List'!$B$7:$B$611,MATCH('3. Pollutant Emissions - EF'!B86,'DEQ Pollutant List'!$A$7:$A$611,0))),"")</f>
        <v>Cobalt and compounds</v>
      </c>
      <c r="D86" s="127" t="str">
        <f>IFERROR(IF(OR($B86="",$B86="No CAS"),INDEX('DEQ Pollutant List'!$A$7:$A$611,MATCH($C86,'DEQ Pollutant List'!$C$7:$C$611,0)),INDEX('DEQ Pollutant List'!$A$7:$A$611,MATCH($B86,'DEQ Pollutant List'!$B$7:$B$611,0))),"")</f>
        <v/>
      </c>
      <c r="E86" s="126">
        <v>0</v>
      </c>
      <c r="F86" s="116">
        <f>Baghouses!K19</f>
        <v>2.0000000000000001E-9</v>
      </c>
      <c r="G86" s="129">
        <f t="shared" si="8"/>
        <v>2.0000000000000001E-9</v>
      </c>
      <c r="H86" s="115" t="s">
        <v>492</v>
      </c>
      <c r="I86" s="117" t="s">
        <v>1281</v>
      </c>
      <c r="J86" s="118">
        <f>F86*'2. Emissions Units &amp; Activities'!$H$17</f>
        <v>2.2197800000000001E-4</v>
      </c>
      <c r="K86" s="121">
        <f>F86*'2. Emissions Units &amp; Activities'!$I$17</f>
        <v>5.2559999999999998E-4</v>
      </c>
      <c r="L86" s="114">
        <f t="shared" si="9"/>
        <v>5.2559999999999998E-4</v>
      </c>
      <c r="M86" s="118">
        <f>G86*'2. Emissions Units &amp; Activities'!$K$17</f>
        <v>1.6000000000000001E-6</v>
      </c>
      <c r="N86" s="119">
        <f>G86*'2. Emissions Units &amp; Activities'!$L$17</f>
        <v>1.6000000000000001E-6</v>
      </c>
      <c r="O86" s="120">
        <f t="shared" si="10"/>
        <v>1.6000000000000001E-6</v>
      </c>
    </row>
    <row r="87" spans="1:30" x14ac:dyDescent="0.25">
      <c r="A87" s="125" t="s">
        <v>1191</v>
      </c>
      <c r="B87" s="279" t="s">
        <v>205</v>
      </c>
      <c r="C87" s="123" t="str">
        <f>IFERROR(IF(B87="No CAS","",INDEX('DEQ Pollutant List'!$B$7:$B$611,MATCH('3. Pollutant Emissions - EF'!B87,'DEQ Pollutant List'!$A$7:$A$611,0))),"")</f>
        <v>Copper and compounds</v>
      </c>
      <c r="D87" s="127" t="str">
        <f>IFERROR(IF(OR($B87="",$B87="No CAS"),INDEX('DEQ Pollutant List'!$A$7:$A$611,MATCH($C87,'DEQ Pollutant List'!$C$7:$C$611,0)),INDEX('DEQ Pollutant List'!$A$7:$A$611,MATCH($B87,'DEQ Pollutant List'!$B$7:$B$611,0))),"")</f>
        <v/>
      </c>
      <c r="E87" s="126">
        <v>0</v>
      </c>
      <c r="F87" s="116">
        <f>Baghouses!K20</f>
        <v>1.0400000000000002E-7</v>
      </c>
      <c r="G87" s="129">
        <f t="shared" si="8"/>
        <v>1.0400000000000002E-7</v>
      </c>
      <c r="H87" s="115" t="s">
        <v>492</v>
      </c>
      <c r="I87" s="117" t="s">
        <v>1281</v>
      </c>
      <c r="J87" s="118">
        <f>F87*'2. Emissions Units &amp; Activities'!$H$17</f>
        <v>1.1542856000000002E-2</v>
      </c>
      <c r="K87" s="121">
        <f>F87*'2. Emissions Units &amp; Activities'!$I$17</f>
        <v>2.7331200000000003E-2</v>
      </c>
      <c r="L87" s="114">
        <f t="shared" si="9"/>
        <v>2.7331200000000003E-2</v>
      </c>
      <c r="M87" s="118">
        <f>G87*'2. Emissions Units &amp; Activities'!$K$17</f>
        <v>8.3200000000000017E-5</v>
      </c>
      <c r="N87" s="119">
        <f>G87*'2. Emissions Units &amp; Activities'!$L$17</f>
        <v>8.3200000000000017E-5</v>
      </c>
      <c r="O87" s="120">
        <f t="shared" si="10"/>
        <v>8.3200000000000017E-5</v>
      </c>
    </row>
    <row r="88" spans="1:30" x14ac:dyDescent="0.25">
      <c r="A88" s="125" t="s">
        <v>1191</v>
      </c>
      <c r="B88" s="279" t="s">
        <v>55</v>
      </c>
      <c r="C88" s="123" t="str">
        <f>IFERROR(IF(B88="No CAS","",INDEX('DEQ Pollutant List'!$B$7:$B$611,MATCH('3. Pollutant Emissions - EF'!B88,'DEQ Pollutant List'!$A$7:$A$611,0))),"")</f>
        <v>Chromium VI, chromate and dichromate particulate</v>
      </c>
      <c r="D88" s="127" t="str">
        <f>IFERROR(IF(OR($B88="",$B88="No CAS"),INDEX('DEQ Pollutant List'!$A$7:$A$611,MATCH($C88,'DEQ Pollutant List'!$C$7:$C$611,0)),INDEX('DEQ Pollutant List'!$A$7:$A$611,MATCH($B88,'DEQ Pollutant List'!$B$7:$B$611,0))),"")</f>
        <v/>
      </c>
      <c r="E88" s="126">
        <v>0</v>
      </c>
      <c r="F88" s="116">
        <f>Baghouses!K21</f>
        <v>1.5932000000000003E-7</v>
      </c>
      <c r="G88" s="129">
        <f t="shared" si="8"/>
        <v>1.5932000000000003E-7</v>
      </c>
      <c r="H88" s="115" t="s">
        <v>492</v>
      </c>
      <c r="I88" s="117" t="s">
        <v>1281</v>
      </c>
      <c r="J88" s="118">
        <f>F88*'2. Emissions Units &amp; Activities'!$H$17</f>
        <v>1.7682767480000004E-2</v>
      </c>
      <c r="K88" s="121">
        <f>F88*'2. Emissions Units &amp; Activities'!$I$17</f>
        <v>4.1869296000000007E-2</v>
      </c>
      <c r="L88" s="114">
        <f t="shared" si="9"/>
        <v>4.1869296000000007E-2</v>
      </c>
      <c r="M88" s="118">
        <f>G88*'2. Emissions Units &amp; Activities'!$K$17</f>
        <v>1.2745600000000002E-4</v>
      </c>
      <c r="N88" s="119">
        <f>G88*'2. Emissions Units &amp; Activities'!$L$17</f>
        <v>1.2745600000000002E-4</v>
      </c>
      <c r="O88" s="120">
        <f t="shared" si="10"/>
        <v>1.2745600000000002E-4</v>
      </c>
    </row>
    <row r="89" spans="1:30" x14ac:dyDescent="0.25">
      <c r="A89" s="125" t="s">
        <v>1191</v>
      </c>
      <c r="B89" s="279" t="s">
        <v>309</v>
      </c>
      <c r="C89" s="123" t="str">
        <f>IFERROR(IF(B89="No CAS","",INDEX('DEQ Pollutant List'!$B$7:$B$611,MATCH('3. Pollutant Emissions - EF'!B89,'DEQ Pollutant List'!$A$7:$A$611,0))),"")</f>
        <v>Mercury and compounds</v>
      </c>
      <c r="D89" s="127" t="str">
        <f>IFERROR(IF(OR($B89="",$B89="No CAS"),INDEX('DEQ Pollutant List'!$A$7:$A$611,MATCH($C89,'DEQ Pollutant List'!$C$7:$C$611,0)),INDEX('DEQ Pollutant List'!$A$7:$A$611,MATCH($B89,'DEQ Pollutant List'!$B$7:$B$611,0))),"")</f>
        <v/>
      </c>
      <c r="E89" s="126">
        <v>0</v>
      </c>
      <c r="F89" s="116">
        <f>Baghouses!K22</f>
        <v>4.0000000000000001E-10</v>
      </c>
      <c r="G89" s="129">
        <f t="shared" si="8"/>
        <v>4.0000000000000001E-10</v>
      </c>
      <c r="H89" s="115" t="s">
        <v>492</v>
      </c>
      <c r="I89" s="117" t="s">
        <v>1281</v>
      </c>
      <c r="J89" s="118">
        <f>F89*'2. Emissions Units &amp; Activities'!$H$17</f>
        <v>4.4395599999999999E-5</v>
      </c>
      <c r="K89" s="121">
        <f>F89*'2. Emissions Units &amp; Activities'!$I$17</f>
        <v>1.0512000000000001E-4</v>
      </c>
      <c r="L89" s="114">
        <f t="shared" si="9"/>
        <v>1.0512000000000001E-4</v>
      </c>
      <c r="M89" s="118">
        <f>G89*'2. Emissions Units &amp; Activities'!$K$17</f>
        <v>3.2000000000000001E-7</v>
      </c>
      <c r="N89" s="119">
        <f>G89*'2. Emissions Units &amp; Activities'!$L$17</f>
        <v>3.2000000000000001E-7</v>
      </c>
      <c r="O89" s="120">
        <f t="shared" si="10"/>
        <v>3.2000000000000001E-7</v>
      </c>
    </row>
    <row r="90" spans="1:30" x14ac:dyDescent="0.25">
      <c r="A90" s="125" t="s">
        <v>1191</v>
      </c>
      <c r="B90" s="279" t="s">
        <v>181</v>
      </c>
      <c r="C90" s="123" t="str">
        <f>IFERROR(IF(B90="No CAS","",INDEX('DEQ Pollutant List'!$B$7:$B$611,MATCH('3. Pollutant Emissions - EF'!B90,'DEQ Pollutant List'!$A$7:$A$611,0))),"")</f>
        <v>Manganese and compounds</v>
      </c>
      <c r="D90" s="127" t="str">
        <f>IFERROR(IF(OR($B90="",$B90="No CAS"),INDEX('DEQ Pollutant List'!$A$7:$A$611,MATCH($C90,'DEQ Pollutant List'!$C$7:$C$611,0)),INDEX('DEQ Pollutant List'!$A$7:$A$611,MATCH($B90,'DEQ Pollutant List'!$B$7:$B$611,0))),"")</f>
        <v/>
      </c>
      <c r="E90" s="126">
        <v>0</v>
      </c>
      <c r="F90" s="116">
        <f>Baghouses!K23</f>
        <v>1.006E-5</v>
      </c>
      <c r="G90" s="129">
        <f t="shared" si="8"/>
        <v>1.006E-5</v>
      </c>
      <c r="H90" s="115" t="s">
        <v>492</v>
      </c>
      <c r="I90" s="117" t="s">
        <v>1281</v>
      </c>
      <c r="J90" s="118">
        <f>F90*'2. Emissions Units &amp; Activities'!$H$17</f>
        <v>1.1165493399999999</v>
      </c>
      <c r="K90" s="121">
        <f>F90*'2. Emissions Units &amp; Activities'!$I$17</f>
        <v>2.6437680000000001</v>
      </c>
      <c r="L90" s="114">
        <f t="shared" si="9"/>
        <v>2.6437680000000001</v>
      </c>
      <c r="M90" s="118">
        <f>G90*'2. Emissions Units &amp; Activities'!$K$17</f>
        <v>8.0479999999999996E-3</v>
      </c>
      <c r="N90" s="119">
        <f>G90*'2. Emissions Units &amp; Activities'!$L$17</f>
        <v>8.0479999999999996E-3</v>
      </c>
      <c r="O90" s="120">
        <f t="shared" si="10"/>
        <v>8.0479999999999996E-3</v>
      </c>
    </row>
    <row r="91" spans="1:30" x14ac:dyDescent="0.25">
      <c r="A91" s="125" t="s">
        <v>1191</v>
      </c>
      <c r="B91" s="279" t="s">
        <v>66</v>
      </c>
      <c r="C91" s="123" t="str">
        <f>IFERROR(IF(B91="No CAS","",INDEX('DEQ Pollutant List'!$B$7:$B$611,MATCH('3. Pollutant Emissions - EF'!B91,'DEQ Pollutant List'!$A$7:$A$611,0))),"")</f>
        <v>Molybdenum trioxide</v>
      </c>
      <c r="D91" s="127" t="str">
        <f>IFERROR(IF(OR($B91="",$B91="No CAS"),INDEX('DEQ Pollutant List'!$A$7:$A$611,MATCH($C91,'DEQ Pollutant List'!$C$7:$C$611,0)),INDEX('DEQ Pollutant List'!$A$7:$A$611,MATCH($B91,'DEQ Pollutant List'!$B$7:$B$611,0))),"")</f>
        <v/>
      </c>
      <c r="E91" s="126">
        <v>0</v>
      </c>
      <c r="F91" s="116">
        <f>Baghouses!K24</f>
        <v>1.8591047322312833E-7</v>
      </c>
      <c r="G91" s="129">
        <f t="shared" si="8"/>
        <v>1.8591047322312833E-7</v>
      </c>
      <c r="H91" s="115" t="s">
        <v>492</v>
      </c>
      <c r="I91" s="117" t="s">
        <v>1281</v>
      </c>
      <c r="J91" s="118">
        <f>F91*'2. Emissions Units &amp; Activities'!$H$17</f>
        <v>2.0634017512561789E-2</v>
      </c>
      <c r="K91" s="121">
        <f>F91*'2. Emissions Units &amp; Activities'!$I$17</f>
        <v>4.8857272363038128E-2</v>
      </c>
      <c r="L91" s="114">
        <f t="shared" si="9"/>
        <v>4.8857272363038128E-2</v>
      </c>
      <c r="M91" s="118">
        <f>G91*'2. Emissions Units &amp; Activities'!$K$17</f>
        <v>1.4872837857850266E-4</v>
      </c>
      <c r="N91" s="119">
        <f>G91*'2. Emissions Units &amp; Activities'!$L$17</f>
        <v>1.4872837857850266E-4</v>
      </c>
      <c r="O91" s="120">
        <f t="shared" si="10"/>
        <v>1.4872837857850266E-4</v>
      </c>
    </row>
    <row r="92" spans="1:30" x14ac:dyDescent="0.25">
      <c r="A92" s="125" t="s">
        <v>1191</v>
      </c>
      <c r="B92" s="279" t="s">
        <v>212</v>
      </c>
      <c r="C92" s="123" t="str">
        <f>IFERROR(IF(B92="No CAS","",INDEX('DEQ Pollutant List'!$B$7:$B$611,MATCH('3. Pollutant Emissions - EF'!B92,'DEQ Pollutant List'!$A$7:$A$611,0))),"")</f>
        <v>Nickel and compounds</v>
      </c>
      <c r="D92" s="127" t="str">
        <f>IFERROR(IF(OR($B92="",$B92="No CAS"),INDEX('DEQ Pollutant List'!$A$7:$A$611,MATCH($C92,'DEQ Pollutant List'!$C$7:$C$611,0)),INDEX('DEQ Pollutant List'!$A$7:$A$611,MATCH($B92,'DEQ Pollutant List'!$B$7:$B$611,0))),"")</f>
        <v/>
      </c>
      <c r="E92" s="126">
        <v>0</v>
      </c>
      <c r="F92" s="116">
        <f>Baghouses!K25</f>
        <v>4.0000000000000001E-8</v>
      </c>
      <c r="G92" s="129">
        <f t="shared" si="8"/>
        <v>4.0000000000000001E-8</v>
      </c>
      <c r="H92" s="115" t="s">
        <v>492</v>
      </c>
      <c r="I92" s="117" t="s">
        <v>1281</v>
      </c>
      <c r="J92" s="118">
        <f>F92*'2. Emissions Units &amp; Activities'!$H$17</f>
        <v>4.4395600000000004E-3</v>
      </c>
      <c r="K92" s="121">
        <f>F92*'2. Emissions Units &amp; Activities'!$I$17</f>
        <v>1.0512000000000001E-2</v>
      </c>
      <c r="L92" s="114">
        <f t="shared" si="9"/>
        <v>1.0512000000000001E-2</v>
      </c>
      <c r="M92" s="118">
        <f>G92*'2. Emissions Units &amp; Activities'!$K$17</f>
        <v>3.1999999999999999E-5</v>
      </c>
      <c r="N92" s="119">
        <f>G92*'2. Emissions Units &amp; Activities'!$L$17</f>
        <v>3.1999999999999999E-5</v>
      </c>
      <c r="O92" s="120">
        <f t="shared" si="10"/>
        <v>3.1999999999999999E-5</v>
      </c>
    </row>
    <row r="93" spans="1:30" x14ac:dyDescent="0.25">
      <c r="A93" s="125" t="s">
        <v>1191</v>
      </c>
      <c r="B93" s="279" t="s">
        <v>310</v>
      </c>
      <c r="C93" s="123" t="str">
        <f>IFERROR(IF(B93="No CAS","",INDEX('DEQ Pollutant List'!$B$7:$B$611,MATCH('3. Pollutant Emissions - EF'!B93,'DEQ Pollutant List'!$A$7:$A$611,0))),"")</f>
        <v>Lead and compounds</v>
      </c>
      <c r="D93" s="127" t="str">
        <f>IFERROR(IF(OR($B93="",$B93="No CAS"),INDEX('DEQ Pollutant List'!$A$7:$A$611,MATCH($C93,'DEQ Pollutant List'!$C$7:$C$611,0)),INDEX('DEQ Pollutant List'!$A$7:$A$611,MATCH($B93,'DEQ Pollutant List'!$B$7:$B$611,0))),"")</f>
        <v/>
      </c>
      <c r="E93" s="126">
        <v>0</v>
      </c>
      <c r="F93" s="116">
        <f>Baghouses!K26</f>
        <v>5.0000000000000008E-7</v>
      </c>
      <c r="G93" s="129">
        <f t="shared" si="8"/>
        <v>5.0000000000000008E-7</v>
      </c>
      <c r="H93" s="115" t="s">
        <v>492</v>
      </c>
      <c r="I93" s="117" t="s">
        <v>1281</v>
      </c>
      <c r="J93" s="118">
        <f>F93*'2. Emissions Units &amp; Activities'!$H$17</f>
        <v>5.5494500000000009E-2</v>
      </c>
      <c r="K93" s="121">
        <f>F93*'2. Emissions Units &amp; Activities'!$I$17</f>
        <v>0.13140000000000002</v>
      </c>
      <c r="L93" s="114">
        <f t="shared" si="9"/>
        <v>0.13140000000000002</v>
      </c>
      <c r="M93" s="118">
        <f>G93*'2. Emissions Units &amp; Activities'!$K$17</f>
        <v>4.0000000000000007E-4</v>
      </c>
      <c r="N93" s="119">
        <f>G93*'2. Emissions Units &amp; Activities'!$L$17</f>
        <v>4.0000000000000007E-4</v>
      </c>
      <c r="O93" s="120">
        <f t="shared" si="10"/>
        <v>4.0000000000000007E-4</v>
      </c>
    </row>
    <row r="94" spans="1:30" x14ac:dyDescent="0.25">
      <c r="A94" s="125" t="s">
        <v>1191</v>
      </c>
      <c r="B94" s="279" t="s">
        <v>311</v>
      </c>
      <c r="C94" s="123" t="str">
        <f>IFERROR(IF(B94="No CAS","",INDEX('DEQ Pollutant List'!$B$7:$B$611,MATCH('3. Pollutant Emissions - EF'!B94,'DEQ Pollutant List'!$A$7:$A$611,0))),"")</f>
        <v>Antimony and compounds</v>
      </c>
      <c r="D94" s="127" t="str">
        <f>IFERROR(IF(OR($B94="",$B94="No CAS"),INDEX('DEQ Pollutant List'!$A$7:$A$611,MATCH($C94,'DEQ Pollutant List'!$C$7:$C$611,0)),INDEX('DEQ Pollutant List'!$A$7:$A$611,MATCH($B94,'DEQ Pollutant List'!$B$7:$B$611,0))),"")</f>
        <v/>
      </c>
      <c r="E94" s="126">
        <v>0</v>
      </c>
      <c r="F94" s="116">
        <f>Baghouses!K27</f>
        <v>7.4000000000000001E-9</v>
      </c>
      <c r="G94" s="129">
        <f t="shared" si="8"/>
        <v>7.4000000000000001E-9</v>
      </c>
      <c r="H94" s="115" t="s">
        <v>492</v>
      </c>
      <c r="I94" s="117" t="s">
        <v>1281</v>
      </c>
      <c r="J94" s="118">
        <f>F94*'2. Emissions Units &amp; Activities'!$H$17</f>
        <v>8.2131860000000001E-4</v>
      </c>
      <c r="K94" s="121">
        <f>F94*'2. Emissions Units &amp; Activities'!$I$17</f>
        <v>1.94472E-3</v>
      </c>
      <c r="L94" s="114">
        <f t="shared" si="9"/>
        <v>1.94472E-3</v>
      </c>
      <c r="M94" s="118">
        <f>G94*'2. Emissions Units &amp; Activities'!$K$17</f>
        <v>5.9200000000000001E-6</v>
      </c>
      <c r="N94" s="119">
        <f>G94*'2. Emissions Units &amp; Activities'!$L$17</f>
        <v>5.9200000000000001E-6</v>
      </c>
      <c r="O94" s="120">
        <f t="shared" si="10"/>
        <v>5.9200000000000001E-6</v>
      </c>
    </row>
    <row r="95" spans="1:30" x14ac:dyDescent="0.25">
      <c r="A95" s="125" t="s">
        <v>1191</v>
      </c>
      <c r="B95" s="279" t="s">
        <v>312</v>
      </c>
      <c r="C95" s="123" t="str">
        <f>IFERROR(IF(B95="No CAS","",INDEX('DEQ Pollutant List'!$B$7:$B$611,MATCH('3. Pollutant Emissions - EF'!B95,'DEQ Pollutant List'!$A$7:$A$611,0))),"")</f>
        <v>Selenium and compounds</v>
      </c>
      <c r="D95" s="127" t="str">
        <f>IFERROR(IF(OR($B95="",$B95="No CAS"),INDEX('DEQ Pollutant List'!$A$7:$A$611,MATCH($C95,'DEQ Pollutant List'!$C$7:$C$611,0)),INDEX('DEQ Pollutant List'!$A$7:$A$611,MATCH($B95,'DEQ Pollutant List'!$B$7:$B$611,0))),"")</f>
        <v/>
      </c>
      <c r="E95" s="126">
        <v>0</v>
      </c>
      <c r="F95" s="116">
        <f>Baghouses!K28</f>
        <v>3.8000000000000001E-9</v>
      </c>
      <c r="G95" s="129">
        <f t="shared" si="8"/>
        <v>3.8000000000000001E-9</v>
      </c>
      <c r="H95" s="115" t="s">
        <v>492</v>
      </c>
      <c r="I95" s="117" t="s">
        <v>1281</v>
      </c>
      <c r="J95" s="118">
        <f>F95*'2. Emissions Units &amp; Activities'!$H$17</f>
        <v>4.2175820000000001E-4</v>
      </c>
      <c r="K95" s="121">
        <f>F95*'2. Emissions Units &amp; Activities'!$I$17</f>
        <v>9.9864000000000007E-4</v>
      </c>
      <c r="L95" s="114">
        <f t="shared" si="9"/>
        <v>9.9864000000000007E-4</v>
      </c>
      <c r="M95" s="118">
        <f>G95*'2. Emissions Units &amp; Activities'!$K$17</f>
        <v>3.0400000000000001E-6</v>
      </c>
      <c r="N95" s="119">
        <f>G95*'2. Emissions Units &amp; Activities'!$L$17</f>
        <v>3.0400000000000001E-6</v>
      </c>
      <c r="O95" s="120">
        <f t="shared" si="10"/>
        <v>3.0400000000000001E-6</v>
      </c>
    </row>
    <row r="96" spans="1:30" x14ac:dyDescent="0.25">
      <c r="A96" s="125" t="s">
        <v>1191</v>
      </c>
      <c r="B96" s="279" t="s">
        <v>314</v>
      </c>
      <c r="C96" s="123" t="str">
        <f>IFERROR(IF(B96="No CAS","",INDEX('DEQ Pollutant List'!$B$7:$B$611,MATCH('3. Pollutant Emissions - EF'!B96,'DEQ Pollutant List'!$A$7:$A$611,0))),"")</f>
        <v>Thallium and compounds</v>
      </c>
      <c r="D96" s="127" t="str">
        <f>IFERROR(IF(OR($B96="",$B96="No CAS"),INDEX('DEQ Pollutant List'!$A$7:$A$611,MATCH($C96,'DEQ Pollutant List'!$C$7:$C$611,0)),INDEX('DEQ Pollutant List'!$A$7:$A$611,MATCH($B96,'DEQ Pollutant List'!$B$7:$B$611,0))),"")</f>
        <v/>
      </c>
      <c r="E96" s="126">
        <v>0</v>
      </c>
      <c r="F96" s="116">
        <f>Baghouses!K29</f>
        <v>8.7800000000000015E-9</v>
      </c>
      <c r="G96" s="129">
        <f t="shared" si="8"/>
        <v>8.7800000000000015E-9</v>
      </c>
      <c r="H96" s="115" t="s">
        <v>492</v>
      </c>
      <c r="I96" s="117" t="s">
        <v>1281</v>
      </c>
      <c r="J96" s="118">
        <f>F96*'2. Emissions Units &amp; Activities'!$H$17</f>
        <v>9.7448342000000022E-4</v>
      </c>
      <c r="K96" s="121">
        <f>F96*'2. Emissions Units &amp; Activities'!$I$17</f>
        <v>2.3073840000000004E-3</v>
      </c>
      <c r="L96" s="114">
        <f t="shared" si="9"/>
        <v>2.3073840000000004E-3</v>
      </c>
      <c r="M96" s="118">
        <f>G96*'2. Emissions Units &amp; Activities'!$K$17</f>
        <v>7.0240000000000009E-6</v>
      </c>
      <c r="N96" s="119">
        <f>G96*'2. Emissions Units &amp; Activities'!$L$17</f>
        <v>7.0240000000000009E-6</v>
      </c>
      <c r="O96" s="120">
        <f t="shared" si="10"/>
        <v>7.0240000000000009E-6</v>
      </c>
    </row>
    <row r="97" spans="1:15" x14ac:dyDescent="0.25">
      <c r="A97" s="125" t="s">
        <v>1191</v>
      </c>
      <c r="B97" s="279" t="s">
        <v>315</v>
      </c>
      <c r="C97" s="123" t="str">
        <f>IFERROR(IF(B97="No CAS","",INDEX('DEQ Pollutant List'!$B$7:$B$611,MATCH('3. Pollutant Emissions - EF'!B97,'DEQ Pollutant List'!$A$7:$A$611,0))),"")</f>
        <v>Zinc and compounds</v>
      </c>
      <c r="D97" s="127" t="str">
        <f>IFERROR(IF(OR($B97="",$B97="No CAS"),INDEX('DEQ Pollutant List'!$A$7:$A$611,MATCH($C97,'DEQ Pollutant List'!$C$7:$C$611,0)),INDEX('DEQ Pollutant List'!$A$7:$A$611,MATCH($B97,'DEQ Pollutant List'!$B$7:$B$611,0))),"")</f>
        <v/>
      </c>
      <c r="E97" s="126">
        <v>0</v>
      </c>
      <c r="F97" s="116">
        <f>Baghouses!K30</f>
        <v>6.0000000000000008E-7</v>
      </c>
      <c r="G97" s="129">
        <f t="shared" si="8"/>
        <v>6.0000000000000008E-7</v>
      </c>
      <c r="H97" s="115" t="s">
        <v>492</v>
      </c>
      <c r="I97" s="117" t="s">
        <v>1281</v>
      </c>
      <c r="J97" s="118">
        <f>F97*'2. Emissions Units &amp; Activities'!$H$17</f>
        <v>6.6593400000000011E-2</v>
      </c>
      <c r="K97" s="121">
        <f>F97*'2. Emissions Units &amp; Activities'!$I$17</f>
        <v>0.15768000000000001</v>
      </c>
      <c r="L97" s="114">
        <f t="shared" si="9"/>
        <v>0.15768000000000001</v>
      </c>
      <c r="M97" s="118">
        <f>G97*'2. Emissions Units &amp; Activities'!$K$17</f>
        <v>4.8000000000000007E-4</v>
      </c>
      <c r="N97" s="119">
        <f>G97*'2. Emissions Units &amp; Activities'!$L$17</f>
        <v>4.8000000000000007E-4</v>
      </c>
      <c r="O97" s="120">
        <f t="shared" si="10"/>
        <v>4.8000000000000007E-4</v>
      </c>
    </row>
    <row r="98" spans="1:15" x14ac:dyDescent="0.25">
      <c r="A98" s="125" t="s">
        <v>1191</v>
      </c>
      <c r="B98" s="279" t="s">
        <v>142</v>
      </c>
      <c r="C98" s="123" t="str">
        <f>IFERROR(IF(B98="No CAS","",INDEX('DEQ Pollutant List'!$B$7:$B$611,MATCH('3. Pollutant Emissions - EF'!B98,'DEQ Pollutant List'!$A$7:$A$611,0))),"")</f>
        <v>Barium and compounds</v>
      </c>
      <c r="D98" s="127" t="str">
        <f>IFERROR(IF(OR($B98="",$B98="No CAS"),INDEX('DEQ Pollutant List'!$A$7:$A$611,MATCH($C98,'DEQ Pollutant List'!$C$7:$C$611,0)),INDEX('DEQ Pollutant List'!$A$7:$A$611,MATCH($B98,'DEQ Pollutant List'!$B$7:$B$611,0))),"")</f>
        <v/>
      </c>
      <c r="E98" s="126">
        <v>0</v>
      </c>
      <c r="F98" s="116">
        <f>Baghouses!K31</f>
        <v>4.0000000000000007E-6</v>
      </c>
      <c r="G98" s="129">
        <f t="shared" si="8"/>
        <v>4.0000000000000007E-6</v>
      </c>
      <c r="H98" s="115" t="s">
        <v>492</v>
      </c>
      <c r="I98" s="117" t="s">
        <v>1281</v>
      </c>
      <c r="J98" s="118">
        <f>F98*'2. Emissions Units &amp; Activities'!$H$17</f>
        <v>0.44395600000000007</v>
      </c>
      <c r="K98" s="121">
        <f>F98*'2. Emissions Units &amp; Activities'!$I$17</f>
        <v>1.0512000000000001</v>
      </c>
      <c r="L98" s="114">
        <f t="shared" si="9"/>
        <v>1.0512000000000001</v>
      </c>
      <c r="M98" s="118">
        <f>G98*'2. Emissions Units &amp; Activities'!$K$17</f>
        <v>3.2000000000000006E-3</v>
      </c>
      <c r="N98" s="119">
        <f>G98*'2. Emissions Units &amp; Activities'!$L$17</f>
        <v>3.2000000000000006E-3</v>
      </c>
      <c r="O98" s="120">
        <f t="shared" si="10"/>
        <v>3.2000000000000006E-3</v>
      </c>
    </row>
    <row r="99" spans="1:15" x14ac:dyDescent="0.25">
      <c r="A99" s="125" t="s">
        <v>1191</v>
      </c>
      <c r="B99" s="279">
        <v>504</v>
      </c>
      <c r="C99" s="123" t="str">
        <f>IFERROR(IF(B99="No CAS","",INDEX('DEQ Pollutant List'!$B$7:$B$611,MATCH('3. Pollutant Emissions - EF'!B99,'DEQ Pollutant List'!$A$7:$A$611,0))),"")</f>
        <v>Phosphorus and compounds</v>
      </c>
      <c r="D99" s="127" t="str">
        <f>IFERROR(IF(OR($B99="",$B99="No CAS"),INDEX('DEQ Pollutant List'!$A$7:$A$611,MATCH($C99,'DEQ Pollutant List'!$C$7:$C$611,0)),INDEX('DEQ Pollutant List'!$A$7:$A$611,MATCH($B99,'DEQ Pollutant List'!$B$7:$B$611,0))),"")</f>
        <v/>
      </c>
      <c r="E99" s="126">
        <v>0</v>
      </c>
      <c r="F99" s="116">
        <f>Baghouses!K32</f>
        <v>6.6000000000000003E-7</v>
      </c>
      <c r="G99" s="129">
        <f>F99</f>
        <v>6.6000000000000003E-7</v>
      </c>
      <c r="H99" s="115" t="s">
        <v>492</v>
      </c>
      <c r="I99" s="117" t="s">
        <v>1281</v>
      </c>
      <c r="J99" s="118">
        <f>F99*'2. Emissions Units &amp; Activities'!$H$17</f>
        <v>7.3252740000000011E-2</v>
      </c>
      <c r="K99" s="121">
        <f>F99*'2. Emissions Units &amp; Activities'!$I$17</f>
        <v>0.17344800000000002</v>
      </c>
      <c r="L99" s="114">
        <f t="shared" si="9"/>
        <v>0.17344800000000002</v>
      </c>
      <c r="M99" s="118">
        <f>G99*'2. Emissions Units &amp; Activities'!$K$17</f>
        <v>5.2800000000000004E-4</v>
      </c>
      <c r="N99" s="119">
        <f>G99*'2. Emissions Units &amp; Activities'!$L$17</f>
        <v>5.2800000000000004E-4</v>
      </c>
      <c r="O99" s="120">
        <f t="shared" si="10"/>
        <v>5.2800000000000004E-4</v>
      </c>
    </row>
    <row r="100" spans="1:15" x14ac:dyDescent="0.25">
      <c r="A100" s="125" t="s">
        <v>1191</v>
      </c>
      <c r="B100" s="279" t="s">
        <v>316</v>
      </c>
      <c r="C100" s="123" t="str">
        <f>IFERROR(IF(B100="No CAS","",INDEX('DEQ Pollutant List'!$B$7:$B$611,MATCH('3. Pollutant Emissions - EF'!B100,'DEQ Pollutant List'!$A$7:$A$611,0))),"")</f>
        <v>Phosphorus pentoxide</v>
      </c>
      <c r="D100" s="127" t="str">
        <f>IFERROR(IF(OR($B100="",$B100="No CAS"),INDEX('DEQ Pollutant List'!$A$7:$A$611,MATCH($C100,'DEQ Pollutant List'!$C$7:$C$611,0)),INDEX('DEQ Pollutant List'!$A$7:$A$611,MATCH($B100,'DEQ Pollutant List'!$B$7:$B$611,0))),"")</f>
        <v/>
      </c>
      <c r="E100" s="126">
        <v>0</v>
      </c>
      <c r="F100" s="116">
        <f>Baghouses!K33</f>
        <v>1.6000000000000001E-6</v>
      </c>
      <c r="G100" s="129">
        <f t="shared" si="8"/>
        <v>1.6000000000000001E-6</v>
      </c>
      <c r="H100" s="115" t="s">
        <v>492</v>
      </c>
      <c r="I100" s="117" t="s">
        <v>1281</v>
      </c>
      <c r="J100" s="118">
        <f>F100*'2. Emissions Units &amp; Activities'!$H$17</f>
        <v>0.17758240000000003</v>
      </c>
      <c r="K100" s="121">
        <f>F100*'2. Emissions Units &amp; Activities'!$I$17</f>
        <v>0.42048000000000002</v>
      </c>
      <c r="L100" s="114">
        <f t="shared" si="9"/>
        <v>0.42048000000000002</v>
      </c>
      <c r="M100" s="118">
        <f>G100*'2. Emissions Units &amp; Activities'!$K$17</f>
        <v>1.2800000000000001E-3</v>
      </c>
      <c r="N100" s="119">
        <f>G100*'2. Emissions Units &amp; Activities'!$L$17</f>
        <v>1.2800000000000001E-3</v>
      </c>
      <c r="O100" s="120">
        <f t="shared" si="10"/>
        <v>1.2800000000000001E-3</v>
      </c>
    </row>
    <row r="101" spans="1:15" x14ac:dyDescent="0.25">
      <c r="A101" s="125" t="s">
        <v>1191</v>
      </c>
      <c r="B101" s="279" t="s">
        <v>183</v>
      </c>
      <c r="C101" s="123" t="str">
        <f>IFERROR(IF(B101="No CAS","",INDEX('DEQ Pollutant List'!$B$7:$B$611,MATCH('3. Pollutant Emissions - EF'!B101,'DEQ Pollutant List'!$A$7:$A$611,0))),"")</f>
        <v>Silica, crystalline (respirable)</v>
      </c>
      <c r="D101" s="127" t="str">
        <f>IFERROR(IF(OR($B101="",$B101="No CAS"),INDEX('DEQ Pollutant List'!$A$7:$A$611,MATCH($C101,'DEQ Pollutant List'!$C$7:$C$611,0)),INDEX('DEQ Pollutant List'!$A$7:$A$611,MATCH($B101,'DEQ Pollutant List'!$B$7:$B$611,0))),"")</f>
        <v/>
      </c>
      <c r="E101" s="126">
        <v>0</v>
      </c>
      <c r="F101" s="116">
        <f>Baghouses!K34</f>
        <v>7.4529999999999996E-4</v>
      </c>
      <c r="G101" s="129">
        <f t="shared" si="8"/>
        <v>7.4529999999999996E-4</v>
      </c>
      <c r="H101" s="115" t="s">
        <v>492</v>
      </c>
      <c r="I101" s="117" t="s">
        <v>1281</v>
      </c>
      <c r="J101" s="118">
        <f>F101*'2. Emissions Units &amp; Activities'!$H$17</f>
        <v>82.720101700000001</v>
      </c>
      <c r="K101" s="121">
        <f>F101*'2. Emissions Units &amp; Activities'!$I$17</f>
        <v>195.86483999999999</v>
      </c>
      <c r="L101" s="114">
        <f t="shared" si="9"/>
        <v>195.86483999999999</v>
      </c>
      <c r="M101" s="118">
        <f>G101*'2. Emissions Units &amp; Activities'!$K$17</f>
        <v>0.59623999999999999</v>
      </c>
      <c r="N101" s="119">
        <f>G101*'2. Emissions Units &amp; Activities'!$L$17</f>
        <v>0.59623999999999999</v>
      </c>
      <c r="O101" s="120">
        <f t="shared" si="10"/>
        <v>0.59623999999999999</v>
      </c>
    </row>
    <row r="102" spans="1:15" x14ac:dyDescent="0.25">
      <c r="A102" s="125" t="s">
        <v>1191</v>
      </c>
      <c r="B102" s="279" t="s">
        <v>317</v>
      </c>
      <c r="C102" s="123" t="str">
        <f>IFERROR(IF(B102="No CAS","",INDEX('DEQ Pollutant List'!$B$7:$B$611,MATCH('3. Pollutant Emissions - EF'!B102,'DEQ Pollutant List'!$A$7:$A$611,0))),"")</f>
        <v>Sulfur trioxide</v>
      </c>
      <c r="D102" s="127" t="str">
        <f>IFERROR(IF(OR($B102="",$B102="No CAS"),INDEX('DEQ Pollutant List'!$A$7:$A$611,MATCH($C102,'DEQ Pollutant List'!$C$7:$C$611,0)),INDEX('DEQ Pollutant List'!$A$7:$A$611,MATCH($B102,'DEQ Pollutant List'!$B$7:$B$611,0))),"")</f>
        <v/>
      </c>
      <c r="E102" s="126">
        <v>0</v>
      </c>
      <c r="F102" s="116">
        <f>Baghouses!K35</f>
        <v>5.0000000000000008E-7</v>
      </c>
      <c r="G102" s="129">
        <f t="shared" si="8"/>
        <v>5.0000000000000008E-7</v>
      </c>
      <c r="H102" s="115" t="s">
        <v>492</v>
      </c>
      <c r="I102" s="117" t="s">
        <v>1281</v>
      </c>
      <c r="J102" s="118">
        <f>F102*'2. Emissions Units &amp; Activities'!$H$17</f>
        <v>5.5494500000000009E-2</v>
      </c>
      <c r="K102" s="121">
        <f>F102*'2. Emissions Units &amp; Activities'!$I$17</f>
        <v>0.13140000000000002</v>
      </c>
      <c r="L102" s="114">
        <f t="shared" si="9"/>
        <v>0.13140000000000002</v>
      </c>
      <c r="M102" s="118">
        <f>G102*'2. Emissions Units &amp; Activities'!$K$17</f>
        <v>4.0000000000000007E-4</v>
      </c>
      <c r="N102" s="119">
        <f>G102*'2. Emissions Units &amp; Activities'!$L$17</f>
        <v>4.0000000000000007E-4</v>
      </c>
      <c r="O102" s="120">
        <f t="shared" si="10"/>
        <v>4.0000000000000007E-4</v>
      </c>
    </row>
    <row r="103" spans="1:15" ht="15.75" thickBot="1" x14ac:dyDescent="0.3">
      <c r="A103" s="198" t="s">
        <v>1191</v>
      </c>
      <c r="B103" s="280" t="s">
        <v>318</v>
      </c>
      <c r="C103" s="216" t="str">
        <f>IFERROR(IF(B103="No CAS","",INDEX('DEQ Pollutant List'!$B$7:$B$611,MATCH('3. Pollutant Emissions - EF'!B103,'DEQ Pollutant List'!$A$7:$A$611,0))),"")</f>
        <v>Vanadium pentoxide</v>
      </c>
      <c r="D103" s="189" t="str">
        <f>IFERROR(IF(OR($B103="",$B103="No CAS"),INDEX('DEQ Pollutant List'!$A$7:$A$611,MATCH($C103,'DEQ Pollutant List'!$C$7:$C$611,0)),INDEX('DEQ Pollutant List'!$A$7:$A$611,MATCH($B103,'DEQ Pollutant List'!$B$7:$B$611,0))),"")</f>
        <v/>
      </c>
      <c r="E103" s="190">
        <v>0</v>
      </c>
      <c r="F103" s="202">
        <f>Baghouses!K36</f>
        <v>5.0000000000000008E-7</v>
      </c>
      <c r="G103" s="199">
        <f>F103</f>
        <v>5.0000000000000008E-7</v>
      </c>
      <c r="H103" s="200" t="s">
        <v>492</v>
      </c>
      <c r="I103" s="201" t="s">
        <v>1281</v>
      </c>
      <c r="J103" s="232">
        <f>F103*'2. Emissions Units &amp; Activities'!$H$17</f>
        <v>5.5494500000000009E-2</v>
      </c>
      <c r="K103" s="233">
        <f>F103*'2. Emissions Units &amp; Activities'!$I$17</f>
        <v>0.13140000000000002</v>
      </c>
      <c r="L103" s="234">
        <f t="shared" si="9"/>
        <v>0.13140000000000002</v>
      </c>
      <c r="M103" s="232">
        <f>G103*'2. Emissions Units &amp; Activities'!$K$17</f>
        <v>4.0000000000000007E-4</v>
      </c>
      <c r="N103" s="235">
        <f>G103*'2. Emissions Units &amp; Activities'!$L$17</f>
        <v>4.0000000000000007E-4</v>
      </c>
      <c r="O103" s="236">
        <f t="shared" si="10"/>
        <v>4.0000000000000007E-4</v>
      </c>
    </row>
    <row r="104" spans="1:15" x14ac:dyDescent="0.25">
      <c r="A104" s="125" t="s">
        <v>1282</v>
      </c>
      <c r="B104" s="279" t="s">
        <v>305</v>
      </c>
      <c r="C104" s="123" t="str">
        <f>IFERROR(IF(B104="No CAS","",INDEX('DEQ Pollutant List'!$B$7:$B$611,MATCH('3. Pollutant Emissions - EF'!B104,'DEQ Pollutant List'!$A$7:$A$611,0))),"")</f>
        <v>Silver and compounds</v>
      </c>
      <c r="D104" s="127"/>
      <c r="E104" s="126">
        <v>0.9</v>
      </c>
      <c r="F104" s="116">
        <f>Baghouses!E52</f>
        <v>7.8124999999999924E-10</v>
      </c>
      <c r="G104" s="129">
        <f>F104</f>
        <v>7.8124999999999924E-10</v>
      </c>
      <c r="H104" s="115" t="s">
        <v>492</v>
      </c>
      <c r="I104" s="117" t="s">
        <v>1283</v>
      </c>
      <c r="J104" s="282">
        <f>F104*'2. Emissions Units &amp; Activities'!$H$18</f>
        <v>8.6710156249999919E-5</v>
      </c>
      <c r="K104" s="286">
        <f>F104*'2. Emissions Units &amp; Activities'!$I$18</f>
        <v>2.0531249999999979E-4</v>
      </c>
      <c r="L104" s="281">
        <f>K104</f>
        <v>2.0531249999999979E-4</v>
      </c>
      <c r="M104" s="282">
        <f>G104*'2. Emissions Units &amp; Activities'!$K$18</f>
        <v>6.2499999999999942E-7</v>
      </c>
      <c r="N104" s="283">
        <f>G104*'2. Emissions Units &amp; Activities'!$L$18</f>
        <v>6.2499999999999942E-7</v>
      </c>
      <c r="O104" s="284">
        <f>N104</f>
        <v>6.2499999999999942E-7</v>
      </c>
    </row>
    <row r="105" spans="1:15" x14ac:dyDescent="0.25">
      <c r="A105" s="125" t="s">
        <v>1282</v>
      </c>
      <c r="B105" s="279" t="s">
        <v>190</v>
      </c>
      <c r="C105" s="123" t="str">
        <f>IFERROR(IF(B105="No CAS","",INDEX('DEQ Pollutant List'!$B$7:$B$611,MATCH('3. Pollutant Emissions - EF'!B105,'DEQ Pollutant List'!$A$7:$A$611,0))),"")</f>
        <v>Aluminum and compounds</v>
      </c>
      <c r="D105" s="127"/>
      <c r="E105" s="126">
        <v>0.9</v>
      </c>
      <c r="F105" s="116">
        <f>Baghouses!E53</f>
        <v>1.9914062499999975E-3</v>
      </c>
      <c r="G105" s="129">
        <f t="shared" ref="G105:G127" si="11">F105</f>
        <v>1.9914062499999975E-3</v>
      </c>
      <c r="H105" s="115" t="s">
        <v>492</v>
      </c>
      <c r="I105" s="117" t="s">
        <v>1283</v>
      </c>
      <c r="J105" s="118">
        <f>F105*'2. Emissions Units &amp; Activities'!$H$18</f>
        <v>221.02418828124974</v>
      </c>
      <c r="K105" s="121">
        <f>F105*'2. Emissions Units &amp; Activities'!$I$18</f>
        <v>523.34156249999933</v>
      </c>
      <c r="L105" s="114">
        <f t="shared" ref="L105:L126" si="12">K105</f>
        <v>523.34156249999933</v>
      </c>
      <c r="M105" s="118">
        <f>G105*'2. Emissions Units &amp; Activities'!$K$18</f>
        <v>1.5931249999999979</v>
      </c>
      <c r="N105" s="119">
        <f>G105*'2. Emissions Units &amp; Activities'!$L$18</f>
        <v>1.5931249999999979</v>
      </c>
      <c r="O105" s="120">
        <f t="shared" ref="O105:O126" si="13">N105</f>
        <v>1.5931249999999979</v>
      </c>
    </row>
    <row r="106" spans="1:15" x14ac:dyDescent="0.25">
      <c r="A106" s="125" t="s">
        <v>1282</v>
      </c>
      <c r="B106" s="279" t="s">
        <v>306</v>
      </c>
      <c r="C106" s="123" t="str">
        <f>IFERROR(IF(B106="No CAS","",INDEX('DEQ Pollutant List'!$B$7:$B$611,MATCH('3. Pollutant Emissions - EF'!B106,'DEQ Pollutant List'!$A$7:$A$611,0))),"")</f>
        <v>Arsenic and compounds</v>
      </c>
      <c r="D106" s="127"/>
      <c r="E106" s="126">
        <v>0.9</v>
      </c>
      <c r="F106" s="116">
        <f>Baghouses!E54</f>
        <v>8.1249999999999924E-8</v>
      </c>
      <c r="G106" s="129">
        <f t="shared" si="11"/>
        <v>8.1249999999999924E-8</v>
      </c>
      <c r="H106" s="115" t="s">
        <v>492</v>
      </c>
      <c r="I106" s="117" t="s">
        <v>1283</v>
      </c>
      <c r="J106" s="118">
        <f>F106*'2. Emissions Units &amp; Activities'!$H$18</f>
        <v>9.0178562499999924E-3</v>
      </c>
      <c r="K106" s="121">
        <f>F106*'2. Emissions Units &amp; Activities'!$I$18</f>
        <v>2.1352499999999979E-2</v>
      </c>
      <c r="L106" s="114">
        <f t="shared" si="12"/>
        <v>2.1352499999999979E-2</v>
      </c>
      <c r="M106" s="118">
        <f>G106*'2. Emissions Units &amp; Activities'!$K$18</f>
        <v>6.499999999999994E-5</v>
      </c>
      <c r="N106" s="119">
        <f>G106*'2. Emissions Units &amp; Activities'!$L$18</f>
        <v>6.499999999999994E-5</v>
      </c>
      <c r="O106" s="120">
        <f t="shared" si="13"/>
        <v>6.499999999999994E-5</v>
      </c>
    </row>
    <row r="107" spans="1:15" x14ac:dyDescent="0.25">
      <c r="A107" s="125" t="s">
        <v>1282</v>
      </c>
      <c r="B107" s="279" t="s">
        <v>142</v>
      </c>
      <c r="C107" s="123" t="str">
        <f>IFERROR(IF(B107="No CAS","",INDEX('DEQ Pollutant List'!$B$7:$B$611,MATCH('3. Pollutant Emissions - EF'!B107,'DEQ Pollutant List'!$A$7:$A$611,0))),"")</f>
        <v>Barium and compounds</v>
      </c>
      <c r="D107" s="127"/>
      <c r="E107" s="126">
        <v>0.9</v>
      </c>
      <c r="F107" s="116">
        <f>Baghouses!E55</f>
        <v>8.7499999999999908E-6</v>
      </c>
      <c r="G107" s="129">
        <f t="shared" si="11"/>
        <v>8.7499999999999908E-6</v>
      </c>
      <c r="H107" s="115" t="s">
        <v>492</v>
      </c>
      <c r="I107" s="117" t="s">
        <v>1283</v>
      </c>
      <c r="J107" s="118">
        <f>F107*'2. Emissions Units &amp; Activities'!$H$18</f>
        <v>0.97115374999999893</v>
      </c>
      <c r="K107" s="121">
        <f>F107*'2. Emissions Units &amp; Activities'!$I$18</f>
        <v>2.2994999999999974</v>
      </c>
      <c r="L107" s="114">
        <f t="shared" si="12"/>
        <v>2.2994999999999974</v>
      </c>
      <c r="M107" s="118">
        <f>G107*'2. Emissions Units &amp; Activities'!$K$18</f>
        <v>6.9999999999999923E-3</v>
      </c>
      <c r="N107" s="119">
        <f>G107*'2. Emissions Units &amp; Activities'!$L$18</f>
        <v>6.9999999999999923E-3</v>
      </c>
      <c r="O107" s="120">
        <f t="shared" si="13"/>
        <v>6.9999999999999923E-3</v>
      </c>
    </row>
    <row r="108" spans="1:15" x14ac:dyDescent="0.25">
      <c r="A108" s="125" t="s">
        <v>1282</v>
      </c>
      <c r="B108" s="279" t="s">
        <v>307</v>
      </c>
      <c r="C108" s="123" t="str">
        <f>IFERROR(IF(B108="No CAS","",INDEX('DEQ Pollutant List'!$B$7:$B$611,MATCH('3. Pollutant Emissions - EF'!B108,'DEQ Pollutant List'!$A$7:$A$611,0))),"")</f>
        <v>Beryllium and compounds</v>
      </c>
      <c r="D108" s="127"/>
      <c r="E108" s="126">
        <v>0.9</v>
      </c>
      <c r="F108" s="116">
        <f>Baghouses!E56</f>
        <v>9.5624999999999892E-8</v>
      </c>
      <c r="G108" s="129">
        <f t="shared" si="11"/>
        <v>9.5624999999999892E-8</v>
      </c>
      <c r="H108" s="115" t="s">
        <v>492</v>
      </c>
      <c r="I108" s="117" t="s">
        <v>1283</v>
      </c>
      <c r="J108" s="118">
        <f>F108*'2. Emissions Units &amp; Activities'!$H$18</f>
        <v>1.0613323124999989E-2</v>
      </c>
      <c r="K108" s="121">
        <f>F108*'2. Emissions Units &amp; Activities'!$I$18</f>
        <v>2.5130249999999972E-2</v>
      </c>
      <c r="L108" s="114">
        <f t="shared" si="12"/>
        <v>2.5130249999999972E-2</v>
      </c>
      <c r="M108" s="118">
        <f>G108*'2. Emissions Units &amp; Activities'!$K$18</f>
        <v>7.6499999999999908E-5</v>
      </c>
      <c r="N108" s="119">
        <f>G108*'2. Emissions Units &amp; Activities'!$L$18</f>
        <v>7.6499999999999908E-5</v>
      </c>
      <c r="O108" s="120">
        <f t="shared" si="13"/>
        <v>7.6499999999999908E-5</v>
      </c>
    </row>
    <row r="109" spans="1:15" x14ac:dyDescent="0.25">
      <c r="A109" s="125" t="s">
        <v>1282</v>
      </c>
      <c r="B109" s="279" t="s">
        <v>308</v>
      </c>
      <c r="C109" s="123" t="str">
        <f>IFERROR(IF(B109="No CAS","",INDEX('DEQ Pollutant List'!$B$7:$B$611,MATCH('3. Pollutant Emissions - EF'!B109,'DEQ Pollutant List'!$A$7:$A$611,0))),"")</f>
        <v>Cadmium and compounds</v>
      </c>
      <c r="D109" s="127" t="str">
        <f>IFERROR(IF(OR($B109="",$B109="No CAS"),INDEX('DEQ Pollutant List'!$A$7:$A$611,MATCH($C109,'DEQ Pollutant List'!$C$7:$C$611,0)),INDEX('DEQ Pollutant List'!$A$7:$A$611,MATCH($B109,'DEQ Pollutant List'!$B$7:$B$611,0))),"")</f>
        <v/>
      </c>
      <c r="E109" s="126">
        <v>0.9</v>
      </c>
      <c r="F109" s="116">
        <f>Baghouses!E57</f>
        <v>2.4999999999999972E-9</v>
      </c>
      <c r="G109" s="129">
        <f t="shared" si="11"/>
        <v>2.4999999999999972E-9</v>
      </c>
      <c r="H109" s="115" t="s">
        <v>492</v>
      </c>
      <c r="I109" s="117" t="s">
        <v>1283</v>
      </c>
      <c r="J109" s="118">
        <f>F109*'2. Emissions Units &amp; Activities'!$H$18</f>
        <v>2.774724999999997E-4</v>
      </c>
      <c r="K109" s="121">
        <f>F109*'2. Emissions Units &amp; Activities'!$I$18</f>
        <v>6.5699999999999927E-4</v>
      </c>
      <c r="L109" s="114">
        <f t="shared" si="12"/>
        <v>6.5699999999999927E-4</v>
      </c>
      <c r="M109" s="118">
        <f>G109*'2. Emissions Units &amp; Activities'!$K$18</f>
        <v>1.9999999999999978E-6</v>
      </c>
      <c r="N109" s="119">
        <f>G109*'2. Emissions Units &amp; Activities'!$L$18</f>
        <v>1.9999999999999978E-6</v>
      </c>
      <c r="O109" s="120">
        <f t="shared" si="13"/>
        <v>1.9999999999999978E-6</v>
      </c>
    </row>
    <row r="110" spans="1:15" x14ac:dyDescent="0.25">
      <c r="A110" s="125" t="s">
        <v>1282</v>
      </c>
      <c r="B110" s="279" t="s">
        <v>147</v>
      </c>
      <c r="C110" s="123" t="str">
        <f>IFERROR(IF(B110="No CAS","",INDEX('DEQ Pollutant List'!$B$7:$B$611,MATCH('3. Pollutant Emissions - EF'!B110,'DEQ Pollutant List'!$A$7:$A$611,0))),"")</f>
        <v>Cobalt and compounds</v>
      </c>
      <c r="D110" s="127" t="str">
        <f>IFERROR(IF(OR($B110="",$B110="No CAS"),INDEX('DEQ Pollutant List'!$A$7:$A$611,MATCH($C110,'DEQ Pollutant List'!$C$7:$C$611,0)),INDEX('DEQ Pollutant List'!$A$7:$A$611,MATCH($B110,'DEQ Pollutant List'!$B$7:$B$611,0))),"")</f>
        <v/>
      </c>
      <c r="E110" s="126">
        <v>0.9</v>
      </c>
      <c r="F110" s="116">
        <f>Baghouses!E58</f>
        <v>3.124999999999997E-9</v>
      </c>
      <c r="G110" s="129">
        <f t="shared" si="11"/>
        <v>3.124999999999997E-9</v>
      </c>
      <c r="H110" s="115" t="s">
        <v>492</v>
      </c>
      <c r="I110" s="117" t="s">
        <v>1283</v>
      </c>
      <c r="J110" s="118">
        <f>F110*'2. Emissions Units &amp; Activities'!$H$18</f>
        <v>3.4684062499999968E-4</v>
      </c>
      <c r="K110" s="121">
        <f>F110*'2. Emissions Units &amp; Activities'!$I$18</f>
        <v>8.2124999999999917E-4</v>
      </c>
      <c r="L110" s="114">
        <f t="shared" si="12"/>
        <v>8.2124999999999917E-4</v>
      </c>
      <c r="M110" s="118">
        <f>G110*'2. Emissions Units &amp; Activities'!$K$18</f>
        <v>2.4999999999999977E-6</v>
      </c>
      <c r="N110" s="119">
        <f>G110*'2. Emissions Units &amp; Activities'!$L$18</f>
        <v>2.4999999999999977E-6</v>
      </c>
      <c r="O110" s="120">
        <f t="shared" si="13"/>
        <v>2.4999999999999977E-6</v>
      </c>
    </row>
    <row r="111" spans="1:15" x14ac:dyDescent="0.25">
      <c r="A111" s="125" t="s">
        <v>1282</v>
      </c>
      <c r="B111" s="279" t="s">
        <v>205</v>
      </c>
      <c r="C111" s="123" t="str">
        <f>IFERROR(IF(B111="No CAS","",INDEX('DEQ Pollutant List'!$B$7:$B$611,MATCH('3. Pollutant Emissions - EF'!B111,'DEQ Pollutant List'!$A$7:$A$611,0))),"")</f>
        <v>Copper and compounds</v>
      </c>
      <c r="D111" s="127" t="str">
        <f>IFERROR(IF(OR($B111="",$B111="No CAS"),INDEX('DEQ Pollutant List'!$A$7:$A$611,MATCH($C111,'DEQ Pollutant List'!$C$7:$C$611,0)),INDEX('DEQ Pollutant List'!$A$7:$A$611,MATCH($B111,'DEQ Pollutant List'!$B$7:$B$611,0))),"")</f>
        <v/>
      </c>
      <c r="E111" s="126">
        <v>0.9</v>
      </c>
      <c r="F111" s="116">
        <f>Baghouses!E59</f>
        <v>1.6249999999999985E-7</v>
      </c>
      <c r="G111" s="129">
        <f t="shared" si="11"/>
        <v>1.6249999999999985E-7</v>
      </c>
      <c r="H111" s="115" t="s">
        <v>492</v>
      </c>
      <c r="I111" s="117" t="s">
        <v>1283</v>
      </c>
      <c r="J111" s="118">
        <f>F111*'2. Emissions Units &amp; Activities'!$H$18</f>
        <v>1.8035712499999985E-2</v>
      </c>
      <c r="K111" s="121">
        <f>F111*'2. Emissions Units &amp; Activities'!$I$18</f>
        <v>4.2704999999999958E-2</v>
      </c>
      <c r="L111" s="114">
        <f t="shared" si="12"/>
        <v>4.2704999999999958E-2</v>
      </c>
      <c r="M111" s="118">
        <f>G111*'2. Emissions Units &amp; Activities'!$K$18</f>
        <v>1.2999999999999988E-4</v>
      </c>
      <c r="N111" s="119">
        <f>G111*'2. Emissions Units &amp; Activities'!$L$18</f>
        <v>1.2999999999999988E-4</v>
      </c>
      <c r="O111" s="120">
        <f t="shared" si="13"/>
        <v>1.2999999999999988E-4</v>
      </c>
    </row>
    <row r="112" spans="1:15" x14ac:dyDescent="0.25">
      <c r="A112" s="125" t="s">
        <v>1282</v>
      </c>
      <c r="B112" s="279" t="s">
        <v>55</v>
      </c>
      <c r="C112" s="123" t="str">
        <f>IFERROR(IF(B112="No CAS","",INDEX('DEQ Pollutant List'!$B$7:$B$611,MATCH('3. Pollutant Emissions - EF'!B112,'DEQ Pollutant List'!$A$7:$A$611,0))),"")</f>
        <v>Chromium VI, chromate and dichromate particulate</v>
      </c>
      <c r="D112" s="127" t="str">
        <f>IFERROR(IF(OR($B112="",$B112="No CAS"),INDEX('DEQ Pollutant List'!$A$7:$A$611,MATCH($C112,'DEQ Pollutant List'!$C$7:$C$611,0)),INDEX('DEQ Pollutant List'!$A$7:$A$611,MATCH($B112,'DEQ Pollutant List'!$B$7:$B$611,0))),"")</f>
        <v/>
      </c>
      <c r="E112" s="126">
        <v>0.9</v>
      </c>
      <c r="F112" s="116">
        <f>Baghouses!E60</f>
        <v>2.4893749999999978E-7</v>
      </c>
      <c r="G112" s="129">
        <f t="shared" si="11"/>
        <v>2.4893749999999978E-7</v>
      </c>
      <c r="H112" s="115" t="s">
        <v>492</v>
      </c>
      <c r="I112" s="117" t="s">
        <v>1283</v>
      </c>
      <c r="J112" s="118">
        <f>F112*'2. Emissions Units &amp; Activities'!$H$18</f>
        <v>2.7629324187499974E-2</v>
      </c>
      <c r="K112" s="121">
        <f>F112*'2. Emissions Units &amp; Activities'!$I$18</f>
        <v>6.5420774999999945E-2</v>
      </c>
      <c r="L112" s="114">
        <f t="shared" si="12"/>
        <v>6.5420774999999945E-2</v>
      </c>
      <c r="M112" s="118">
        <f>G112*'2. Emissions Units &amp; Activities'!$K$18</f>
        <v>1.9914999999999983E-4</v>
      </c>
      <c r="N112" s="119">
        <f>G112*'2. Emissions Units &amp; Activities'!$L$18</f>
        <v>1.9914999999999983E-4</v>
      </c>
      <c r="O112" s="120">
        <f t="shared" si="13"/>
        <v>1.9914999999999983E-4</v>
      </c>
    </row>
    <row r="113" spans="1:15" x14ac:dyDescent="0.25">
      <c r="A113" s="125" t="s">
        <v>1282</v>
      </c>
      <c r="B113" s="279" t="s">
        <v>309</v>
      </c>
      <c r="C113" s="123" t="str">
        <f>IFERROR(IF(B113="No CAS","",INDEX('DEQ Pollutant List'!$B$7:$B$611,MATCH('3. Pollutant Emissions - EF'!B113,'DEQ Pollutant List'!$A$7:$A$611,0))),"")</f>
        <v>Mercury and compounds</v>
      </c>
      <c r="D113" s="127" t="str">
        <f>IFERROR(IF(OR($B113="",$B113="No CAS"),INDEX('DEQ Pollutant List'!$A$7:$A$611,MATCH($C113,'DEQ Pollutant List'!$C$7:$C$611,0)),INDEX('DEQ Pollutant List'!$A$7:$A$611,MATCH($B113,'DEQ Pollutant List'!$B$7:$B$611,0))),"")</f>
        <v/>
      </c>
      <c r="E113" s="126">
        <v>0.9</v>
      </c>
      <c r="F113" s="116">
        <f>Baghouses!E61</f>
        <v>6.2499999999999929E-10</v>
      </c>
      <c r="G113" s="129">
        <f t="shared" si="11"/>
        <v>6.2499999999999929E-10</v>
      </c>
      <c r="H113" s="115" t="s">
        <v>492</v>
      </c>
      <c r="I113" s="117" t="s">
        <v>1283</v>
      </c>
      <c r="J113" s="118">
        <f>F113*'2. Emissions Units &amp; Activities'!$H$18</f>
        <v>6.9368124999999925E-5</v>
      </c>
      <c r="K113" s="121">
        <f>F113*'2. Emissions Units &amp; Activities'!$I$18</f>
        <v>1.6424999999999982E-4</v>
      </c>
      <c r="L113" s="114">
        <f t="shared" si="12"/>
        <v>1.6424999999999982E-4</v>
      </c>
      <c r="M113" s="118">
        <f>G113*'2. Emissions Units &amp; Activities'!$K$18</f>
        <v>4.9999999999999945E-7</v>
      </c>
      <c r="N113" s="119">
        <f>G113*'2. Emissions Units &amp; Activities'!$L$18</f>
        <v>4.9999999999999945E-7</v>
      </c>
      <c r="O113" s="120">
        <f t="shared" si="13"/>
        <v>4.9999999999999945E-7</v>
      </c>
    </row>
    <row r="114" spans="1:15" x14ac:dyDescent="0.25">
      <c r="A114" s="125" t="s">
        <v>1282</v>
      </c>
      <c r="B114" s="279" t="s">
        <v>181</v>
      </c>
      <c r="C114" s="123" t="str">
        <f>IFERROR(IF(B114="No CAS","",INDEX('DEQ Pollutant List'!$B$7:$B$611,MATCH('3. Pollutant Emissions - EF'!B114,'DEQ Pollutant List'!$A$7:$A$611,0))),"")</f>
        <v>Manganese and compounds</v>
      </c>
      <c r="D114" s="127" t="str">
        <f>IFERROR(IF(OR($B114="",$B114="No CAS"),INDEX('DEQ Pollutant List'!$A$7:$A$611,MATCH($C114,'DEQ Pollutant List'!$C$7:$C$611,0)),INDEX('DEQ Pollutant List'!$A$7:$A$611,MATCH($B114,'DEQ Pollutant List'!$B$7:$B$611,0))),"")</f>
        <v/>
      </c>
      <c r="E114" s="126">
        <v>0.9</v>
      </c>
      <c r="F114" s="116">
        <f>Baghouses!E62</f>
        <v>1.5718749999999982E-5</v>
      </c>
      <c r="G114" s="129">
        <f t="shared" si="11"/>
        <v>1.5718749999999982E-5</v>
      </c>
      <c r="H114" s="115" t="s">
        <v>492</v>
      </c>
      <c r="I114" s="117" t="s">
        <v>1283</v>
      </c>
      <c r="J114" s="118">
        <f>F114*'2. Emissions Units &amp; Activities'!$H$18</f>
        <v>1.744608343749998</v>
      </c>
      <c r="K114" s="121">
        <f>F114*'2. Emissions Units &amp; Activities'!$I$18</f>
        <v>4.1308874999999956</v>
      </c>
      <c r="L114" s="114">
        <f t="shared" si="12"/>
        <v>4.1308874999999956</v>
      </c>
      <c r="M114" s="118">
        <f>G114*'2. Emissions Units &amp; Activities'!$K$18</f>
        <v>1.2574999999999985E-2</v>
      </c>
      <c r="N114" s="119">
        <f>G114*'2. Emissions Units &amp; Activities'!$L$18</f>
        <v>1.2574999999999985E-2</v>
      </c>
      <c r="O114" s="120">
        <f t="shared" si="13"/>
        <v>1.2574999999999985E-2</v>
      </c>
    </row>
    <row r="115" spans="1:15" x14ac:dyDescent="0.25">
      <c r="A115" s="125" t="s">
        <v>1282</v>
      </c>
      <c r="B115" s="279" t="s">
        <v>66</v>
      </c>
      <c r="C115" s="123" t="str">
        <f>IFERROR(IF(B115="No CAS","",INDEX('DEQ Pollutant List'!$B$7:$B$611,MATCH('3. Pollutant Emissions - EF'!B115,'DEQ Pollutant List'!$A$7:$A$611,0))),"")</f>
        <v>Molybdenum trioxide</v>
      </c>
      <c r="D115" s="127" t="str">
        <f>IFERROR(IF(OR($B115="",$B115="No CAS"),INDEX('DEQ Pollutant List'!$A$7:$A$611,MATCH($C115,'DEQ Pollutant List'!$C$7:$C$611,0)),INDEX('DEQ Pollutant List'!$A$7:$A$611,MATCH($B115,'DEQ Pollutant List'!$B$7:$B$611,0))),"")</f>
        <v/>
      </c>
      <c r="E115" s="126">
        <v>0.9</v>
      </c>
      <c r="F115" s="116">
        <f>Baghouses!E63</f>
        <v>2.9048511441113768E-7</v>
      </c>
      <c r="G115" s="129">
        <f t="shared" si="11"/>
        <v>2.9048511441113768E-7</v>
      </c>
      <c r="H115" s="115" t="s">
        <v>492</v>
      </c>
      <c r="I115" s="117" t="s">
        <v>1283</v>
      </c>
      <c r="J115" s="118">
        <f>F115*'2. Emissions Units &amp; Activities'!$H$18</f>
        <v>3.224065236337776E-2</v>
      </c>
      <c r="K115" s="121">
        <f>F115*'2. Emissions Units &amp; Activities'!$I$18</f>
        <v>7.6339488067246983E-2</v>
      </c>
      <c r="L115" s="114">
        <f t="shared" si="12"/>
        <v>7.6339488067246983E-2</v>
      </c>
      <c r="M115" s="118">
        <f>G115*'2. Emissions Units &amp; Activities'!$K$18</f>
        <v>2.3238809152891014E-4</v>
      </c>
      <c r="N115" s="119">
        <f>G115*'2. Emissions Units &amp; Activities'!$L$18</f>
        <v>2.3238809152891014E-4</v>
      </c>
      <c r="O115" s="120">
        <f t="shared" si="13"/>
        <v>2.3238809152891014E-4</v>
      </c>
    </row>
    <row r="116" spans="1:15" x14ac:dyDescent="0.25">
      <c r="A116" s="125" t="s">
        <v>1282</v>
      </c>
      <c r="B116" s="279" t="s">
        <v>212</v>
      </c>
      <c r="C116" s="123" t="str">
        <f>IFERROR(IF(B116="No CAS","",INDEX('DEQ Pollutant List'!$B$7:$B$611,MATCH('3. Pollutant Emissions - EF'!B116,'DEQ Pollutant List'!$A$7:$A$611,0))),"")</f>
        <v>Nickel and compounds</v>
      </c>
      <c r="D116" s="127" t="str">
        <f>IFERROR(IF(OR($B116="",$B116="No CAS"),INDEX('DEQ Pollutant List'!$A$7:$A$611,MATCH($C116,'DEQ Pollutant List'!$C$7:$C$611,0)),INDEX('DEQ Pollutant List'!$A$7:$A$611,MATCH($B116,'DEQ Pollutant List'!$B$7:$B$611,0))),"")</f>
        <v/>
      </c>
      <c r="E116" s="126">
        <v>0.9</v>
      </c>
      <c r="F116" s="116">
        <f>Baghouses!E64</f>
        <v>6.2499999999999931E-8</v>
      </c>
      <c r="G116" s="129">
        <f t="shared" si="11"/>
        <v>6.2499999999999931E-8</v>
      </c>
      <c r="H116" s="115" t="s">
        <v>492</v>
      </c>
      <c r="I116" s="117" t="s">
        <v>1283</v>
      </c>
      <c r="J116" s="118">
        <f>F116*'2. Emissions Units &amp; Activities'!$H$18</f>
        <v>6.9368124999999925E-3</v>
      </c>
      <c r="K116" s="121">
        <f>F116*'2. Emissions Units &amp; Activities'!$I$18</f>
        <v>1.6424999999999981E-2</v>
      </c>
      <c r="L116" s="114">
        <f t="shared" si="12"/>
        <v>1.6424999999999981E-2</v>
      </c>
      <c r="M116" s="118">
        <f>G116*'2. Emissions Units &amp; Activities'!$K$18</f>
        <v>4.9999999999999941E-5</v>
      </c>
      <c r="N116" s="119">
        <f>G116*'2. Emissions Units &amp; Activities'!$L$18</f>
        <v>4.9999999999999941E-5</v>
      </c>
      <c r="O116" s="120">
        <f t="shared" si="13"/>
        <v>4.9999999999999941E-5</v>
      </c>
    </row>
    <row r="117" spans="1:15" x14ac:dyDescent="0.25">
      <c r="A117" s="125" t="s">
        <v>1282</v>
      </c>
      <c r="B117" s="279" t="s">
        <v>310</v>
      </c>
      <c r="C117" s="123" t="str">
        <f>IFERROR(IF(B117="No CAS","",INDEX('DEQ Pollutant List'!$B$7:$B$611,MATCH('3. Pollutant Emissions - EF'!B117,'DEQ Pollutant List'!$A$7:$A$611,0))),"")</f>
        <v>Lead and compounds</v>
      </c>
      <c r="D117" s="127" t="str">
        <f>IFERROR(IF(OR($B117="",$B117="No CAS"),INDEX('DEQ Pollutant List'!$A$7:$A$611,MATCH($C117,'DEQ Pollutant List'!$C$7:$C$611,0)),INDEX('DEQ Pollutant List'!$A$7:$A$611,MATCH($B117,'DEQ Pollutant List'!$B$7:$B$611,0))),"")</f>
        <v/>
      </c>
      <c r="E117" s="126">
        <v>0.9</v>
      </c>
      <c r="F117" s="116">
        <f>Baghouses!E65</f>
        <v>7.8124999999999919E-7</v>
      </c>
      <c r="G117" s="129">
        <f t="shared" si="11"/>
        <v>7.8124999999999919E-7</v>
      </c>
      <c r="H117" s="115" t="s">
        <v>492</v>
      </c>
      <c r="I117" s="117" t="s">
        <v>1283</v>
      </c>
      <c r="J117" s="118">
        <f>F117*'2. Emissions Units &amp; Activities'!$H$18</f>
        <v>8.6710156249999906E-2</v>
      </c>
      <c r="K117" s="121">
        <f>F117*'2. Emissions Units &amp; Activities'!$I$18</f>
        <v>0.20531249999999979</v>
      </c>
      <c r="L117" s="114">
        <f t="shared" si="12"/>
        <v>0.20531249999999979</v>
      </c>
      <c r="M117" s="118">
        <f>G117*'2. Emissions Units &amp; Activities'!$K$18</f>
        <v>6.2499999999999936E-4</v>
      </c>
      <c r="N117" s="119">
        <f>G117*'2. Emissions Units &amp; Activities'!$L$18</f>
        <v>6.2499999999999936E-4</v>
      </c>
      <c r="O117" s="120">
        <f t="shared" si="13"/>
        <v>6.2499999999999936E-4</v>
      </c>
    </row>
    <row r="118" spans="1:15" x14ac:dyDescent="0.25">
      <c r="A118" s="125" t="s">
        <v>1282</v>
      </c>
      <c r="B118" s="279" t="s">
        <v>311</v>
      </c>
      <c r="C118" s="123" t="str">
        <f>IFERROR(IF(B118="No CAS","",INDEX('DEQ Pollutant List'!$B$7:$B$611,MATCH('3. Pollutant Emissions - EF'!B118,'DEQ Pollutant List'!$A$7:$A$611,0))),"")</f>
        <v>Antimony and compounds</v>
      </c>
      <c r="D118" s="127" t="str">
        <f>IFERROR(IF(OR($B118="",$B118="No CAS"),INDEX('DEQ Pollutant List'!$A$7:$A$611,MATCH($C118,'DEQ Pollutant List'!$C$7:$C$611,0)),INDEX('DEQ Pollutant List'!$A$7:$A$611,MATCH($B118,'DEQ Pollutant List'!$B$7:$B$611,0))),"")</f>
        <v/>
      </c>
      <c r="E118" s="126">
        <v>0.9</v>
      </c>
      <c r="F118" s="116">
        <f>Baghouses!E66</f>
        <v>1.1562499999999987E-8</v>
      </c>
      <c r="G118" s="129">
        <f t="shared" si="11"/>
        <v>1.1562499999999987E-8</v>
      </c>
      <c r="H118" s="115" t="s">
        <v>492</v>
      </c>
      <c r="I118" s="117" t="s">
        <v>1283</v>
      </c>
      <c r="J118" s="118">
        <f>F118*'2. Emissions Units &amp; Activities'!$H$18</f>
        <v>1.2833103124999985E-3</v>
      </c>
      <c r="K118" s="121">
        <f>F118*'2. Emissions Units &amp; Activities'!$I$18</f>
        <v>3.0386249999999966E-3</v>
      </c>
      <c r="L118" s="114">
        <f t="shared" si="12"/>
        <v>3.0386249999999966E-3</v>
      </c>
      <c r="M118" s="118">
        <f>G118*'2. Emissions Units &amp; Activities'!$K$18</f>
        <v>9.2499999999999894E-6</v>
      </c>
      <c r="N118" s="119">
        <f>G118*'2. Emissions Units &amp; Activities'!$L$18</f>
        <v>9.2499999999999894E-6</v>
      </c>
      <c r="O118" s="120">
        <f t="shared" si="13"/>
        <v>9.2499999999999894E-6</v>
      </c>
    </row>
    <row r="119" spans="1:15" x14ac:dyDescent="0.25">
      <c r="A119" s="125" t="s">
        <v>1282</v>
      </c>
      <c r="B119" s="279" t="s">
        <v>312</v>
      </c>
      <c r="C119" s="123" t="str">
        <f>IFERROR(IF(B119="No CAS","",INDEX('DEQ Pollutant List'!$B$7:$B$611,MATCH('3. Pollutant Emissions - EF'!B119,'DEQ Pollutant List'!$A$7:$A$611,0))),"")</f>
        <v>Selenium and compounds</v>
      </c>
      <c r="D119" s="127" t="str">
        <f>IFERROR(IF(OR($B119="",$B119="No CAS"),INDEX('DEQ Pollutant List'!$A$7:$A$611,MATCH($C119,'DEQ Pollutant List'!$C$7:$C$611,0)),INDEX('DEQ Pollutant List'!$A$7:$A$611,MATCH($B119,'DEQ Pollutant List'!$B$7:$B$611,0))),"")</f>
        <v/>
      </c>
      <c r="E119" s="126">
        <v>0.9</v>
      </c>
      <c r="F119" s="116">
        <f>Baghouses!E67</f>
        <v>5.9374999999999936E-9</v>
      </c>
      <c r="G119" s="129">
        <f t="shared" si="11"/>
        <v>5.9374999999999936E-9</v>
      </c>
      <c r="H119" s="115" t="s">
        <v>492</v>
      </c>
      <c r="I119" s="117" t="s">
        <v>1283</v>
      </c>
      <c r="J119" s="118">
        <f>F119*'2. Emissions Units &amp; Activities'!$H$18</f>
        <v>6.5899718749999928E-4</v>
      </c>
      <c r="K119" s="121">
        <f>F119*'2. Emissions Units &amp; Activities'!$I$18</f>
        <v>1.5603749999999984E-3</v>
      </c>
      <c r="L119" s="114">
        <f t="shared" si="12"/>
        <v>1.5603749999999984E-3</v>
      </c>
      <c r="M119" s="118">
        <f>G119*'2. Emissions Units &amp; Activities'!$K$18</f>
        <v>4.7499999999999952E-6</v>
      </c>
      <c r="N119" s="119">
        <f>G119*'2. Emissions Units &amp; Activities'!$L$18</f>
        <v>4.7499999999999952E-6</v>
      </c>
      <c r="O119" s="120">
        <f t="shared" si="13"/>
        <v>4.7499999999999952E-6</v>
      </c>
    </row>
    <row r="120" spans="1:15" x14ac:dyDescent="0.25">
      <c r="A120" s="125" t="s">
        <v>1282</v>
      </c>
      <c r="B120" s="279" t="s">
        <v>314</v>
      </c>
      <c r="C120" s="123" t="str">
        <f>IFERROR(IF(B120="No CAS","",INDEX('DEQ Pollutant List'!$B$7:$B$611,MATCH('3. Pollutant Emissions - EF'!B120,'DEQ Pollutant List'!$A$7:$A$611,0))),"")</f>
        <v>Thallium and compounds</v>
      </c>
      <c r="D120" s="127" t="str">
        <f>IFERROR(IF(OR($B120="",$B120="No CAS"),INDEX('DEQ Pollutant List'!$A$7:$A$611,MATCH($C120,'DEQ Pollutant List'!$C$7:$C$611,0)),INDEX('DEQ Pollutant List'!$A$7:$A$611,MATCH($B120,'DEQ Pollutant List'!$B$7:$B$611,0))),"")</f>
        <v/>
      </c>
      <c r="E120" s="126">
        <v>0.9</v>
      </c>
      <c r="F120" s="116">
        <f>Baghouses!E68</f>
        <v>1.3718749999999987E-8</v>
      </c>
      <c r="G120" s="129">
        <f t="shared" si="11"/>
        <v>1.3718749999999987E-8</v>
      </c>
      <c r="H120" s="115" t="s">
        <v>492</v>
      </c>
      <c r="I120" s="117" t="s">
        <v>1283</v>
      </c>
      <c r="J120" s="118">
        <f>F120*'2. Emissions Units &amp; Activities'!$H$18</f>
        <v>1.5226303437499986E-3</v>
      </c>
      <c r="K120" s="121">
        <f>F120*'2. Emissions Units &amp; Activities'!$I$18</f>
        <v>3.6052874999999967E-3</v>
      </c>
      <c r="L120" s="114">
        <f t="shared" si="12"/>
        <v>3.6052874999999967E-3</v>
      </c>
      <c r="M120" s="118">
        <f>G120*'2. Emissions Units &amp; Activities'!$K$18</f>
        <v>1.0974999999999989E-5</v>
      </c>
      <c r="N120" s="119">
        <f>G120*'2. Emissions Units &amp; Activities'!$L$18</f>
        <v>1.0974999999999989E-5</v>
      </c>
      <c r="O120" s="120">
        <f t="shared" si="13"/>
        <v>1.0974999999999989E-5</v>
      </c>
    </row>
    <row r="121" spans="1:15" x14ac:dyDescent="0.25">
      <c r="A121" s="125" t="s">
        <v>1282</v>
      </c>
      <c r="B121" s="279" t="s">
        <v>315</v>
      </c>
      <c r="C121" s="123" t="str">
        <f>IFERROR(IF(B121="No CAS","",INDEX('DEQ Pollutant List'!$B$7:$B$611,MATCH('3. Pollutant Emissions - EF'!B121,'DEQ Pollutant List'!$A$7:$A$611,0))),"")</f>
        <v>Zinc and compounds</v>
      </c>
      <c r="D121" s="127" t="str">
        <f>IFERROR(IF(OR($B121="",$B121="No CAS"),INDEX('DEQ Pollutant List'!$A$7:$A$611,MATCH($C121,'DEQ Pollutant List'!$C$7:$C$611,0)),INDEX('DEQ Pollutant List'!$A$7:$A$611,MATCH($B121,'DEQ Pollutant List'!$B$7:$B$611,0))),"")</f>
        <v/>
      </c>
      <c r="E121" s="126">
        <v>0.9</v>
      </c>
      <c r="F121" s="116">
        <f>Baghouses!E69</f>
        <v>9.3749999999999896E-7</v>
      </c>
      <c r="G121" s="129">
        <f t="shared" si="11"/>
        <v>9.3749999999999896E-7</v>
      </c>
      <c r="H121" s="115" t="s">
        <v>492</v>
      </c>
      <c r="I121" s="117" t="s">
        <v>1283</v>
      </c>
      <c r="J121" s="118">
        <f>F121*'2. Emissions Units &amp; Activities'!$H$18</f>
        <v>0.10405218749999988</v>
      </c>
      <c r="K121" s="121">
        <f>F121*'2. Emissions Units &amp; Activities'!$I$18</f>
        <v>0.24637499999999973</v>
      </c>
      <c r="L121" s="114">
        <f t="shared" si="12"/>
        <v>0.24637499999999973</v>
      </c>
      <c r="M121" s="118">
        <f>G121*'2. Emissions Units &amp; Activities'!$K$18</f>
        <v>7.4999999999999915E-4</v>
      </c>
      <c r="N121" s="119">
        <f>G121*'2. Emissions Units &amp; Activities'!$L$18</f>
        <v>7.4999999999999915E-4</v>
      </c>
      <c r="O121" s="120">
        <f t="shared" si="13"/>
        <v>7.4999999999999915E-4</v>
      </c>
    </row>
    <row r="122" spans="1:15" x14ac:dyDescent="0.25">
      <c r="A122" s="125" t="s">
        <v>1282</v>
      </c>
      <c r="B122" s="279" t="s">
        <v>142</v>
      </c>
      <c r="C122" s="123" t="str">
        <f>IFERROR(IF(B122="No CAS","",INDEX('DEQ Pollutant List'!$B$7:$B$611,MATCH('3. Pollutant Emissions - EF'!B122,'DEQ Pollutant List'!$A$7:$A$611,0))),"")</f>
        <v>Barium and compounds</v>
      </c>
      <c r="D122" s="127" t="str">
        <f>IFERROR(IF(OR($B122="",$B122="No CAS"),INDEX('DEQ Pollutant List'!$A$7:$A$611,MATCH($C122,'DEQ Pollutant List'!$C$7:$C$611,0)),INDEX('DEQ Pollutant List'!$A$7:$A$611,MATCH($B122,'DEQ Pollutant List'!$B$7:$B$611,0))),"")</f>
        <v/>
      </c>
      <c r="E122" s="126">
        <v>0.9</v>
      </c>
      <c r="F122" s="116">
        <f>Baghouses!E70</f>
        <v>6.2499999999999935E-6</v>
      </c>
      <c r="G122" s="129">
        <f t="shared" si="11"/>
        <v>6.2499999999999935E-6</v>
      </c>
      <c r="H122" s="115" t="s">
        <v>492</v>
      </c>
      <c r="I122" s="117" t="s">
        <v>1283</v>
      </c>
      <c r="J122" s="118">
        <f>F122*'2. Emissions Units &amp; Activities'!$H$18</f>
        <v>0.69368124999999925</v>
      </c>
      <c r="K122" s="121">
        <f>F122*'2. Emissions Units &amp; Activities'!$I$18</f>
        <v>1.6424999999999983</v>
      </c>
      <c r="L122" s="114">
        <f t="shared" si="12"/>
        <v>1.6424999999999983</v>
      </c>
      <c r="M122" s="118">
        <f>G122*'2. Emissions Units &amp; Activities'!$K$18</f>
        <v>4.9999999999999949E-3</v>
      </c>
      <c r="N122" s="119">
        <f>G122*'2. Emissions Units &amp; Activities'!$L$18</f>
        <v>4.9999999999999949E-3</v>
      </c>
      <c r="O122" s="120">
        <f t="shared" si="13"/>
        <v>4.9999999999999949E-3</v>
      </c>
    </row>
    <row r="123" spans="1:15" x14ac:dyDescent="0.25">
      <c r="A123" s="125" t="s">
        <v>1282</v>
      </c>
      <c r="B123" s="279">
        <v>504</v>
      </c>
      <c r="C123" s="123" t="str">
        <f>IFERROR(IF(B123="No CAS","",INDEX('DEQ Pollutant List'!$B$7:$B$611,MATCH('3. Pollutant Emissions - EF'!B123,'DEQ Pollutant List'!$A$7:$A$611,0))),"")</f>
        <v>Phosphorus and compounds</v>
      </c>
      <c r="D123" s="127" t="str">
        <f>IFERROR(IF(OR($B123="",$B123="No CAS"),INDEX('DEQ Pollutant List'!$A$7:$A$611,MATCH($C123,'DEQ Pollutant List'!$C$7:$C$611,0)),INDEX('DEQ Pollutant List'!$A$7:$A$611,MATCH($B123,'DEQ Pollutant List'!$B$7:$B$611,0))),"")</f>
        <v/>
      </c>
      <c r="E123" s="126">
        <v>0.9</v>
      </c>
      <c r="F123" s="116">
        <f>Baghouses!E71</f>
        <v>1.031249999999999E-6</v>
      </c>
      <c r="G123" s="129">
        <f t="shared" si="11"/>
        <v>1.031249999999999E-6</v>
      </c>
      <c r="H123" s="115" t="s">
        <v>492</v>
      </c>
      <c r="I123" s="117" t="s">
        <v>1283</v>
      </c>
      <c r="J123" s="118">
        <f>F123*'2. Emissions Units &amp; Activities'!$H$18</f>
        <v>0.11445740624999989</v>
      </c>
      <c r="K123" s="121">
        <f>F123*'2. Emissions Units &amp; Activities'!$I$18</f>
        <v>0.27101249999999977</v>
      </c>
      <c r="L123" s="114">
        <f t="shared" si="12"/>
        <v>0.27101249999999977</v>
      </c>
      <c r="M123" s="118">
        <f>G123*'2. Emissions Units &amp; Activities'!$K$18</f>
        <v>8.2499999999999924E-4</v>
      </c>
      <c r="N123" s="119">
        <f>G123*'2. Emissions Units &amp; Activities'!$L$18</f>
        <v>8.2499999999999924E-4</v>
      </c>
      <c r="O123" s="120">
        <f t="shared" si="13"/>
        <v>8.2499999999999924E-4</v>
      </c>
    </row>
    <row r="124" spans="1:15" x14ac:dyDescent="0.25">
      <c r="A124" s="125" t="s">
        <v>1282</v>
      </c>
      <c r="B124" s="279" t="s">
        <v>316</v>
      </c>
      <c r="C124" s="123" t="str">
        <f>IFERROR(IF(B124="No CAS","",INDEX('DEQ Pollutant List'!$B$7:$B$611,MATCH('3. Pollutant Emissions - EF'!B124,'DEQ Pollutant List'!$A$7:$A$611,0))),"")</f>
        <v>Phosphorus pentoxide</v>
      </c>
      <c r="D124" s="127" t="str">
        <f>IFERROR(IF(OR($B124="",$B124="No CAS"),INDEX('DEQ Pollutant List'!$A$7:$A$611,MATCH($C124,'DEQ Pollutant List'!$C$7:$C$611,0)),INDEX('DEQ Pollutant List'!$A$7:$A$611,MATCH($B124,'DEQ Pollutant List'!$B$7:$B$611,0))),"")</f>
        <v/>
      </c>
      <c r="E124" s="126">
        <v>0.9</v>
      </c>
      <c r="F124" s="116">
        <f>Baghouses!E72</f>
        <v>2.4999999999999972E-6</v>
      </c>
      <c r="G124" s="129">
        <f t="shared" si="11"/>
        <v>2.4999999999999972E-6</v>
      </c>
      <c r="H124" s="115" t="s">
        <v>492</v>
      </c>
      <c r="I124" s="117" t="s">
        <v>1283</v>
      </c>
      <c r="J124" s="118">
        <f>F124*'2. Emissions Units &amp; Activities'!$H$18</f>
        <v>0.27747249999999968</v>
      </c>
      <c r="K124" s="121">
        <f>F124*'2. Emissions Units &amp; Activities'!$I$18</f>
        <v>0.65699999999999925</v>
      </c>
      <c r="L124" s="114">
        <f t="shared" si="12"/>
        <v>0.65699999999999925</v>
      </c>
      <c r="M124" s="118">
        <f>G124*'2. Emissions Units &amp; Activities'!$K$18</f>
        <v>1.9999999999999979E-3</v>
      </c>
      <c r="N124" s="119">
        <f>G124*'2. Emissions Units &amp; Activities'!$L$18</f>
        <v>1.9999999999999979E-3</v>
      </c>
      <c r="O124" s="120">
        <f t="shared" si="13"/>
        <v>1.9999999999999979E-3</v>
      </c>
    </row>
    <row r="125" spans="1:15" x14ac:dyDescent="0.25">
      <c r="A125" s="125" t="s">
        <v>1282</v>
      </c>
      <c r="B125" s="279" t="s">
        <v>183</v>
      </c>
      <c r="C125" s="123" t="str">
        <f>IFERROR(IF(B125="No CAS","",INDEX('DEQ Pollutant List'!$B$7:$B$611,MATCH('3. Pollutant Emissions - EF'!B125,'DEQ Pollutant List'!$A$7:$A$611,0))),"")</f>
        <v>Silica, crystalline (respirable)</v>
      </c>
      <c r="D125" s="127" t="str">
        <f>IFERROR(IF(OR($B125="",$B125="No CAS"),INDEX('DEQ Pollutant List'!$A$7:$A$611,MATCH($C125,'DEQ Pollutant List'!$C$7:$C$611,0)),INDEX('DEQ Pollutant List'!$A$7:$A$611,MATCH($B125,'DEQ Pollutant List'!$B$7:$B$611,0))),"")</f>
        <v/>
      </c>
      <c r="E125" s="126">
        <v>0.9</v>
      </c>
      <c r="F125" s="116">
        <f>Baghouses!E73</f>
        <v>1.1645312499999987E-3</v>
      </c>
      <c r="G125" s="129">
        <f t="shared" si="11"/>
        <v>1.1645312499999987E-3</v>
      </c>
      <c r="H125" s="115" t="s">
        <v>492</v>
      </c>
      <c r="I125" s="117" t="s">
        <v>1283</v>
      </c>
      <c r="J125" s="118">
        <f>F125*'2. Emissions Units &amp; Activities'!$H$18</f>
        <v>129.25015890624985</v>
      </c>
      <c r="K125" s="121">
        <f>F125*'2. Emissions Units &amp; Activities'!$I$18</f>
        <v>306.03881249999966</v>
      </c>
      <c r="L125" s="114">
        <f t="shared" si="12"/>
        <v>306.03881249999966</v>
      </c>
      <c r="M125" s="118">
        <f>G125*'2. Emissions Units &amp; Activities'!$K$18</f>
        <v>0.93162499999999893</v>
      </c>
      <c r="N125" s="119">
        <f>G125*'2. Emissions Units &amp; Activities'!$L$18</f>
        <v>0.93162499999999893</v>
      </c>
      <c r="O125" s="120">
        <f t="shared" si="13"/>
        <v>0.93162499999999893</v>
      </c>
    </row>
    <row r="126" spans="1:15" x14ac:dyDescent="0.25">
      <c r="A126" s="125" t="s">
        <v>1282</v>
      </c>
      <c r="B126" s="279" t="s">
        <v>317</v>
      </c>
      <c r="C126" s="123" t="str">
        <f>IFERROR(IF(B126="No CAS","",INDEX('DEQ Pollutant List'!$B$7:$B$611,MATCH('3. Pollutant Emissions - EF'!B126,'DEQ Pollutant List'!$A$7:$A$611,0))),"")</f>
        <v>Sulfur trioxide</v>
      </c>
      <c r="D126" s="127" t="str">
        <f>IFERROR(IF(OR($B126="",$B126="No CAS"),INDEX('DEQ Pollutant List'!$A$7:$A$611,MATCH($C126,'DEQ Pollutant List'!$C$7:$C$611,0)),INDEX('DEQ Pollutant List'!$A$7:$A$611,MATCH($B126,'DEQ Pollutant List'!$B$7:$B$611,0))),"")</f>
        <v/>
      </c>
      <c r="E126" s="126">
        <v>0.9</v>
      </c>
      <c r="F126" s="116">
        <f>Baghouses!E74</f>
        <v>7.8124999999999919E-7</v>
      </c>
      <c r="G126" s="129">
        <f t="shared" si="11"/>
        <v>7.8124999999999919E-7</v>
      </c>
      <c r="H126" s="115" t="s">
        <v>492</v>
      </c>
      <c r="I126" s="117" t="s">
        <v>1283</v>
      </c>
      <c r="J126" s="118">
        <f>F126*'2. Emissions Units &amp; Activities'!$H$18</f>
        <v>8.6710156249999906E-2</v>
      </c>
      <c r="K126" s="121">
        <f>F126*'2. Emissions Units &amp; Activities'!$I$18</f>
        <v>0.20531249999999979</v>
      </c>
      <c r="L126" s="114">
        <f t="shared" si="12"/>
        <v>0.20531249999999979</v>
      </c>
      <c r="M126" s="118">
        <f>G126*'2. Emissions Units &amp; Activities'!$K$18</f>
        <v>6.2499999999999936E-4</v>
      </c>
      <c r="N126" s="119">
        <f>G126*'2. Emissions Units &amp; Activities'!$L$18</f>
        <v>6.2499999999999936E-4</v>
      </c>
      <c r="O126" s="120">
        <f t="shared" si="13"/>
        <v>6.2499999999999936E-4</v>
      </c>
    </row>
    <row r="127" spans="1:15" ht="15.75" thickBot="1" x14ac:dyDescent="0.3">
      <c r="A127" s="198" t="s">
        <v>1282</v>
      </c>
      <c r="B127" s="280" t="s">
        <v>318</v>
      </c>
      <c r="C127" s="216" t="str">
        <f>IFERROR(IF(B127="No CAS","",INDEX('DEQ Pollutant List'!$B$7:$B$611,MATCH('3. Pollutant Emissions - EF'!B127,'DEQ Pollutant List'!$A$7:$A$611,0))),"")</f>
        <v>Vanadium pentoxide</v>
      </c>
      <c r="D127" s="189" t="str">
        <f>IFERROR(IF(OR($B127="",$B127="No CAS"),INDEX('DEQ Pollutant List'!$A$7:$A$611,MATCH($C127,'DEQ Pollutant List'!$C$7:$C$611,0)),INDEX('DEQ Pollutant List'!$A$7:$A$611,MATCH($B127,'DEQ Pollutant List'!$B$7:$B$611,0))),"")</f>
        <v/>
      </c>
      <c r="E127" s="126">
        <v>0.9</v>
      </c>
      <c r="F127" s="202">
        <f>Baghouses!E75</f>
        <v>7.8124999999999919E-7</v>
      </c>
      <c r="G127" s="199">
        <f t="shared" si="11"/>
        <v>7.8124999999999919E-7</v>
      </c>
      <c r="H127" s="200" t="s">
        <v>492</v>
      </c>
      <c r="I127" s="117" t="s">
        <v>1284</v>
      </c>
      <c r="J127" s="232">
        <f>F127*'2. Emissions Units &amp; Activities'!$H$18</f>
        <v>8.6710156249999906E-2</v>
      </c>
      <c r="K127" s="233">
        <f>F127*'2. Emissions Units &amp; Activities'!$I$18</f>
        <v>0.20531249999999979</v>
      </c>
      <c r="L127" s="234">
        <f>K127</f>
        <v>0.20531249999999979</v>
      </c>
      <c r="M127" s="232">
        <f>G127*'2. Emissions Units &amp; Activities'!$K$18</f>
        <v>6.2499999999999936E-4</v>
      </c>
      <c r="N127" s="235">
        <f>G127*'2. Emissions Units &amp; Activities'!$L$18</f>
        <v>6.2499999999999936E-4</v>
      </c>
      <c r="O127" s="236">
        <f>N127</f>
        <v>6.2499999999999936E-4</v>
      </c>
    </row>
    <row r="128" spans="1:15" x14ac:dyDescent="0.25">
      <c r="A128" s="125" t="s">
        <v>1198</v>
      </c>
      <c r="B128" s="279" t="s">
        <v>305</v>
      </c>
      <c r="C128" s="123" t="str">
        <f>IFERROR(IF(B128="No CAS","",INDEX('DEQ Pollutant List'!$B$7:$B$611,MATCH('3. Pollutant Emissions - EF'!B128,'DEQ Pollutant List'!$A$7:$A$611,0))),"")</f>
        <v>Silver and compounds</v>
      </c>
      <c r="D128" s="127" t="str">
        <f>IFERROR(IF(OR($B128="",$B128="No CAS"),INDEX('DEQ Pollutant List'!$A$7:$A$611,MATCH($C128,'DEQ Pollutant List'!$C$7:$C$611,0)),INDEX('DEQ Pollutant List'!$A$7:$A$611,MATCH($B128,'DEQ Pollutant List'!$B$7:$B$611,0))),"")</f>
        <v/>
      </c>
      <c r="E128" s="126">
        <v>0</v>
      </c>
      <c r="F128" s="116">
        <f>Baghouses!Q13</f>
        <v>2.175E-10</v>
      </c>
      <c r="G128" s="129">
        <f>F128</f>
        <v>2.175E-10</v>
      </c>
      <c r="H128" s="115" t="s">
        <v>492</v>
      </c>
      <c r="I128" s="117" t="s">
        <v>1281</v>
      </c>
      <c r="J128" s="118">
        <f>F128*'2. Emissions Units &amp; Activities'!$H$19</f>
        <v>2.41401075E-5</v>
      </c>
      <c r="K128" s="121">
        <f>F128*'2. Emissions Units &amp; Activities'!$I$19</f>
        <v>5.7158999999999999E-5</v>
      </c>
      <c r="L128" s="114">
        <f t="shared" ref="L128:L224" si="14">K128</f>
        <v>5.7158999999999999E-5</v>
      </c>
      <c r="M128" s="118">
        <f>G128*'2. Emissions Units &amp; Activities'!$K$19</f>
        <v>1.74E-7</v>
      </c>
      <c r="N128" s="119">
        <f>G128*'2. Emissions Units &amp; Activities'!$L$19</f>
        <v>1.74E-7</v>
      </c>
      <c r="O128" s="120">
        <f t="shared" ref="O128:O129" si="15">N128</f>
        <v>1.74E-7</v>
      </c>
    </row>
    <row r="129" spans="1:30" s="747" customFormat="1" x14ac:dyDescent="0.25">
      <c r="A129" s="125" t="s">
        <v>1198</v>
      </c>
      <c r="B129" s="279" t="s">
        <v>190</v>
      </c>
      <c r="C129" s="123" t="str">
        <f>IFERROR(IF(B129="No CAS","",INDEX('DEQ Pollutant List'!$B$7:$B$611,MATCH('3. Pollutant Emissions - EF'!B129,'DEQ Pollutant List'!$A$7:$A$611,0))),"")</f>
        <v>Aluminum and compounds</v>
      </c>
      <c r="D129" s="127" t="str">
        <f>IFERROR(IF(OR($B129="",$B129="No CAS"),INDEX('DEQ Pollutant List'!$A$7:$A$611,MATCH($C129,'DEQ Pollutant List'!$C$7:$C$611,0)),INDEX('DEQ Pollutant List'!$A$7:$A$611,MATCH($B129,'DEQ Pollutant List'!$B$7:$B$611,0))),"")</f>
        <v/>
      </c>
      <c r="E129" s="126">
        <v>0</v>
      </c>
      <c r="F129" s="116">
        <f>Baghouses!Q14</f>
        <v>5.5440749999999988E-4</v>
      </c>
      <c r="G129" s="129">
        <f t="shared" ref="G129:G175" si="16">F129</f>
        <v>5.5440749999999988E-4</v>
      </c>
      <c r="H129" s="115" t="s">
        <v>492</v>
      </c>
      <c r="I129" s="117" t="s">
        <v>1281</v>
      </c>
      <c r="J129" s="118">
        <f>F129*'2. Emissions Units &amp; Activities'!$H$19</f>
        <v>61.533134017499989</v>
      </c>
      <c r="K129" s="121">
        <f>F129*'2. Emissions Units &amp; Activities'!$I$19</f>
        <v>145.69829099999995</v>
      </c>
      <c r="L129" s="114">
        <f t="shared" si="14"/>
        <v>145.69829099999995</v>
      </c>
      <c r="M129" s="118">
        <f>G129*'2. Emissions Units &amp; Activities'!$K$19</f>
        <v>0.44352599999999992</v>
      </c>
      <c r="N129" s="119">
        <f>G129*'2. Emissions Units &amp; Activities'!$L$19</f>
        <v>0.44352599999999992</v>
      </c>
      <c r="O129" s="120">
        <f t="shared" si="15"/>
        <v>0.44352599999999992</v>
      </c>
      <c r="P129" s="2"/>
      <c r="Q129" s="2"/>
      <c r="R129" s="2"/>
      <c r="S129" s="2"/>
      <c r="T129" s="2"/>
      <c r="U129" s="2"/>
      <c r="V129" s="2"/>
      <c r="W129" s="2"/>
      <c r="X129" s="2"/>
      <c r="Y129" s="2"/>
      <c r="Z129" s="2"/>
      <c r="AA129" s="2"/>
      <c r="AB129" s="2"/>
      <c r="AC129" s="2"/>
      <c r="AD129" s="2"/>
    </row>
    <row r="130" spans="1:30" x14ac:dyDescent="0.25">
      <c r="A130" s="125" t="s">
        <v>1198</v>
      </c>
      <c r="B130" s="279" t="s">
        <v>306</v>
      </c>
      <c r="C130" s="123" t="str">
        <f>IFERROR(IF(B130="No CAS","",INDEX('DEQ Pollutant List'!$B$7:$B$611,MATCH('3. Pollutant Emissions - EF'!B130,'DEQ Pollutant List'!$A$7:$A$611,0))),"")</f>
        <v>Arsenic and compounds</v>
      </c>
      <c r="D130" s="127" t="str">
        <f>IFERROR(IF(OR($B130="",$B130="No CAS"),INDEX('DEQ Pollutant List'!$A$7:$A$611,MATCH($C130,'DEQ Pollutant List'!$C$7:$C$611,0)),INDEX('DEQ Pollutant List'!$A$7:$A$611,MATCH($B130,'DEQ Pollutant List'!$B$7:$B$611,0))),"")</f>
        <v/>
      </c>
      <c r="E130" s="126">
        <v>0</v>
      </c>
      <c r="F130" s="116">
        <f>Baghouses!Q15</f>
        <v>2.2620000000000003E-8</v>
      </c>
      <c r="G130" s="129">
        <f t="shared" si="16"/>
        <v>2.2620000000000003E-8</v>
      </c>
      <c r="H130" s="115" t="s">
        <v>492</v>
      </c>
      <c r="I130" s="117" t="s">
        <v>1281</v>
      </c>
      <c r="J130" s="118">
        <f>F130*'2. Emissions Units &amp; Activities'!$H$19</f>
        <v>2.5105711800000002E-3</v>
      </c>
      <c r="K130" s="121">
        <f>F130*'2. Emissions Units &amp; Activities'!$I$19</f>
        <v>5.9445360000000011E-3</v>
      </c>
      <c r="L130" s="114">
        <f t="shared" si="14"/>
        <v>5.9445360000000011E-3</v>
      </c>
      <c r="M130" s="118">
        <f>G130*'2. Emissions Units &amp; Activities'!$K$19</f>
        <v>1.8096000000000004E-5</v>
      </c>
      <c r="N130" s="119">
        <f>G130*'2. Emissions Units &amp; Activities'!$L$19</f>
        <v>1.8096000000000004E-5</v>
      </c>
      <c r="O130" s="120">
        <f t="shared" ref="O130" si="17">N130</f>
        <v>1.8096000000000004E-5</v>
      </c>
    </row>
    <row r="131" spans="1:30" x14ac:dyDescent="0.25">
      <c r="A131" s="125" t="s">
        <v>1198</v>
      </c>
      <c r="B131" s="279" t="s">
        <v>142</v>
      </c>
      <c r="C131" s="123" t="str">
        <f>IFERROR(IF(B131="No CAS","",INDEX('DEQ Pollutant List'!$B$7:$B$611,MATCH('3. Pollutant Emissions - EF'!B131,'DEQ Pollutant List'!$A$7:$A$611,0))),"")</f>
        <v>Barium and compounds</v>
      </c>
      <c r="D131" s="127" t="str">
        <f>IFERROR(IF(OR($B131="",$B131="No CAS"),INDEX('DEQ Pollutant List'!$A$7:$A$611,MATCH($C131,'DEQ Pollutant List'!$C$7:$C$611,0)),INDEX('DEQ Pollutant List'!$A$7:$A$611,MATCH($B131,'DEQ Pollutant List'!$B$7:$B$611,0))),"")</f>
        <v/>
      </c>
      <c r="E131" s="126">
        <v>0</v>
      </c>
      <c r="F131" s="116">
        <f>Baghouses!Q16</f>
        <v>2.4360000000000001E-6</v>
      </c>
      <c r="G131" s="129">
        <f t="shared" si="16"/>
        <v>2.4360000000000001E-6</v>
      </c>
      <c r="H131" s="115" t="s">
        <v>492</v>
      </c>
      <c r="I131" s="117" t="s">
        <v>1281</v>
      </c>
      <c r="J131" s="118">
        <f>F131*'2. Emissions Units &amp; Activities'!$H$19</f>
        <v>0.27036920400000003</v>
      </c>
      <c r="K131" s="121">
        <f>F131*'2. Emissions Units &amp; Activities'!$I$19</f>
        <v>0.64018079999999999</v>
      </c>
      <c r="L131" s="114">
        <f t="shared" ref="L131:L152" si="18">K131</f>
        <v>0.64018079999999999</v>
      </c>
      <c r="M131" s="118">
        <f>G131*'2. Emissions Units &amp; Activities'!$K$19</f>
        <v>1.9488000000000001E-3</v>
      </c>
      <c r="N131" s="119">
        <f>G131*'2. Emissions Units &amp; Activities'!$L$19</f>
        <v>1.9488000000000001E-3</v>
      </c>
      <c r="O131" s="120">
        <f t="shared" ref="O131:O152" si="19">N131</f>
        <v>1.9488000000000001E-3</v>
      </c>
    </row>
    <row r="132" spans="1:30" x14ac:dyDescent="0.25">
      <c r="A132" s="125" t="s">
        <v>1198</v>
      </c>
      <c r="B132" s="279" t="s">
        <v>307</v>
      </c>
      <c r="C132" s="123" t="str">
        <f>IFERROR(IF(B132="No CAS","",INDEX('DEQ Pollutant List'!$B$7:$B$611,MATCH('3. Pollutant Emissions - EF'!B132,'DEQ Pollutant List'!$A$7:$A$611,0))),"")</f>
        <v>Beryllium and compounds</v>
      </c>
      <c r="D132" s="127" t="str">
        <f>IFERROR(IF(OR($B132="",$B132="No CAS"),INDEX('DEQ Pollutant List'!$A$7:$A$611,MATCH($C132,'DEQ Pollutant List'!$C$7:$C$611,0)),INDEX('DEQ Pollutant List'!$A$7:$A$611,MATCH($B132,'DEQ Pollutant List'!$B$7:$B$611,0))),"")</f>
        <v/>
      </c>
      <c r="E132" s="126">
        <v>0</v>
      </c>
      <c r="F132" s="116">
        <f>Baghouses!Q17</f>
        <v>2.6621999999999998E-8</v>
      </c>
      <c r="G132" s="129">
        <f t="shared" si="16"/>
        <v>2.6621999999999998E-8</v>
      </c>
      <c r="H132" s="115" t="s">
        <v>492</v>
      </c>
      <c r="I132" s="117" t="s">
        <v>1281</v>
      </c>
      <c r="J132" s="118">
        <f>F132*'2. Emissions Units &amp; Activities'!$H$19</f>
        <v>2.9547491579999998E-3</v>
      </c>
      <c r="K132" s="121">
        <f>F132*'2. Emissions Units &amp; Activities'!$I$19</f>
        <v>6.9962615999999995E-3</v>
      </c>
      <c r="L132" s="114">
        <f t="shared" si="18"/>
        <v>6.9962615999999995E-3</v>
      </c>
      <c r="M132" s="118">
        <f>G132*'2. Emissions Units &amp; Activities'!$K$19</f>
        <v>2.1297599999999997E-5</v>
      </c>
      <c r="N132" s="119">
        <f>G132*'2. Emissions Units &amp; Activities'!$L$19</f>
        <v>2.1297599999999997E-5</v>
      </c>
      <c r="O132" s="120">
        <f t="shared" si="19"/>
        <v>2.1297599999999997E-5</v>
      </c>
    </row>
    <row r="133" spans="1:30" x14ac:dyDescent="0.25">
      <c r="A133" s="125" t="s">
        <v>1198</v>
      </c>
      <c r="B133" s="279" t="s">
        <v>308</v>
      </c>
      <c r="C133" s="123" t="str">
        <f>IFERROR(IF(B133="No CAS","",INDEX('DEQ Pollutant List'!$B$7:$B$611,MATCH('3. Pollutant Emissions - EF'!B133,'DEQ Pollutant List'!$A$7:$A$611,0))),"")</f>
        <v>Cadmium and compounds</v>
      </c>
      <c r="D133" s="127" t="str">
        <f>IFERROR(IF(OR($B133="",$B133="No CAS"),INDEX('DEQ Pollutant List'!$A$7:$A$611,MATCH($C133,'DEQ Pollutant List'!$C$7:$C$611,0)),INDEX('DEQ Pollutant List'!$A$7:$A$611,MATCH($B133,'DEQ Pollutant List'!$B$7:$B$611,0))),"")</f>
        <v/>
      </c>
      <c r="E133" s="126">
        <v>0</v>
      </c>
      <c r="F133" s="116">
        <f>Baghouses!Q18</f>
        <v>6.9599999999999997E-10</v>
      </c>
      <c r="G133" s="129">
        <f t="shared" si="16"/>
        <v>6.9599999999999997E-10</v>
      </c>
      <c r="H133" s="115" t="s">
        <v>492</v>
      </c>
      <c r="I133" s="117" t="s">
        <v>1281</v>
      </c>
      <c r="J133" s="118">
        <f>F133*'2. Emissions Units &amp; Activities'!$H$19</f>
        <v>7.7248343999999997E-5</v>
      </c>
      <c r="K133" s="121">
        <f>F133*'2. Emissions Units &amp; Activities'!$I$19</f>
        <v>1.8290879999999999E-4</v>
      </c>
      <c r="L133" s="114">
        <f t="shared" si="18"/>
        <v>1.8290879999999999E-4</v>
      </c>
      <c r="M133" s="118">
        <f>G133*'2. Emissions Units &amp; Activities'!$K$19</f>
        <v>5.5680000000000001E-7</v>
      </c>
      <c r="N133" s="119">
        <f>G133*'2. Emissions Units &amp; Activities'!$L$19</f>
        <v>5.5680000000000001E-7</v>
      </c>
      <c r="O133" s="120">
        <f t="shared" si="19"/>
        <v>5.5680000000000001E-7</v>
      </c>
    </row>
    <row r="134" spans="1:30" x14ac:dyDescent="0.25">
      <c r="A134" s="125" t="s">
        <v>1198</v>
      </c>
      <c r="B134" s="279" t="s">
        <v>147</v>
      </c>
      <c r="C134" s="123" t="str">
        <f>IFERROR(IF(B134="No CAS","",INDEX('DEQ Pollutant List'!$B$7:$B$611,MATCH('3. Pollutant Emissions - EF'!B134,'DEQ Pollutant List'!$A$7:$A$611,0))),"")</f>
        <v>Cobalt and compounds</v>
      </c>
      <c r="D134" s="127" t="str">
        <f>IFERROR(IF(OR($B134="",$B134="No CAS"),INDEX('DEQ Pollutant List'!$A$7:$A$611,MATCH($C134,'DEQ Pollutant List'!$C$7:$C$611,0)),INDEX('DEQ Pollutant List'!$A$7:$A$611,MATCH($B134,'DEQ Pollutant List'!$B$7:$B$611,0))),"")</f>
        <v/>
      </c>
      <c r="E134" s="126">
        <v>0</v>
      </c>
      <c r="F134" s="116">
        <f>Baghouses!Q19</f>
        <v>8.6999999999999999E-10</v>
      </c>
      <c r="G134" s="129">
        <f t="shared" si="16"/>
        <v>8.6999999999999999E-10</v>
      </c>
      <c r="H134" s="115" t="s">
        <v>492</v>
      </c>
      <c r="I134" s="117" t="s">
        <v>1281</v>
      </c>
      <c r="J134" s="118">
        <f>F134*'2. Emissions Units &amp; Activities'!$H$19</f>
        <v>9.656043E-5</v>
      </c>
      <c r="K134" s="121">
        <f>F134*'2. Emissions Units &amp; Activities'!$I$19</f>
        <v>2.28636E-4</v>
      </c>
      <c r="L134" s="114">
        <f t="shared" si="18"/>
        <v>2.28636E-4</v>
      </c>
      <c r="M134" s="118">
        <f>G134*'2. Emissions Units &amp; Activities'!$K$19</f>
        <v>6.9599999999999999E-7</v>
      </c>
      <c r="N134" s="119">
        <f>G134*'2. Emissions Units &amp; Activities'!$L$19</f>
        <v>6.9599999999999999E-7</v>
      </c>
      <c r="O134" s="120">
        <f t="shared" si="19"/>
        <v>6.9599999999999999E-7</v>
      </c>
    </row>
    <row r="135" spans="1:30" x14ac:dyDescent="0.25">
      <c r="A135" s="125" t="s">
        <v>1198</v>
      </c>
      <c r="B135" s="279" t="s">
        <v>205</v>
      </c>
      <c r="C135" s="123" t="str">
        <f>IFERROR(IF(B135="No CAS","",INDEX('DEQ Pollutant List'!$B$7:$B$611,MATCH('3. Pollutant Emissions - EF'!B135,'DEQ Pollutant List'!$A$7:$A$611,0))),"")</f>
        <v>Copper and compounds</v>
      </c>
      <c r="D135" s="127" t="str">
        <f>IFERROR(IF(OR($B135="",$B135="No CAS"),INDEX('DEQ Pollutant List'!$A$7:$A$611,MATCH($C135,'DEQ Pollutant List'!$C$7:$C$611,0)),INDEX('DEQ Pollutant List'!$A$7:$A$611,MATCH($B135,'DEQ Pollutant List'!$B$7:$B$611,0))),"")</f>
        <v/>
      </c>
      <c r="E135" s="126">
        <v>0</v>
      </c>
      <c r="F135" s="116">
        <f>Baghouses!Q20</f>
        <v>4.5240000000000007E-8</v>
      </c>
      <c r="G135" s="129">
        <f t="shared" si="16"/>
        <v>4.5240000000000007E-8</v>
      </c>
      <c r="H135" s="115" t="s">
        <v>492</v>
      </c>
      <c r="I135" s="117" t="s">
        <v>1281</v>
      </c>
      <c r="J135" s="118">
        <f>F135*'2. Emissions Units &amp; Activities'!$H$19</f>
        <v>5.0211423600000004E-3</v>
      </c>
      <c r="K135" s="121">
        <f>F135*'2. Emissions Units &amp; Activities'!$I$19</f>
        <v>1.1889072000000002E-2</v>
      </c>
      <c r="L135" s="114">
        <f t="shared" si="18"/>
        <v>1.1889072000000002E-2</v>
      </c>
      <c r="M135" s="118">
        <f>G135*'2. Emissions Units &amp; Activities'!$K$19</f>
        <v>3.6192000000000009E-5</v>
      </c>
      <c r="N135" s="119">
        <f>G135*'2. Emissions Units &amp; Activities'!$L$19</f>
        <v>3.6192000000000009E-5</v>
      </c>
      <c r="O135" s="120">
        <f t="shared" si="19"/>
        <v>3.6192000000000009E-5</v>
      </c>
    </row>
    <row r="136" spans="1:30" x14ac:dyDescent="0.25">
      <c r="A136" s="125" t="s">
        <v>1198</v>
      </c>
      <c r="B136" s="279" t="s">
        <v>55</v>
      </c>
      <c r="C136" s="123" t="str">
        <f>IFERROR(IF(B136="No CAS","",INDEX('DEQ Pollutant List'!$B$7:$B$611,MATCH('3. Pollutant Emissions - EF'!B136,'DEQ Pollutant List'!$A$7:$A$611,0))),"")</f>
        <v>Chromium VI, chromate and dichromate particulate</v>
      </c>
      <c r="D136" s="127" t="str">
        <f>IFERROR(IF(OR($B136="",$B136="No CAS"),INDEX('DEQ Pollutant List'!$A$7:$A$611,MATCH($C136,'DEQ Pollutant List'!$C$7:$C$611,0)),INDEX('DEQ Pollutant List'!$A$7:$A$611,MATCH($B136,'DEQ Pollutant List'!$B$7:$B$611,0))),"")</f>
        <v/>
      </c>
      <c r="E136" s="126">
        <v>0</v>
      </c>
      <c r="F136" s="116">
        <f>Baghouses!Q21</f>
        <v>6.9304200000000007E-8</v>
      </c>
      <c r="G136" s="129">
        <f t="shared" si="16"/>
        <v>6.9304200000000007E-8</v>
      </c>
      <c r="H136" s="115" t="s">
        <v>492</v>
      </c>
      <c r="I136" s="117" t="s">
        <v>1281</v>
      </c>
      <c r="J136" s="118">
        <f>F136*'2. Emissions Units &amp; Activities'!$H$19</f>
        <v>7.6920038538000005E-3</v>
      </c>
      <c r="K136" s="121">
        <f>F136*'2. Emissions Units &amp; Activities'!$I$19</f>
        <v>1.8213143760000002E-2</v>
      </c>
      <c r="L136" s="114">
        <f t="shared" si="18"/>
        <v>1.8213143760000002E-2</v>
      </c>
      <c r="M136" s="118">
        <f>G136*'2. Emissions Units &amp; Activities'!$K$19</f>
        <v>5.5443360000000002E-5</v>
      </c>
      <c r="N136" s="119">
        <f>G136*'2. Emissions Units &amp; Activities'!$L$19</f>
        <v>5.5443360000000002E-5</v>
      </c>
      <c r="O136" s="120">
        <f t="shared" si="19"/>
        <v>5.5443360000000002E-5</v>
      </c>
    </row>
    <row r="137" spans="1:30" x14ac:dyDescent="0.25">
      <c r="A137" s="125" t="s">
        <v>1198</v>
      </c>
      <c r="B137" s="279" t="s">
        <v>309</v>
      </c>
      <c r="C137" s="123" t="str">
        <f>IFERROR(IF(B137="No CAS","",INDEX('DEQ Pollutant List'!$B$7:$B$611,MATCH('3. Pollutant Emissions - EF'!B137,'DEQ Pollutant List'!$A$7:$A$611,0))),"")</f>
        <v>Mercury and compounds</v>
      </c>
      <c r="D137" s="127" t="str">
        <f>IFERROR(IF(OR($B137="",$B137="No CAS"),INDEX('DEQ Pollutant List'!$A$7:$A$611,MATCH($C137,'DEQ Pollutant List'!$C$7:$C$611,0)),INDEX('DEQ Pollutant List'!$A$7:$A$611,MATCH($B137,'DEQ Pollutant List'!$B$7:$B$611,0))),"")</f>
        <v/>
      </c>
      <c r="E137" s="126">
        <v>0</v>
      </c>
      <c r="F137" s="116">
        <f>Baghouses!Q22</f>
        <v>1.7399999999999999E-10</v>
      </c>
      <c r="G137" s="129">
        <f t="shared" si="16"/>
        <v>1.7399999999999999E-10</v>
      </c>
      <c r="H137" s="115" t="s">
        <v>492</v>
      </c>
      <c r="I137" s="117" t="s">
        <v>1281</v>
      </c>
      <c r="J137" s="118">
        <f>F137*'2. Emissions Units &amp; Activities'!$H$19</f>
        <v>1.9312085999999999E-5</v>
      </c>
      <c r="K137" s="121">
        <f>F137*'2. Emissions Units &amp; Activities'!$I$19</f>
        <v>4.5727199999999998E-5</v>
      </c>
      <c r="L137" s="114">
        <f t="shared" si="18"/>
        <v>4.5727199999999998E-5</v>
      </c>
      <c r="M137" s="118">
        <f>G137*'2. Emissions Units &amp; Activities'!$K$19</f>
        <v>1.392E-7</v>
      </c>
      <c r="N137" s="119">
        <f>G137*'2. Emissions Units &amp; Activities'!$L$19</f>
        <v>1.392E-7</v>
      </c>
      <c r="O137" s="120">
        <f t="shared" si="19"/>
        <v>1.392E-7</v>
      </c>
    </row>
    <row r="138" spans="1:30" x14ac:dyDescent="0.25">
      <c r="A138" s="125" t="s">
        <v>1198</v>
      </c>
      <c r="B138" s="279" t="s">
        <v>181</v>
      </c>
      <c r="C138" s="123" t="str">
        <f>IFERROR(IF(B138="No CAS","",INDEX('DEQ Pollutant List'!$B$7:$B$611,MATCH('3. Pollutant Emissions - EF'!B138,'DEQ Pollutant List'!$A$7:$A$611,0))),"")</f>
        <v>Manganese and compounds</v>
      </c>
      <c r="D138" s="127" t="str">
        <f>IFERROR(IF(OR($B138="",$B138="No CAS"),INDEX('DEQ Pollutant List'!$A$7:$A$611,MATCH($C138,'DEQ Pollutant List'!$C$7:$C$611,0)),INDEX('DEQ Pollutant List'!$A$7:$A$611,MATCH($B138,'DEQ Pollutant List'!$B$7:$B$611,0))),"")</f>
        <v/>
      </c>
      <c r="E138" s="126">
        <v>0</v>
      </c>
      <c r="F138" s="116">
        <f>Baghouses!Q23</f>
        <v>4.3760999999999995E-6</v>
      </c>
      <c r="G138" s="129">
        <f t="shared" si="16"/>
        <v>4.3760999999999995E-6</v>
      </c>
      <c r="H138" s="115" t="s">
        <v>492</v>
      </c>
      <c r="I138" s="117" t="s">
        <v>1281</v>
      </c>
      <c r="J138" s="118">
        <f>F138*'2. Emissions Units &amp; Activities'!$H$19</f>
        <v>0.48569896289999992</v>
      </c>
      <c r="K138" s="121">
        <f>F138*'2. Emissions Units &amp; Activities'!$I$19</f>
        <v>1.1500390799999998</v>
      </c>
      <c r="L138" s="114">
        <f t="shared" si="18"/>
        <v>1.1500390799999998</v>
      </c>
      <c r="M138" s="118">
        <f>G138*'2. Emissions Units &amp; Activities'!$K$19</f>
        <v>3.5008799999999996E-3</v>
      </c>
      <c r="N138" s="119">
        <f>G138*'2. Emissions Units &amp; Activities'!$L$19</f>
        <v>3.5008799999999996E-3</v>
      </c>
      <c r="O138" s="120">
        <f t="shared" si="19"/>
        <v>3.5008799999999996E-3</v>
      </c>
    </row>
    <row r="139" spans="1:30" x14ac:dyDescent="0.25">
      <c r="A139" s="125" t="s">
        <v>1198</v>
      </c>
      <c r="B139" s="279" t="s">
        <v>66</v>
      </c>
      <c r="C139" s="123" t="str">
        <f>IFERROR(IF(B139="No CAS","",INDEX('DEQ Pollutant List'!$B$7:$B$611,MATCH('3. Pollutant Emissions - EF'!B139,'DEQ Pollutant List'!$A$7:$A$611,0))),"")</f>
        <v>Molybdenum trioxide</v>
      </c>
      <c r="D139" s="127" t="str">
        <f>IFERROR(IF(OR($B139="",$B139="No CAS"),INDEX('DEQ Pollutant List'!$A$7:$A$611,MATCH($C139,'DEQ Pollutant List'!$C$7:$C$611,0)),INDEX('DEQ Pollutant List'!$A$7:$A$611,MATCH($B139,'DEQ Pollutant List'!$B$7:$B$611,0))),"")</f>
        <v/>
      </c>
      <c r="E139" s="126">
        <v>0</v>
      </c>
      <c r="F139" s="116">
        <f>Baghouses!Q24</f>
        <v>8.0871055852060813E-8</v>
      </c>
      <c r="G139" s="129">
        <f t="shared" si="16"/>
        <v>8.0871055852060813E-8</v>
      </c>
      <c r="H139" s="115" t="s">
        <v>492</v>
      </c>
      <c r="I139" s="117" t="s">
        <v>1281</v>
      </c>
      <c r="J139" s="118">
        <f>F139*'2. Emissions Units &amp; Activities'!$H$19</f>
        <v>8.9757976179643782E-3</v>
      </c>
      <c r="K139" s="121">
        <f>F139*'2. Emissions Units &amp; Activities'!$I$19</f>
        <v>2.1252913477921583E-2</v>
      </c>
      <c r="L139" s="114">
        <f t="shared" si="18"/>
        <v>2.1252913477921583E-2</v>
      </c>
      <c r="M139" s="118">
        <f>G139*'2. Emissions Units &amp; Activities'!$K$19</f>
        <v>6.4696844681648647E-5</v>
      </c>
      <c r="N139" s="119">
        <f>G139*'2. Emissions Units &amp; Activities'!$L$19</f>
        <v>6.4696844681648647E-5</v>
      </c>
      <c r="O139" s="120">
        <f t="shared" si="19"/>
        <v>6.4696844681648647E-5</v>
      </c>
    </row>
    <row r="140" spans="1:30" x14ac:dyDescent="0.25">
      <c r="A140" s="125" t="s">
        <v>1198</v>
      </c>
      <c r="B140" s="279" t="s">
        <v>212</v>
      </c>
      <c r="C140" s="123" t="str">
        <f>IFERROR(IF(B140="No CAS","",INDEX('DEQ Pollutant List'!$B$7:$B$611,MATCH('3. Pollutant Emissions - EF'!B140,'DEQ Pollutant List'!$A$7:$A$611,0))),"")</f>
        <v>Nickel and compounds</v>
      </c>
      <c r="D140" s="127" t="str">
        <f>IFERROR(IF(OR($B140="",$B140="No CAS"),INDEX('DEQ Pollutant List'!$A$7:$A$611,MATCH($C140,'DEQ Pollutant List'!$C$7:$C$611,0)),INDEX('DEQ Pollutant List'!$A$7:$A$611,MATCH($B140,'DEQ Pollutant List'!$B$7:$B$611,0))),"")</f>
        <v/>
      </c>
      <c r="E140" s="126">
        <v>0</v>
      </c>
      <c r="F140" s="116">
        <f>Baghouses!Q25</f>
        <v>1.7399999999999997E-8</v>
      </c>
      <c r="G140" s="129">
        <f t="shared" si="16"/>
        <v>1.7399999999999997E-8</v>
      </c>
      <c r="H140" s="115" t="s">
        <v>492</v>
      </c>
      <c r="I140" s="117" t="s">
        <v>1281</v>
      </c>
      <c r="J140" s="118">
        <f>F140*'2. Emissions Units &amp; Activities'!$H$19</f>
        <v>1.9312085999999996E-3</v>
      </c>
      <c r="K140" s="121">
        <f>F140*'2. Emissions Units &amp; Activities'!$I$19</f>
        <v>4.5727199999999989E-3</v>
      </c>
      <c r="L140" s="114">
        <f t="shared" si="18"/>
        <v>4.5727199999999989E-3</v>
      </c>
      <c r="M140" s="118">
        <f>G140*'2. Emissions Units &amp; Activities'!$K$19</f>
        <v>1.3919999999999997E-5</v>
      </c>
      <c r="N140" s="119">
        <f>G140*'2. Emissions Units &amp; Activities'!$L$19</f>
        <v>1.3919999999999997E-5</v>
      </c>
      <c r="O140" s="120">
        <f t="shared" si="19"/>
        <v>1.3919999999999997E-5</v>
      </c>
    </row>
    <row r="141" spans="1:30" x14ac:dyDescent="0.25">
      <c r="A141" s="125" t="s">
        <v>1198</v>
      </c>
      <c r="B141" s="279" t="s">
        <v>310</v>
      </c>
      <c r="C141" s="123" t="str">
        <f>IFERROR(IF(B141="No CAS","",INDEX('DEQ Pollutant List'!$B$7:$B$611,MATCH('3. Pollutant Emissions - EF'!B141,'DEQ Pollutant List'!$A$7:$A$611,0))),"")</f>
        <v>Lead and compounds</v>
      </c>
      <c r="D141" s="127" t="str">
        <f>IFERROR(IF(OR($B141="",$B141="No CAS"),INDEX('DEQ Pollutant List'!$A$7:$A$611,MATCH($C141,'DEQ Pollutant List'!$C$7:$C$611,0)),INDEX('DEQ Pollutant List'!$A$7:$A$611,MATCH($B141,'DEQ Pollutant List'!$B$7:$B$611,0))),"")</f>
        <v/>
      </c>
      <c r="E141" s="126">
        <v>0</v>
      </c>
      <c r="F141" s="116">
        <f>Baghouses!Q26</f>
        <v>2.1749999999999998E-7</v>
      </c>
      <c r="G141" s="129">
        <f t="shared" si="16"/>
        <v>2.1749999999999998E-7</v>
      </c>
      <c r="H141" s="115" t="s">
        <v>492</v>
      </c>
      <c r="I141" s="117" t="s">
        <v>1281</v>
      </c>
      <c r="J141" s="118">
        <f>F141*'2. Emissions Units &amp; Activities'!$H$19</f>
        <v>2.4140107499999997E-2</v>
      </c>
      <c r="K141" s="121">
        <f>F141*'2. Emissions Units &amp; Activities'!$I$19</f>
        <v>5.7158999999999995E-2</v>
      </c>
      <c r="L141" s="114">
        <f t="shared" si="18"/>
        <v>5.7158999999999995E-2</v>
      </c>
      <c r="M141" s="118">
        <f>G141*'2. Emissions Units &amp; Activities'!$K$19</f>
        <v>1.7399999999999997E-4</v>
      </c>
      <c r="N141" s="119">
        <f>G141*'2. Emissions Units &amp; Activities'!$L$19</f>
        <v>1.7399999999999997E-4</v>
      </c>
      <c r="O141" s="120">
        <f t="shared" si="19"/>
        <v>1.7399999999999997E-4</v>
      </c>
    </row>
    <row r="142" spans="1:30" x14ac:dyDescent="0.25">
      <c r="A142" s="125" t="s">
        <v>1198</v>
      </c>
      <c r="B142" s="279" t="s">
        <v>311</v>
      </c>
      <c r="C142" s="123" t="str">
        <f>IFERROR(IF(B142="No CAS","",INDEX('DEQ Pollutant List'!$B$7:$B$611,MATCH('3. Pollutant Emissions - EF'!B142,'DEQ Pollutant List'!$A$7:$A$611,0))),"")</f>
        <v>Antimony and compounds</v>
      </c>
      <c r="D142" s="127" t="str">
        <f>IFERROR(IF(OR($B142="",$B142="No CAS"),INDEX('DEQ Pollutant List'!$A$7:$A$611,MATCH($C142,'DEQ Pollutant List'!$C$7:$C$611,0)),INDEX('DEQ Pollutant List'!$A$7:$A$611,MATCH($B142,'DEQ Pollutant List'!$B$7:$B$611,0))),"")</f>
        <v/>
      </c>
      <c r="E142" s="126">
        <v>0</v>
      </c>
      <c r="F142" s="116">
        <f>Baghouses!Q27</f>
        <v>3.2189999999999997E-9</v>
      </c>
      <c r="G142" s="129">
        <f t="shared" si="16"/>
        <v>3.2189999999999997E-9</v>
      </c>
      <c r="H142" s="115" t="s">
        <v>492</v>
      </c>
      <c r="I142" s="117" t="s">
        <v>1281</v>
      </c>
      <c r="J142" s="118">
        <f>F142*'2. Emissions Units &amp; Activities'!$H$19</f>
        <v>3.5727359099999999E-4</v>
      </c>
      <c r="K142" s="121">
        <f>F142*'2. Emissions Units &amp; Activities'!$I$19</f>
        <v>8.4595319999999994E-4</v>
      </c>
      <c r="L142" s="114">
        <f t="shared" si="18"/>
        <v>8.4595319999999994E-4</v>
      </c>
      <c r="M142" s="118">
        <f>G142*'2. Emissions Units &amp; Activities'!$K$19</f>
        <v>2.5751999999999999E-6</v>
      </c>
      <c r="N142" s="119">
        <f>G142*'2. Emissions Units &amp; Activities'!$L$19</f>
        <v>2.5751999999999999E-6</v>
      </c>
      <c r="O142" s="120">
        <f t="shared" si="19"/>
        <v>2.5751999999999999E-6</v>
      </c>
    </row>
    <row r="143" spans="1:30" x14ac:dyDescent="0.25">
      <c r="A143" s="125" t="s">
        <v>1198</v>
      </c>
      <c r="B143" s="279" t="s">
        <v>312</v>
      </c>
      <c r="C143" s="123" t="str">
        <f>IFERROR(IF(B143="No CAS","",INDEX('DEQ Pollutant List'!$B$7:$B$611,MATCH('3. Pollutant Emissions - EF'!B143,'DEQ Pollutant List'!$A$7:$A$611,0))),"")</f>
        <v>Selenium and compounds</v>
      </c>
      <c r="D143" s="127" t="str">
        <f>IFERROR(IF(OR($B143="",$B143="No CAS"),INDEX('DEQ Pollutant List'!$A$7:$A$611,MATCH($C143,'DEQ Pollutant List'!$C$7:$C$611,0)),INDEX('DEQ Pollutant List'!$A$7:$A$611,MATCH($B143,'DEQ Pollutant List'!$B$7:$B$611,0))),"")</f>
        <v/>
      </c>
      <c r="E143" s="126">
        <v>0</v>
      </c>
      <c r="F143" s="116">
        <f>Baghouses!Q28</f>
        <v>1.653E-9</v>
      </c>
      <c r="G143" s="129">
        <f t="shared" si="16"/>
        <v>1.653E-9</v>
      </c>
      <c r="H143" s="115" t="s">
        <v>492</v>
      </c>
      <c r="I143" s="117" t="s">
        <v>1281</v>
      </c>
      <c r="J143" s="118">
        <f>F143*'2. Emissions Units &amp; Activities'!$H$19</f>
        <v>1.8346481700000001E-4</v>
      </c>
      <c r="K143" s="121">
        <f>F143*'2. Emissions Units &amp; Activities'!$I$19</f>
        <v>4.3440839999999998E-4</v>
      </c>
      <c r="L143" s="114">
        <f t="shared" si="18"/>
        <v>4.3440839999999998E-4</v>
      </c>
      <c r="M143" s="118">
        <f>G143*'2. Emissions Units &amp; Activities'!$K$19</f>
        <v>1.3224E-6</v>
      </c>
      <c r="N143" s="119">
        <f>G143*'2. Emissions Units &amp; Activities'!$L$19</f>
        <v>1.3224E-6</v>
      </c>
      <c r="O143" s="120">
        <f t="shared" si="19"/>
        <v>1.3224E-6</v>
      </c>
    </row>
    <row r="144" spans="1:30" x14ac:dyDescent="0.25">
      <c r="A144" s="125" t="s">
        <v>1198</v>
      </c>
      <c r="B144" s="279" t="s">
        <v>314</v>
      </c>
      <c r="C144" s="123" t="str">
        <f>IFERROR(IF(B144="No CAS","",INDEX('DEQ Pollutant List'!$B$7:$B$611,MATCH('3. Pollutant Emissions - EF'!B144,'DEQ Pollutant List'!$A$7:$A$611,0))),"")</f>
        <v>Thallium and compounds</v>
      </c>
      <c r="D144" s="127" t="str">
        <f>IFERROR(IF(OR($B144="",$B144="No CAS"),INDEX('DEQ Pollutant List'!$A$7:$A$611,MATCH($C144,'DEQ Pollutant List'!$C$7:$C$611,0)),INDEX('DEQ Pollutant List'!$A$7:$A$611,MATCH($B144,'DEQ Pollutant List'!$B$7:$B$611,0))),"")</f>
        <v/>
      </c>
      <c r="E144" s="126">
        <v>0</v>
      </c>
      <c r="F144" s="116">
        <f>Baghouses!Q29</f>
        <v>3.8192999999999998E-9</v>
      </c>
      <c r="G144" s="129">
        <f t="shared" si="16"/>
        <v>3.8192999999999998E-9</v>
      </c>
      <c r="H144" s="115" t="s">
        <v>492</v>
      </c>
      <c r="I144" s="117" t="s">
        <v>1281</v>
      </c>
      <c r="J144" s="118">
        <f>F144*'2. Emissions Units &amp; Activities'!$H$19</f>
        <v>4.239002877E-4</v>
      </c>
      <c r="K144" s="121">
        <f>F144*'2. Emissions Units &amp; Activities'!$I$19</f>
        <v>1.00371204E-3</v>
      </c>
      <c r="L144" s="114">
        <f t="shared" si="18"/>
        <v>1.00371204E-3</v>
      </c>
      <c r="M144" s="118">
        <f>G144*'2. Emissions Units &amp; Activities'!$K$19</f>
        <v>3.0554399999999998E-6</v>
      </c>
      <c r="N144" s="119">
        <f>G144*'2. Emissions Units &amp; Activities'!$L$19</f>
        <v>3.0554399999999998E-6</v>
      </c>
      <c r="O144" s="120">
        <f t="shared" si="19"/>
        <v>3.0554399999999998E-6</v>
      </c>
    </row>
    <row r="145" spans="1:30" x14ac:dyDescent="0.25">
      <c r="A145" s="125" t="s">
        <v>1198</v>
      </c>
      <c r="B145" s="279" t="s">
        <v>315</v>
      </c>
      <c r="C145" s="123" t="str">
        <f>IFERROR(IF(B145="No CAS","",INDEX('DEQ Pollutant List'!$B$7:$B$611,MATCH('3. Pollutant Emissions - EF'!B145,'DEQ Pollutant List'!$A$7:$A$611,0))),"")</f>
        <v>Zinc and compounds</v>
      </c>
      <c r="D145" s="127" t="str">
        <f>IFERROR(IF(OR($B145="",$B145="No CAS"),INDEX('DEQ Pollutant List'!$A$7:$A$611,MATCH($C145,'DEQ Pollutant List'!$C$7:$C$611,0)),INDEX('DEQ Pollutant List'!$A$7:$A$611,MATCH($B145,'DEQ Pollutant List'!$B$7:$B$611,0))),"")</f>
        <v/>
      </c>
      <c r="E145" s="126">
        <v>0</v>
      </c>
      <c r="F145" s="116">
        <f>Baghouses!Q30</f>
        <v>2.6099999999999997E-7</v>
      </c>
      <c r="G145" s="129">
        <f t="shared" si="16"/>
        <v>2.6099999999999997E-7</v>
      </c>
      <c r="H145" s="115" t="s">
        <v>492</v>
      </c>
      <c r="I145" s="117" t="s">
        <v>1281</v>
      </c>
      <c r="J145" s="118">
        <f>F145*'2. Emissions Units &amp; Activities'!$H$19</f>
        <v>2.8968128999999995E-2</v>
      </c>
      <c r="K145" s="121">
        <f>F145*'2. Emissions Units &amp; Activities'!$I$19</f>
        <v>6.8590799999999993E-2</v>
      </c>
      <c r="L145" s="114">
        <f t="shared" si="18"/>
        <v>6.8590799999999993E-2</v>
      </c>
      <c r="M145" s="118">
        <f>G145*'2. Emissions Units &amp; Activities'!$K$19</f>
        <v>2.0879999999999998E-4</v>
      </c>
      <c r="N145" s="119">
        <f>G145*'2. Emissions Units &amp; Activities'!$L$19</f>
        <v>2.0879999999999998E-4</v>
      </c>
      <c r="O145" s="120">
        <f t="shared" si="19"/>
        <v>2.0879999999999998E-4</v>
      </c>
    </row>
    <row r="146" spans="1:30" x14ac:dyDescent="0.25">
      <c r="A146" s="125" t="s">
        <v>1198</v>
      </c>
      <c r="B146" s="279" t="s">
        <v>142</v>
      </c>
      <c r="C146" s="123" t="str">
        <f>IFERROR(IF(B146="No CAS","",INDEX('DEQ Pollutant List'!$B$7:$B$611,MATCH('3. Pollutant Emissions - EF'!B146,'DEQ Pollutant List'!$A$7:$A$611,0))),"")</f>
        <v>Barium and compounds</v>
      </c>
      <c r="D146" s="127" t="str">
        <f>IFERROR(IF(OR($B146="",$B146="No CAS"),INDEX('DEQ Pollutant List'!$A$7:$A$611,MATCH($C146,'DEQ Pollutant List'!$C$7:$C$611,0)),INDEX('DEQ Pollutant List'!$A$7:$A$611,MATCH($B146,'DEQ Pollutant List'!$B$7:$B$611,0))),"")</f>
        <v/>
      </c>
      <c r="E146" s="126">
        <v>0</v>
      </c>
      <c r="F146" s="116">
        <f>Baghouses!Q31</f>
        <v>1.7399999999999999E-6</v>
      </c>
      <c r="G146" s="129">
        <f t="shared" si="16"/>
        <v>1.7399999999999999E-6</v>
      </c>
      <c r="H146" s="115" t="s">
        <v>492</v>
      </c>
      <c r="I146" s="117" t="s">
        <v>1281</v>
      </c>
      <c r="J146" s="118">
        <f>F146*'2. Emissions Units &amp; Activities'!$H$19</f>
        <v>0.19312085999999998</v>
      </c>
      <c r="K146" s="121">
        <f>F146*'2. Emissions Units &amp; Activities'!$I$19</f>
        <v>0.45727199999999996</v>
      </c>
      <c r="L146" s="114">
        <f t="shared" si="18"/>
        <v>0.45727199999999996</v>
      </c>
      <c r="M146" s="118">
        <f>G146*'2. Emissions Units &amp; Activities'!$K$19</f>
        <v>1.3919999999999998E-3</v>
      </c>
      <c r="N146" s="119">
        <f>G146*'2. Emissions Units &amp; Activities'!$L$19</f>
        <v>1.3919999999999998E-3</v>
      </c>
      <c r="O146" s="120">
        <f t="shared" si="19"/>
        <v>1.3919999999999998E-3</v>
      </c>
    </row>
    <row r="147" spans="1:30" x14ac:dyDescent="0.25">
      <c r="A147" s="125" t="s">
        <v>1198</v>
      </c>
      <c r="B147" s="279">
        <v>504</v>
      </c>
      <c r="C147" s="123" t="str">
        <f>IFERROR(IF(B147="No CAS","",INDEX('DEQ Pollutant List'!$B$7:$B$611,MATCH('3. Pollutant Emissions - EF'!B147,'DEQ Pollutant List'!$A$7:$A$611,0))),"")</f>
        <v>Phosphorus and compounds</v>
      </c>
      <c r="D147" s="127" t="str">
        <f>IFERROR(IF(OR($B147="",$B147="No CAS"),INDEX('DEQ Pollutant List'!$A$7:$A$611,MATCH($C147,'DEQ Pollutant List'!$C$7:$C$611,0)),INDEX('DEQ Pollutant List'!$A$7:$A$611,MATCH($B147,'DEQ Pollutant List'!$B$7:$B$611,0))),"")</f>
        <v/>
      </c>
      <c r="E147" s="126">
        <v>0</v>
      </c>
      <c r="F147" s="116">
        <f>Baghouses!Q32</f>
        <v>2.8710000000000002E-7</v>
      </c>
      <c r="G147" s="129">
        <f t="shared" si="16"/>
        <v>2.8710000000000002E-7</v>
      </c>
      <c r="H147" s="115" t="s">
        <v>492</v>
      </c>
      <c r="I147" s="117" t="s">
        <v>1281</v>
      </c>
      <c r="J147" s="118">
        <f>F147*'2. Emissions Units &amp; Activities'!$H$19</f>
        <v>3.1864941900000006E-2</v>
      </c>
      <c r="K147" s="121">
        <f>F147*'2. Emissions Units &amp; Activities'!$I$19</f>
        <v>7.5449880000000011E-2</v>
      </c>
      <c r="L147" s="114">
        <f t="shared" si="18"/>
        <v>7.5449880000000011E-2</v>
      </c>
      <c r="M147" s="118">
        <f>G147*'2. Emissions Units &amp; Activities'!$K$19</f>
        <v>2.2968000000000001E-4</v>
      </c>
      <c r="N147" s="119">
        <f>G147*'2. Emissions Units &amp; Activities'!$L$19</f>
        <v>2.2968000000000001E-4</v>
      </c>
      <c r="O147" s="120">
        <f t="shared" si="19"/>
        <v>2.2968000000000001E-4</v>
      </c>
    </row>
    <row r="148" spans="1:30" x14ac:dyDescent="0.25">
      <c r="A148" s="125" t="s">
        <v>1198</v>
      </c>
      <c r="B148" s="279" t="s">
        <v>316</v>
      </c>
      <c r="C148" s="123" t="str">
        <f>IFERROR(IF(B148="No CAS","",INDEX('DEQ Pollutant List'!$B$7:$B$611,MATCH('3. Pollutant Emissions - EF'!B148,'DEQ Pollutant List'!$A$7:$A$611,0))),"")</f>
        <v>Phosphorus pentoxide</v>
      </c>
      <c r="D148" s="127"/>
      <c r="E148" s="126">
        <v>0</v>
      </c>
      <c r="F148" s="116">
        <f>Baghouses!Q33</f>
        <v>6.9599999999999999E-7</v>
      </c>
      <c r="G148" s="129">
        <f t="shared" si="16"/>
        <v>6.9599999999999999E-7</v>
      </c>
      <c r="H148" s="115" t="s">
        <v>492</v>
      </c>
      <c r="I148" s="117" t="s">
        <v>1281</v>
      </c>
      <c r="J148" s="118">
        <f>F148*'2. Emissions Units &amp; Activities'!$H$19</f>
        <v>7.7248343999999997E-2</v>
      </c>
      <c r="K148" s="121">
        <f>F148*'2. Emissions Units &amp; Activities'!$I$19</f>
        <v>0.18290879999999998</v>
      </c>
      <c r="L148" s="114">
        <f t="shared" si="18"/>
        <v>0.18290879999999998</v>
      </c>
      <c r="M148" s="118">
        <f>G148*'2. Emissions Units &amp; Activities'!$K$19</f>
        <v>5.5679999999999998E-4</v>
      </c>
      <c r="N148" s="119">
        <f>G148*'2. Emissions Units &amp; Activities'!$L$19</f>
        <v>5.5679999999999998E-4</v>
      </c>
      <c r="O148" s="120">
        <f t="shared" si="19"/>
        <v>5.5679999999999998E-4</v>
      </c>
    </row>
    <row r="149" spans="1:30" x14ac:dyDescent="0.25">
      <c r="A149" s="125" t="s">
        <v>1198</v>
      </c>
      <c r="B149" s="279" t="s">
        <v>183</v>
      </c>
      <c r="C149" s="123" t="str">
        <f>IFERROR(IF(B149="No CAS","",INDEX('DEQ Pollutant List'!$B$7:$B$611,MATCH('3. Pollutant Emissions - EF'!B149,'DEQ Pollutant List'!$A$7:$A$611,0))),"")</f>
        <v>Silica, crystalline (respirable)</v>
      </c>
      <c r="D149" s="127"/>
      <c r="E149" s="126">
        <v>0</v>
      </c>
      <c r="F149" s="116">
        <f>Baghouses!Q34</f>
        <v>3.242055E-4</v>
      </c>
      <c r="G149" s="129">
        <f t="shared" si="16"/>
        <v>3.242055E-4</v>
      </c>
      <c r="H149" s="115" t="s">
        <v>492</v>
      </c>
      <c r="I149" s="117" t="s">
        <v>1281</v>
      </c>
      <c r="J149" s="118">
        <f>F149*'2. Emissions Units &amp; Activities'!$H$19</f>
        <v>35.983244239500003</v>
      </c>
      <c r="K149" s="121">
        <f>F149*'2. Emissions Units &amp; Activities'!$I$19</f>
        <v>85.201205400000006</v>
      </c>
      <c r="L149" s="114">
        <f t="shared" si="18"/>
        <v>85.201205400000006</v>
      </c>
      <c r="M149" s="118">
        <f>G149*'2. Emissions Units &amp; Activities'!$K$19</f>
        <v>0.25936439999999999</v>
      </c>
      <c r="N149" s="119">
        <f>G149*'2. Emissions Units &amp; Activities'!$L$19</f>
        <v>0.25936439999999999</v>
      </c>
      <c r="O149" s="120">
        <f t="shared" si="19"/>
        <v>0.25936439999999999</v>
      </c>
    </row>
    <row r="150" spans="1:30" x14ac:dyDescent="0.25">
      <c r="A150" s="125" t="s">
        <v>1198</v>
      </c>
      <c r="B150" s="279" t="s">
        <v>317</v>
      </c>
      <c r="C150" s="123" t="str">
        <f>IFERROR(IF(B150="No CAS","",INDEX('DEQ Pollutant List'!$B$7:$B$611,MATCH('3. Pollutant Emissions - EF'!B150,'DEQ Pollutant List'!$A$7:$A$611,0))),"")</f>
        <v>Sulfur trioxide</v>
      </c>
      <c r="D150" s="127"/>
      <c r="E150" s="126">
        <v>0</v>
      </c>
      <c r="F150" s="116">
        <f>Baghouses!Q35</f>
        <v>2.1749999999999998E-7</v>
      </c>
      <c r="G150" s="129">
        <f t="shared" si="16"/>
        <v>2.1749999999999998E-7</v>
      </c>
      <c r="H150" s="115" t="s">
        <v>492</v>
      </c>
      <c r="I150" s="117" t="s">
        <v>1281</v>
      </c>
      <c r="J150" s="118">
        <f>F150*'2. Emissions Units &amp; Activities'!$H$19</f>
        <v>2.4140107499999997E-2</v>
      </c>
      <c r="K150" s="121">
        <f>F150*'2. Emissions Units &amp; Activities'!$I$19</f>
        <v>5.7158999999999995E-2</v>
      </c>
      <c r="L150" s="114">
        <f t="shared" si="18"/>
        <v>5.7158999999999995E-2</v>
      </c>
      <c r="M150" s="118">
        <f>G150*'2. Emissions Units &amp; Activities'!$K$19</f>
        <v>1.7399999999999997E-4</v>
      </c>
      <c r="N150" s="119">
        <f>G150*'2. Emissions Units &amp; Activities'!$L$19</f>
        <v>1.7399999999999997E-4</v>
      </c>
      <c r="O150" s="120">
        <f t="shared" si="19"/>
        <v>1.7399999999999997E-4</v>
      </c>
    </row>
    <row r="151" spans="1:30" ht="15.75" thickBot="1" x14ac:dyDescent="0.3">
      <c r="A151" s="198" t="s">
        <v>1198</v>
      </c>
      <c r="B151" s="280" t="s">
        <v>318</v>
      </c>
      <c r="C151" s="216" t="str">
        <f>IFERROR(IF(B151="No CAS","",INDEX('DEQ Pollutant List'!$B$7:$B$611,MATCH('3. Pollutant Emissions - EF'!B151,'DEQ Pollutant List'!$A$7:$A$611,0))),"")</f>
        <v>Vanadium pentoxide</v>
      </c>
      <c r="D151" s="189"/>
      <c r="E151" s="190">
        <v>0</v>
      </c>
      <c r="F151" s="202">
        <f>Baghouses!Q36</f>
        <v>2.1749999999999998E-7</v>
      </c>
      <c r="G151" s="199">
        <f t="shared" si="16"/>
        <v>2.1749999999999998E-7</v>
      </c>
      <c r="H151" s="200" t="s">
        <v>492</v>
      </c>
      <c r="I151" s="201" t="s">
        <v>1281</v>
      </c>
      <c r="J151" s="232">
        <f>F151*'2. Emissions Units &amp; Activities'!$H$19</f>
        <v>2.4140107499999997E-2</v>
      </c>
      <c r="K151" s="233">
        <f>F151*'2. Emissions Units &amp; Activities'!$I$19</f>
        <v>5.7158999999999995E-2</v>
      </c>
      <c r="L151" s="234">
        <f t="shared" si="18"/>
        <v>5.7158999999999995E-2</v>
      </c>
      <c r="M151" s="232">
        <f>G151*'2. Emissions Units &amp; Activities'!$K$19</f>
        <v>1.7399999999999997E-4</v>
      </c>
      <c r="N151" s="235">
        <f>G151*'2. Emissions Units &amp; Activities'!$L$19</f>
        <v>1.7399999999999997E-4</v>
      </c>
      <c r="O151" s="236">
        <f t="shared" si="19"/>
        <v>1.7399999999999997E-4</v>
      </c>
    </row>
    <row r="152" spans="1:30" x14ac:dyDescent="0.25">
      <c r="A152" s="125" t="s">
        <v>1201</v>
      </c>
      <c r="B152" s="279" t="s">
        <v>305</v>
      </c>
      <c r="C152" s="123" t="str">
        <f>IFERROR(IF(B152="No CAS","",INDEX('DEQ Pollutant List'!$B$7:$B$611,MATCH('3. Pollutant Emissions - EF'!B152,'DEQ Pollutant List'!$A$7:$A$611,0))),"")</f>
        <v>Silver and compounds</v>
      </c>
      <c r="D152" s="127" t="str">
        <f>IFERROR(IF(OR($B152="",$B152="No CAS"),INDEX('DEQ Pollutant List'!$A$7:$A$611,MATCH($C152,'DEQ Pollutant List'!$C$7:$C$611,0)),INDEX('DEQ Pollutant List'!$A$7:$A$611,MATCH($B152,'DEQ Pollutant List'!$B$7:$B$611,0))),"")</f>
        <v/>
      </c>
      <c r="E152" s="126">
        <v>0.9</v>
      </c>
      <c r="F152" s="116">
        <f>Baghouses!K52</f>
        <v>3.3984374999999963E-10</v>
      </c>
      <c r="G152" s="129">
        <f>F152</f>
        <v>3.3984374999999963E-10</v>
      </c>
      <c r="H152" s="115" t="s">
        <v>492</v>
      </c>
      <c r="I152" s="117" t="s">
        <v>1281</v>
      </c>
      <c r="J152" s="118">
        <f>F152*'2. Emissions Units &amp; Activities'!$H$20</f>
        <v>3.7718917968749958E-5</v>
      </c>
      <c r="K152" s="121">
        <f>F152*'2. Emissions Units &amp; Activities'!$I$20</f>
        <v>8.9310937499999897E-5</v>
      </c>
      <c r="L152" s="114">
        <f t="shared" si="18"/>
        <v>8.9310937499999897E-5</v>
      </c>
      <c r="M152" s="118">
        <f>G152*'2. Emissions Units &amp; Activities'!$K$20</f>
        <v>2.7187499999999973E-7</v>
      </c>
      <c r="N152" s="119">
        <f>G152*'2. Emissions Units &amp; Activities'!$L$20</f>
        <v>2.7187499999999973E-7</v>
      </c>
      <c r="O152" s="120">
        <f t="shared" si="19"/>
        <v>2.7187499999999973E-7</v>
      </c>
    </row>
    <row r="153" spans="1:30" s="747" customFormat="1" x14ac:dyDescent="0.25">
      <c r="A153" s="125" t="s">
        <v>1201</v>
      </c>
      <c r="B153" s="279" t="s">
        <v>190</v>
      </c>
      <c r="C153" s="123" t="str">
        <f>IFERROR(IF(B153="No CAS","",INDEX('DEQ Pollutant List'!$B$7:$B$611,MATCH('3. Pollutant Emissions - EF'!B153,'DEQ Pollutant List'!$A$7:$A$611,0))),"")</f>
        <v>Aluminum and compounds</v>
      </c>
      <c r="D153" s="127" t="str">
        <f>IFERROR(IF(OR($B153="",$B153="No CAS"),INDEX('DEQ Pollutant List'!$A$7:$A$611,MATCH($C153,'DEQ Pollutant List'!$C$7:$C$611,0)),INDEX('DEQ Pollutant List'!$A$7:$A$611,MATCH($B153,'DEQ Pollutant List'!$B$7:$B$611,0))),"")</f>
        <v/>
      </c>
      <c r="E153" s="126">
        <v>0.9</v>
      </c>
      <c r="F153" s="116">
        <f>Baghouses!K53</f>
        <v>8.6626171874999887E-4</v>
      </c>
      <c r="G153" s="129">
        <f t="shared" si="16"/>
        <v>8.6626171874999887E-4</v>
      </c>
      <c r="H153" s="115" t="s">
        <v>492</v>
      </c>
      <c r="I153" s="117" t="s">
        <v>1281</v>
      </c>
      <c r="J153" s="118">
        <f>F153*'2. Emissions Units &amp; Activities'!$H$20</f>
        <v>96.145521902343631</v>
      </c>
      <c r="K153" s="121">
        <f>F153*'2. Emissions Units &amp; Activities'!$I$20</f>
        <v>227.6535796874997</v>
      </c>
      <c r="L153" s="114">
        <f t="shared" ref="L153:L175" si="20">K153</f>
        <v>227.6535796874997</v>
      </c>
      <c r="M153" s="118">
        <f>G153*'2. Emissions Units &amp; Activities'!$K$20</f>
        <v>0.69300937499999904</v>
      </c>
      <c r="N153" s="119">
        <f>G153*'2. Emissions Units &amp; Activities'!$L$20</f>
        <v>0.69300937499999904</v>
      </c>
      <c r="O153" s="120">
        <f t="shared" ref="O153:O175" si="21">N153</f>
        <v>0.69300937499999904</v>
      </c>
      <c r="P153" s="2"/>
      <c r="Q153" s="2"/>
      <c r="R153" s="2"/>
      <c r="S153" s="2"/>
      <c r="T153" s="2"/>
      <c r="U153" s="2"/>
      <c r="V153" s="2"/>
      <c r="W153" s="2"/>
      <c r="X153" s="2"/>
      <c r="Y153" s="2"/>
      <c r="Z153" s="2"/>
      <c r="AA153" s="2"/>
      <c r="AB153" s="2"/>
      <c r="AC153" s="2"/>
      <c r="AD153" s="2"/>
    </row>
    <row r="154" spans="1:30" x14ac:dyDescent="0.25">
      <c r="A154" s="125" t="s">
        <v>1201</v>
      </c>
      <c r="B154" s="279" t="s">
        <v>306</v>
      </c>
      <c r="C154" s="123" t="str">
        <f>IFERROR(IF(B154="No CAS","",INDEX('DEQ Pollutant List'!$B$7:$B$611,MATCH('3. Pollutant Emissions - EF'!B154,'DEQ Pollutant List'!$A$7:$A$611,0))),"")</f>
        <v>Arsenic and compounds</v>
      </c>
      <c r="D154" s="127" t="str">
        <f>IFERROR(IF(OR($B154="",$B154="No CAS"),INDEX('DEQ Pollutant List'!$A$7:$A$611,MATCH($C154,'DEQ Pollutant List'!$C$7:$C$611,0)),INDEX('DEQ Pollutant List'!$A$7:$A$611,MATCH($B154,'DEQ Pollutant List'!$B$7:$B$611,0))),"")</f>
        <v/>
      </c>
      <c r="E154" s="126">
        <v>0.9</v>
      </c>
      <c r="F154" s="116">
        <f>Baghouses!K54</f>
        <v>3.5343749999999969E-8</v>
      </c>
      <c r="G154" s="129">
        <f t="shared" si="16"/>
        <v>3.5343749999999969E-8</v>
      </c>
      <c r="H154" s="115" t="s">
        <v>492</v>
      </c>
      <c r="I154" s="117" t="s">
        <v>1281</v>
      </c>
      <c r="J154" s="118">
        <f>F154*'2. Emissions Units &amp; Activities'!$H$20</f>
        <v>3.9227674687499969E-3</v>
      </c>
      <c r="K154" s="121">
        <f>F154*'2. Emissions Units &amp; Activities'!$I$20</f>
        <v>9.2883374999999917E-3</v>
      </c>
      <c r="L154" s="114">
        <f t="shared" si="20"/>
        <v>9.2883374999999917E-3</v>
      </c>
      <c r="M154" s="118">
        <f>G154*'2. Emissions Units &amp; Activities'!$K$20</f>
        <v>2.8274999999999976E-5</v>
      </c>
      <c r="N154" s="119">
        <f>G154*'2. Emissions Units &amp; Activities'!$L$20</f>
        <v>2.8274999999999976E-5</v>
      </c>
      <c r="O154" s="120">
        <f t="shared" si="21"/>
        <v>2.8274999999999976E-5</v>
      </c>
    </row>
    <row r="155" spans="1:30" x14ac:dyDescent="0.25">
      <c r="A155" s="125" t="s">
        <v>1201</v>
      </c>
      <c r="B155" s="279" t="s">
        <v>142</v>
      </c>
      <c r="C155" s="123" t="str">
        <f>IFERROR(IF(B155="No CAS","",INDEX('DEQ Pollutant List'!$B$7:$B$611,MATCH('3. Pollutant Emissions - EF'!B155,'DEQ Pollutant List'!$A$7:$A$611,0))),"")</f>
        <v>Barium and compounds</v>
      </c>
      <c r="D155" s="127" t="str">
        <f>IFERROR(IF(OR($B155="",$B155="No CAS"),INDEX('DEQ Pollutant List'!$A$7:$A$611,MATCH($C155,'DEQ Pollutant List'!$C$7:$C$611,0)),INDEX('DEQ Pollutant List'!$A$7:$A$611,MATCH($B155,'DEQ Pollutant List'!$B$7:$B$611,0))),"")</f>
        <v/>
      </c>
      <c r="E155" s="126">
        <v>0.9</v>
      </c>
      <c r="F155" s="116">
        <f>Baghouses!K55</f>
        <v>3.806249999999996E-6</v>
      </c>
      <c r="G155" s="129">
        <f t="shared" si="16"/>
        <v>3.806249999999996E-6</v>
      </c>
      <c r="H155" s="115" t="s">
        <v>492</v>
      </c>
      <c r="I155" s="117" t="s">
        <v>1281</v>
      </c>
      <c r="J155" s="118">
        <f>F155*'2. Emissions Units &amp; Activities'!$H$20</f>
        <v>0.42245188124999955</v>
      </c>
      <c r="K155" s="121">
        <f>F155*'2. Emissions Units &amp; Activities'!$I$20</f>
        <v>1.0002824999999989</v>
      </c>
      <c r="L155" s="114">
        <f t="shared" si="20"/>
        <v>1.0002824999999989</v>
      </c>
      <c r="M155" s="118">
        <f>G155*'2. Emissions Units &amp; Activities'!$K$20</f>
        <v>3.0449999999999969E-3</v>
      </c>
      <c r="N155" s="119">
        <f>G155*'2. Emissions Units &amp; Activities'!$L$20</f>
        <v>3.0449999999999969E-3</v>
      </c>
      <c r="O155" s="120">
        <f t="shared" si="21"/>
        <v>3.0449999999999969E-3</v>
      </c>
    </row>
    <row r="156" spans="1:30" x14ac:dyDescent="0.25">
      <c r="A156" s="125" t="s">
        <v>1201</v>
      </c>
      <c r="B156" s="279" t="s">
        <v>307</v>
      </c>
      <c r="C156" s="123" t="str">
        <f>IFERROR(IF(B156="No CAS","",INDEX('DEQ Pollutant List'!$B$7:$B$611,MATCH('3. Pollutant Emissions - EF'!B156,'DEQ Pollutant List'!$A$7:$A$611,0))),"")</f>
        <v>Beryllium and compounds</v>
      </c>
      <c r="D156" s="127" t="str">
        <f>IFERROR(IF(OR($B156="",$B156="No CAS"),INDEX('DEQ Pollutant List'!$A$7:$A$611,MATCH($C156,'DEQ Pollutant List'!$C$7:$C$611,0)),INDEX('DEQ Pollutant List'!$A$7:$A$611,MATCH($B156,'DEQ Pollutant List'!$B$7:$B$611,0))),"")</f>
        <v/>
      </c>
      <c r="E156" s="126">
        <v>0.9</v>
      </c>
      <c r="F156" s="116">
        <f>Baghouses!K56</f>
        <v>4.1596874999999949E-8</v>
      </c>
      <c r="G156" s="129">
        <f t="shared" si="16"/>
        <v>4.1596874999999949E-8</v>
      </c>
      <c r="H156" s="115" t="s">
        <v>492</v>
      </c>
      <c r="I156" s="117" t="s">
        <v>1281</v>
      </c>
      <c r="J156" s="118">
        <f>F156*'2. Emissions Units &amp; Activities'!$H$20</f>
        <v>4.6167955593749942E-3</v>
      </c>
      <c r="K156" s="121">
        <f>F156*'2. Emissions Units &amp; Activities'!$I$20</f>
        <v>1.0931658749999986E-2</v>
      </c>
      <c r="L156" s="114">
        <f t="shared" si="20"/>
        <v>1.0931658749999986E-2</v>
      </c>
      <c r="M156" s="118">
        <f>G156*'2. Emissions Units &amp; Activities'!$K$20</f>
        <v>3.327749999999996E-5</v>
      </c>
      <c r="N156" s="119">
        <f>G156*'2. Emissions Units &amp; Activities'!$L$20</f>
        <v>3.327749999999996E-5</v>
      </c>
      <c r="O156" s="120">
        <f t="shared" si="21"/>
        <v>3.327749999999996E-5</v>
      </c>
    </row>
    <row r="157" spans="1:30" x14ac:dyDescent="0.25">
      <c r="A157" s="125" t="s">
        <v>1201</v>
      </c>
      <c r="B157" s="279" t="s">
        <v>308</v>
      </c>
      <c r="C157" s="123" t="str">
        <f>IFERROR(IF(B157="No CAS","",INDEX('DEQ Pollutant List'!$B$7:$B$611,MATCH('3. Pollutant Emissions - EF'!B157,'DEQ Pollutant List'!$A$7:$A$611,0))),"")</f>
        <v>Cadmium and compounds</v>
      </c>
      <c r="D157" s="127" t="str">
        <f>IFERROR(IF(OR($B157="",$B157="No CAS"),INDEX('DEQ Pollutant List'!$A$7:$A$611,MATCH($C157,'DEQ Pollutant List'!$C$7:$C$611,0)),INDEX('DEQ Pollutant List'!$A$7:$A$611,MATCH($B157,'DEQ Pollutant List'!$B$7:$B$611,0))),"")</f>
        <v/>
      </c>
      <c r="E157" s="126">
        <v>0.9</v>
      </c>
      <c r="F157" s="116">
        <f>Baghouses!K57</f>
        <v>1.0874999999999988E-9</v>
      </c>
      <c r="G157" s="129">
        <f t="shared" si="16"/>
        <v>1.0874999999999988E-9</v>
      </c>
      <c r="H157" s="115" t="s">
        <v>492</v>
      </c>
      <c r="I157" s="117" t="s">
        <v>1281</v>
      </c>
      <c r="J157" s="118">
        <f>F157*'2. Emissions Units &amp; Activities'!$H$20</f>
        <v>1.2070053749999986E-4</v>
      </c>
      <c r="K157" s="121">
        <f>F157*'2. Emissions Units &amp; Activities'!$I$20</f>
        <v>2.8579499999999966E-4</v>
      </c>
      <c r="L157" s="114">
        <f t="shared" si="20"/>
        <v>2.8579499999999966E-4</v>
      </c>
      <c r="M157" s="118">
        <f>G157*'2. Emissions Units &amp; Activities'!$K$20</f>
        <v>8.6999999999999898E-7</v>
      </c>
      <c r="N157" s="119">
        <f>G157*'2. Emissions Units &amp; Activities'!$L$20</f>
        <v>8.6999999999999898E-7</v>
      </c>
      <c r="O157" s="120">
        <f t="shared" si="21"/>
        <v>8.6999999999999898E-7</v>
      </c>
    </row>
    <row r="158" spans="1:30" x14ac:dyDescent="0.25">
      <c r="A158" s="125" t="s">
        <v>1201</v>
      </c>
      <c r="B158" s="279" t="s">
        <v>147</v>
      </c>
      <c r="C158" s="123" t="str">
        <f>IFERROR(IF(B158="No CAS","",INDEX('DEQ Pollutant List'!$B$7:$B$611,MATCH('3. Pollutant Emissions - EF'!B158,'DEQ Pollutant List'!$A$7:$A$611,0))),"")</f>
        <v>Cobalt and compounds</v>
      </c>
      <c r="D158" s="127" t="str">
        <f>IFERROR(IF(OR($B158="",$B158="No CAS"),INDEX('DEQ Pollutant List'!$A$7:$A$611,MATCH($C158,'DEQ Pollutant List'!$C$7:$C$611,0)),INDEX('DEQ Pollutant List'!$A$7:$A$611,MATCH($B158,'DEQ Pollutant List'!$B$7:$B$611,0))),"")</f>
        <v/>
      </c>
      <c r="E158" s="126">
        <v>0.9</v>
      </c>
      <c r="F158" s="116">
        <f>Baghouses!K58</f>
        <v>1.3593749999999985E-9</v>
      </c>
      <c r="G158" s="129">
        <f t="shared" si="16"/>
        <v>1.3593749999999985E-9</v>
      </c>
      <c r="H158" s="115" t="s">
        <v>492</v>
      </c>
      <c r="I158" s="117" t="s">
        <v>1281</v>
      </c>
      <c r="J158" s="118">
        <f>F158*'2. Emissions Units &amp; Activities'!$H$20</f>
        <v>1.5087567187499983E-4</v>
      </c>
      <c r="K158" s="121">
        <f>F158*'2. Emissions Units &amp; Activities'!$I$20</f>
        <v>3.5724374999999959E-4</v>
      </c>
      <c r="L158" s="114">
        <f t="shared" si="20"/>
        <v>3.5724374999999959E-4</v>
      </c>
      <c r="M158" s="118">
        <f>G158*'2. Emissions Units &amp; Activities'!$K$20</f>
        <v>1.0874999999999989E-6</v>
      </c>
      <c r="N158" s="119">
        <f>G158*'2. Emissions Units &amp; Activities'!$L$20</f>
        <v>1.0874999999999989E-6</v>
      </c>
      <c r="O158" s="120">
        <f t="shared" si="21"/>
        <v>1.0874999999999989E-6</v>
      </c>
    </row>
    <row r="159" spans="1:30" x14ac:dyDescent="0.25">
      <c r="A159" s="125" t="s">
        <v>1201</v>
      </c>
      <c r="B159" s="279" t="s">
        <v>205</v>
      </c>
      <c r="C159" s="123" t="str">
        <f>IFERROR(IF(B159="No CAS","",INDEX('DEQ Pollutant List'!$B$7:$B$611,MATCH('3. Pollutant Emissions - EF'!B159,'DEQ Pollutant List'!$A$7:$A$611,0))),"")</f>
        <v>Copper and compounds</v>
      </c>
      <c r="D159" s="127" t="str">
        <f>IFERROR(IF(OR($B159="",$B159="No CAS"),INDEX('DEQ Pollutant List'!$A$7:$A$611,MATCH($C159,'DEQ Pollutant List'!$C$7:$C$611,0)),INDEX('DEQ Pollutant List'!$A$7:$A$611,MATCH($B159,'DEQ Pollutant List'!$B$7:$B$611,0))),"")</f>
        <v/>
      </c>
      <c r="E159" s="126">
        <v>0.9</v>
      </c>
      <c r="F159" s="116">
        <f>Baghouses!K59</f>
        <v>7.0687499999999937E-8</v>
      </c>
      <c r="G159" s="129">
        <f t="shared" si="16"/>
        <v>7.0687499999999937E-8</v>
      </c>
      <c r="H159" s="115" t="s">
        <v>492</v>
      </c>
      <c r="I159" s="117" t="s">
        <v>1281</v>
      </c>
      <c r="J159" s="118">
        <f>F159*'2. Emissions Units &amp; Activities'!$H$20</f>
        <v>7.8455349374999938E-3</v>
      </c>
      <c r="K159" s="121">
        <f>F159*'2. Emissions Units &amp; Activities'!$I$20</f>
        <v>1.8576674999999983E-2</v>
      </c>
      <c r="L159" s="114">
        <f t="shared" si="20"/>
        <v>1.8576674999999983E-2</v>
      </c>
      <c r="M159" s="118">
        <f>G159*'2. Emissions Units &amp; Activities'!$K$20</f>
        <v>5.6549999999999952E-5</v>
      </c>
      <c r="N159" s="119">
        <f>G159*'2. Emissions Units &amp; Activities'!$L$20</f>
        <v>5.6549999999999952E-5</v>
      </c>
      <c r="O159" s="120">
        <f t="shared" si="21"/>
        <v>5.6549999999999952E-5</v>
      </c>
    </row>
    <row r="160" spans="1:30" x14ac:dyDescent="0.25">
      <c r="A160" s="125" t="s">
        <v>1201</v>
      </c>
      <c r="B160" s="279" t="s">
        <v>55</v>
      </c>
      <c r="C160" s="123" t="str">
        <f>IFERROR(IF(B160="No CAS","",INDEX('DEQ Pollutant List'!$B$7:$B$611,MATCH('3. Pollutant Emissions - EF'!B160,'DEQ Pollutant List'!$A$7:$A$611,0))),"")</f>
        <v>Chromium VI, chromate and dichromate particulate</v>
      </c>
      <c r="D160" s="127" t="str">
        <f>IFERROR(IF(OR($B160="",$B160="No CAS"),INDEX('DEQ Pollutant List'!$A$7:$A$611,MATCH($C160,'DEQ Pollutant List'!$C$7:$C$611,0)),INDEX('DEQ Pollutant List'!$A$7:$A$611,MATCH($B160,'DEQ Pollutant List'!$B$7:$B$611,0))),"")</f>
        <v/>
      </c>
      <c r="E160" s="126">
        <v>0.9</v>
      </c>
      <c r="F160" s="116">
        <f>Baghouses!K60</f>
        <v>1.082878124999999E-7</v>
      </c>
      <c r="G160" s="129">
        <f t="shared" si="16"/>
        <v>1.082878124999999E-7</v>
      </c>
      <c r="H160" s="115" t="s">
        <v>492</v>
      </c>
      <c r="I160" s="117" t="s">
        <v>1281</v>
      </c>
      <c r="J160" s="118">
        <f>F160*'2. Emissions Units &amp; Activities'!$H$20</f>
        <v>1.2018756021562488E-2</v>
      </c>
      <c r="K160" s="121">
        <f>F160*'2. Emissions Units &amp; Activities'!$I$20</f>
        <v>2.8458037124999974E-2</v>
      </c>
      <c r="L160" s="114">
        <f t="shared" si="20"/>
        <v>2.8458037124999974E-2</v>
      </c>
      <c r="M160" s="118">
        <f>G160*'2. Emissions Units &amp; Activities'!$K$20</f>
        <v>8.6630249999999925E-5</v>
      </c>
      <c r="N160" s="119">
        <f>G160*'2. Emissions Units &amp; Activities'!$L$20</f>
        <v>8.6630249999999925E-5</v>
      </c>
      <c r="O160" s="120">
        <f t="shared" si="21"/>
        <v>8.6630249999999925E-5</v>
      </c>
    </row>
    <row r="161" spans="1:30" s="748" customFormat="1" x14ac:dyDescent="0.25">
      <c r="A161" s="125" t="s">
        <v>1201</v>
      </c>
      <c r="B161" s="279" t="s">
        <v>309</v>
      </c>
      <c r="C161" s="123" t="str">
        <f>IFERROR(IF(B161="No CAS","",INDEX('DEQ Pollutant List'!$B$7:$B$611,MATCH('3. Pollutant Emissions - EF'!B161,'DEQ Pollutant List'!$A$7:$A$611,0))),"")</f>
        <v>Mercury and compounds</v>
      </c>
      <c r="D161" s="127" t="str">
        <f>IFERROR(IF(OR($B161="",$B161="No CAS"),INDEX('DEQ Pollutant List'!$A$7:$A$611,MATCH($C161,'DEQ Pollutant List'!$C$7:$C$611,0)),INDEX('DEQ Pollutant List'!$A$7:$A$611,MATCH($B161,'DEQ Pollutant List'!$B$7:$B$611,0))),"")</f>
        <v/>
      </c>
      <c r="E161" s="126">
        <v>0.9</v>
      </c>
      <c r="F161" s="116">
        <f>Baghouses!K61</f>
        <v>2.7187499999999969E-10</v>
      </c>
      <c r="G161" s="129">
        <f t="shared" si="16"/>
        <v>2.7187499999999969E-10</v>
      </c>
      <c r="H161" s="115" t="s">
        <v>492</v>
      </c>
      <c r="I161" s="117" t="s">
        <v>1281</v>
      </c>
      <c r="J161" s="118">
        <f>F161*'2. Emissions Units &amp; Activities'!$H$20</f>
        <v>3.0175134374999966E-5</v>
      </c>
      <c r="K161" s="121">
        <f>F161*'2. Emissions Units &amp; Activities'!$I$20</f>
        <v>7.1448749999999915E-5</v>
      </c>
      <c r="L161" s="114">
        <f t="shared" si="20"/>
        <v>7.1448749999999915E-5</v>
      </c>
      <c r="M161" s="118">
        <f>G161*'2. Emissions Units &amp; Activities'!$K$20</f>
        <v>2.1749999999999974E-7</v>
      </c>
      <c r="N161" s="119">
        <f>G161*'2. Emissions Units &amp; Activities'!$L$20</f>
        <v>2.1749999999999974E-7</v>
      </c>
      <c r="O161" s="120">
        <f t="shared" si="21"/>
        <v>2.1749999999999974E-7</v>
      </c>
      <c r="P161" s="2"/>
      <c r="Q161" s="2"/>
      <c r="R161" s="2"/>
      <c r="S161" s="2"/>
      <c r="T161" s="2"/>
      <c r="U161" s="2"/>
      <c r="V161" s="2"/>
      <c r="W161" s="2"/>
      <c r="X161" s="2"/>
      <c r="Y161" s="2"/>
      <c r="Z161" s="2"/>
      <c r="AA161" s="2"/>
      <c r="AB161" s="2"/>
      <c r="AC161" s="2"/>
      <c r="AD161" s="2"/>
    </row>
    <row r="162" spans="1:30" x14ac:dyDescent="0.25">
      <c r="A162" s="125" t="s">
        <v>1201</v>
      </c>
      <c r="B162" s="279" t="s">
        <v>181</v>
      </c>
      <c r="C162" s="123" t="str">
        <f>IFERROR(IF(B162="No CAS","",INDEX('DEQ Pollutant List'!$B$7:$B$611,MATCH('3. Pollutant Emissions - EF'!B162,'DEQ Pollutant List'!$A$7:$A$611,0))),"")</f>
        <v>Manganese and compounds</v>
      </c>
      <c r="D162" s="127" t="str">
        <f>IFERROR(IF(OR($B162="",$B162="No CAS"),INDEX('DEQ Pollutant List'!$A$7:$A$611,MATCH($C162,'DEQ Pollutant List'!$C$7:$C$611,0)),INDEX('DEQ Pollutant List'!$A$7:$A$611,MATCH($B162,'DEQ Pollutant List'!$B$7:$B$611,0))),"")</f>
        <v/>
      </c>
      <c r="E162" s="126">
        <v>0.9</v>
      </c>
      <c r="F162" s="116">
        <f>Baghouses!K62</f>
        <v>6.8376562499999916E-6</v>
      </c>
      <c r="G162" s="129">
        <f t="shared" si="16"/>
        <v>6.8376562499999916E-6</v>
      </c>
      <c r="H162" s="115" t="s">
        <v>492</v>
      </c>
      <c r="I162" s="117" t="s">
        <v>1281</v>
      </c>
      <c r="J162" s="118">
        <f>F162*'2. Emissions Units &amp; Activities'!$H$20</f>
        <v>0.75890462953124904</v>
      </c>
      <c r="K162" s="121">
        <f>F162*'2. Emissions Units &amp; Activities'!$I$20</f>
        <v>1.7969360624999977</v>
      </c>
      <c r="L162" s="114">
        <f t="shared" si="20"/>
        <v>1.7969360624999977</v>
      </c>
      <c r="M162" s="118">
        <f>G162*'2. Emissions Units &amp; Activities'!$K$20</f>
        <v>5.4701249999999932E-3</v>
      </c>
      <c r="N162" s="119">
        <f>G162*'2. Emissions Units &amp; Activities'!$L$20</f>
        <v>5.4701249999999932E-3</v>
      </c>
      <c r="O162" s="120">
        <f t="shared" si="21"/>
        <v>5.4701249999999932E-3</v>
      </c>
    </row>
    <row r="163" spans="1:30" x14ac:dyDescent="0.25">
      <c r="A163" s="125" t="s">
        <v>1201</v>
      </c>
      <c r="B163" s="279" t="s">
        <v>66</v>
      </c>
      <c r="C163" s="123" t="str">
        <f>IFERROR(IF(B163="No CAS","",INDEX('DEQ Pollutant List'!$B$7:$B$611,MATCH('3. Pollutant Emissions - EF'!B163,'DEQ Pollutant List'!$A$7:$A$611,0))),"")</f>
        <v>Molybdenum trioxide</v>
      </c>
      <c r="D163" s="127" t="str">
        <f>IFERROR(IF(OR($B163="",$B163="No CAS"),INDEX('DEQ Pollutant List'!$A$7:$A$611,MATCH($C163,'DEQ Pollutant List'!$C$7:$C$611,0)),INDEX('DEQ Pollutant List'!$A$7:$A$611,MATCH($B163,'DEQ Pollutant List'!$B$7:$B$611,0))),"")</f>
        <v/>
      </c>
      <c r="E163" s="126">
        <v>0.9</v>
      </c>
      <c r="F163" s="116">
        <f>Baghouses!K63</f>
        <v>1.2636102476884488E-7</v>
      </c>
      <c r="G163" s="129">
        <f t="shared" si="16"/>
        <v>1.2636102476884488E-7</v>
      </c>
      <c r="H163" s="115" t="s">
        <v>492</v>
      </c>
      <c r="I163" s="117" t="s">
        <v>1281</v>
      </c>
      <c r="J163" s="118">
        <f>F163*'2. Emissions Units &amp; Activities'!$H$20</f>
        <v>1.4024683778069324E-2</v>
      </c>
      <c r="K163" s="121">
        <f>F163*'2. Emissions Units &amp; Activities'!$I$20</f>
        <v>3.3207677309252434E-2</v>
      </c>
      <c r="L163" s="114">
        <f t="shared" si="20"/>
        <v>3.3207677309252434E-2</v>
      </c>
      <c r="M163" s="118">
        <f>G163*'2. Emissions Units &amp; Activities'!$K$20</f>
        <v>1.0108881981507591E-4</v>
      </c>
      <c r="N163" s="119">
        <f>G163*'2. Emissions Units &amp; Activities'!$L$20</f>
        <v>1.0108881981507591E-4</v>
      </c>
      <c r="O163" s="120">
        <f t="shared" si="21"/>
        <v>1.0108881981507591E-4</v>
      </c>
    </row>
    <row r="164" spans="1:30" x14ac:dyDescent="0.25">
      <c r="A164" s="125" t="s">
        <v>1201</v>
      </c>
      <c r="B164" s="279" t="s">
        <v>212</v>
      </c>
      <c r="C164" s="123" t="str">
        <f>IFERROR(IF(B164="No CAS","",INDEX('DEQ Pollutant List'!$B$7:$B$611,MATCH('3. Pollutant Emissions - EF'!B164,'DEQ Pollutant List'!$A$7:$A$611,0))),"")</f>
        <v>Nickel and compounds</v>
      </c>
      <c r="D164" s="127" t="str">
        <f>IFERROR(IF(OR($B164="",$B164="No CAS"),INDEX('DEQ Pollutant List'!$A$7:$A$611,MATCH($C164,'DEQ Pollutant List'!$C$7:$C$611,0)),INDEX('DEQ Pollutant List'!$A$7:$A$611,MATCH($B164,'DEQ Pollutant List'!$B$7:$B$611,0))),"")</f>
        <v/>
      </c>
      <c r="E164" s="126">
        <v>0.9</v>
      </c>
      <c r="F164" s="116">
        <f>Baghouses!K64</f>
        <v>2.7187499999999968E-8</v>
      </c>
      <c r="G164" s="129">
        <f t="shared" si="16"/>
        <v>2.7187499999999968E-8</v>
      </c>
      <c r="H164" s="115" t="s">
        <v>492</v>
      </c>
      <c r="I164" s="117" t="s">
        <v>1281</v>
      </c>
      <c r="J164" s="118">
        <f>F164*'2. Emissions Units &amp; Activities'!$H$20</f>
        <v>3.0175134374999966E-3</v>
      </c>
      <c r="K164" s="121">
        <f>F164*'2. Emissions Units &amp; Activities'!$I$20</f>
        <v>7.1448749999999915E-3</v>
      </c>
      <c r="L164" s="114">
        <f t="shared" si="20"/>
        <v>7.1448749999999915E-3</v>
      </c>
      <c r="M164" s="118">
        <f>G164*'2. Emissions Units &amp; Activities'!$K$20</f>
        <v>2.1749999999999973E-5</v>
      </c>
      <c r="N164" s="119">
        <f>G164*'2. Emissions Units &amp; Activities'!$L$20</f>
        <v>2.1749999999999973E-5</v>
      </c>
      <c r="O164" s="120">
        <f t="shared" si="21"/>
        <v>2.1749999999999973E-5</v>
      </c>
    </row>
    <row r="165" spans="1:30" x14ac:dyDescent="0.25">
      <c r="A165" s="125" t="s">
        <v>1201</v>
      </c>
      <c r="B165" s="279" t="s">
        <v>310</v>
      </c>
      <c r="C165" s="123" t="str">
        <f>IFERROR(IF(B165="No CAS","",INDEX('DEQ Pollutant List'!$B$7:$B$611,MATCH('3. Pollutant Emissions - EF'!B165,'DEQ Pollutant List'!$A$7:$A$611,0))),"")</f>
        <v>Lead and compounds</v>
      </c>
      <c r="D165" s="127" t="str">
        <f>IFERROR(IF(OR($B165="",$B165="No CAS"),INDEX('DEQ Pollutant List'!$A$7:$A$611,MATCH($C165,'DEQ Pollutant List'!$C$7:$C$611,0)),INDEX('DEQ Pollutant List'!$A$7:$A$611,MATCH($B165,'DEQ Pollutant List'!$B$7:$B$611,0))),"")</f>
        <v/>
      </c>
      <c r="E165" s="126">
        <v>0.9</v>
      </c>
      <c r="F165" s="116">
        <f>Baghouses!K65</f>
        <v>3.3984374999999963E-7</v>
      </c>
      <c r="G165" s="129">
        <f t="shared" si="16"/>
        <v>3.3984374999999963E-7</v>
      </c>
      <c r="H165" s="115" t="s">
        <v>492</v>
      </c>
      <c r="I165" s="117" t="s">
        <v>1281</v>
      </c>
      <c r="J165" s="118">
        <f>F165*'2. Emissions Units &amp; Activities'!$H$20</f>
        <v>3.771891796874996E-2</v>
      </c>
      <c r="K165" s="121">
        <f>F165*'2. Emissions Units &amp; Activities'!$I$20</f>
        <v>8.9310937499999909E-2</v>
      </c>
      <c r="L165" s="114">
        <f t="shared" si="20"/>
        <v>8.9310937499999909E-2</v>
      </c>
      <c r="M165" s="118">
        <f>G165*'2. Emissions Units &amp; Activities'!$K$20</f>
        <v>2.7187499999999971E-4</v>
      </c>
      <c r="N165" s="119">
        <f>G165*'2. Emissions Units &amp; Activities'!$L$20</f>
        <v>2.7187499999999971E-4</v>
      </c>
      <c r="O165" s="120">
        <f t="shared" si="21"/>
        <v>2.7187499999999971E-4</v>
      </c>
    </row>
    <row r="166" spans="1:30" x14ac:dyDescent="0.25">
      <c r="A166" s="125" t="s">
        <v>1201</v>
      </c>
      <c r="B166" s="279" t="s">
        <v>311</v>
      </c>
      <c r="C166" s="123" t="str">
        <f>IFERROR(IF(B166="No CAS","",INDEX('DEQ Pollutant List'!$B$7:$B$611,MATCH('3. Pollutant Emissions - EF'!B166,'DEQ Pollutant List'!$A$7:$A$611,0))),"")</f>
        <v>Antimony and compounds</v>
      </c>
      <c r="D166" s="127" t="str">
        <f>IFERROR(IF(OR($B166="",$B166="No CAS"),INDEX('DEQ Pollutant List'!$A$7:$A$611,MATCH($C166,'DEQ Pollutant List'!$C$7:$C$611,0)),INDEX('DEQ Pollutant List'!$A$7:$A$611,MATCH($B166,'DEQ Pollutant List'!$B$7:$B$611,0))),"")</f>
        <v/>
      </c>
      <c r="E166" s="126">
        <v>0.9</v>
      </c>
      <c r="F166" s="116">
        <f>Baghouses!K66</f>
        <v>5.0296874999999941E-9</v>
      </c>
      <c r="G166" s="129">
        <f t="shared" si="16"/>
        <v>5.0296874999999941E-9</v>
      </c>
      <c r="H166" s="115" t="s">
        <v>492</v>
      </c>
      <c r="I166" s="117" t="s">
        <v>1281</v>
      </c>
      <c r="J166" s="118">
        <f>F166*'2. Emissions Units &amp; Activities'!$H$20</f>
        <v>5.5823998593749937E-4</v>
      </c>
      <c r="K166" s="121">
        <f>F166*'2. Emissions Units &amp; Activities'!$I$20</f>
        <v>1.3218018749999985E-3</v>
      </c>
      <c r="L166" s="114">
        <f t="shared" si="20"/>
        <v>1.3218018749999985E-3</v>
      </c>
      <c r="M166" s="118">
        <f>G166*'2. Emissions Units &amp; Activities'!$K$20</f>
        <v>4.0237499999999951E-6</v>
      </c>
      <c r="N166" s="119">
        <f>G166*'2. Emissions Units &amp; Activities'!$L$20</f>
        <v>4.0237499999999951E-6</v>
      </c>
      <c r="O166" s="120">
        <f t="shared" si="21"/>
        <v>4.0237499999999951E-6</v>
      </c>
    </row>
    <row r="167" spans="1:30" x14ac:dyDescent="0.25">
      <c r="A167" s="125" t="s">
        <v>1201</v>
      </c>
      <c r="B167" s="279" t="s">
        <v>312</v>
      </c>
      <c r="C167" s="123" t="str">
        <f>IFERROR(IF(B167="No CAS","",INDEX('DEQ Pollutant List'!$B$7:$B$611,MATCH('3. Pollutant Emissions - EF'!B167,'DEQ Pollutant List'!$A$7:$A$611,0))),"")</f>
        <v>Selenium and compounds</v>
      </c>
      <c r="D167" s="127" t="str">
        <f>IFERROR(IF(OR($B167="",$B167="No CAS"),INDEX('DEQ Pollutant List'!$A$7:$A$611,MATCH($C167,'DEQ Pollutant List'!$C$7:$C$611,0)),INDEX('DEQ Pollutant List'!$A$7:$A$611,MATCH($B167,'DEQ Pollutant List'!$B$7:$B$611,0))),"")</f>
        <v/>
      </c>
      <c r="E167" s="126">
        <v>0.9</v>
      </c>
      <c r="F167" s="116">
        <f>Baghouses!K67</f>
        <v>2.5828124999999972E-9</v>
      </c>
      <c r="G167" s="129">
        <f t="shared" si="16"/>
        <v>2.5828124999999972E-9</v>
      </c>
      <c r="H167" s="115" t="s">
        <v>492</v>
      </c>
      <c r="I167" s="117" t="s">
        <v>1281</v>
      </c>
      <c r="J167" s="118">
        <f>F167*'2. Emissions Units &amp; Activities'!$H$20</f>
        <v>2.8666377656249968E-4</v>
      </c>
      <c r="K167" s="121">
        <f>F167*'2. Emissions Units &amp; Activities'!$I$20</f>
        <v>6.7876312499999926E-4</v>
      </c>
      <c r="L167" s="114">
        <f t="shared" si="20"/>
        <v>6.7876312499999926E-4</v>
      </c>
      <c r="M167" s="118">
        <f>G167*'2. Emissions Units &amp; Activities'!$K$20</f>
        <v>2.0662499999999978E-6</v>
      </c>
      <c r="N167" s="119">
        <f>G167*'2. Emissions Units &amp; Activities'!$L$20</f>
        <v>2.0662499999999978E-6</v>
      </c>
      <c r="O167" s="120">
        <f t="shared" si="21"/>
        <v>2.0662499999999978E-6</v>
      </c>
    </row>
    <row r="168" spans="1:30" x14ac:dyDescent="0.25">
      <c r="A168" s="125" t="s">
        <v>1201</v>
      </c>
      <c r="B168" s="279" t="s">
        <v>314</v>
      </c>
      <c r="C168" s="123" t="str">
        <f>IFERROR(IF(B168="No CAS","",INDEX('DEQ Pollutant List'!$B$7:$B$611,MATCH('3. Pollutant Emissions - EF'!B168,'DEQ Pollutant List'!$A$7:$A$611,0))),"")</f>
        <v>Thallium and compounds</v>
      </c>
      <c r="D168" s="127" t="str">
        <f>IFERROR(IF(OR($B168="",$B168="No CAS"),INDEX('DEQ Pollutant List'!$A$7:$A$611,MATCH($C168,'DEQ Pollutant List'!$C$7:$C$611,0)),INDEX('DEQ Pollutant List'!$A$7:$A$611,MATCH($B168,'DEQ Pollutant List'!$B$7:$B$611,0))),"")</f>
        <v/>
      </c>
      <c r="E168" s="126">
        <v>0.9</v>
      </c>
      <c r="F168" s="116">
        <f>Baghouses!K68</f>
        <v>5.9676562499999939E-9</v>
      </c>
      <c r="G168" s="129">
        <f t="shared" si="16"/>
        <v>5.9676562499999939E-9</v>
      </c>
      <c r="H168" s="115" t="s">
        <v>492</v>
      </c>
      <c r="I168" s="117" t="s">
        <v>1281</v>
      </c>
      <c r="J168" s="118">
        <f>F168*'2. Emissions Units &amp; Activities'!$H$20</f>
        <v>6.6234419953124931E-4</v>
      </c>
      <c r="K168" s="121">
        <f>F168*'2. Emissions Units &amp; Activities'!$I$20</f>
        <v>1.5683000624999984E-3</v>
      </c>
      <c r="L168" s="114">
        <f t="shared" si="20"/>
        <v>1.5683000624999984E-3</v>
      </c>
      <c r="M168" s="118">
        <f>G168*'2. Emissions Units &amp; Activities'!$K$20</f>
        <v>4.7741249999999947E-6</v>
      </c>
      <c r="N168" s="119">
        <f>G168*'2. Emissions Units &amp; Activities'!$L$20</f>
        <v>4.7741249999999947E-6</v>
      </c>
      <c r="O168" s="120">
        <f t="shared" si="21"/>
        <v>4.7741249999999947E-6</v>
      </c>
    </row>
    <row r="169" spans="1:30" x14ac:dyDescent="0.25">
      <c r="A169" s="125" t="s">
        <v>1201</v>
      </c>
      <c r="B169" s="279" t="s">
        <v>315</v>
      </c>
      <c r="C169" s="123" t="str">
        <f>IFERROR(IF(B169="No CAS","",INDEX('DEQ Pollutant List'!$B$7:$B$611,MATCH('3. Pollutant Emissions - EF'!B169,'DEQ Pollutant List'!$A$7:$A$611,0))),"")</f>
        <v>Zinc and compounds</v>
      </c>
      <c r="D169" s="127" t="str">
        <f>IFERROR(IF(OR($B169="",$B169="No CAS"),INDEX('DEQ Pollutant List'!$A$7:$A$611,MATCH($C169,'DEQ Pollutant List'!$C$7:$C$611,0)),INDEX('DEQ Pollutant List'!$A$7:$A$611,MATCH($B169,'DEQ Pollutant List'!$B$7:$B$611,0))),"")</f>
        <v/>
      </c>
      <c r="E169" s="126">
        <v>0.9</v>
      </c>
      <c r="F169" s="116">
        <f>Baghouses!K69</f>
        <v>4.0781249999999954E-7</v>
      </c>
      <c r="G169" s="129">
        <f t="shared" si="16"/>
        <v>4.0781249999999954E-7</v>
      </c>
      <c r="H169" s="115" t="s">
        <v>492</v>
      </c>
      <c r="I169" s="117" t="s">
        <v>1281</v>
      </c>
      <c r="J169" s="118">
        <f>F169*'2. Emissions Units &amp; Activities'!$H$20</f>
        <v>4.5262701562499952E-2</v>
      </c>
      <c r="K169" s="121">
        <f>F169*'2. Emissions Units &amp; Activities'!$I$20</f>
        <v>0.10717312499999988</v>
      </c>
      <c r="L169" s="114">
        <f t="shared" si="20"/>
        <v>0.10717312499999988</v>
      </c>
      <c r="M169" s="118">
        <f>G169*'2. Emissions Units &amp; Activities'!$K$20</f>
        <v>3.2624999999999961E-4</v>
      </c>
      <c r="N169" s="119">
        <f>G169*'2. Emissions Units &amp; Activities'!$L$20</f>
        <v>3.2624999999999961E-4</v>
      </c>
      <c r="O169" s="120">
        <f t="shared" si="21"/>
        <v>3.2624999999999961E-4</v>
      </c>
    </row>
    <row r="170" spans="1:30" x14ac:dyDescent="0.25">
      <c r="A170" s="125" t="s">
        <v>1201</v>
      </c>
      <c r="B170" s="279" t="s">
        <v>142</v>
      </c>
      <c r="C170" s="123" t="str">
        <f>IFERROR(IF(B170="No CAS","",INDEX('DEQ Pollutant List'!$B$7:$B$611,MATCH('3. Pollutant Emissions - EF'!B170,'DEQ Pollutant List'!$A$7:$A$611,0))),"")</f>
        <v>Barium and compounds</v>
      </c>
      <c r="D170" s="127" t="str">
        <f>IFERROR(IF(OR($B170="",$B170="No CAS"),INDEX('DEQ Pollutant List'!$A$7:$A$611,MATCH($C170,'DEQ Pollutant List'!$C$7:$C$611,0)),INDEX('DEQ Pollutant List'!$A$7:$A$611,MATCH($B170,'DEQ Pollutant List'!$B$7:$B$611,0))),"")</f>
        <v/>
      </c>
      <c r="E170" s="126">
        <v>0.9</v>
      </c>
      <c r="F170" s="116">
        <f>Baghouses!K70</f>
        <v>2.7187499999999971E-6</v>
      </c>
      <c r="G170" s="129">
        <f t="shared" si="16"/>
        <v>2.7187499999999971E-6</v>
      </c>
      <c r="H170" s="115" t="s">
        <v>492</v>
      </c>
      <c r="I170" s="117" t="s">
        <v>1281</v>
      </c>
      <c r="J170" s="118">
        <f>F170*'2. Emissions Units &amp; Activities'!$H$20</f>
        <v>0.30175134374999968</v>
      </c>
      <c r="K170" s="121">
        <f>F170*'2. Emissions Units &amp; Activities'!$I$20</f>
        <v>0.71448749999999928</v>
      </c>
      <c r="L170" s="114">
        <f t="shared" si="20"/>
        <v>0.71448749999999928</v>
      </c>
      <c r="M170" s="118">
        <f>G170*'2. Emissions Units &amp; Activities'!$K$20</f>
        <v>2.1749999999999977E-3</v>
      </c>
      <c r="N170" s="119">
        <f>G170*'2. Emissions Units &amp; Activities'!$L$20</f>
        <v>2.1749999999999977E-3</v>
      </c>
      <c r="O170" s="120">
        <f t="shared" si="21"/>
        <v>2.1749999999999977E-3</v>
      </c>
    </row>
    <row r="171" spans="1:30" x14ac:dyDescent="0.25">
      <c r="A171" s="125" t="s">
        <v>1201</v>
      </c>
      <c r="B171" s="279">
        <v>504</v>
      </c>
      <c r="C171" s="123" t="str">
        <f>IFERROR(IF(B171="No CAS","",INDEX('DEQ Pollutant List'!$B$7:$B$611,MATCH('3. Pollutant Emissions - EF'!B171,'DEQ Pollutant List'!$A$7:$A$611,0))),"")</f>
        <v>Phosphorus and compounds</v>
      </c>
      <c r="D171" s="127" t="str">
        <f>IFERROR(IF(OR($B171="",$B171="No CAS"),INDEX('DEQ Pollutant List'!$A$7:$A$611,MATCH($C171,'DEQ Pollutant List'!$C$7:$C$611,0)),INDEX('DEQ Pollutant List'!$A$7:$A$611,MATCH($B171,'DEQ Pollutant List'!$B$7:$B$611,0))),"")</f>
        <v/>
      </c>
      <c r="E171" s="126">
        <v>0.9</v>
      </c>
      <c r="F171" s="116">
        <f>Baghouses!K71</f>
        <v>4.4859374999999954E-7</v>
      </c>
      <c r="G171" s="129">
        <f t="shared" si="16"/>
        <v>4.4859374999999954E-7</v>
      </c>
      <c r="H171" s="115" t="s">
        <v>492</v>
      </c>
      <c r="I171" s="117" t="s">
        <v>1281</v>
      </c>
      <c r="J171" s="118">
        <f>F171*'2. Emissions Units &amp; Activities'!$H$20</f>
        <v>4.978897171874995E-2</v>
      </c>
      <c r="K171" s="121">
        <f>F171*'2. Emissions Units &amp; Activities'!$I$20</f>
        <v>0.11789043749999988</v>
      </c>
      <c r="L171" s="114">
        <f t="shared" si="20"/>
        <v>0.11789043749999988</v>
      </c>
      <c r="M171" s="118">
        <f>G171*'2. Emissions Units &amp; Activities'!$K$20</f>
        <v>3.5887499999999966E-4</v>
      </c>
      <c r="N171" s="119">
        <f>G171*'2. Emissions Units &amp; Activities'!$L$20</f>
        <v>3.5887499999999966E-4</v>
      </c>
      <c r="O171" s="120">
        <f t="shared" si="21"/>
        <v>3.5887499999999966E-4</v>
      </c>
    </row>
    <row r="172" spans="1:30" x14ac:dyDescent="0.25">
      <c r="A172" s="125" t="s">
        <v>1201</v>
      </c>
      <c r="B172" s="279" t="s">
        <v>316</v>
      </c>
      <c r="C172" s="123" t="str">
        <f>IFERROR(IF(B172="No CAS","",INDEX('DEQ Pollutant List'!$B$7:$B$611,MATCH('3. Pollutant Emissions - EF'!B172,'DEQ Pollutant List'!$A$7:$A$611,0))),"")</f>
        <v>Phosphorus pentoxide</v>
      </c>
      <c r="D172" s="127"/>
      <c r="E172" s="126">
        <v>0.9</v>
      </c>
      <c r="F172" s="116">
        <f>Baghouses!K72</f>
        <v>1.0874999999999989E-6</v>
      </c>
      <c r="G172" s="129">
        <f t="shared" si="16"/>
        <v>1.0874999999999989E-6</v>
      </c>
      <c r="H172" s="115" t="s">
        <v>492</v>
      </c>
      <c r="I172" s="117" t="s">
        <v>1281</v>
      </c>
      <c r="J172" s="118">
        <f>F172*'2. Emissions Units &amp; Activities'!$H$20</f>
        <v>0.12070053749999989</v>
      </c>
      <c r="K172" s="121">
        <f>F172*'2. Emissions Units &amp; Activities'!$I$20</f>
        <v>0.28579499999999969</v>
      </c>
      <c r="L172" s="114">
        <f t="shared" si="20"/>
        <v>0.28579499999999969</v>
      </c>
      <c r="M172" s="118">
        <f>G172*'2. Emissions Units &amp; Activities'!$K$20</f>
        <v>8.6999999999999914E-4</v>
      </c>
      <c r="N172" s="119">
        <f>G172*'2. Emissions Units &amp; Activities'!$L$20</f>
        <v>8.6999999999999914E-4</v>
      </c>
      <c r="O172" s="120">
        <f t="shared" si="21"/>
        <v>8.6999999999999914E-4</v>
      </c>
    </row>
    <row r="173" spans="1:30" x14ac:dyDescent="0.25">
      <c r="A173" s="125" t="s">
        <v>1201</v>
      </c>
      <c r="B173" s="279" t="s">
        <v>183</v>
      </c>
      <c r="C173" s="123" t="str">
        <f>IFERROR(IF(B173="No CAS","",INDEX('DEQ Pollutant List'!$B$7:$B$611,MATCH('3. Pollutant Emissions - EF'!B173,'DEQ Pollutant List'!$A$7:$A$611,0))),"")</f>
        <v>Silica, crystalline (respirable)</v>
      </c>
      <c r="D173" s="127"/>
      <c r="E173" s="126">
        <v>0.9</v>
      </c>
      <c r="F173" s="116">
        <f>Baghouses!K73</f>
        <v>5.0657109374999945E-4</v>
      </c>
      <c r="G173" s="129">
        <f t="shared" si="16"/>
        <v>5.0657109374999945E-4</v>
      </c>
      <c r="H173" s="115" t="s">
        <v>492</v>
      </c>
      <c r="I173" s="117" t="s">
        <v>1281</v>
      </c>
      <c r="J173" s="118">
        <f>F173*'2. Emissions Units &amp; Activities'!$H$20</f>
        <v>56.223819124218686</v>
      </c>
      <c r="K173" s="121">
        <f>F173*'2. Emissions Units &amp; Activities'!$I$20</f>
        <v>133.12688343749986</v>
      </c>
      <c r="L173" s="114">
        <f t="shared" si="20"/>
        <v>133.12688343749986</v>
      </c>
      <c r="M173" s="118">
        <f>G173*'2. Emissions Units &amp; Activities'!$K$20</f>
        <v>0.40525687499999957</v>
      </c>
      <c r="N173" s="119">
        <f>G173*'2. Emissions Units &amp; Activities'!$L$20</f>
        <v>0.40525687499999957</v>
      </c>
      <c r="O173" s="120">
        <f t="shared" si="21"/>
        <v>0.40525687499999957</v>
      </c>
    </row>
    <row r="174" spans="1:30" x14ac:dyDescent="0.25">
      <c r="A174" s="125" t="s">
        <v>1201</v>
      </c>
      <c r="B174" s="279" t="s">
        <v>317</v>
      </c>
      <c r="C174" s="123" t="str">
        <f>IFERROR(IF(B174="No CAS","",INDEX('DEQ Pollutant List'!$B$7:$B$611,MATCH('3. Pollutant Emissions - EF'!B174,'DEQ Pollutant List'!$A$7:$A$611,0))),"")</f>
        <v>Sulfur trioxide</v>
      </c>
      <c r="D174" s="127"/>
      <c r="E174" s="126">
        <v>0.9</v>
      </c>
      <c r="F174" s="116">
        <f>Baghouses!K74</f>
        <v>3.3984374999999963E-7</v>
      </c>
      <c r="G174" s="129">
        <f t="shared" si="16"/>
        <v>3.3984374999999963E-7</v>
      </c>
      <c r="H174" s="115" t="s">
        <v>492</v>
      </c>
      <c r="I174" s="117" t="s">
        <v>1281</v>
      </c>
      <c r="J174" s="118">
        <f>F174*'2. Emissions Units &amp; Activities'!$H$20</f>
        <v>3.771891796874996E-2</v>
      </c>
      <c r="K174" s="121">
        <f>F174*'2. Emissions Units &amp; Activities'!$I$20</f>
        <v>8.9310937499999909E-2</v>
      </c>
      <c r="L174" s="114">
        <f t="shared" si="20"/>
        <v>8.9310937499999909E-2</v>
      </c>
      <c r="M174" s="118">
        <f>G174*'2. Emissions Units &amp; Activities'!$K$20</f>
        <v>2.7187499999999971E-4</v>
      </c>
      <c r="N174" s="119">
        <f>G174*'2. Emissions Units &amp; Activities'!$L$20</f>
        <v>2.7187499999999971E-4</v>
      </c>
      <c r="O174" s="120">
        <f t="shared" si="21"/>
        <v>2.7187499999999971E-4</v>
      </c>
    </row>
    <row r="175" spans="1:30" ht="15.75" thickBot="1" x14ac:dyDescent="0.3">
      <c r="A175" s="125" t="s">
        <v>1201</v>
      </c>
      <c r="B175" s="280" t="s">
        <v>318</v>
      </c>
      <c r="C175" s="216" t="str">
        <f>IFERROR(IF(B175="No CAS","",INDEX('DEQ Pollutant List'!$B$7:$B$611,MATCH('3. Pollutant Emissions - EF'!B175,'DEQ Pollutant List'!$A$7:$A$611,0))),"")</f>
        <v>Vanadium pentoxide</v>
      </c>
      <c r="D175" s="189"/>
      <c r="E175" s="126">
        <v>0.9</v>
      </c>
      <c r="F175" s="202">
        <f>Baghouses!K75</f>
        <v>3.3984374999999963E-7</v>
      </c>
      <c r="G175" s="199">
        <f t="shared" si="16"/>
        <v>3.3984374999999963E-7</v>
      </c>
      <c r="H175" s="287" t="s">
        <v>492</v>
      </c>
      <c r="I175" s="201" t="s">
        <v>1281</v>
      </c>
      <c r="J175" s="232">
        <f>F175*'2. Emissions Units &amp; Activities'!$H$20</f>
        <v>3.771891796874996E-2</v>
      </c>
      <c r="K175" s="233">
        <f>F175*'2. Emissions Units &amp; Activities'!$I$20</f>
        <v>8.9310937499999909E-2</v>
      </c>
      <c r="L175" s="234">
        <f t="shared" si="20"/>
        <v>8.9310937499999909E-2</v>
      </c>
      <c r="M175" s="232">
        <f>G175*'2. Emissions Units &amp; Activities'!$K$20</f>
        <v>2.7187499999999971E-4</v>
      </c>
      <c r="N175" s="235">
        <f>G175*'2. Emissions Units &amp; Activities'!$L$20</f>
        <v>2.7187499999999971E-4</v>
      </c>
      <c r="O175" s="236">
        <f t="shared" si="21"/>
        <v>2.7187499999999971E-4</v>
      </c>
    </row>
    <row r="176" spans="1:30" ht="15.75" thickBot="1" x14ac:dyDescent="0.3">
      <c r="A176" s="191" t="s">
        <v>1204</v>
      </c>
      <c r="B176" s="285" t="s">
        <v>305</v>
      </c>
      <c r="C176" s="214" t="str">
        <f>IFERROR(IF(B176="No CAS","",INDEX('DEQ Pollutant List'!$B$7:$B$611,MATCH('3. Pollutant Emissions - EF'!B176,'DEQ Pollutant List'!$A$7:$A$611,0))),"")</f>
        <v>Silver and compounds</v>
      </c>
      <c r="D176" s="192" t="str">
        <f>IFERROR(IF(OR($B176="",$B176="No CAS"),INDEX('DEQ Pollutant List'!$A$7:$A$611,MATCH($C176,'DEQ Pollutant List'!$C$7:$C$611,0)),INDEX('DEQ Pollutant List'!$A$7:$A$611,MATCH($B176,'DEQ Pollutant List'!$B$7:$B$611,0))),"")</f>
        <v/>
      </c>
      <c r="E176" s="193">
        <v>0.9</v>
      </c>
      <c r="F176" s="197">
        <f>Stockpiles!E68</f>
        <v>2.1367963746167689E-12</v>
      </c>
      <c r="G176" s="328">
        <f>Stockpiles!G68</f>
        <v>7.7125107267385247E-12</v>
      </c>
      <c r="H176" s="329" t="s">
        <v>492</v>
      </c>
      <c r="I176" s="221" t="s">
        <v>1285</v>
      </c>
      <c r="J176" s="282">
        <f>F176*'2. Emissions Units &amp; Activities'!$H$21</f>
        <v>3.2501536764695313E-7</v>
      </c>
      <c r="K176" s="286">
        <f>F176*'2. Emissions Units &amp; Activities'!$I$21</f>
        <v>3.2501536764695313E-7</v>
      </c>
      <c r="L176" s="281">
        <f t="shared" si="14"/>
        <v>3.2501536764695313E-7</v>
      </c>
      <c r="M176" s="282">
        <f>G176*'2. Emissions Units &amp; Activities'!$K$21</f>
        <v>1.7352053958638484E-8</v>
      </c>
      <c r="N176" s="283">
        <f>G176*'2. Emissions Units &amp; Activities'!$L$21</f>
        <v>1.7352053958638484E-8</v>
      </c>
      <c r="O176" s="284">
        <f t="shared" ref="O176:O272" si="22">N176</f>
        <v>1.7352053958638484E-8</v>
      </c>
    </row>
    <row r="177" spans="1:15" ht="15.75" thickBot="1" x14ac:dyDescent="0.3">
      <c r="A177" s="125" t="s">
        <v>1204</v>
      </c>
      <c r="B177" s="279" t="s">
        <v>190</v>
      </c>
      <c r="C177" s="123" t="str">
        <f>IFERROR(IF(B177="No CAS","",INDEX('DEQ Pollutant List'!$B$7:$B$611,MATCH('3. Pollutant Emissions - EF'!B177,'DEQ Pollutant List'!$A$7:$A$611,0))),"")</f>
        <v>Aluminum and compounds</v>
      </c>
      <c r="D177" s="127" t="str">
        <f>IFERROR(IF(OR($B177="",$B177="No CAS"),INDEX('DEQ Pollutant List'!$A$7:$A$611,MATCH($C177,'DEQ Pollutant List'!$C$7:$C$611,0)),INDEX('DEQ Pollutant List'!$A$7:$A$611,MATCH($B177,'DEQ Pollutant List'!$B$7:$B$611,0))),"")</f>
        <v/>
      </c>
      <c r="E177" s="193">
        <v>0.9</v>
      </c>
      <c r="F177" s="118">
        <f>Stockpiles!E69</f>
        <v>5.3373754563727494E-6</v>
      </c>
      <c r="G177" s="605">
        <f>Stockpiles!G69</f>
        <v>1.9264617793676555E-5</v>
      </c>
      <c r="H177" s="604" t="s">
        <v>492</v>
      </c>
      <c r="I177" s="124" t="s">
        <v>1285</v>
      </c>
      <c r="J177" s="118">
        <f>F177*'2. Emissions Units &amp; Activities'!$H$21</f>
        <v>0.81183638592326535</v>
      </c>
      <c r="K177" s="121">
        <f>F177*'2. Emissions Units &amp; Activities'!$I$21</f>
        <v>0.81183638592326535</v>
      </c>
      <c r="L177" s="114">
        <f t="shared" ref="L177:L200" si="23">K177</f>
        <v>0.81183638592326535</v>
      </c>
      <c r="M177" s="118">
        <f>G177*'2. Emissions Units &amp; Activities'!$K$21</f>
        <v>4.3342654460045552E-2</v>
      </c>
      <c r="N177" s="119">
        <f>G177*'2. Emissions Units &amp; Activities'!$L$21</f>
        <v>4.3342654460045552E-2</v>
      </c>
      <c r="O177" s="120">
        <f t="shared" ref="O177:O200" si="24">N177</f>
        <v>4.3342654460045552E-2</v>
      </c>
    </row>
    <row r="178" spans="1:15" ht="15.75" thickBot="1" x14ac:dyDescent="0.3">
      <c r="A178" s="125" t="s">
        <v>1204</v>
      </c>
      <c r="B178" s="279" t="s">
        <v>306</v>
      </c>
      <c r="C178" s="123" t="str">
        <f>IFERROR(IF(B178="No CAS","",INDEX('DEQ Pollutant List'!$B$7:$B$611,MATCH('3. Pollutant Emissions - EF'!B178,'DEQ Pollutant List'!$A$7:$A$611,0))),"")</f>
        <v>Arsenic and compounds</v>
      </c>
      <c r="D178" s="127" t="str">
        <f>IFERROR(IF(OR($B178="",$B178="No CAS"),INDEX('DEQ Pollutant List'!$A$7:$A$611,MATCH($C178,'DEQ Pollutant List'!$C$7:$C$611,0)),INDEX('DEQ Pollutant List'!$A$7:$A$611,MATCH($B178,'DEQ Pollutant List'!$B$7:$B$611,0))),"")</f>
        <v/>
      </c>
      <c r="E178" s="193">
        <v>0.9</v>
      </c>
      <c r="F178" s="116">
        <f>Stockpiles!E70</f>
        <v>2.2222682296014396E-10</v>
      </c>
      <c r="G178" s="605">
        <f>Stockpiles!G70</f>
        <v>8.0210111558080658E-10</v>
      </c>
      <c r="H178" s="329" t="s">
        <v>492</v>
      </c>
      <c r="I178" s="124" t="s">
        <v>1285</v>
      </c>
      <c r="J178" s="118">
        <f>F178*'2. Emissions Units &amp; Activities'!$H$21</f>
        <v>3.3801598235283126E-5</v>
      </c>
      <c r="K178" s="121">
        <f>F178*'2. Emissions Units &amp; Activities'!$I$21</f>
        <v>3.3801598235283126E-5</v>
      </c>
      <c r="L178" s="114">
        <f t="shared" si="23"/>
        <v>3.3801598235283126E-5</v>
      </c>
      <c r="M178" s="118">
        <f>G178*'2. Emissions Units &amp; Activities'!$K$21</f>
        <v>1.8046136116984024E-6</v>
      </c>
      <c r="N178" s="119">
        <f>G178*'2. Emissions Units &amp; Activities'!$L$21</f>
        <v>1.8046136116984024E-6</v>
      </c>
      <c r="O178" s="120">
        <f t="shared" si="24"/>
        <v>1.8046136116984024E-6</v>
      </c>
    </row>
    <row r="179" spans="1:15" ht="15.75" thickBot="1" x14ac:dyDescent="0.3">
      <c r="A179" s="125" t="s">
        <v>1204</v>
      </c>
      <c r="B179" s="279" t="s">
        <v>142</v>
      </c>
      <c r="C179" s="123" t="str">
        <f>IFERROR(IF(B179="No CAS","",INDEX('DEQ Pollutant List'!$B$7:$B$611,MATCH('3. Pollutant Emissions - EF'!B179,'DEQ Pollutant List'!$A$7:$A$611,0))),"")</f>
        <v>Barium and compounds</v>
      </c>
      <c r="D179" s="127" t="str">
        <f>IFERROR(IF(OR($B179="",$B179="No CAS"),INDEX('DEQ Pollutant List'!$A$7:$A$611,MATCH($C179,'DEQ Pollutant List'!$C$7:$C$611,0)),INDEX('DEQ Pollutant List'!$A$7:$A$611,MATCH($B179,'DEQ Pollutant List'!$B$7:$B$611,0))),"")</f>
        <v/>
      </c>
      <c r="E179" s="193">
        <v>0.9</v>
      </c>
      <c r="F179" s="116">
        <f>Stockpiles!E71</f>
        <v>2.3761175685738465E-8</v>
      </c>
      <c r="G179" s="605">
        <f>Stockpiles!G71</f>
        <v>8.5763119281332378E-8</v>
      </c>
      <c r="H179" s="329" t="s">
        <v>492</v>
      </c>
      <c r="I179" s="124" t="s">
        <v>1285</v>
      </c>
      <c r="J179" s="118">
        <f>F179*'2. Emissions Units &amp; Activities'!$H$21</f>
        <v>3.6141708882341181E-3</v>
      </c>
      <c r="K179" s="121">
        <f>F179*'2. Emissions Units &amp; Activities'!$I$21</f>
        <v>3.6141708882341181E-3</v>
      </c>
      <c r="L179" s="114">
        <f t="shared" si="23"/>
        <v>3.6141708882341181E-3</v>
      </c>
      <c r="M179" s="118">
        <f>G179*'2. Emissions Units &amp; Activities'!$K$21</f>
        <v>1.9295484002005992E-4</v>
      </c>
      <c r="N179" s="119">
        <f>G179*'2. Emissions Units &amp; Activities'!$L$21</f>
        <v>1.9295484002005992E-4</v>
      </c>
      <c r="O179" s="120">
        <f t="shared" si="24"/>
        <v>1.9295484002005992E-4</v>
      </c>
    </row>
    <row r="180" spans="1:15" ht="15.75" thickBot="1" x14ac:dyDescent="0.3">
      <c r="A180" s="125" t="s">
        <v>1204</v>
      </c>
      <c r="B180" s="279" t="s">
        <v>307</v>
      </c>
      <c r="C180" s="123" t="str">
        <f>IFERROR(IF(B180="No CAS","",INDEX('DEQ Pollutant List'!$B$7:$B$611,MATCH('3. Pollutant Emissions - EF'!B180,'DEQ Pollutant List'!$A$7:$A$611,0))),"")</f>
        <v>Beryllium and compounds</v>
      </c>
      <c r="D180" s="127" t="str">
        <f>IFERROR(IF(OR($B180="",$B180="No CAS"),INDEX('DEQ Pollutant List'!$A$7:$A$611,MATCH($C180,'DEQ Pollutant List'!$C$7:$C$611,0)),INDEX('DEQ Pollutant List'!$A$7:$A$611,MATCH($B180,'DEQ Pollutant List'!$B$7:$B$611,0))),"")</f>
        <v/>
      </c>
      <c r="E180" s="193">
        <v>0.9</v>
      </c>
      <c r="F180" s="116">
        <f>Stockpiles!E72</f>
        <v>2.5897972060355235E-10</v>
      </c>
      <c r="G180" s="605">
        <f>Stockpiles!G72</f>
        <v>9.3475630008070889E-10</v>
      </c>
      <c r="H180" s="329" t="s">
        <v>492</v>
      </c>
      <c r="I180" s="124" t="s">
        <v>1285</v>
      </c>
      <c r="J180" s="118">
        <f>F180*'2. Emissions Units &amp; Activities'!$H$21</f>
        <v>3.9391862558810716E-5</v>
      </c>
      <c r="K180" s="121">
        <f>F180*'2. Emissions Units &amp; Activities'!$I$21</f>
        <v>3.9391862558810716E-5</v>
      </c>
      <c r="L180" s="114">
        <f t="shared" si="23"/>
        <v>3.9391862558810716E-5</v>
      </c>
      <c r="M180" s="118">
        <f>G180*'2. Emissions Units &amp; Activities'!$K$21</f>
        <v>2.1030689397869837E-6</v>
      </c>
      <c r="N180" s="119">
        <f>G180*'2. Emissions Units &amp; Activities'!$L$21</f>
        <v>2.1030689397869837E-6</v>
      </c>
      <c r="O180" s="120">
        <f t="shared" si="24"/>
        <v>2.1030689397869837E-6</v>
      </c>
    </row>
    <row r="181" spans="1:15" ht="15.75" thickBot="1" x14ac:dyDescent="0.3">
      <c r="A181" s="125" t="s">
        <v>1204</v>
      </c>
      <c r="B181" s="279" t="s">
        <v>308</v>
      </c>
      <c r="C181" s="123" t="str">
        <f>IFERROR(IF(B181="No CAS","",INDEX('DEQ Pollutant List'!$B$7:$B$611,MATCH('3. Pollutant Emissions - EF'!B181,'DEQ Pollutant List'!$A$7:$A$611,0))),"")</f>
        <v>Cadmium and compounds</v>
      </c>
      <c r="D181" s="127" t="str">
        <f>IFERROR(IF(OR($B181="",$B181="No CAS"),INDEX('DEQ Pollutant List'!$A$7:$A$611,MATCH($C181,'DEQ Pollutant List'!$C$7:$C$611,0)),INDEX('DEQ Pollutant List'!$A$7:$A$611,MATCH($B181,'DEQ Pollutant List'!$B$7:$B$611,0))),"")</f>
        <v/>
      </c>
      <c r="E181" s="193">
        <v>0.9</v>
      </c>
      <c r="F181" s="116">
        <f>Stockpiles!E73</f>
        <v>6.8377483987736602E-12</v>
      </c>
      <c r="G181" s="605">
        <f>Stockpiles!G73</f>
        <v>2.468003432556328E-11</v>
      </c>
      <c r="H181" s="329" t="s">
        <v>492</v>
      </c>
      <c r="I181" s="124" t="s">
        <v>1285</v>
      </c>
      <c r="J181" s="118">
        <f>F181*'2. Emissions Units &amp; Activities'!$H$21</f>
        <v>1.0400491764702499E-6</v>
      </c>
      <c r="K181" s="121">
        <f>F181*'2. Emissions Units &amp; Activities'!$I$21</f>
        <v>1.0400491764702499E-6</v>
      </c>
      <c r="L181" s="114">
        <f t="shared" si="23"/>
        <v>1.0400491764702499E-6</v>
      </c>
      <c r="M181" s="118">
        <f>G181*'2. Emissions Units &amp; Activities'!$K$21</f>
        <v>5.5526572667643155E-8</v>
      </c>
      <c r="N181" s="119">
        <f>G181*'2. Emissions Units &amp; Activities'!$L$21</f>
        <v>5.5526572667643155E-8</v>
      </c>
      <c r="O181" s="120">
        <f t="shared" si="24"/>
        <v>5.5526572667643155E-8</v>
      </c>
    </row>
    <row r="182" spans="1:15" ht="15.75" thickBot="1" x14ac:dyDescent="0.3">
      <c r="A182" s="125" t="s">
        <v>1204</v>
      </c>
      <c r="B182" s="279" t="s">
        <v>147</v>
      </c>
      <c r="C182" s="123" t="str">
        <f>IFERROR(IF(B182="No CAS","",INDEX('DEQ Pollutant List'!$B$7:$B$611,MATCH('3. Pollutant Emissions - EF'!B182,'DEQ Pollutant List'!$A$7:$A$611,0))),"")</f>
        <v>Cobalt and compounds</v>
      </c>
      <c r="D182" s="127" t="str">
        <f>IFERROR(IF(OR($B182="",$B182="No CAS"),INDEX('DEQ Pollutant List'!$A$7:$A$611,MATCH($C182,'DEQ Pollutant List'!$C$7:$C$611,0)),INDEX('DEQ Pollutant List'!$A$7:$A$611,MATCH($B182,'DEQ Pollutant List'!$B$7:$B$611,0))),"")</f>
        <v/>
      </c>
      <c r="E182" s="193">
        <v>0.9</v>
      </c>
      <c r="F182" s="116">
        <f>Stockpiles!E74</f>
        <v>8.5471854984670755E-12</v>
      </c>
      <c r="G182" s="605">
        <f>Stockpiles!G74</f>
        <v>3.0850042906954099E-11</v>
      </c>
      <c r="H182" s="329" t="s">
        <v>492</v>
      </c>
      <c r="I182" s="124" t="s">
        <v>1285</v>
      </c>
      <c r="J182" s="118">
        <f>F182*'2. Emissions Units &amp; Activities'!$H$21</f>
        <v>1.3000614705878125E-6</v>
      </c>
      <c r="K182" s="121">
        <f>F182*'2. Emissions Units &amp; Activities'!$I$21</f>
        <v>1.3000614705878125E-6</v>
      </c>
      <c r="L182" s="114">
        <f t="shared" si="23"/>
        <v>1.3000614705878125E-6</v>
      </c>
      <c r="M182" s="118">
        <f>G182*'2. Emissions Units &amp; Activities'!$K$21</f>
        <v>6.9408215834553936E-8</v>
      </c>
      <c r="N182" s="119">
        <f>G182*'2. Emissions Units &amp; Activities'!$L$21</f>
        <v>6.9408215834553936E-8</v>
      </c>
      <c r="O182" s="120">
        <f t="shared" si="24"/>
        <v>6.9408215834553936E-8</v>
      </c>
    </row>
    <row r="183" spans="1:15" ht="15.75" thickBot="1" x14ac:dyDescent="0.3">
      <c r="A183" s="125" t="s">
        <v>1204</v>
      </c>
      <c r="B183" s="279" t="s">
        <v>205</v>
      </c>
      <c r="C183" s="123" t="str">
        <f>IFERROR(IF(B183="No CAS","",INDEX('DEQ Pollutant List'!$B$7:$B$611,MATCH('3. Pollutant Emissions - EF'!B183,'DEQ Pollutant List'!$A$7:$A$611,0))),"")</f>
        <v>Copper and compounds</v>
      </c>
      <c r="D183" s="127" t="str">
        <f>IFERROR(IF(OR($B183="",$B183="No CAS"),INDEX('DEQ Pollutant List'!$A$7:$A$611,MATCH($C183,'DEQ Pollutant List'!$C$7:$C$611,0)),INDEX('DEQ Pollutant List'!$A$7:$A$611,MATCH($B183,'DEQ Pollutant List'!$B$7:$B$611,0))),"")</f>
        <v/>
      </c>
      <c r="E183" s="193">
        <v>0.9</v>
      </c>
      <c r="F183" s="116">
        <f>Stockpiles!E75</f>
        <v>4.4445364592028791E-10</v>
      </c>
      <c r="G183" s="605">
        <f>Stockpiles!G75</f>
        <v>1.6042022311616132E-9</v>
      </c>
      <c r="H183" s="329" t="s">
        <v>492</v>
      </c>
      <c r="I183" s="124" t="s">
        <v>1285</v>
      </c>
      <c r="J183" s="118">
        <f>F183*'2. Emissions Units &amp; Activities'!$H$21</f>
        <v>6.7603196470566253E-5</v>
      </c>
      <c r="K183" s="121">
        <f>F183*'2. Emissions Units &amp; Activities'!$I$21</f>
        <v>6.7603196470566253E-5</v>
      </c>
      <c r="L183" s="114">
        <f t="shared" si="23"/>
        <v>6.7603196470566253E-5</v>
      </c>
      <c r="M183" s="118">
        <f>G183*'2. Emissions Units &amp; Activities'!$K$21</f>
        <v>3.6092272233968047E-6</v>
      </c>
      <c r="N183" s="119">
        <f>G183*'2. Emissions Units &amp; Activities'!$L$21</f>
        <v>3.6092272233968047E-6</v>
      </c>
      <c r="O183" s="120">
        <f t="shared" si="24"/>
        <v>3.6092272233968047E-6</v>
      </c>
    </row>
    <row r="184" spans="1:15" ht="15.75" thickBot="1" x14ac:dyDescent="0.3">
      <c r="A184" s="125" t="s">
        <v>1204</v>
      </c>
      <c r="B184" s="279" t="s">
        <v>55</v>
      </c>
      <c r="C184" s="123" t="str">
        <f>IFERROR(IF(B184="No CAS","",INDEX('DEQ Pollutant List'!$B$7:$B$611,MATCH('3. Pollutant Emissions - EF'!B184,'DEQ Pollutant List'!$A$7:$A$611,0))),"")</f>
        <v>Chromium VI, chromate and dichromate particulate</v>
      </c>
      <c r="D184" s="127" t="str">
        <f>IFERROR(IF(OR($B184="",$B184="No CAS"),INDEX('DEQ Pollutant List'!$A$7:$A$611,MATCH($C184,'DEQ Pollutant List'!$C$7:$C$611,0)),INDEX('DEQ Pollutant List'!$A$7:$A$611,MATCH($B184,'DEQ Pollutant List'!$B$7:$B$611,0))),"")</f>
        <v/>
      </c>
      <c r="E184" s="193">
        <v>0.9</v>
      </c>
      <c r="F184" s="116">
        <f>Stockpiles!E76</f>
        <v>6.8086879680788725E-10</v>
      </c>
      <c r="G184" s="605">
        <f>Stockpiles!G76</f>
        <v>2.4575144179679638E-9</v>
      </c>
      <c r="H184" s="329" t="s">
        <v>492</v>
      </c>
      <c r="I184" s="124" t="s">
        <v>1285</v>
      </c>
      <c r="J184" s="118">
        <f>F184*'2. Emissions Units &amp; Activities'!$H$21</f>
        <v>1.0356289674702514E-4</v>
      </c>
      <c r="K184" s="121">
        <f>F184*'2. Emissions Units &amp; Activities'!$I$21</f>
        <v>1.0356289674702514E-4</v>
      </c>
      <c r="L184" s="114">
        <f t="shared" si="23"/>
        <v>1.0356289674702514E-4</v>
      </c>
      <c r="M184" s="118">
        <f>G184*'2. Emissions Units &amp; Activities'!$K$21</f>
        <v>5.5290584733805674E-6</v>
      </c>
      <c r="N184" s="119">
        <f>G184*'2. Emissions Units &amp; Activities'!$L$21</f>
        <v>5.5290584733805674E-6</v>
      </c>
      <c r="O184" s="120">
        <f t="shared" si="24"/>
        <v>5.5290584733805674E-6</v>
      </c>
    </row>
    <row r="185" spans="1:15" ht="15.75" thickBot="1" x14ac:dyDescent="0.3">
      <c r="A185" s="125" t="s">
        <v>1204</v>
      </c>
      <c r="B185" s="279" t="s">
        <v>309</v>
      </c>
      <c r="C185" s="123" t="str">
        <f>IFERROR(IF(B185="No CAS","",INDEX('DEQ Pollutant List'!$B$7:$B$611,MATCH('3. Pollutant Emissions - EF'!B185,'DEQ Pollutant List'!$A$7:$A$611,0))),"")</f>
        <v>Mercury and compounds</v>
      </c>
      <c r="D185" s="127" t="str">
        <f>IFERROR(IF(OR($B185="",$B185="No CAS"),INDEX('DEQ Pollutant List'!$A$7:$A$611,MATCH($C185,'DEQ Pollutant List'!$C$7:$C$611,0)),INDEX('DEQ Pollutant List'!$A$7:$A$611,MATCH($B185,'DEQ Pollutant List'!$B$7:$B$611,0))),"")</f>
        <v/>
      </c>
      <c r="E185" s="193">
        <v>0.9</v>
      </c>
      <c r="F185" s="116">
        <f>Stockpiles!E77</f>
        <v>1.7094370996934151E-12</v>
      </c>
      <c r="G185" s="605">
        <f>Stockpiles!G77</f>
        <v>6.1700085813908199E-12</v>
      </c>
      <c r="H185" s="329" t="s">
        <v>492</v>
      </c>
      <c r="I185" s="124" t="s">
        <v>1285</v>
      </c>
      <c r="J185" s="118">
        <f>F185*'2. Emissions Units &amp; Activities'!$H$21</f>
        <v>2.6001229411756248E-7</v>
      </c>
      <c r="K185" s="121">
        <f>F185*'2. Emissions Units &amp; Activities'!$I$21</f>
        <v>2.6001229411756248E-7</v>
      </c>
      <c r="L185" s="114">
        <f t="shared" si="23"/>
        <v>2.6001229411756248E-7</v>
      </c>
      <c r="M185" s="118">
        <f>G185*'2. Emissions Units &amp; Activities'!$K$21</f>
        <v>1.3881643166910789E-8</v>
      </c>
      <c r="N185" s="119">
        <f>G185*'2. Emissions Units &amp; Activities'!$L$21</f>
        <v>1.3881643166910789E-8</v>
      </c>
      <c r="O185" s="120">
        <f t="shared" si="24"/>
        <v>1.3881643166910789E-8</v>
      </c>
    </row>
    <row r="186" spans="1:15" ht="15.75" thickBot="1" x14ac:dyDescent="0.3">
      <c r="A186" s="125" t="s">
        <v>1204</v>
      </c>
      <c r="B186" s="279" t="s">
        <v>181</v>
      </c>
      <c r="C186" s="123" t="str">
        <f>IFERROR(IF(B186="No CAS","",INDEX('DEQ Pollutant List'!$B$7:$B$611,MATCH('3. Pollutant Emissions - EF'!B186,'DEQ Pollutant List'!$A$7:$A$611,0))),"")</f>
        <v>Manganese and compounds</v>
      </c>
      <c r="D186" s="127" t="str">
        <f>IFERROR(IF(OR($B186="",$B186="No CAS"),INDEX('DEQ Pollutant List'!$A$7:$A$611,MATCH($C186,'DEQ Pollutant List'!$C$7:$C$611,0)),INDEX('DEQ Pollutant List'!$A$7:$A$611,MATCH($B186,'DEQ Pollutant List'!$B$7:$B$611,0))),"")</f>
        <v/>
      </c>
      <c r="E186" s="193">
        <v>0.9</v>
      </c>
      <c r="F186" s="116">
        <f>Stockpiles!E78</f>
        <v>4.2992343057289383E-8</v>
      </c>
      <c r="G186" s="605">
        <f>Stockpiles!G78</f>
        <v>1.5517571582197907E-7</v>
      </c>
      <c r="H186" s="329" t="s">
        <v>492</v>
      </c>
      <c r="I186" s="124" t="s">
        <v>1285</v>
      </c>
      <c r="J186" s="118">
        <f>F186*'2. Emissions Units &amp; Activities'!$H$21</f>
        <v>6.5393091970566957E-3</v>
      </c>
      <c r="K186" s="121">
        <f>F186*'2. Emissions Units &amp; Activities'!$I$21</f>
        <v>6.5393091970566957E-3</v>
      </c>
      <c r="L186" s="114">
        <f t="shared" si="23"/>
        <v>6.5393091970566957E-3</v>
      </c>
      <c r="M186" s="118">
        <f>G186*'2. Emissions Units &amp; Activities'!$K$21</f>
        <v>3.491233256478062E-4</v>
      </c>
      <c r="N186" s="119">
        <f>G186*'2. Emissions Units &amp; Activities'!$L$21</f>
        <v>3.491233256478062E-4</v>
      </c>
      <c r="O186" s="120">
        <f t="shared" si="24"/>
        <v>3.491233256478062E-4</v>
      </c>
    </row>
    <row r="187" spans="1:15" ht="15.75" thickBot="1" x14ac:dyDescent="0.3">
      <c r="A187" s="125" t="s">
        <v>1204</v>
      </c>
      <c r="B187" s="279" t="s">
        <v>66</v>
      </c>
      <c r="C187" s="123" t="str">
        <f>IFERROR(IF(B187="No CAS","",INDEX('DEQ Pollutant List'!$B$7:$B$611,MATCH('3. Pollutant Emissions - EF'!B187,'DEQ Pollutant List'!$A$7:$A$611,0))),"")</f>
        <v>Molybdenum trioxide</v>
      </c>
      <c r="D187" s="127" t="str">
        <f>IFERROR(IF(OR($B187="",$B187="No CAS"),INDEX('DEQ Pollutant List'!$A$7:$A$611,MATCH($C187,'DEQ Pollutant List'!$C$7:$C$611,0)),INDEX('DEQ Pollutant List'!$A$7:$A$611,MATCH($B187,'DEQ Pollutant List'!$B$7:$B$611,0))),"")</f>
        <v/>
      </c>
      <c r="E187" s="193">
        <v>0.9</v>
      </c>
      <c r="F187" s="116">
        <f>Stockpiles!E79</f>
        <v>7.945056503729369E-10</v>
      </c>
      <c r="G187" s="605">
        <f>Stockpiles!G79</f>
        <v>2.8676730378928246E-9</v>
      </c>
      <c r="H187" s="329" t="s">
        <v>492</v>
      </c>
      <c r="I187" s="124" t="s">
        <v>1285</v>
      </c>
      <c r="J187" s="118">
        <f>F187*'2. Emissions Units &amp; Activities'!$H$21</f>
        <v>1.2084752160806817E-4</v>
      </c>
      <c r="K187" s="121">
        <f>F187*'2. Emissions Units &amp; Activities'!$I$21</f>
        <v>1.2084752160806817E-4</v>
      </c>
      <c r="L187" s="114">
        <f t="shared" si="23"/>
        <v>1.2084752160806817E-4</v>
      </c>
      <c r="M187" s="118">
        <f>G187*'2. Emissions Units &amp; Activities'!$K$21</f>
        <v>6.451857125687475E-6</v>
      </c>
      <c r="N187" s="119">
        <f>G187*'2. Emissions Units &amp; Activities'!$L$21</f>
        <v>6.451857125687475E-6</v>
      </c>
      <c r="O187" s="120">
        <f t="shared" si="24"/>
        <v>6.451857125687475E-6</v>
      </c>
    </row>
    <row r="188" spans="1:15" ht="15.75" thickBot="1" x14ac:dyDescent="0.3">
      <c r="A188" s="125" t="s">
        <v>1204</v>
      </c>
      <c r="B188" s="279" t="s">
        <v>212</v>
      </c>
      <c r="C188" s="123" t="str">
        <f>IFERROR(IF(B188="No CAS","",INDEX('DEQ Pollutant List'!$B$7:$B$611,MATCH('3. Pollutant Emissions - EF'!B188,'DEQ Pollutant List'!$A$7:$A$611,0))),"")</f>
        <v>Nickel and compounds</v>
      </c>
      <c r="D188" s="127" t="str">
        <f>IFERROR(IF(OR($B188="",$B188="No CAS"),INDEX('DEQ Pollutant List'!$A$7:$A$611,MATCH($C188,'DEQ Pollutant List'!$C$7:$C$611,0)),INDEX('DEQ Pollutant List'!$A$7:$A$611,MATCH($B188,'DEQ Pollutant List'!$B$7:$B$611,0))),"")</f>
        <v/>
      </c>
      <c r="E188" s="193">
        <v>0.9</v>
      </c>
      <c r="F188" s="116">
        <f>Stockpiles!E80</f>
        <v>1.7094370996934147E-10</v>
      </c>
      <c r="G188" s="605">
        <f>Stockpiles!G80</f>
        <v>6.170008581390819E-10</v>
      </c>
      <c r="H188" s="329" t="s">
        <v>492</v>
      </c>
      <c r="I188" s="124" t="s">
        <v>1285</v>
      </c>
      <c r="J188" s="118">
        <f>F188*'2. Emissions Units &amp; Activities'!$H$21</f>
        <v>2.6001229411756245E-5</v>
      </c>
      <c r="K188" s="121">
        <f>F188*'2. Emissions Units &amp; Activities'!$I$21</f>
        <v>2.6001229411756245E-5</v>
      </c>
      <c r="L188" s="114">
        <f t="shared" si="23"/>
        <v>2.6001229411756245E-5</v>
      </c>
      <c r="M188" s="118">
        <f>G188*'2. Emissions Units &amp; Activities'!$K$21</f>
        <v>1.3881643166910786E-6</v>
      </c>
      <c r="N188" s="119">
        <f>G188*'2. Emissions Units &amp; Activities'!$L$21</f>
        <v>1.3881643166910786E-6</v>
      </c>
      <c r="O188" s="120">
        <f t="shared" si="24"/>
        <v>1.3881643166910786E-6</v>
      </c>
    </row>
    <row r="189" spans="1:15" ht="15.75" thickBot="1" x14ac:dyDescent="0.3">
      <c r="A189" s="125" t="s">
        <v>1204</v>
      </c>
      <c r="B189" s="279" t="s">
        <v>310</v>
      </c>
      <c r="C189" s="123" t="str">
        <f>IFERROR(IF(B189="No CAS","",INDEX('DEQ Pollutant List'!$B$7:$B$611,MATCH('3. Pollutant Emissions - EF'!B189,'DEQ Pollutant List'!$A$7:$A$611,0))),"")</f>
        <v>Lead and compounds</v>
      </c>
      <c r="D189" s="127" t="str">
        <f>IFERROR(IF(OR($B189="",$B189="No CAS"),INDEX('DEQ Pollutant List'!$A$7:$A$611,MATCH($C189,'DEQ Pollutant List'!$C$7:$C$611,0)),INDEX('DEQ Pollutant List'!$A$7:$A$611,MATCH($B189,'DEQ Pollutant List'!$B$7:$B$611,0))),"")</f>
        <v/>
      </c>
      <c r="E189" s="193">
        <v>0.9</v>
      </c>
      <c r="F189" s="116">
        <f>Stockpiles!E81</f>
        <v>2.1367963746167689E-9</v>
      </c>
      <c r="G189" s="605">
        <f>Stockpiles!G81</f>
        <v>7.7125107267385245E-9</v>
      </c>
      <c r="H189" s="329" t="s">
        <v>492</v>
      </c>
      <c r="I189" s="124" t="s">
        <v>1285</v>
      </c>
      <c r="J189" s="118">
        <f>F189*'2. Emissions Units &amp; Activities'!$H$21</f>
        <v>3.2501536764695314E-4</v>
      </c>
      <c r="K189" s="121">
        <f>F189*'2. Emissions Units &amp; Activities'!$I$21</f>
        <v>3.2501536764695314E-4</v>
      </c>
      <c r="L189" s="114">
        <f t="shared" si="23"/>
        <v>3.2501536764695314E-4</v>
      </c>
      <c r="M189" s="118">
        <f>G189*'2. Emissions Units &amp; Activities'!$K$21</f>
        <v>1.7352053958638484E-5</v>
      </c>
      <c r="N189" s="119">
        <f>G189*'2. Emissions Units &amp; Activities'!$L$21</f>
        <v>1.7352053958638484E-5</v>
      </c>
      <c r="O189" s="120">
        <f t="shared" si="24"/>
        <v>1.7352053958638484E-5</v>
      </c>
    </row>
    <row r="190" spans="1:15" ht="15.75" thickBot="1" x14ac:dyDescent="0.3">
      <c r="A190" s="125" t="s">
        <v>1204</v>
      </c>
      <c r="B190" s="279" t="s">
        <v>311</v>
      </c>
      <c r="C190" s="123" t="str">
        <f>IFERROR(IF(B190="No CAS","",INDEX('DEQ Pollutant List'!$B$7:$B$611,MATCH('3. Pollutant Emissions - EF'!B190,'DEQ Pollutant List'!$A$7:$A$611,0))),"")</f>
        <v>Antimony and compounds</v>
      </c>
      <c r="D190" s="127" t="str">
        <f>IFERROR(IF(OR($B190="",$B190="No CAS"),INDEX('DEQ Pollutant List'!$A$7:$A$611,MATCH($C190,'DEQ Pollutant List'!$C$7:$C$611,0)),INDEX('DEQ Pollutant List'!$A$7:$A$611,MATCH($B190,'DEQ Pollutant List'!$B$7:$B$611,0))),"")</f>
        <v/>
      </c>
      <c r="E190" s="193">
        <v>0.9</v>
      </c>
      <c r="F190" s="116">
        <f>Stockpiles!E82</f>
        <v>3.1624586344328174E-11</v>
      </c>
      <c r="G190" s="605">
        <f>Stockpiles!G82</f>
        <v>1.1414515875573016E-10</v>
      </c>
      <c r="H190" s="329" t="s">
        <v>492</v>
      </c>
      <c r="I190" s="124" t="s">
        <v>1285</v>
      </c>
      <c r="J190" s="118">
        <f>F190*'2. Emissions Units &amp; Activities'!$H$21</f>
        <v>4.8102274411749056E-6</v>
      </c>
      <c r="K190" s="121">
        <f>F190*'2. Emissions Units &amp; Activities'!$I$21</f>
        <v>4.8102274411749056E-6</v>
      </c>
      <c r="L190" s="114">
        <f t="shared" si="23"/>
        <v>4.8102274411749056E-6</v>
      </c>
      <c r="M190" s="118">
        <f>G190*'2. Emissions Units &amp; Activities'!$K$21</f>
        <v>2.5681039858784954E-7</v>
      </c>
      <c r="N190" s="119">
        <f>G190*'2. Emissions Units &amp; Activities'!$L$21</f>
        <v>2.5681039858784954E-7</v>
      </c>
      <c r="O190" s="120">
        <f t="shared" si="24"/>
        <v>2.5681039858784954E-7</v>
      </c>
    </row>
    <row r="191" spans="1:15" ht="15.75" thickBot="1" x14ac:dyDescent="0.3">
      <c r="A191" s="125" t="s">
        <v>1204</v>
      </c>
      <c r="B191" s="279" t="s">
        <v>312</v>
      </c>
      <c r="C191" s="123" t="str">
        <f>IFERROR(IF(B191="No CAS","",INDEX('DEQ Pollutant List'!$B$7:$B$611,MATCH('3. Pollutant Emissions - EF'!B191,'DEQ Pollutant List'!$A$7:$A$611,0))),"")</f>
        <v>Selenium and compounds</v>
      </c>
      <c r="D191" s="127" t="str">
        <f>IFERROR(IF(OR($B191="",$B191="No CAS"),INDEX('DEQ Pollutant List'!$A$7:$A$611,MATCH($C191,'DEQ Pollutant List'!$C$7:$C$611,0)),INDEX('DEQ Pollutant List'!$A$7:$A$611,MATCH($B191,'DEQ Pollutant List'!$B$7:$B$611,0))),"")</f>
        <v/>
      </c>
      <c r="E191" s="193">
        <v>0.9</v>
      </c>
      <c r="F191" s="116">
        <f>Stockpiles!E83</f>
        <v>1.6239652447087444E-11</v>
      </c>
      <c r="G191" s="605">
        <f>Stockpiles!G83</f>
        <v>5.8615081523212789E-11</v>
      </c>
      <c r="H191" s="329" t="s">
        <v>492</v>
      </c>
      <c r="I191" s="124" t="s">
        <v>1285</v>
      </c>
      <c r="J191" s="118">
        <f>F191*'2. Emissions Units &amp; Activities'!$H$21</f>
        <v>2.470116794116844E-6</v>
      </c>
      <c r="K191" s="121">
        <f>F191*'2. Emissions Units &amp; Activities'!$I$21</f>
        <v>2.470116794116844E-6</v>
      </c>
      <c r="L191" s="114">
        <f t="shared" si="23"/>
        <v>2.470116794116844E-6</v>
      </c>
      <c r="M191" s="118">
        <f>G191*'2. Emissions Units &amp; Activities'!$K$21</f>
        <v>1.318756100856525E-7</v>
      </c>
      <c r="N191" s="119">
        <f>G191*'2. Emissions Units &amp; Activities'!$L$21</f>
        <v>1.318756100856525E-7</v>
      </c>
      <c r="O191" s="120">
        <f t="shared" si="24"/>
        <v>1.318756100856525E-7</v>
      </c>
    </row>
    <row r="192" spans="1:15" ht="15.75" thickBot="1" x14ac:dyDescent="0.3">
      <c r="A192" s="125" t="s">
        <v>1204</v>
      </c>
      <c r="B192" s="279" t="s">
        <v>314</v>
      </c>
      <c r="C192" s="123" t="str">
        <f>IFERROR(IF(B192="No CAS","",INDEX('DEQ Pollutant List'!$B$7:$B$611,MATCH('3. Pollutant Emissions - EF'!B192,'DEQ Pollutant List'!$A$7:$A$611,0))),"")</f>
        <v>Thallium and compounds</v>
      </c>
      <c r="D192" s="127" t="str">
        <f>IFERROR(IF(OR($B192="",$B192="No CAS"),INDEX('DEQ Pollutant List'!$A$7:$A$611,MATCH($C192,'DEQ Pollutant List'!$C$7:$C$611,0)),INDEX('DEQ Pollutant List'!$A$7:$A$611,MATCH($B192,'DEQ Pollutant List'!$B$7:$B$611,0))),"")</f>
        <v/>
      </c>
      <c r="E192" s="193">
        <v>0.9</v>
      </c>
      <c r="F192" s="116">
        <f>Stockpiles!E84</f>
        <v>3.7522144338270458E-11</v>
      </c>
      <c r="G192" s="605">
        <f>Stockpiles!G84</f>
        <v>1.354316883615285E-10</v>
      </c>
      <c r="H192" s="329" t="s">
        <v>492</v>
      </c>
      <c r="I192" s="124" t="s">
        <v>1285</v>
      </c>
      <c r="J192" s="118">
        <f>F192*'2. Emissions Units &amp; Activities'!$H$21</f>
        <v>5.7072698558804967E-6</v>
      </c>
      <c r="K192" s="121">
        <f>F192*'2. Emissions Units &amp; Activities'!$I$21</f>
        <v>5.7072698558804967E-6</v>
      </c>
      <c r="L192" s="114">
        <f t="shared" si="23"/>
        <v>5.7072698558804967E-6</v>
      </c>
      <c r="M192" s="118">
        <f>G192*'2. Emissions Units &amp; Activities'!$K$21</f>
        <v>3.0470206751369182E-7</v>
      </c>
      <c r="N192" s="119">
        <f>G192*'2. Emissions Units &amp; Activities'!$L$21</f>
        <v>3.0470206751369182E-7</v>
      </c>
      <c r="O192" s="120">
        <f t="shared" si="24"/>
        <v>3.0470206751369182E-7</v>
      </c>
    </row>
    <row r="193" spans="1:30" ht="15.75" thickBot="1" x14ac:dyDescent="0.3">
      <c r="A193" s="125" t="s">
        <v>1204</v>
      </c>
      <c r="B193" s="279" t="s">
        <v>315</v>
      </c>
      <c r="C193" s="123" t="str">
        <f>IFERROR(IF(B193="No CAS","",INDEX('DEQ Pollutant List'!$B$7:$B$611,MATCH('3. Pollutant Emissions - EF'!B193,'DEQ Pollutant List'!$A$7:$A$611,0))),"")</f>
        <v>Zinc and compounds</v>
      </c>
      <c r="D193" s="127" t="str">
        <f>IFERROR(IF(OR($B193="",$B193="No CAS"),INDEX('DEQ Pollutant List'!$A$7:$A$611,MATCH($C193,'DEQ Pollutant List'!$C$7:$C$611,0)),INDEX('DEQ Pollutant List'!$A$7:$A$611,MATCH($B193,'DEQ Pollutant List'!$B$7:$B$611,0))),"")</f>
        <v/>
      </c>
      <c r="E193" s="193">
        <v>0.9</v>
      </c>
      <c r="F193" s="116">
        <f>Stockpiles!E85</f>
        <v>2.4786837945554512E-9</v>
      </c>
      <c r="G193" s="605">
        <f>Stockpiles!G85</f>
        <v>8.9465124430166864E-9</v>
      </c>
      <c r="H193" s="329" t="s">
        <v>492</v>
      </c>
      <c r="I193" s="124" t="s">
        <v>1285</v>
      </c>
      <c r="J193" s="118">
        <f>F193*'2. Emissions Units &amp; Activities'!$H$21</f>
        <v>3.7701782647046552E-4</v>
      </c>
      <c r="K193" s="121">
        <f>F193*'2. Emissions Units &amp; Activities'!$I$21</f>
        <v>3.7701782647046552E-4</v>
      </c>
      <c r="L193" s="114">
        <f t="shared" si="23"/>
        <v>3.7701782647046552E-4</v>
      </c>
      <c r="M193" s="118">
        <f>G193*'2. Emissions Units &amp; Activities'!$K$21</f>
        <v>2.0128382592020637E-5</v>
      </c>
      <c r="N193" s="119">
        <f>G193*'2. Emissions Units &amp; Activities'!$L$21</f>
        <v>2.0128382592020637E-5</v>
      </c>
      <c r="O193" s="120">
        <f t="shared" si="24"/>
        <v>2.0128382592020637E-5</v>
      </c>
    </row>
    <row r="194" spans="1:30" ht="15.75" thickBot="1" x14ac:dyDescent="0.3">
      <c r="A194" s="125" t="s">
        <v>1204</v>
      </c>
      <c r="B194" s="279" t="s">
        <v>142</v>
      </c>
      <c r="C194" s="123" t="str">
        <f>IFERROR(IF(B194="No CAS","",INDEX('DEQ Pollutant List'!$B$7:$B$611,MATCH('3. Pollutant Emissions - EF'!B194,'DEQ Pollutant List'!$A$7:$A$611,0))),"")</f>
        <v>Barium and compounds</v>
      </c>
      <c r="D194" s="127" t="str">
        <f>IFERROR(IF(OR($B194="",$B194="No CAS"),INDEX('DEQ Pollutant List'!$A$7:$A$611,MATCH($C194,'DEQ Pollutant List'!$C$7:$C$611,0)),INDEX('DEQ Pollutant List'!$A$7:$A$611,MATCH($B194,'DEQ Pollutant List'!$B$7:$B$611,0))),"")</f>
        <v/>
      </c>
      <c r="E194" s="193">
        <v>0.9</v>
      </c>
      <c r="F194" s="116">
        <f>Stockpiles!E86</f>
        <v>1.7094370996934151E-8</v>
      </c>
      <c r="G194" s="605">
        <f>Stockpiles!G86</f>
        <v>6.1700085813908196E-8</v>
      </c>
      <c r="H194" s="329" t="s">
        <v>492</v>
      </c>
      <c r="I194" s="124" t="s">
        <v>1285</v>
      </c>
      <c r="J194" s="118">
        <f>F194*'2. Emissions Units &amp; Activities'!$H$21</f>
        <v>2.6001229411756251E-3</v>
      </c>
      <c r="K194" s="121">
        <f>F194*'2. Emissions Units &amp; Activities'!$I$21</f>
        <v>2.6001229411756251E-3</v>
      </c>
      <c r="L194" s="114">
        <f t="shared" si="23"/>
        <v>2.6001229411756251E-3</v>
      </c>
      <c r="M194" s="118">
        <f>G194*'2. Emissions Units &amp; Activities'!$K$21</f>
        <v>1.3881643166910787E-4</v>
      </c>
      <c r="N194" s="119">
        <f>G194*'2. Emissions Units &amp; Activities'!$L$21</f>
        <v>1.3881643166910787E-4</v>
      </c>
      <c r="O194" s="120">
        <f t="shared" si="24"/>
        <v>1.3881643166910787E-4</v>
      </c>
    </row>
    <row r="195" spans="1:30" ht="15.75" thickBot="1" x14ac:dyDescent="0.3">
      <c r="A195" s="125" t="s">
        <v>1204</v>
      </c>
      <c r="B195" s="279">
        <v>504</v>
      </c>
      <c r="C195" s="123" t="str">
        <f>IFERROR(IF(B195="No CAS","",INDEX('DEQ Pollutant List'!$B$7:$B$611,MATCH('3. Pollutant Emissions - EF'!B195,'DEQ Pollutant List'!$A$7:$A$611,0))),"")</f>
        <v>Phosphorus and compounds</v>
      </c>
      <c r="D195" s="127" t="str">
        <f>IFERROR(IF(OR($B195="",$B195="No CAS"),INDEX('DEQ Pollutant List'!$A$7:$A$611,MATCH($C195,'DEQ Pollutant List'!$C$7:$C$611,0)),INDEX('DEQ Pollutant List'!$A$7:$A$611,MATCH($B195,'DEQ Pollutant List'!$B$7:$B$611,0))),"")</f>
        <v/>
      </c>
      <c r="E195" s="193">
        <v>0.9</v>
      </c>
      <c r="F195" s="116">
        <f>Stockpiles!E87</f>
        <v>2.8205712144941348E-9</v>
      </c>
      <c r="G195" s="605">
        <f>Stockpiles!G87</f>
        <v>1.0180514159294852E-8</v>
      </c>
      <c r="H195" s="329" t="s">
        <v>492</v>
      </c>
      <c r="I195" s="124" t="s">
        <v>1285</v>
      </c>
      <c r="J195" s="118">
        <f>F195*'2. Emissions Units &amp; Activities'!$H$21</f>
        <v>4.2902028529397812E-4</v>
      </c>
      <c r="K195" s="121">
        <f>F195*'2. Emissions Units &amp; Activities'!$I$21</f>
        <v>4.2902028529397812E-4</v>
      </c>
      <c r="L195" s="114">
        <f t="shared" si="23"/>
        <v>4.2902028529397812E-4</v>
      </c>
      <c r="M195" s="118">
        <f>G195*'2. Emissions Units &amp; Activities'!$K$21</f>
        <v>2.2904711225402797E-5</v>
      </c>
      <c r="N195" s="119">
        <f>G195*'2. Emissions Units &amp; Activities'!$L$21</f>
        <v>2.2904711225402797E-5</v>
      </c>
      <c r="O195" s="120">
        <f t="shared" si="24"/>
        <v>2.2904711225402797E-5</v>
      </c>
    </row>
    <row r="196" spans="1:30" ht="15.75" thickBot="1" x14ac:dyDescent="0.3">
      <c r="A196" s="125" t="s">
        <v>1204</v>
      </c>
      <c r="B196" s="279" t="s">
        <v>316</v>
      </c>
      <c r="C196" s="123" t="str">
        <f>IFERROR(IF(B196="No CAS","",INDEX('DEQ Pollutant List'!$B$7:$B$611,MATCH('3. Pollutant Emissions - EF'!B196,'DEQ Pollutant List'!$A$7:$A$611,0))),"")</f>
        <v>Phosphorus pentoxide</v>
      </c>
      <c r="D196" s="127"/>
      <c r="E196" s="193">
        <v>0.9</v>
      </c>
      <c r="F196" s="116">
        <f>Stockpiles!E88</f>
        <v>6.8377483987736599E-9</v>
      </c>
      <c r="G196" s="605">
        <f>Stockpiles!G88</f>
        <v>2.4680034325563278E-8</v>
      </c>
      <c r="H196" s="329" t="s">
        <v>492</v>
      </c>
      <c r="I196" s="124" t="s">
        <v>1285</v>
      </c>
      <c r="J196" s="118">
        <f>F196*'2. Emissions Units &amp; Activities'!$H$21</f>
        <v>1.04004917647025E-3</v>
      </c>
      <c r="K196" s="121">
        <f>F196*'2. Emissions Units &amp; Activities'!$I$21</f>
        <v>1.04004917647025E-3</v>
      </c>
      <c r="L196" s="114">
        <f t="shared" si="23"/>
        <v>1.04004917647025E-3</v>
      </c>
      <c r="M196" s="118">
        <f>G196*'2. Emissions Units &amp; Activities'!$K$21</f>
        <v>5.5526572667643148E-5</v>
      </c>
      <c r="N196" s="119">
        <f>G196*'2. Emissions Units &amp; Activities'!$L$21</f>
        <v>5.5526572667643148E-5</v>
      </c>
      <c r="O196" s="120">
        <f t="shared" si="24"/>
        <v>5.5526572667643148E-5</v>
      </c>
    </row>
    <row r="197" spans="1:30" ht="15.75" thickBot="1" x14ac:dyDescent="0.3">
      <c r="A197" s="125" t="s">
        <v>1204</v>
      </c>
      <c r="B197" s="279" t="s">
        <v>183</v>
      </c>
      <c r="C197" s="123" t="str">
        <f>IFERROR(IF(B197="No CAS","",INDEX('DEQ Pollutant List'!$B$7:$B$611,MATCH('3. Pollutant Emissions - EF'!B197,'DEQ Pollutant List'!$A$7:$A$611,0))),"")</f>
        <v>Silica, crystalline (respirable)</v>
      </c>
      <c r="D197" s="127"/>
      <c r="E197" s="193">
        <v>0.9</v>
      </c>
      <c r="F197" s="116">
        <f>Stockpiles!E89</f>
        <v>3.1851086760037552E-6</v>
      </c>
      <c r="G197" s="605">
        <f>Stockpiles!G89</f>
        <v>1.1496268489276442E-5</v>
      </c>
      <c r="H197" s="329" t="s">
        <v>492</v>
      </c>
      <c r="I197" s="124" t="s">
        <v>1285</v>
      </c>
      <c r="J197" s="118">
        <f>F197*'2. Emissions Units &amp; Activities'!$H$21</f>
        <v>0.48446790701454828</v>
      </c>
      <c r="K197" s="121">
        <f>F197*'2. Emissions Units &amp; Activities'!$I$21</f>
        <v>0.48446790701454828</v>
      </c>
      <c r="L197" s="114">
        <f t="shared" si="23"/>
        <v>0.48446790701454828</v>
      </c>
      <c r="M197" s="118">
        <f>G197*'2. Emissions Units &amp; Activities'!$K$21</f>
        <v>2.5864971630746518E-2</v>
      </c>
      <c r="N197" s="119">
        <f>G197*'2. Emissions Units &amp; Activities'!$L$21</f>
        <v>2.5864971630746518E-2</v>
      </c>
      <c r="O197" s="120">
        <f t="shared" si="24"/>
        <v>2.5864971630746518E-2</v>
      </c>
    </row>
    <row r="198" spans="1:30" ht="15.75" thickBot="1" x14ac:dyDescent="0.3">
      <c r="A198" s="125" t="s">
        <v>1204</v>
      </c>
      <c r="B198" s="279" t="s">
        <v>317</v>
      </c>
      <c r="C198" s="123" t="str">
        <f>IFERROR(IF(B198="No CAS","",INDEX('DEQ Pollutant List'!$B$7:$B$611,MATCH('3. Pollutant Emissions - EF'!B198,'DEQ Pollutant List'!$A$7:$A$611,0))),"")</f>
        <v>Sulfur trioxide</v>
      </c>
      <c r="D198" s="127"/>
      <c r="E198" s="193">
        <v>0.9</v>
      </c>
      <c r="F198" s="116">
        <f>Stockpiles!E90</f>
        <v>2.1367963746167689E-9</v>
      </c>
      <c r="G198" s="605">
        <f>Stockpiles!G90</f>
        <v>7.7125107267385245E-9</v>
      </c>
      <c r="H198" s="329" t="s">
        <v>492</v>
      </c>
      <c r="I198" s="124" t="s">
        <v>1285</v>
      </c>
      <c r="J198" s="118">
        <f>F198*'2. Emissions Units &amp; Activities'!$H$21</f>
        <v>3.2501536764695314E-4</v>
      </c>
      <c r="K198" s="121">
        <f>F198*'2. Emissions Units &amp; Activities'!$I$21</f>
        <v>3.2501536764695314E-4</v>
      </c>
      <c r="L198" s="114">
        <f t="shared" si="23"/>
        <v>3.2501536764695314E-4</v>
      </c>
      <c r="M198" s="118">
        <f>G198*'2. Emissions Units &amp; Activities'!$K$21</f>
        <v>1.7352053958638484E-5</v>
      </c>
      <c r="N198" s="119">
        <f>G198*'2. Emissions Units &amp; Activities'!$L$21</f>
        <v>1.7352053958638484E-5</v>
      </c>
      <c r="O198" s="120">
        <f t="shared" si="24"/>
        <v>1.7352053958638484E-5</v>
      </c>
    </row>
    <row r="199" spans="1:30" s="749" customFormat="1" ht="15.75" thickBot="1" x14ac:dyDescent="0.3">
      <c r="A199" s="198" t="s">
        <v>1204</v>
      </c>
      <c r="B199" s="280" t="s">
        <v>318</v>
      </c>
      <c r="C199" s="216" t="str">
        <f>IFERROR(IF(B199="No CAS","",INDEX('DEQ Pollutant List'!$B$7:$B$611,MATCH('3. Pollutant Emissions - EF'!B199,'DEQ Pollutant List'!$A$7:$A$611,0))),"")</f>
        <v>Vanadium pentoxide</v>
      </c>
      <c r="D199" s="189"/>
      <c r="E199" s="193">
        <v>0.9</v>
      </c>
      <c r="F199" s="202">
        <f>Stockpiles!E91</f>
        <v>2.1367963746167689E-9</v>
      </c>
      <c r="G199" s="605">
        <f>Stockpiles!G91</f>
        <v>7.7125107267385245E-9</v>
      </c>
      <c r="H199" s="330" t="s">
        <v>492</v>
      </c>
      <c r="I199" s="124" t="s">
        <v>1285</v>
      </c>
      <c r="J199" s="232">
        <f>F199*'2. Emissions Units &amp; Activities'!$H$21</f>
        <v>3.2501536764695314E-4</v>
      </c>
      <c r="K199" s="233">
        <f>F199*'2. Emissions Units &amp; Activities'!$I$21</f>
        <v>3.2501536764695314E-4</v>
      </c>
      <c r="L199" s="234">
        <f t="shared" si="23"/>
        <v>3.2501536764695314E-4</v>
      </c>
      <c r="M199" s="232">
        <f>G199*'2. Emissions Units &amp; Activities'!$K$21</f>
        <v>1.7352053958638484E-5</v>
      </c>
      <c r="N199" s="235">
        <f>G199*'2. Emissions Units &amp; Activities'!$L$21</f>
        <v>1.7352053958638484E-5</v>
      </c>
      <c r="O199" s="236">
        <f t="shared" si="24"/>
        <v>1.7352053958638484E-5</v>
      </c>
      <c r="P199" s="2"/>
      <c r="Q199" s="2"/>
      <c r="R199" s="2"/>
      <c r="S199" s="2"/>
      <c r="T199" s="2"/>
      <c r="U199" s="2"/>
      <c r="V199" s="2"/>
      <c r="W199" s="2"/>
      <c r="X199" s="2"/>
      <c r="Y199" s="2"/>
      <c r="Z199" s="2"/>
      <c r="AA199" s="2"/>
      <c r="AB199" s="2"/>
      <c r="AC199" s="2"/>
      <c r="AD199" s="2"/>
    </row>
    <row r="200" spans="1:30" ht="15.75" thickBot="1" x14ac:dyDescent="0.3">
      <c r="A200" s="191" t="s">
        <v>1207</v>
      </c>
      <c r="B200" s="285" t="s">
        <v>305</v>
      </c>
      <c r="C200" s="214" t="str">
        <f>IFERROR(IF(B200="No CAS","",INDEX('DEQ Pollutant List'!$B$7:$B$611,MATCH('3. Pollutant Emissions - EF'!B200,'DEQ Pollutant List'!$A$7:$A$611,0))),"")</f>
        <v>Silver and compounds</v>
      </c>
      <c r="D200" s="192" t="str">
        <f>IFERROR(IF(OR($B200="",$B200="No CAS"),INDEX('DEQ Pollutant List'!$A$7:$A$611,MATCH($C200,'DEQ Pollutant List'!$C$7:$C$611,0)),INDEX('DEQ Pollutant List'!$A$7:$A$611,MATCH($B200,'DEQ Pollutant List'!$B$7:$B$611,0))),"")</f>
        <v/>
      </c>
      <c r="E200" s="193">
        <v>0.9</v>
      </c>
      <c r="F200" s="197">
        <f>Stockpiles!E97</f>
        <v>1.6453116390070921E-5</v>
      </c>
      <c r="G200" s="194">
        <f>Stockpiles!G97</f>
        <v>2.9338061465721032E-7</v>
      </c>
      <c r="H200" s="115" t="s">
        <v>1286</v>
      </c>
      <c r="I200" s="196" t="s">
        <v>1287</v>
      </c>
      <c r="J200" s="282">
        <f>F200*'2. Emissions Units &amp; Activities'!$H$22</f>
        <v>1.8171475602883617E-5</v>
      </c>
      <c r="K200" s="286">
        <f>F200*'2. Emissions Units &amp; Activities'!$I$22</f>
        <v>1.8171475602883617E-5</v>
      </c>
      <c r="L200" s="281">
        <f t="shared" si="23"/>
        <v>1.8171475602883617E-5</v>
      </c>
      <c r="M200" s="282">
        <f>G200*'2. Emissions Units &amp; Activities'!$K$22</f>
        <v>3.2402121003773665E-7</v>
      </c>
      <c r="N200" s="283">
        <f>G200*'2. Emissions Units &amp; Activities'!$L$22</f>
        <v>3.2402121003773665E-7</v>
      </c>
      <c r="O200" s="284">
        <f t="shared" si="24"/>
        <v>3.2402121003773665E-7</v>
      </c>
    </row>
    <row r="201" spans="1:30" ht="15.75" thickBot="1" x14ac:dyDescent="0.3">
      <c r="A201" s="125" t="s">
        <v>1207</v>
      </c>
      <c r="B201" s="279" t="s">
        <v>190</v>
      </c>
      <c r="C201" s="123" t="str">
        <f>IFERROR(IF(B201="No CAS","",INDEX('DEQ Pollutant List'!$B$7:$B$611,MATCH('3. Pollutant Emissions - EF'!B201,'DEQ Pollutant List'!$A$7:$A$611,0))),"")</f>
        <v>Aluminum and compounds</v>
      </c>
      <c r="D201" s="127" t="str">
        <f>IFERROR(IF(OR($B201="",$B201="No CAS"),INDEX('DEQ Pollutant List'!$A$7:$A$611,MATCH($C201,'DEQ Pollutant List'!$C$7:$C$611,0)),INDEX('DEQ Pollutant List'!$A$7:$A$611,MATCH($B201,'DEQ Pollutant List'!$B$7:$B$611,0))),"")</f>
        <v/>
      </c>
      <c r="E201" s="193">
        <v>0.9</v>
      </c>
      <c r="F201" s="116">
        <f>Stockpiles!E98</f>
        <v>41.097252243774747</v>
      </c>
      <c r="G201" s="129">
        <f>Stockpiles!G98</f>
        <v>0.73281783451536631</v>
      </c>
      <c r="H201" s="152" t="s">
        <v>1286</v>
      </c>
      <c r="I201" s="196" t="s">
        <v>1287</v>
      </c>
      <c r="J201" s="289">
        <f>F201*'2. Emissions Units &amp; Activities'!$H$22</f>
        <v>45.389438619906812</v>
      </c>
      <c r="K201" s="121">
        <f>F201*'2. Emissions Units &amp; Activities'!$I$22</f>
        <v>45.389438619906812</v>
      </c>
      <c r="L201" s="114">
        <f t="shared" ref="L201:L223" si="25">K201</f>
        <v>45.389438619906812</v>
      </c>
      <c r="M201" s="118">
        <f>G201*'2. Emissions Units &amp; Activities'!$K$22</f>
        <v>0.80935313928066011</v>
      </c>
      <c r="N201" s="119">
        <f>G201*'2. Emissions Units &amp; Activities'!$L$22</f>
        <v>0.80935313928066011</v>
      </c>
      <c r="O201" s="120">
        <f t="shared" ref="O201:O223" si="26">N201</f>
        <v>0.80935313928066011</v>
      </c>
    </row>
    <row r="202" spans="1:30" ht="15.75" thickBot="1" x14ac:dyDescent="0.3">
      <c r="A202" s="125" t="s">
        <v>1207</v>
      </c>
      <c r="B202" s="279" t="s">
        <v>306</v>
      </c>
      <c r="C202" s="123" t="str">
        <f>IFERROR(IF(B202="No CAS","",INDEX('DEQ Pollutant List'!$B$7:$B$611,MATCH('3. Pollutant Emissions - EF'!B202,'DEQ Pollutant List'!$A$7:$A$611,0))),"")</f>
        <v>Arsenic and compounds</v>
      </c>
      <c r="D202" s="127" t="str">
        <f>IFERROR(IF(OR($B202="",$B202="No CAS"),INDEX('DEQ Pollutant List'!$A$7:$A$611,MATCH($C202,'DEQ Pollutant List'!$C$7:$C$611,0)),INDEX('DEQ Pollutant List'!$A$7:$A$611,MATCH($B202,'DEQ Pollutant List'!$B$7:$B$611,0))),"")</f>
        <v/>
      </c>
      <c r="E202" s="193">
        <v>0.9</v>
      </c>
      <c r="F202" s="116">
        <f>Stockpiles!E99</f>
        <v>1.7111241045673759E-3</v>
      </c>
      <c r="G202" s="129">
        <f>Stockpiles!G99</f>
        <v>3.0511583924349879E-5</v>
      </c>
      <c r="H202" s="152" t="s">
        <v>1286</v>
      </c>
      <c r="I202" s="196" t="s">
        <v>1287</v>
      </c>
      <c r="J202" s="289">
        <f>F202*'2. Emissions Units &amp; Activities'!$H$22</f>
        <v>1.8898334626998962E-3</v>
      </c>
      <c r="K202" s="121">
        <f>F202*'2. Emissions Units &amp; Activities'!$I$22</f>
        <v>1.8898334626998962E-3</v>
      </c>
      <c r="L202" s="114">
        <f t="shared" si="25"/>
        <v>1.8898334626998962E-3</v>
      </c>
      <c r="M202" s="118">
        <f>G202*'2. Emissions Units &amp; Activities'!$K$22</f>
        <v>3.3698205843924617E-5</v>
      </c>
      <c r="N202" s="119">
        <f>G202*'2. Emissions Units &amp; Activities'!$L$22</f>
        <v>3.3698205843924617E-5</v>
      </c>
      <c r="O202" s="120">
        <f t="shared" si="26"/>
        <v>3.3698205843924617E-5</v>
      </c>
    </row>
    <row r="203" spans="1:30" ht="15.75" thickBot="1" x14ac:dyDescent="0.3">
      <c r="A203" s="125" t="s">
        <v>1207</v>
      </c>
      <c r="B203" s="279" t="s">
        <v>142</v>
      </c>
      <c r="C203" s="123" t="str">
        <f>IFERROR(IF(B203="No CAS","",INDEX('DEQ Pollutant List'!$B$7:$B$611,MATCH('3. Pollutant Emissions - EF'!B203,'DEQ Pollutant List'!$A$7:$A$611,0))),"")</f>
        <v>Barium and compounds</v>
      </c>
      <c r="D203" s="127" t="str">
        <f>IFERROR(IF(OR($B203="",$B203="No CAS"),INDEX('DEQ Pollutant List'!$A$7:$A$611,MATCH($C203,'DEQ Pollutant List'!$C$7:$C$611,0)),INDEX('DEQ Pollutant List'!$A$7:$A$611,MATCH($B203,'DEQ Pollutant List'!$B$7:$B$611,0))),"")</f>
        <v/>
      </c>
      <c r="E203" s="193">
        <v>0.9</v>
      </c>
      <c r="F203" s="116">
        <f>Stockpiles!E100</f>
        <v>0.18295865425758859</v>
      </c>
      <c r="G203" s="129">
        <f>Stockpiles!G100</f>
        <v>3.262392434988179E-3</v>
      </c>
      <c r="H203" s="152" t="s">
        <v>1286</v>
      </c>
      <c r="I203" s="196" t="s">
        <v>1287</v>
      </c>
      <c r="J203" s="289">
        <f>F203*'2. Emissions Units &amp; Activities'!$H$22</f>
        <v>0.20206680870406576</v>
      </c>
      <c r="K203" s="121">
        <f>F203*'2. Emissions Units &amp; Activities'!$I$22</f>
        <v>0.20206680870406576</v>
      </c>
      <c r="L203" s="114">
        <f t="shared" si="25"/>
        <v>0.20206680870406576</v>
      </c>
      <c r="M203" s="118">
        <f>G203*'2. Emissions Units &amp; Activities'!$K$22</f>
        <v>3.6031158556196316E-3</v>
      </c>
      <c r="N203" s="119">
        <f>G203*'2. Emissions Units &amp; Activities'!$L$22</f>
        <v>3.6031158556196316E-3</v>
      </c>
      <c r="O203" s="120">
        <f t="shared" si="26"/>
        <v>3.6031158556196316E-3</v>
      </c>
    </row>
    <row r="204" spans="1:30" ht="15.75" thickBot="1" x14ac:dyDescent="0.3">
      <c r="A204" s="125" t="s">
        <v>1207</v>
      </c>
      <c r="B204" s="279" t="s">
        <v>307</v>
      </c>
      <c r="C204" s="123" t="str">
        <f>IFERROR(IF(B204="No CAS","",INDEX('DEQ Pollutant List'!$B$7:$B$611,MATCH('3. Pollutant Emissions - EF'!B204,'DEQ Pollutant List'!$A$7:$A$611,0))),"")</f>
        <v>Beryllium and compounds</v>
      </c>
      <c r="D204" s="127" t="str">
        <f>IFERROR(IF(OR($B204="",$B204="No CAS"),INDEX('DEQ Pollutant List'!$A$7:$A$611,MATCH($C204,'DEQ Pollutant List'!$C$7:$C$611,0)),INDEX('DEQ Pollutant List'!$A$7:$A$611,MATCH($B204,'DEQ Pollutant List'!$B$7:$B$611,0))),"")</f>
        <v/>
      </c>
      <c r="E204" s="193">
        <v>0.9</v>
      </c>
      <c r="F204" s="116">
        <f>Stockpiles!E101</f>
        <v>1.9941177064765952E-3</v>
      </c>
      <c r="G204" s="129">
        <f>Stockpiles!G101</f>
        <v>3.5557730496453887E-5</v>
      </c>
      <c r="H204" s="152" t="s">
        <v>1286</v>
      </c>
      <c r="I204" s="196" t="s">
        <v>1287</v>
      </c>
      <c r="J204" s="289">
        <f>F204*'2. Emissions Units &amp; Activities'!$H$22</f>
        <v>2.2023828430694941E-3</v>
      </c>
      <c r="K204" s="121">
        <f>F204*'2. Emissions Units &amp; Activities'!$I$22</f>
        <v>2.2023828430694941E-3</v>
      </c>
      <c r="L204" s="114">
        <f t="shared" si="25"/>
        <v>2.2023828430694941E-3</v>
      </c>
      <c r="M204" s="118">
        <f>G204*'2. Emissions Units &amp; Activities'!$K$22</f>
        <v>3.9271370656573675E-5</v>
      </c>
      <c r="N204" s="119">
        <f>G204*'2. Emissions Units &amp; Activities'!$L$22</f>
        <v>3.9271370656573675E-5</v>
      </c>
      <c r="O204" s="120">
        <f t="shared" si="26"/>
        <v>3.9271370656573675E-5</v>
      </c>
    </row>
    <row r="205" spans="1:30" ht="15.75" thickBot="1" x14ac:dyDescent="0.3">
      <c r="A205" s="125" t="s">
        <v>1207</v>
      </c>
      <c r="B205" s="279" t="s">
        <v>308</v>
      </c>
      <c r="C205" s="123" t="str">
        <f>IFERROR(IF(B205="No CAS","",INDEX('DEQ Pollutant List'!$B$7:$B$611,MATCH('3. Pollutant Emissions - EF'!B205,'DEQ Pollutant List'!$A$7:$A$611,0))),"")</f>
        <v>Cadmium and compounds</v>
      </c>
      <c r="D205" s="127" t="str">
        <f>IFERROR(IF(OR($B205="",$B205="No CAS"),INDEX('DEQ Pollutant List'!$A$7:$A$611,MATCH($C205,'DEQ Pollutant List'!$C$7:$C$611,0)),INDEX('DEQ Pollutant List'!$A$7:$A$611,MATCH($B205,'DEQ Pollutant List'!$B$7:$B$611,0))),"")</f>
        <v/>
      </c>
      <c r="E205" s="193">
        <v>0.9</v>
      </c>
      <c r="F205" s="116">
        <f>Stockpiles!E102</f>
        <v>5.2649972448226948E-5</v>
      </c>
      <c r="G205" s="129">
        <f>Stockpiles!G102</f>
        <v>9.3881796690307314E-7</v>
      </c>
      <c r="H205" s="152" t="s">
        <v>1286</v>
      </c>
      <c r="I205" s="196" t="s">
        <v>1287</v>
      </c>
      <c r="J205" s="289">
        <f>F205*'2. Emissions Units &amp; Activities'!$H$22</f>
        <v>5.8148721929227573E-5</v>
      </c>
      <c r="K205" s="121">
        <f>F205*'2. Emissions Units &amp; Activities'!$I$22</f>
        <v>5.8148721929227573E-5</v>
      </c>
      <c r="L205" s="114">
        <f t="shared" si="25"/>
        <v>5.8148721929227573E-5</v>
      </c>
      <c r="M205" s="118">
        <f>G205*'2. Emissions Units &amp; Activities'!$K$22</f>
        <v>1.0368678721207574E-6</v>
      </c>
      <c r="N205" s="119">
        <f>G205*'2. Emissions Units &amp; Activities'!$L$22</f>
        <v>1.0368678721207574E-6</v>
      </c>
      <c r="O205" s="120">
        <f t="shared" si="26"/>
        <v>1.0368678721207574E-6</v>
      </c>
    </row>
    <row r="206" spans="1:30" ht="15.75" thickBot="1" x14ac:dyDescent="0.3">
      <c r="A206" s="125" t="s">
        <v>1207</v>
      </c>
      <c r="B206" s="279" t="s">
        <v>147</v>
      </c>
      <c r="C206" s="123" t="str">
        <f>IFERROR(IF(B206="No CAS","",INDEX('DEQ Pollutant List'!$B$7:$B$611,MATCH('3. Pollutant Emissions - EF'!B206,'DEQ Pollutant List'!$A$7:$A$611,0))),"")</f>
        <v>Cobalt and compounds</v>
      </c>
      <c r="D206" s="127" t="str">
        <f>IFERROR(IF(OR($B206="",$B206="No CAS"),INDEX('DEQ Pollutant List'!$A$7:$A$611,MATCH($C206,'DEQ Pollutant List'!$C$7:$C$611,0)),INDEX('DEQ Pollutant List'!$A$7:$A$611,MATCH($B206,'DEQ Pollutant List'!$B$7:$B$611,0))),"")</f>
        <v/>
      </c>
      <c r="E206" s="193">
        <v>0.9</v>
      </c>
      <c r="F206" s="116">
        <f>Stockpiles!E103</f>
        <v>6.5812465560283683E-5</v>
      </c>
      <c r="G206" s="129">
        <f>Stockpiles!G103</f>
        <v>1.1735224586288413E-6</v>
      </c>
      <c r="H206" s="152" t="s">
        <v>1286</v>
      </c>
      <c r="I206" s="196" t="s">
        <v>1287</v>
      </c>
      <c r="J206" s="289">
        <f>F206*'2. Emissions Units &amp; Activities'!$H$22</f>
        <v>7.2685902411534468E-5</v>
      </c>
      <c r="K206" s="121">
        <f>F206*'2. Emissions Units &amp; Activities'!$I$22</f>
        <v>7.2685902411534468E-5</v>
      </c>
      <c r="L206" s="114">
        <f t="shared" si="25"/>
        <v>7.2685902411534468E-5</v>
      </c>
      <c r="M206" s="118">
        <f>G206*'2. Emissions Units &amp; Activities'!$K$22</f>
        <v>1.2960848401509466E-6</v>
      </c>
      <c r="N206" s="119">
        <f>G206*'2. Emissions Units &amp; Activities'!$L$22</f>
        <v>1.2960848401509466E-6</v>
      </c>
      <c r="O206" s="120">
        <f t="shared" si="26"/>
        <v>1.2960848401509466E-6</v>
      </c>
    </row>
    <row r="207" spans="1:30" ht="15.75" thickBot="1" x14ac:dyDescent="0.3">
      <c r="A207" s="125" t="s">
        <v>1207</v>
      </c>
      <c r="B207" s="279" t="s">
        <v>205</v>
      </c>
      <c r="C207" s="123" t="str">
        <f>IFERROR(IF(B207="No CAS","",INDEX('DEQ Pollutant List'!$B$7:$B$611,MATCH('3. Pollutant Emissions - EF'!B207,'DEQ Pollutant List'!$A$7:$A$611,0))),"")</f>
        <v>Copper and compounds</v>
      </c>
      <c r="D207" s="127" t="str">
        <f>IFERROR(IF(OR($B207="",$B207="No CAS"),INDEX('DEQ Pollutant List'!$A$7:$A$611,MATCH($C207,'DEQ Pollutant List'!$C$7:$C$611,0)),INDEX('DEQ Pollutant List'!$A$7:$A$611,MATCH($B207,'DEQ Pollutant List'!$B$7:$B$611,0))),"")</f>
        <v/>
      </c>
      <c r="E207" s="193">
        <v>0.9</v>
      </c>
      <c r="F207" s="116">
        <f>Stockpiles!E104</f>
        <v>3.4222482091347517E-3</v>
      </c>
      <c r="G207" s="129">
        <f>Stockpiles!G104</f>
        <v>6.1023167848699758E-5</v>
      </c>
      <c r="H207" s="152" t="s">
        <v>1286</v>
      </c>
      <c r="I207" s="196" t="s">
        <v>1287</v>
      </c>
      <c r="J207" s="289">
        <f>F207*'2. Emissions Units &amp; Activities'!$H$22</f>
        <v>3.7796669253997925E-3</v>
      </c>
      <c r="K207" s="121">
        <f>F207*'2. Emissions Units &amp; Activities'!$I$22</f>
        <v>3.7796669253997925E-3</v>
      </c>
      <c r="L207" s="114">
        <f t="shared" si="25"/>
        <v>3.7796669253997925E-3</v>
      </c>
      <c r="M207" s="118">
        <f>G207*'2. Emissions Units &amp; Activities'!$K$22</f>
        <v>6.7396411687849233E-5</v>
      </c>
      <c r="N207" s="119">
        <f>G207*'2. Emissions Units &amp; Activities'!$L$22</f>
        <v>6.7396411687849233E-5</v>
      </c>
      <c r="O207" s="120">
        <f t="shared" si="26"/>
        <v>6.7396411687849233E-5</v>
      </c>
    </row>
    <row r="208" spans="1:30" ht="15.75" thickBot="1" x14ac:dyDescent="0.3">
      <c r="A208" s="125" t="s">
        <v>1207</v>
      </c>
      <c r="B208" s="279" t="s">
        <v>55</v>
      </c>
      <c r="C208" s="123" t="str">
        <f>IFERROR(IF(B208="No CAS","",INDEX('DEQ Pollutant List'!$B$7:$B$611,MATCH('3. Pollutant Emissions - EF'!B208,'DEQ Pollutant List'!$A$7:$A$611,0))),"")</f>
        <v>Chromium VI, chromate and dichromate particulate</v>
      </c>
      <c r="D208" s="127" t="str">
        <f>IFERROR(IF(OR($B208="",$B208="No CAS"),INDEX('DEQ Pollutant List'!$A$7:$A$611,MATCH($C208,'DEQ Pollutant List'!$C$7:$C$611,0)),INDEX('DEQ Pollutant List'!$A$7:$A$611,MATCH($B208,'DEQ Pollutant List'!$B$7:$B$611,0))),"")</f>
        <v/>
      </c>
      <c r="E208" s="193">
        <v>0.9</v>
      </c>
      <c r="F208" s="116">
        <f>Stockpiles!E105</f>
        <v>5.2426210065321987E-3</v>
      </c>
      <c r="G208" s="129">
        <f>Stockpiles!G105</f>
        <v>9.3482799054373514E-5</v>
      </c>
      <c r="H208" s="152" t="s">
        <v>1286</v>
      </c>
      <c r="I208" s="196" t="s">
        <v>1287</v>
      </c>
      <c r="J208" s="289">
        <f>F208*'2. Emissions Units &amp; Activities'!$H$22</f>
        <v>5.7901589861028358E-3</v>
      </c>
      <c r="K208" s="121">
        <f>F208*'2. Emissions Units &amp; Activities'!$I$22</f>
        <v>5.7901589861028358E-3</v>
      </c>
      <c r="L208" s="114">
        <f t="shared" si="25"/>
        <v>5.7901589861028358E-3</v>
      </c>
      <c r="M208" s="118">
        <f>G208*'2. Emissions Units &amp; Activities'!$K$22</f>
        <v>1.0324611836642442E-4</v>
      </c>
      <c r="N208" s="119">
        <f>G208*'2. Emissions Units &amp; Activities'!$L$22</f>
        <v>1.0324611836642442E-4</v>
      </c>
      <c r="O208" s="120">
        <f t="shared" si="26"/>
        <v>1.0324611836642442E-4</v>
      </c>
    </row>
    <row r="209" spans="1:15" ht="15.75" thickBot="1" x14ac:dyDescent="0.3">
      <c r="A209" s="125" t="s">
        <v>1207</v>
      </c>
      <c r="B209" s="279" t="s">
        <v>309</v>
      </c>
      <c r="C209" s="123" t="str">
        <f>IFERROR(IF(B209="No CAS","",INDEX('DEQ Pollutant List'!$B$7:$B$611,MATCH('3. Pollutant Emissions - EF'!B209,'DEQ Pollutant List'!$A$7:$A$611,0))),"")</f>
        <v>Mercury and compounds</v>
      </c>
      <c r="D209" s="127" t="str">
        <f>IFERROR(IF(OR($B209="",$B209="No CAS"),INDEX('DEQ Pollutant List'!$A$7:$A$611,MATCH($C209,'DEQ Pollutant List'!$C$7:$C$611,0)),INDEX('DEQ Pollutant List'!$A$7:$A$611,MATCH($B209,'DEQ Pollutant List'!$B$7:$B$611,0))),"")</f>
        <v/>
      </c>
      <c r="E209" s="193">
        <v>0.9</v>
      </c>
      <c r="F209" s="116">
        <f>Stockpiles!E106</f>
        <v>1.3162493112056737E-5</v>
      </c>
      <c r="G209" s="129">
        <f>Stockpiles!G106</f>
        <v>2.3470449172576829E-7</v>
      </c>
      <c r="H209" s="152" t="s">
        <v>1286</v>
      </c>
      <c r="I209" s="196" t="s">
        <v>1287</v>
      </c>
      <c r="J209" s="289">
        <f>F209*'2. Emissions Units &amp; Activities'!$H$22</f>
        <v>1.4537180482306893E-5</v>
      </c>
      <c r="K209" s="121">
        <f>F209*'2. Emissions Units &amp; Activities'!$I$22</f>
        <v>1.4537180482306893E-5</v>
      </c>
      <c r="L209" s="114">
        <f t="shared" si="25"/>
        <v>1.4537180482306893E-5</v>
      </c>
      <c r="M209" s="118">
        <f>G209*'2. Emissions Units &amp; Activities'!$K$22</f>
        <v>2.5921696803018934E-7</v>
      </c>
      <c r="N209" s="119">
        <f>G209*'2. Emissions Units &amp; Activities'!$L$22</f>
        <v>2.5921696803018934E-7</v>
      </c>
      <c r="O209" s="120">
        <f t="shared" si="26"/>
        <v>2.5921696803018934E-7</v>
      </c>
    </row>
    <row r="210" spans="1:15" ht="15.75" thickBot="1" x14ac:dyDescent="0.3">
      <c r="A210" s="125" t="s">
        <v>1207</v>
      </c>
      <c r="B210" s="279" t="s">
        <v>181</v>
      </c>
      <c r="C210" s="123" t="str">
        <f>IFERROR(IF(B210="No CAS","",INDEX('DEQ Pollutant List'!$B$7:$B$611,MATCH('3. Pollutant Emissions - EF'!B210,'DEQ Pollutant List'!$A$7:$A$611,0))),"")</f>
        <v>Manganese and compounds</v>
      </c>
      <c r="D210" s="127" t="str">
        <f>IFERROR(IF(OR($B210="",$B210="No CAS"),INDEX('DEQ Pollutant List'!$A$7:$A$611,MATCH($C210,'DEQ Pollutant List'!$C$7:$C$611,0)),INDEX('DEQ Pollutant List'!$A$7:$A$611,MATCH($B210,'DEQ Pollutant List'!$B$7:$B$611,0))),"")</f>
        <v/>
      </c>
      <c r="E210" s="193">
        <v>0.9</v>
      </c>
      <c r="F210" s="116">
        <f>Stockpiles!E107</f>
        <v>0.33103670176822686</v>
      </c>
      <c r="G210" s="129">
        <f>Stockpiles!G107</f>
        <v>5.9028179669030709E-3</v>
      </c>
      <c r="H210" s="152" t="s">
        <v>1286</v>
      </c>
      <c r="I210" s="196" t="s">
        <v>1287</v>
      </c>
      <c r="J210" s="289">
        <f>F210*'2. Emissions Units &amp; Activities'!$H$22</f>
        <v>0.3656100891300183</v>
      </c>
      <c r="K210" s="121">
        <f>F210*'2. Emissions Units &amp; Activities'!$I$22</f>
        <v>0.3656100891300183</v>
      </c>
      <c r="L210" s="114">
        <f t="shared" si="25"/>
        <v>0.3656100891300183</v>
      </c>
      <c r="M210" s="118">
        <f>G210*'2. Emissions Units &amp; Activities'!$K$22</f>
        <v>6.5193067459592604E-3</v>
      </c>
      <c r="N210" s="119">
        <f>G210*'2. Emissions Units &amp; Activities'!$L$22</f>
        <v>6.5193067459592604E-3</v>
      </c>
      <c r="O210" s="120">
        <f t="shared" si="26"/>
        <v>6.5193067459592604E-3</v>
      </c>
    </row>
    <row r="211" spans="1:15" ht="15.75" thickBot="1" x14ac:dyDescent="0.3">
      <c r="A211" s="125" t="s">
        <v>1207</v>
      </c>
      <c r="B211" s="279" t="s">
        <v>66</v>
      </c>
      <c r="C211" s="123" t="str">
        <f>IFERROR(IF(B211="No CAS","",INDEX('DEQ Pollutant List'!$B$7:$B$611,MATCH('3. Pollutant Emissions - EF'!B211,'DEQ Pollutant List'!$A$7:$A$611,0))),"")</f>
        <v>Molybdenum trioxide</v>
      </c>
      <c r="D211" s="127" t="str">
        <f>IFERROR(IF(OR($B211="",$B211="No CAS"),INDEX('DEQ Pollutant List'!$A$7:$A$611,MATCH($C211,'DEQ Pollutant List'!$C$7:$C$611,0)),INDEX('DEQ Pollutant List'!$A$7:$A$611,MATCH($B211,'DEQ Pollutant List'!$B$7:$B$611,0))),"")</f>
        <v/>
      </c>
      <c r="E211" s="193">
        <v>0.9</v>
      </c>
      <c r="F211" s="116">
        <f>Stockpiles!E108</f>
        <v>6.1176133081465864E-3</v>
      </c>
      <c r="G211" s="129">
        <f>Stockpiles!G108</f>
        <v>1.0908505781082845E-4</v>
      </c>
      <c r="H211" s="152" t="s">
        <v>1286</v>
      </c>
      <c r="I211" s="196" t="s">
        <v>1287</v>
      </c>
      <c r="J211" s="289">
        <f>F211*'2. Emissions Units &amp; Activities'!$H$22</f>
        <v>6.7565352569892477E-3</v>
      </c>
      <c r="K211" s="121">
        <f>F211*'2. Emissions Units &amp; Activities'!$I$22</f>
        <v>6.7565352569892477E-3</v>
      </c>
      <c r="L211" s="114">
        <f t="shared" si="25"/>
        <v>6.7565352569892477E-3</v>
      </c>
      <c r="M211" s="118">
        <f>G211*'2. Emissions Units &amp; Activities'!$K$22</f>
        <v>1.2047787298489254E-4</v>
      </c>
      <c r="N211" s="119">
        <f>G211*'2. Emissions Units &amp; Activities'!$L$22</f>
        <v>1.2047787298489254E-4</v>
      </c>
      <c r="O211" s="120">
        <f t="shared" si="26"/>
        <v>1.2047787298489254E-4</v>
      </c>
    </row>
    <row r="212" spans="1:15" ht="15.75" thickBot="1" x14ac:dyDescent="0.3">
      <c r="A212" s="125" t="s">
        <v>1207</v>
      </c>
      <c r="B212" s="279" t="s">
        <v>212</v>
      </c>
      <c r="C212" s="123" t="str">
        <f>IFERROR(IF(B212="No CAS","",INDEX('DEQ Pollutant List'!$B$7:$B$611,MATCH('3. Pollutant Emissions - EF'!B212,'DEQ Pollutant List'!$A$7:$A$611,0))),"")</f>
        <v>Nickel and compounds</v>
      </c>
      <c r="D212" s="127" t="str">
        <f>IFERROR(IF(OR($B212="",$B212="No CAS"),INDEX('DEQ Pollutant List'!$A$7:$A$611,MATCH($C212,'DEQ Pollutant List'!$C$7:$C$611,0)),INDEX('DEQ Pollutant List'!$A$7:$A$611,MATCH($B212,'DEQ Pollutant List'!$B$7:$B$611,0))),"")</f>
        <v/>
      </c>
      <c r="E212" s="193">
        <v>0.9</v>
      </c>
      <c r="F212" s="116">
        <f>Stockpiles!E109</f>
        <v>1.3162493112056734E-3</v>
      </c>
      <c r="G212" s="129">
        <f>Stockpiles!G109</f>
        <v>2.3470449172576826E-5</v>
      </c>
      <c r="H212" s="152" t="s">
        <v>1286</v>
      </c>
      <c r="I212" s="196" t="s">
        <v>1287</v>
      </c>
      <c r="J212" s="289">
        <f>F212*'2. Emissions Units &amp; Activities'!$H$22</f>
        <v>1.4537180482306891E-3</v>
      </c>
      <c r="K212" s="121">
        <f>F212*'2. Emissions Units &amp; Activities'!$I$22</f>
        <v>1.4537180482306891E-3</v>
      </c>
      <c r="L212" s="114">
        <f t="shared" si="25"/>
        <v>1.4537180482306891E-3</v>
      </c>
      <c r="M212" s="118">
        <f>G212*'2. Emissions Units &amp; Activities'!$K$22</f>
        <v>2.5921696803018932E-5</v>
      </c>
      <c r="N212" s="119">
        <f>G212*'2. Emissions Units &amp; Activities'!$L$22</f>
        <v>2.5921696803018932E-5</v>
      </c>
      <c r="O212" s="120">
        <f t="shared" si="26"/>
        <v>2.5921696803018932E-5</v>
      </c>
    </row>
    <row r="213" spans="1:15" ht="15.75" thickBot="1" x14ac:dyDescent="0.3">
      <c r="A213" s="125" t="s">
        <v>1207</v>
      </c>
      <c r="B213" s="279" t="s">
        <v>310</v>
      </c>
      <c r="C213" s="123" t="str">
        <f>IFERROR(IF(B213="No CAS","",INDEX('DEQ Pollutant List'!$B$7:$B$611,MATCH('3. Pollutant Emissions - EF'!B213,'DEQ Pollutant List'!$A$7:$A$611,0))),"")</f>
        <v>Lead and compounds</v>
      </c>
      <c r="D213" s="127" t="str">
        <f>IFERROR(IF(OR($B213="",$B213="No CAS"),INDEX('DEQ Pollutant List'!$A$7:$A$611,MATCH($C213,'DEQ Pollutant List'!$C$7:$C$611,0)),INDEX('DEQ Pollutant List'!$A$7:$A$611,MATCH($B213,'DEQ Pollutant List'!$B$7:$B$611,0))),"")</f>
        <v/>
      </c>
      <c r="E213" s="193">
        <v>0.9</v>
      </c>
      <c r="F213" s="116">
        <f>Stockpiles!E110</f>
        <v>1.645311639007092E-2</v>
      </c>
      <c r="G213" s="129">
        <f>Stockpiles!G110</f>
        <v>2.9338061465721032E-4</v>
      </c>
      <c r="H213" s="152" t="s">
        <v>1286</v>
      </c>
      <c r="I213" s="196" t="s">
        <v>1287</v>
      </c>
      <c r="J213" s="289">
        <f>F213*'2. Emissions Units &amp; Activities'!$H$22</f>
        <v>1.8171475602883617E-2</v>
      </c>
      <c r="K213" s="121">
        <f>F213*'2. Emissions Units &amp; Activities'!$I$22</f>
        <v>1.8171475602883617E-2</v>
      </c>
      <c r="L213" s="114">
        <f t="shared" si="25"/>
        <v>1.8171475602883617E-2</v>
      </c>
      <c r="M213" s="118">
        <f>G213*'2. Emissions Units &amp; Activities'!$K$22</f>
        <v>3.2402121003773663E-4</v>
      </c>
      <c r="N213" s="119">
        <f>G213*'2. Emissions Units &amp; Activities'!$L$22</f>
        <v>3.2402121003773663E-4</v>
      </c>
      <c r="O213" s="120">
        <f t="shared" si="26"/>
        <v>3.2402121003773663E-4</v>
      </c>
    </row>
    <row r="214" spans="1:15" ht="15.75" thickBot="1" x14ac:dyDescent="0.3">
      <c r="A214" s="125" t="s">
        <v>1207</v>
      </c>
      <c r="B214" s="279" t="s">
        <v>311</v>
      </c>
      <c r="C214" s="123" t="str">
        <f>IFERROR(IF(B214="No CAS","",INDEX('DEQ Pollutant List'!$B$7:$B$611,MATCH('3. Pollutant Emissions - EF'!B214,'DEQ Pollutant List'!$A$7:$A$611,0))),"")</f>
        <v>Antimony and compounds</v>
      </c>
      <c r="D214" s="127" t="str">
        <f>IFERROR(IF(OR($B214="",$B214="No CAS"),INDEX('DEQ Pollutant List'!$A$7:$A$611,MATCH($C214,'DEQ Pollutant List'!$C$7:$C$611,0)),INDEX('DEQ Pollutant List'!$A$7:$A$611,MATCH($B214,'DEQ Pollutant List'!$B$7:$B$611,0))),"")</f>
        <v/>
      </c>
      <c r="E214" s="193">
        <v>0.9</v>
      </c>
      <c r="F214" s="116">
        <f>Stockpiles!E111</f>
        <v>2.4350612257304958E-4</v>
      </c>
      <c r="G214" s="129">
        <f>Stockpiles!G111</f>
        <v>4.3420330969267124E-6</v>
      </c>
      <c r="H214" s="152" t="s">
        <v>1286</v>
      </c>
      <c r="I214" s="196" t="s">
        <v>1287</v>
      </c>
      <c r="J214" s="289">
        <f>F214*'2. Emissions Units &amp; Activities'!$H$22</f>
        <v>2.6893783892267749E-4</v>
      </c>
      <c r="K214" s="121">
        <f>F214*'2. Emissions Units &amp; Activities'!$I$22</f>
        <v>2.6893783892267749E-4</v>
      </c>
      <c r="L214" s="114">
        <f t="shared" si="25"/>
        <v>2.6893783892267749E-4</v>
      </c>
      <c r="M214" s="118">
        <f>G214*'2. Emissions Units &amp; Activities'!$K$22</f>
        <v>4.7955139085585015E-6</v>
      </c>
      <c r="N214" s="119">
        <f>G214*'2. Emissions Units &amp; Activities'!$L$22</f>
        <v>4.7955139085585015E-6</v>
      </c>
      <c r="O214" s="120">
        <f t="shared" si="26"/>
        <v>4.7955139085585015E-6</v>
      </c>
    </row>
    <row r="215" spans="1:15" ht="15.75" thickBot="1" x14ac:dyDescent="0.3">
      <c r="A215" s="125" t="s">
        <v>1207</v>
      </c>
      <c r="B215" s="279" t="s">
        <v>312</v>
      </c>
      <c r="C215" s="123" t="str">
        <f>IFERROR(IF(B215="No CAS","",INDEX('DEQ Pollutant List'!$B$7:$B$611,MATCH('3. Pollutant Emissions - EF'!B215,'DEQ Pollutant List'!$A$7:$A$611,0))),"")</f>
        <v>Selenium and compounds</v>
      </c>
      <c r="D215" s="127" t="str">
        <f>IFERROR(IF(OR($B215="",$B215="No CAS"),INDEX('DEQ Pollutant List'!$A$7:$A$611,MATCH($C215,'DEQ Pollutant List'!$C$7:$C$611,0)),INDEX('DEQ Pollutant List'!$A$7:$A$611,MATCH($B215,'DEQ Pollutant List'!$B$7:$B$611,0))),"")</f>
        <v/>
      </c>
      <c r="E215" s="193">
        <v>0.9</v>
      </c>
      <c r="F215" s="116">
        <f>Stockpiles!E112</f>
        <v>1.2504368456453901E-4</v>
      </c>
      <c r="G215" s="129">
        <f>Stockpiles!G112</f>
        <v>2.2296926713947989E-6</v>
      </c>
      <c r="H215" s="152" t="s">
        <v>1286</v>
      </c>
      <c r="I215" s="196" t="s">
        <v>1287</v>
      </c>
      <c r="J215" s="289">
        <f>F215*'2. Emissions Units &amp; Activities'!$H$22</f>
        <v>1.3810321458191548E-4</v>
      </c>
      <c r="K215" s="121">
        <f>F215*'2. Emissions Units &amp; Activities'!$I$22</f>
        <v>1.3810321458191548E-4</v>
      </c>
      <c r="L215" s="114">
        <f t="shared" si="25"/>
        <v>1.3810321458191548E-4</v>
      </c>
      <c r="M215" s="118">
        <f>G215*'2. Emissions Units &amp; Activities'!$K$22</f>
        <v>2.4625611962867988E-6</v>
      </c>
      <c r="N215" s="119">
        <f>G215*'2. Emissions Units &amp; Activities'!$L$22</f>
        <v>2.4625611962867988E-6</v>
      </c>
      <c r="O215" s="120">
        <f t="shared" si="26"/>
        <v>2.4625611962867988E-6</v>
      </c>
    </row>
    <row r="216" spans="1:15" ht="15.75" thickBot="1" x14ac:dyDescent="0.3">
      <c r="A216" s="125" t="s">
        <v>1207</v>
      </c>
      <c r="B216" s="279" t="s">
        <v>314</v>
      </c>
      <c r="C216" s="123" t="str">
        <f>IFERROR(IF(B216="No CAS","",INDEX('DEQ Pollutant List'!$B$7:$B$611,MATCH('3. Pollutant Emissions - EF'!B216,'DEQ Pollutant List'!$A$7:$A$611,0))),"")</f>
        <v>Thallium and compounds</v>
      </c>
      <c r="D216" s="127" t="str">
        <f>IFERROR(IF(OR($B216="",$B216="No CAS"),INDEX('DEQ Pollutant List'!$A$7:$A$611,MATCH($C216,'DEQ Pollutant List'!$C$7:$C$611,0)),INDEX('DEQ Pollutant List'!$A$7:$A$611,MATCH($B216,'DEQ Pollutant List'!$B$7:$B$611,0))),"")</f>
        <v/>
      </c>
      <c r="E216" s="193">
        <v>0.9</v>
      </c>
      <c r="F216" s="116">
        <f>Stockpiles!E113</f>
        <v>2.8891672380964537E-4</v>
      </c>
      <c r="G216" s="129">
        <f>Stockpiles!G113</f>
        <v>5.1517635933806142E-6</v>
      </c>
      <c r="H216" s="152" t="s">
        <v>1286</v>
      </c>
      <c r="I216" s="196" t="s">
        <v>1287</v>
      </c>
      <c r="J216" s="289">
        <f>F216*'2. Emissions Units &amp; Activities'!$H$22</f>
        <v>3.1909111158663633E-4</v>
      </c>
      <c r="K216" s="121">
        <f>F216*'2. Emissions Units &amp; Activities'!$I$22</f>
        <v>3.1909111158663633E-4</v>
      </c>
      <c r="L216" s="114">
        <f t="shared" si="25"/>
        <v>3.1909111158663633E-4</v>
      </c>
      <c r="M216" s="118">
        <f>G216*'2. Emissions Units &amp; Activities'!$K$22</f>
        <v>5.689812448262656E-6</v>
      </c>
      <c r="N216" s="119">
        <f>G216*'2. Emissions Units &amp; Activities'!$L$22</f>
        <v>5.689812448262656E-6</v>
      </c>
      <c r="O216" s="120">
        <f t="shared" si="26"/>
        <v>5.689812448262656E-6</v>
      </c>
    </row>
    <row r="217" spans="1:15" ht="15.75" thickBot="1" x14ac:dyDescent="0.3">
      <c r="A217" s="125" t="s">
        <v>1207</v>
      </c>
      <c r="B217" s="279" t="s">
        <v>315</v>
      </c>
      <c r="C217" s="123" t="str">
        <f>IFERROR(IF(B217="No CAS","",INDEX('DEQ Pollutant List'!$B$7:$B$611,MATCH('3. Pollutant Emissions - EF'!B217,'DEQ Pollutant List'!$A$7:$A$611,0))),"")</f>
        <v>Zinc and compounds</v>
      </c>
      <c r="D217" s="127" t="str">
        <f>IFERROR(IF(OR($B217="",$B217="No CAS"),INDEX('DEQ Pollutant List'!$A$7:$A$611,MATCH($C217,'DEQ Pollutant List'!$C$7:$C$611,0)),INDEX('DEQ Pollutant List'!$A$7:$A$611,MATCH($B217,'DEQ Pollutant List'!$B$7:$B$611,0))),"")</f>
        <v/>
      </c>
      <c r="E217" s="193">
        <v>0.9</v>
      </c>
      <c r="F217" s="116">
        <f>Stockpiles!E114</f>
        <v>1.9085615012482265E-2</v>
      </c>
      <c r="G217" s="129">
        <f>Stockpiles!G114</f>
        <v>3.4032151300236393E-4</v>
      </c>
      <c r="H217" s="152" t="s">
        <v>1286</v>
      </c>
      <c r="I217" s="196" t="s">
        <v>1287</v>
      </c>
      <c r="J217" s="289">
        <f>F217*'2. Emissions Units &amp; Activities'!$H$22</f>
        <v>2.1078911699344994E-2</v>
      </c>
      <c r="K217" s="121">
        <f>F217*'2. Emissions Units &amp; Activities'!$I$22</f>
        <v>2.1078911699344994E-2</v>
      </c>
      <c r="L217" s="114">
        <f t="shared" si="25"/>
        <v>2.1078911699344994E-2</v>
      </c>
      <c r="M217" s="118">
        <f>G217*'2. Emissions Units &amp; Activities'!$K$22</f>
        <v>3.7586460364377446E-4</v>
      </c>
      <c r="N217" s="119">
        <f>G217*'2. Emissions Units &amp; Activities'!$L$22</f>
        <v>3.7586460364377446E-4</v>
      </c>
      <c r="O217" s="120">
        <f t="shared" si="26"/>
        <v>3.7586460364377446E-4</v>
      </c>
    </row>
    <row r="218" spans="1:15" ht="15.75" thickBot="1" x14ac:dyDescent="0.3">
      <c r="A218" s="125" t="s">
        <v>1207</v>
      </c>
      <c r="B218" s="279" t="s">
        <v>142</v>
      </c>
      <c r="C218" s="123" t="str">
        <f>IFERROR(IF(B218="No CAS","",INDEX('DEQ Pollutant List'!$B$7:$B$611,MATCH('3. Pollutant Emissions - EF'!B218,'DEQ Pollutant List'!$A$7:$A$611,0))),"")</f>
        <v>Barium and compounds</v>
      </c>
      <c r="D218" s="127" t="str">
        <f>IFERROR(IF(OR($B218="",$B218="No CAS"),INDEX('DEQ Pollutant List'!$A$7:$A$611,MATCH($C218,'DEQ Pollutant List'!$C$7:$C$611,0)),INDEX('DEQ Pollutant List'!$A$7:$A$611,MATCH($B218,'DEQ Pollutant List'!$B$7:$B$611,0))),"")</f>
        <v/>
      </c>
      <c r="E218" s="193">
        <v>0.9</v>
      </c>
      <c r="F218" s="116">
        <f>Stockpiles!E115</f>
        <v>0.13162493112056736</v>
      </c>
      <c r="G218" s="129">
        <f>Stockpiles!G115</f>
        <v>2.3470449172576825E-3</v>
      </c>
      <c r="H218" s="152" t="s">
        <v>1286</v>
      </c>
      <c r="I218" s="196" t="s">
        <v>1287</v>
      </c>
      <c r="J218" s="289">
        <f>F218*'2. Emissions Units &amp; Activities'!$H$22</f>
        <v>0.14537180482306894</v>
      </c>
      <c r="K218" s="121">
        <f>F218*'2. Emissions Units &amp; Activities'!$I$22</f>
        <v>0.14537180482306894</v>
      </c>
      <c r="L218" s="114">
        <f t="shared" si="25"/>
        <v>0.14537180482306894</v>
      </c>
      <c r="M218" s="118">
        <f>G218*'2. Emissions Units &amp; Activities'!$K$22</f>
        <v>2.592169680301893E-3</v>
      </c>
      <c r="N218" s="119">
        <f>G218*'2. Emissions Units &amp; Activities'!$L$22</f>
        <v>2.592169680301893E-3</v>
      </c>
      <c r="O218" s="120">
        <f t="shared" si="26"/>
        <v>2.592169680301893E-3</v>
      </c>
    </row>
    <row r="219" spans="1:15" ht="15.75" thickBot="1" x14ac:dyDescent="0.3">
      <c r="A219" s="125" t="s">
        <v>1207</v>
      </c>
      <c r="B219" s="279">
        <v>504</v>
      </c>
      <c r="C219" s="123" t="str">
        <f>IFERROR(IF(B219="No CAS","",INDEX('DEQ Pollutant List'!$B$7:$B$611,MATCH('3. Pollutant Emissions - EF'!B219,'DEQ Pollutant List'!$A$7:$A$611,0))),"")</f>
        <v>Phosphorus and compounds</v>
      </c>
      <c r="D219" s="127" t="str">
        <f>IFERROR(IF(OR($B219="",$B219="No CAS"),INDEX('DEQ Pollutant List'!$A$7:$A$611,MATCH($C219,'DEQ Pollutant List'!$C$7:$C$611,0)),INDEX('DEQ Pollutant List'!$A$7:$A$611,MATCH($B219,'DEQ Pollutant List'!$B$7:$B$611,0))),"")</f>
        <v/>
      </c>
      <c r="E219" s="193">
        <v>0.9</v>
      </c>
      <c r="F219" s="116">
        <f>Stockpiles!E116</f>
        <v>2.1718113634893614E-2</v>
      </c>
      <c r="G219" s="129">
        <f>Stockpiles!G116</f>
        <v>3.8726241134751766E-4</v>
      </c>
      <c r="H219" s="152" t="s">
        <v>1286</v>
      </c>
      <c r="I219" s="196" t="s">
        <v>1287</v>
      </c>
      <c r="J219" s="289">
        <f>F219*'2. Emissions Units &amp; Activities'!$H$22</f>
        <v>2.3986347795806374E-2</v>
      </c>
      <c r="K219" s="121">
        <f>F219*'2. Emissions Units &amp; Activities'!$I$22</f>
        <v>2.3986347795806374E-2</v>
      </c>
      <c r="L219" s="114">
        <f t="shared" si="25"/>
        <v>2.3986347795806374E-2</v>
      </c>
      <c r="M219" s="118">
        <f>G219*'2. Emissions Units &amp; Activities'!$K$22</f>
        <v>4.277079972498124E-4</v>
      </c>
      <c r="N219" s="119">
        <f>G219*'2. Emissions Units &amp; Activities'!$L$22</f>
        <v>4.277079972498124E-4</v>
      </c>
      <c r="O219" s="120">
        <f t="shared" si="26"/>
        <v>4.277079972498124E-4</v>
      </c>
    </row>
    <row r="220" spans="1:15" ht="15.75" thickBot="1" x14ac:dyDescent="0.3">
      <c r="A220" s="125" t="s">
        <v>1207</v>
      </c>
      <c r="B220" s="279" t="s">
        <v>316</v>
      </c>
      <c r="C220" s="123" t="str">
        <f>IFERROR(IF(B220="No CAS","",INDEX('DEQ Pollutant List'!$B$7:$B$611,MATCH('3. Pollutant Emissions - EF'!B220,'DEQ Pollutant List'!$A$7:$A$611,0))),"")</f>
        <v>Phosphorus pentoxide</v>
      </c>
      <c r="D220" s="127"/>
      <c r="E220" s="193">
        <v>0.9</v>
      </c>
      <c r="F220" s="116">
        <f>Stockpiles!E117</f>
        <v>5.2649972448226945E-2</v>
      </c>
      <c r="G220" s="129">
        <f>Stockpiles!G117</f>
        <v>9.3881796690307312E-4</v>
      </c>
      <c r="H220" s="152" t="s">
        <v>1286</v>
      </c>
      <c r="I220" s="196" t="s">
        <v>1287</v>
      </c>
      <c r="J220" s="289">
        <f>F220*'2. Emissions Units &amp; Activities'!$H$22</f>
        <v>5.814872192922757E-2</v>
      </c>
      <c r="K220" s="121">
        <f>F220*'2. Emissions Units &amp; Activities'!$I$22</f>
        <v>5.814872192922757E-2</v>
      </c>
      <c r="L220" s="114">
        <f t="shared" si="25"/>
        <v>5.814872192922757E-2</v>
      </c>
      <c r="M220" s="118">
        <f>G220*'2. Emissions Units &amp; Activities'!$K$22</f>
        <v>1.0368678721207572E-3</v>
      </c>
      <c r="N220" s="119">
        <f>G220*'2. Emissions Units &amp; Activities'!$L$22</f>
        <v>1.0368678721207572E-3</v>
      </c>
      <c r="O220" s="120">
        <f t="shared" si="26"/>
        <v>1.0368678721207572E-3</v>
      </c>
    </row>
    <row r="221" spans="1:15" ht="15.75" thickBot="1" x14ac:dyDescent="0.3">
      <c r="A221" s="125" t="s">
        <v>1207</v>
      </c>
      <c r="B221" s="279" t="s">
        <v>183</v>
      </c>
      <c r="C221" s="123" t="str">
        <f>IFERROR(IF(B221="No CAS","",INDEX('DEQ Pollutant List'!$B$7:$B$611,MATCH('3. Pollutant Emissions - EF'!B221,'DEQ Pollutant List'!$A$7:$A$611,0))),"")</f>
        <v>Silica, crystalline (respirable)</v>
      </c>
      <c r="D221" s="127"/>
      <c r="E221" s="193">
        <v>0.9</v>
      </c>
      <c r="F221" s="116">
        <f>Stockpiles!E118</f>
        <v>24.525015291039711</v>
      </c>
      <c r="G221" s="129">
        <f>Stockpiles!G118</f>
        <v>0.43731314420803774</v>
      </c>
      <c r="H221" s="152" t="s">
        <v>1286</v>
      </c>
      <c r="I221" s="196" t="s">
        <v>1287</v>
      </c>
      <c r="J221" s="289">
        <f>F221*'2. Emissions Units &amp; Activities'!$H$22</f>
        <v>27.086401533658314</v>
      </c>
      <c r="K221" s="121">
        <f>F221*'2. Emissions Units &amp; Activities'!$I$22</f>
        <v>27.086401533658314</v>
      </c>
      <c r="L221" s="114">
        <f t="shared" si="25"/>
        <v>27.086401533658314</v>
      </c>
      <c r="M221" s="118">
        <f>G221*'2. Emissions Units &amp; Activities'!$K$22</f>
        <v>0.48298601568225025</v>
      </c>
      <c r="N221" s="119">
        <f>G221*'2. Emissions Units &amp; Activities'!$L$22</f>
        <v>0.48298601568225025</v>
      </c>
      <c r="O221" s="120">
        <f t="shared" si="26"/>
        <v>0.48298601568225025</v>
      </c>
    </row>
    <row r="222" spans="1:15" ht="15.75" thickBot="1" x14ac:dyDescent="0.3">
      <c r="A222" s="125" t="s">
        <v>1207</v>
      </c>
      <c r="B222" s="279" t="s">
        <v>317</v>
      </c>
      <c r="C222" s="123" t="str">
        <f>IFERROR(IF(B222="No CAS","",INDEX('DEQ Pollutant List'!$B$7:$B$611,MATCH('3. Pollutant Emissions - EF'!B222,'DEQ Pollutant List'!$A$7:$A$611,0))),"")</f>
        <v>Sulfur trioxide</v>
      </c>
      <c r="D222" s="127"/>
      <c r="E222" s="193">
        <v>0.9</v>
      </c>
      <c r="F222" s="116">
        <f>Stockpiles!E119</f>
        <v>1.645311639007092E-2</v>
      </c>
      <c r="G222" s="129">
        <f>Stockpiles!G119</f>
        <v>2.9338061465721032E-4</v>
      </c>
      <c r="H222" s="152" t="s">
        <v>1286</v>
      </c>
      <c r="I222" s="196" t="s">
        <v>1287</v>
      </c>
      <c r="J222" s="289">
        <f>F222*'2. Emissions Units &amp; Activities'!$H$22</f>
        <v>1.8171475602883617E-2</v>
      </c>
      <c r="K222" s="121">
        <f>F222*'2. Emissions Units &amp; Activities'!$I$22</f>
        <v>1.8171475602883617E-2</v>
      </c>
      <c r="L222" s="114">
        <f t="shared" si="25"/>
        <v>1.8171475602883617E-2</v>
      </c>
      <c r="M222" s="118">
        <f>G222*'2. Emissions Units &amp; Activities'!$K$22</f>
        <v>3.2402121003773663E-4</v>
      </c>
      <c r="N222" s="119">
        <f>G222*'2. Emissions Units &amp; Activities'!$L$22</f>
        <v>3.2402121003773663E-4</v>
      </c>
      <c r="O222" s="120">
        <f t="shared" si="26"/>
        <v>3.2402121003773663E-4</v>
      </c>
    </row>
    <row r="223" spans="1:15" ht="15.75" thickBot="1" x14ac:dyDescent="0.3">
      <c r="A223" s="198" t="s">
        <v>1207</v>
      </c>
      <c r="B223" s="280" t="s">
        <v>318</v>
      </c>
      <c r="C223" s="216" t="str">
        <f>IFERROR(IF(B223="No CAS","",INDEX('DEQ Pollutant List'!$B$7:$B$611,MATCH('3. Pollutant Emissions - EF'!B223,'DEQ Pollutant List'!$A$7:$A$611,0))),"")</f>
        <v>Vanadium pentoxide</v>
      </c>
      <c r="D223" s="189"/>
      <c r="E223" s="193">
        <v>0.9</v>
      </c>
      <c r="F223" s="202">
        <f>Stockpiles!E120</f>
        <v>1.645311639007092E-2</v>
      </c>
      <c r="G223" s="199">
        <f>Stockpiles!G120</f>
        <v>2.9338061465721032E-4</v>
      </c>
      <c r="H223" s="200" t="s">
        <v>1286</v>
      </c>
      <c r="I223" s="196" t="s">
        <v>1287</v>
      </c>
      <c r="J223" s="232">
        <f>F223*'2. Emissions Units &amp; Activities'!$H$22</f>
        <v>1.8171475602883617E-2</v>
      </c>
      <c r="K223" s="233">
        <f>F223*'2. Emissions Units &amp; Activities'!$I$22</f>
        <v>1.8171475602883617E-2</v>
      </c>
      <c r="L223" s="234">
        <f t="shared" si="25"/>
        <v>1.8171475602883617E-2</v>
      </c>
      <c r="M223" s="232">
        <f>G223*'2. Emissions Units &amp; Activities'!$K$22</f>
        <v>3.2402121003773663E-4</v>
      </c>
      <c r="N223" s="235">
        <f>G223*'2. Emissions Units &amp; Activities'!$L$22</f>
        <v>3.2402121003773663E-4</v>
      </c>
      <c r="O223" s="236">
        <f t="shared" si="26"/>
        <v>3.2402121003773663E-4</v>
      </c>
    </row>
    <row r="224" spans="1:15" ht="15.75" thickBot="1" x14ac:dyDescent="0.3">
      <c r="A224" s="125" t="s">
        <v>1212</v>
      </c>
      <c r="B224" s="285" t="s">
        <v>305</v>
      </c>
      <c r="C224" s="123" t="str">
        <f>IFERROR(IF(B224="No CAS","",INDEX('DEQ Pollutant List'!$B$7:$B$611,MATCH('3. Pollutant Emissions - EF'!B224,'DEQ Pollutant List'!$A$7:$A$611,0))),"")</f>
        <v>Silver and compounds</v>
      </c>
      <c r="D224" s="127" t="str">
        <f>IFERROR(IF(OR($B224="",$B224="No CAS"),INDEX('DEQ Pollutant List'!$A$7:$A$611,MATCH($C224,'DEQ Pollutant List'!$C$7:$C$611,0)),INDEX('DEQ Pollutant List'!$A$7:$A$611,MATCH($B224,'DEQ Pollutant List'!$B$7:$B$611,0))),"")</f>
        <v/>
      </c>
      <c r="E224" s="193">
        <v>0.9</v>
      </c>
      <c r="F224" s="116">
        <f>Stockpiles!M68</f>
        <v>2.1367963746167689E-12</v>
      </c>
      <c r="G224" s="129">
        <f>Stockpiles!O68</f>
        <v>7.7125107267385247E-12</v>
      </c>
      <c r="H224" s="115" t="s">
        <v>492</v>
      </c>
      <c r="I224" s="124" t="s">
        <v>1285</v>
      </c>
      <c r="J224" s="282">
        <f>F224*'2. Emissions Units &amp; Activities'!$H$23</f>
        <v>3.7574861241628638E-8</v>
      </c>
      <c r="K224" s="286">
        <f>F224*'2. Emissions Units &amp; Activities'!$I$23</f>
        <v>3.7574861241628638E-8</v>
      </c>
      <c r="L224" s="281">
        <f t="shared" si="14"/>
        <v>3.7574861241628638E-8</v>
      </c>
      <c r="M224" s="282">
        <f>G224*'2. Emissions Units &amp; Activities'!$K$23</f>
        <v>1.0662129604136768E-8</v>
      </c>
      <c r="N224" s="283">
        <f>G224*'2. Emissions Units &amp; Activities'!$L$23</f>
        <v>1.0662129604136768E-8</v>
      </c>
      <c r="O224" s="284">
        <f t="shared" si="22"/>
        <v>1.0662129604136768E-8</v>
      </c>
    </row>
    <row r="225" spans="1:15" ht="15.75" thickBot="1" x14ac:dyDescent="0.3">
      <c r="A225" s="125" t="s">
        <v>1212</v>
      </c>
      <c r="B225" s="279" t="s">
        <v>190</v>
      </c>
      <c r="C225" s="123" t="str">
        <f>IFERROR(IF(B225="No CAS","",INDEX('DEQ Pollutant List'!$B$7:$B$611,MATCH('3. Pollutant Emissions - EF'!B225,'DEQ Pollutant List'!$A$7:$A$611,0))),"")</f>
        <v>Aluminum and compounds</v>
      </c>
      <c r="D225" s="127" t="str">
        <f>IFERROR(IF(OR($B225="",$B225="No CAS"),INDEX('DEQ Pollutant List'!$A$7:$A$611,MATCH($C225,'DEQ Pollutant List'!$C$7:$C$611,0)),INDEX('DEQ Pollutant List'!$A$7:$A$611,MATCH($B225,'DEQ Pollutant List'!$B$7:$B$611,0))),"")</f>
        <v/>
      </c>
      <c r="E225" s="193">
        <v>0.9</v>
      </c>
      <c r="F225" s="116">
        <f>Stockpiles!M69</f>
        <v>5.4466939588981423E-6</v>
      </c>
      <c r="G225" s="129">
        <f>Stockpiles!O69</f>
        <v>1.9659189842456492E-5</v>
      </c>
      <c r="H225" s="115" t="s">
        <v>492</v>
      </c>
      <c r="I225" s="124" t="s">
        <v>1285</v>
      </c>
      <c r="J225" s="118">
        <f>F225*'2. Emissions Units &amp; Activities'!$H$23</f>
        <v>9.577832130491136E-2</v>
      </c>
      <c r="K225" s="121">
        <f>F225*'2. Emissions Units &amp; Activities'!$I$23</f>
        <v>9.577832130491136E-2</v>
      </c>
      <c r="L225" s="114">
        <f t="shared" ref="L225:L248" si="27">K225</f>
        <v>9.577832130491136E-2</v>
      </c>
      <c r="M225" s="118">
        <f>G225*'2. Emissions Units &amp; Activities'!$K$23</f>
        <v>2.7177768360944609E-2</v>
      </c>
      <c r="N225" s="119">
        <f>G225*'2. Emissions Units &amp; Activities'!$L$23</f>
        <v>2.7177768360944609E-2</v>
      </c>
      <c r="O225" s="120">
        <f t="shared" ref="O225:O248" si="28">N225</f>
        <v>2.7177768360944609E-2</v>
      </c>
    </row>
    <row r="226" spans="1:15" ht="15.75" thickBot="1" x14ac:dyDescent="0.3">
      <c r="A226" s="125" t="s">
        <v>1212</v>
      </c>
      <c r="B226" s="279" t="s">
        <v>306</v>
      </c>
      <c r="C226" s="123" t="str">
        <f>IFERROR(IF(B226="No CAS","",INDEX('DEQ Pollutant List'!$B$7:$B$611,MATCH('3. Pollutant Emissions - EF'!B226,'DEQ Pollutant List'!$A$7:$A$611,0))),"")</f>
        <v>Arsenic and compounds</v>
      </c>
      <c r="D226" s="127" t="str">
        <f>IFERROR(IF(OR($B226="",$B226="No CAS"),INDEX('DEQ Pollutant List'!$A$7:$A$611,MATCH($C226,'DEQ Pollutant List'!$C$7:$C$611,0)),INDEX('DEQ Pollutant List'!$A$7:$A$611,MATCH($B226,'DEQ Pollutant List'!$B$7:$B$611,0))),"")</f>
        <v/>
      </c>
      <c r="E226" s="193">
        <v>0.9</v>
      </c>
      <c r="F226" s="116">
        <f>Stockpiles!M70</f>
        <v>2.2222682296014396E-10</v>
      </c>
      <c r="G226" s="129">
        <f>Stockpiles!O70</f>
        <v>8.0210111558080658E-10</v>
      </c>
      <c r="H226" s="115" t="s">
        <v>492</v>
      </c>
      <c r="I226" s="124" t="s">
        <v>1285</v>
      </c>
      <c r="J226" s="118">
        <f>F226*'2. Emissions Units &amp; Activities'!$H$23</f>
        <v>3.9077855691293781E-6</v>
      </c>
      <c r="K226" s="121">
        <f>F226*'2. Emissions Units &amp; Activities'!$I$23</f>
        <v>3.9077855691293781E-6</v>
      </c>
      <c r="L226" s="114">
        <f t="shared" si="27"/>
        <v>3.9077855691293781E-6</v>
      </c>
      <c r="M226" s="118">
        <f>G226*'2. Emissions Units &amp; Activities'!$K$23</f>
        <v>1.1088614788302239E-6</v>
      </c>
      <c r="N226" s="119">
        <f>G226*'2. Emissions Units &amp; Activities'!$L$23</f>
        <v>1.1088614788302239E-6</v>
      </c>
      <c r="O226" s="120">
        <f t="shared" si="28"/>
        <v>1.1088614788302239E-6</v>
      </c>
    </row>
    <row r="227" spans="1:15" ht="15.75" thickBot="1" x14ac:dyDescent="0.3">
      <c r="A227" s="125" t="s">
        <v>1212</v>
      </c>
      <c r="B227" s="279" t="s">
        <v>142</v>
      </c>
      <c r="C227" s="123" t="str">
        <f>IFERROR(IF(B227="No CAS","",INDEX('DEQ Pollutant List'!$B$7:$B$611,MATCH('3. Pollutant Emissions - EF'!B227,'DEQ Pollutant List'!$A$7:$A$611,0))),"")</f>
        <v>Barium and compounds</v>
      </c>
      <c r="D227" s="127" t="str">
        <f>IFERROR(IF(OR($B227="",$B227="No CAS"),INDEX('DEQ Pollutant List'!$A$7:$A$611,MATCH($C227,'DEQ Pollutant List'!$C$7:$C$611,0)),INDEX('DEQ Pollutant List'!$A$7:$A$611,MATCH($B227,'DEQ Pollutant List'!$B$7:$B$611,0))),"")</f>
        <v/>
      </c>
      <c r="E227" s="193">
        <v>0.9</v>
      </c>
      <c r="F227" s="116">
        <f>Stockpiles!M71</f>
        <v>2.3932119395707813E-8</v>
      </c>
      <c r="G227" s="129">
        <f>Stockpiles!O71</f>
        <v>8.6380120139471474E-8</v>
      </c>
      <c r="H227" s="115" t="s">
        <v>492</v>
      </c>
      <c r="I227" s="124" t="s">
        <v>1285</v>
      </c>
      <c r="J227" s="118">
        <f>F227*'2. Emissions Units &amp; Activities'!$H$23</f>
        <v>4.2083844590624074E-4</v>
      </c>
      <c r="K227" s="121">
        <f>F227*'2. Emissions Units &amp; Activities'!$I$23</f>
        <v>4.2083844590624074E-4</v>
      </c>
      <c r="L227" s="114">
        <f t="shared" si="27"/>
        <v>4.2083844590624074E-4</v>
      </c>
      <c r="M227" s="118">
        <f>G227*'2. Emissions Units &amp; Activities'!$K$23</f>
        <v>1.1941585156633179E-4</v>
      </c>
      <c r="N227" s="119">
        <f>G227*'2. Emissions Units &amp; Activities'!$L$23</f>
        <v>1.1941585156633179E-4</v>
      </c>
      <c r="O227" s="120">
        <f t="shared" si="28"/>
        <v>1.1941585156633179E-4</v>
      </c>
    </row>
    <row r="228" spans="1:15" ht="15.75" thickBot="1" x14ac:dyDescent="0.3">
      <c r="A228" s="125" t="s">
        <v>1212</v>
      </c>
      <c r="B228" s="279" t="s">
        <v>307</v>
      </c>
      <c r="C228" s="123" t="str">
        <f>IFERROR(IF(B228="No CAS","",INDEX('DEQ Pollutant List'!$B$7:$B$611,MATCH('3. Pollutant Emissions - EF'!B228,'DEQ Pollutant List'!$A$7:$A$611,0))),"")</f>
        <v>Beryllium and compounds</v>
      </c>
      <c r="D228" s="127" t="str">
        <f>IFERROR(IF(OR($B228="",$B228="No CAS"),INDEX('DEQ Pollutant List'!$A$7:$A$611,MATCH($C228,'DEQ Pollutant List'!$C$7:$C$611,0)),INDEX('DEQ Pollutant List'!$A$7:$A$611,MATCH($B228,'DEQ Pollutant List'!$B$7:$B$611,0))),"")</f>
        <v/>
      </c>
      <c r="E228" s="193">
        <v>0.9</v>
      </c>
      <c r="F228" s="116">
        <f>Stockpiles!M72</f>
        <v>2.615438762530925E-10</v>
      </c>
      <c r="G228" s="129">
        <f>Stockpiles!O72</f>
        <v>9.4401131295279529E-10</v>
      </c>
      <c r="H228" s="115" t="s">
        <v>492</v>
      </c>
      <c r="I228" s="124" t="s">
        <v>1285</v>
      </c>
      <c r="J228" s="118">
        <f>F228*'2. Emissions Units &amp; Activities'!$H$23</f>
        <v>4.599163015975345E-6</v>
      </c>
      <c r="K228" s="121">
        <f>F228*'2. Emissions Units &amp; Activities'!$I$23</f>
        <v>4.599163015975345E-6</v>
      </c>
      <c r="L228" s="114">
        <f t="shared" si="27"/>
        <v>4.599163015975345E-6</v>
      </c>
      <c r="M228" s="118">
        <f>G228*'2. Emissions Units &amp; Activities'!$K$23</f>
        <v>1.3050446635463402E-6</v>
      </c>
      <c r="N228" s="119">
        <f>G228*'2. Emissions Units &amp; Activities'!$L$23</f>
        <v>1.3050446635463402E-6</v>
      </c>
      <c r="O228" s="120">
        <f t="shared" si="28"/>
        <v>1.3050446635463402E-6</v>
      </c>
    </row>
    <row r="229" spans="1:15" ht="15.75" thickBot="1" x14ac:dyDescent="0.3">
      <c r="A229" s="125" t="s">
        <v>1212</v>
      </c>
      <c r="B229" s="279" t="s">
        <v>308</v>
      </c>
      <c r="C229" s="123" t="str">
        <f>IFERROR(IF(B229="No CAS","",INDEX('DEQ Pollutant List'!$B$7:$B$611,MATCH('3. Pollutant Emissions - EF'!B229,'DEQ Pollutant List'!$A$7:$A$611,0))),"")</f>
        <v>Cadmium and compounds</v>
      </c>
      <c r="D229" s="127" t="str">
        <f>IFERROR(IF(OR($B229="",$B229="No CAS"),INDEX('DEQ Pollutant List'!$A$7:$A$611,MATCH($C229,'DEQ Pollutant List'!$C$7:$C$611,0)),INDEX('DEQ Pollutant List'!$A$7:$A$611,MATCH($B229,'DEQ Pollutant List'!$B$7:$B$611,0))),"")</f>
        <v/>
      </c>
      <c r="E229" s="193">
        <v>0.9</v>
      </c>
      <c r="F229" s="116">
        <f>Stockpiles!M73</f>
        <v>6.8377483987736602E-12</v>
      </c>
      <c r="G229" s="129">
        <f>Stockpiles!O73</f>
        <v>2.468003432556328E-11</v>
      </c>
      <c r="H229" s="115" t="s">
        <v>492</v>
      </c>
      <c r="I229" s="124" t="s">
        <v>1285</v>
      </c>
      <c r="J229" s="118">
        <f>F229*'2. Emissions Units &amp; Activities'!$H$23</f>
        <v>1.2023955597321163E-7</v>
      </c>
      <c r="K229" s="121">
        <f>F229*'2. Emissions Units &amp; Activities'!$I$23</f>
        <v>1.2023955597321163E-7</v>
      </c>
      <c r="L229" s="114">
        <f t="shared" si="27"/>
        <v>1.2023955597321163E-7</v>
      </c>
      <c r="M229" s="118">
        <f>G229*'2. Emissions Units &amp; Activities'!$K$23</f>
        <v>3.411881473323766E-8</v>
      </c>
      <c r="N229" s="119">
        <f>G229*'2. Emissions Units &amp; Activities'!$L$23</f>
        <v>3.411881473323766E-8</v>
      </c>
      <c r="O229" s="120">
        <f t="shared" si="28"/>
        <v>3.411881473323766E-8</v>
      </c>
    </row>
    <row r="230" spans="1:15" ht="15.75" thickBot="1" x14ac:dyDescent="0.3">
      <c r="A230" s="125" t="s">
        <v>1212</v>
      </c>
      <c r="B230" s="279" t="s">
        <v>147</v>
      </c>
      <c r="C230" s="123" t="str">
        <f>IFERROR(IF(B230="No CAS","",INDEX('DEQ Pollutant List'!$B$7:$B$611,MATCH('3. Pollutant Emissions - EF'!B230,'DEQ Pollutant List'!$A$7:$A$611,0))),"")</f>
        <v>Cobalt and compounds</v>
      </c>
      <c r="D230" s="127" t="str">
        <f>IFERROR(IF(OR($B230="",$B230="No CAS"),INDEX('DEQ Pollutant List'!$A$7:$A$611,MATCH($C230,'DEQ Pollutant List'!$C$7:$C$611,0)),INDEX('DEQ Pollutant List'!$A$7:$A$611,MATCH($B230,'DEQ Pollutant List'!$B$7:$B$611,0))),"")</f>
        <v/>
      </c>
      <c r="E230" s="193">
        <v>0.9</v>
      </c>
      <c r="F230" s="116">
        <f>Stockpiles!M74</f>
        <v>8.5471854984670755E-12</v>
      </c>
      <c r="G230" s="129">
        <f>Stockpiles!O74</f>
        <v>3.0850042906954099E-11</v>
      </c>
      <c r="H230" s="115" t="s">
        <v>492</v>
      </c>
      <c r="I230" s="124" t="s">
        <v>1285</v>
      </c>
      <c r="J230" s="118">
        <f>F230*'2. Emissions Units &amp; Activities'!$H$23</f>
        <v>1.5029944496651455E-7</v>
      </c>
      <c r="K230" s="121">
        <f>F230*'2. Emissions Units &amp; Activities'!$I$23</f>
        <v>1.5029944496651455E-7</v>
      </c>
      <c r="L230" s="114">
        <f t="shared" si="27"/>
        <v>1.5029944496651455E-7</v>
      </c>
      <c r="M230" s="118">
        <f>G230*'2. Emissions Units &amp; Activities'!$K$23</f>
        <v>4.2648518416547072E-8</v>
      </c>
      <c r="N230" s="119">
        <f>G230*'2. Emissions Units &amp; Activities'!$L$23</f>
        <v>4.2648518416547072E-8</v>
      </c>
      <c r="O230" s="120">
        <f t="shared" si="28"/>
        <v>4.2648518416547072E-8</v>
      </c>
    </row>
    <row r="231" spans="1:15" ht="15.75" thickBot="1" x14ac:dyDescent="0.3">
      <c r="A231" s="125" t="s">
        <v>1212</v>
      </c>
      <c r="B231" s="279" t="s">
        <v>205</v>
      </c>
      <c r="C231" s="123" t="str">
        <f>IFERROR(IF(B231="No CAS","",INDEX('DEQ Pollutant List'!$B$7:$B$611,MATCH('3. Pollutant Emissions - EF'!B231,'DEQ Pollutant List'!$A$7:$A$611,0))),"")</f>
        <v>Copper and compounds</v>
      </c>
      <c r="D231" s="127" t="str">
        <f>IFERROR(IF(OR($B231="",$B231="No CAS"),INDEX('DEQ Pollutant List'!$A$7:$A$611,MATCH($C231,'DEQ Pollutant List'!$C$7:$C$611,0)),INDEX('DEQ Pollutant List'!$A$7:$A$611,MATCH($B231,'DEQ Pollutant List'!$B$7:$B$611,0))),"")</f>
        <v/>
      </c>
      <c r="E231" s="193">
        <v>0.9</v>
      </c>
      <c r="F231" s="116">
        <f>Stockpiles!M75</f>
        <v>4.4445364592028791E-10</v>
      </c>
      <c r="G231" s="129">
        <f>Stockpiles!O75</f>
        <v>1.6042022311616132E-9</v>
      </c>
      <c r="H231" s="115" t="s">
        <v>492</v>
      </c>
      <c r="I231" s="124" t="s">
        <v>1285</v>
      </c>
      <c r="J231" s="118">
        <f>F231*'2. Emissions Units &amp; Activities'!$H$23</f>
        <v>7.8155711382587562E-6</v>
      </c>
      <c r="K231" s="121">
        <f>F231*'2. Emissions Units &amp; Activities'!$I$23</f>
        <v>7.8155711382587562E-6</v>
      </c>
      <c r="L231" s="114">
        <f t="shared" si="27"/>
        <v>7.8155711382587562E-6</v>
      </c>
      <c r="M231" s="118">
        <f>G231*'2. Emissions Units &amp; Activities'!$K$23</f>
        <v>2.2177229576604478E-6</v>
      </c>
      <c r="N231" s="119">
        <f>G231*'2. Emissions Units &amp; Activities'!$L$23</f>
        <v>2.2177229576604478E-6</v>
      </c>
      <c r="O231" s="120">
        <f t="shared" si="28"/>
        <v>2.2177229576604478E-6</v>
      </c>
    </row>
    <row r="232" spans="1:15" ht="15.75" thickBot="1" x14ac:dyDescent="0.3">
      <c r="A232" s="125" t="s">
        <v>1212</v>
      </c>
      <c r="B232" s="279" t="s">
        <v>55</v>
      </c>
      <c r="C232" s="123" t="str">
        <f>IFERROR(IF(B232="No CAS","",INDEX('DEQ Pollutant List'!$B$7:$B$611,MATCH('3. Pollutant Emissions - EF'!B232,'DEQ Pollutant List'!$A$7:$A$611,0))),"")</f>
        <v>Chromium VI, chromate and dichromate particulate</v>
      </c>
      <c r="D232" s="127" t="str">
        <f>IFERROR(IF(OR($B232="",$B232="No CAS"),INDEX('DEQ Pollutant List'!$A$7:$A$611,MATCH($C232,'DEQ Pollutant List'!$C$7:$C$611,0)),INDEX('DEQ Pollutant List'!$A$7:$A$611,MATCH($B232,'DEQ Pollutant List'!$B$7:$B$611,0))),"")</f>
        <v/>
      </c>
      <c r="E232" s="193">
        <v>0.9</v>
      </c>
      <c r="F232" s="116">
        <f>Stockpiles!M76</f>
        <v>6.8086879680788725E-10</v>
      </c>
      <c r="G232" s="129">
        <f>Stockpiles!O76</f>
        <v>2.4575144179679638E-9</v>
      </c>
      <c r="H232" s="115" t="s">
        <v>492</v>
      </c>
      <c r="I232" s="124" t="s">
        <v>1285</v>
      </c>
      <c r="J232" s="118">
        <f>F232*'2. Emissions Units &amp; Activities'!$H$23</f>
        <v>1.1972853786032548E-5</v>
      </c>
      <c r="K232" s="121">
        <f>F232*'2. Emissions Units &amp; Activities'!$I$23</f>
        <v>1.1972853786032548E-5</v>
      </c>
      <c r="L232" s="114">
        <f t="shared" si="27"/>
        <v>1.1972853786032548E-5</v>
      </c>
      <c r="M232" s="118">
        <f>G232*'2. Emissions Units &amp; Activities'!$K$23</f>
        <v>3.3973809770621398E-6</v>
      </c>
      <c r="N232" s="119">
        <f>G232*'2. Emissions Units &amp; Activities'!$L$23</f>
        <v>3.3973809770621398E-6</v>
      </c>
      <c r="O232" s="120">
        <f t="shared" si="28"/>
        <v>3.3973809770621398E-6</v>
      </c>
    </row>
    <row r="233" spans="1:15" ht="15.75" thickBot="1" x14ac:dyDescent="0.3">
      <c r="A233" s="125" t="s">
        <v>1212</v>
      </c>
      <c r="B233" s="279" t="s">
        <v>309</v>
      </c>
      <c r="C233" s="123" t="str">
        <f>IFERROR(IF(B233="No CAS","",INDEX('DEQ Pollutant List'!$B$7:$B$611,MATCH('3. Pollutant Emissions - EF'!B233,'DEQ Pollutant List'!$A$7:$A$611,0))),"")</f>
        <v>Mercury and compounds</v>
      </c>
      <c r="D233" s="127" t="str">
        <f>IFERROR(IF(OR($B233="",$B233="No CAS"),INDEX('DEQ Pollutant List'!$A$7:$A$611,MATCH($C233,'DEQ Pollutant List'!$C$7:$C$611,0)),INDEX('DEQ Pollutant List'!$A$7:$A$611,MATCH($B233,'DEQ Pollutant List'!$B$7:$B$611,0))),"")</f>
        <v/>
      </c>
      <c r="E233" s="193">
        <v>0.9</v>
      </c>
      <c r="F233" s="116">
        <f>Stockpiles!M77</f>
        <v>1.7094370996934151E-12</v>
      </c>
      <c r="G233" s="129">
        <f>Stockpiles!O77</f>
        <v>6.1700085813908199E-12</v>
      </c>
      <c r="H233" s="115" t="s">
        <v>492</v>
      </c>
      <c r="I233" s="124" t="s">
        <v>1285</v>
      </c>
      <c r="J233" s="118">
        <f>F233*'2. Emissions Units &amp; Activities'!$H$23</f>
        <v>3.0059888993302908E-8</v>
      </c>
      <c r="K233" s="121">
        <f>F233*'2. Emissions Units &amp; Activities'!$I$23</f>
        <v>3.0059888993302908E-8</v>
      </c>
      <c r="L233" s="114">
        <f t="shared" si="27"/>
        <v>3.0059888993302908E-8</v>
      </c>
      <c r="M233" s="118">
        <f>G233*'2. Emissions Units &amp; Activities'!$K$23</f>
        <v>8.5297036833094151E-9</v>
      </c>
      <c r="N233" s="119">
        <f>G233*'2. Emissions Units &amp; Activities'!$L$23</f>
        <v>8.5297036833094151E-9</v>
      </c>
      <c r="O233" s="120">
        <f t="shared" si="28"/>
        <v>8.5297036833094151E-9</v>
      </c>
    </row>
    <row r="234" spans="1:15" ht="15.75" thickBot="1" x14ac:dyDescent="0.3">
      <c r="A234" s="125" t="s">
        <v>1212</v>
      </c>
      <c r="B234" s="279" t="s">
        <v>181</v>
      </c>
      <c r="C234" s="123" t="str">
        <f>IFERROR(IF(B234="No CAS","",INDEX('DEQ Pollutant List'!$B$7:$B$611,MATCH('3. Pollutant Emissions - EF'!B234,'DEQ Pollutant List'!$A$7:$A$611,0))),"")</f>
        <v>Manganese and compounds</v>
      </c>
      <c r="D234" s="127" t="str">
        <f>IFERROR(IF(OR($B234="",$B234="No CAS"),INDEX('DEQ Pollutant List'!$A$7:$A$611,MATCH($C234,'DEQ Pollutant List'!$C$7:$C$611,0)),INDEX('DEQ Pollutant List'!$A$7:$A$611,MATCH($B234,'DEQ Pollutant List'!$B$7:$B$611,0))),"")</f>
        <v/>
      </c>
      <c r="E234" s="193">
        <v>0.9</v>
      </c>
      <c r="F234" s="116">
        <f>Stockpiles!M78</f>
        <v>4.2992343057289383E-8</v>
      </c>
      <c r="G234" s="129">
        <f>Stockpiles!O78</f>
        <v>1.5517571582197907E-7</v>
      </c>
      <c r="H234" s="115" t="s">
        <v>492</v>
      </c>
      <c r="I234" s="124" t="s">
        <v>1285</v>
      </c>
      <c r="J234" s="118">
        <f>F234*'2. Emissions Units &amp; Activities'!$H$23</f>
        <v>7.5600620818156805E-4</v>
      </c>
      <c r="K234" s="121">
        <f>F234*'2. Emissions Units &amp; Activities'!$I$23</f>
        <v>7.5600620818156805E-4</v>
      </c>
      <c r="L234" s="114">
        <f t="shared" si="27"/>
        <v>7.5600620818156805E-4</v>
      </c>
      <c r="M234" s="118">
        <f>G234*'2. Emissions Units &amp; Activities'!$K$23</f>
        <v>2.145220476352317E-4</v>
      </c>
      <c r="N234" s="119">
        <f>G234*'2. Emissions Units &amp; Activities'!$L$23</f>
        <v>2.145220476352317E-4</v>
      </c>
      <c r="O234" s="120">
        <f t="shared" si="28"/>
        <v>2.145220476352317E-4</v>
      </c>
    </row>
    <row r="235" spans="1:15" ht="15.75" thickBot="1" x14ac:dyDescent="0.3">
      <c r="A235" s="125" t="s">
        <v>1212</v>
      </c>
      <c r="B235" s="279" t="s">
        <v>66</v>
      </c>
      <c r="C235" s="123" t="str">
        <f>IFERROR(IF(B235="No CAS","",INDEX('DEQ Pollutant List'!$B$7:$B$611,MATCH('3. Pollutant Emissions - EF'!B235,'DEQ Pollutant List'!$A$7:$A$611,0))),"")</f>
        <v>Molybdenum trioxide</v>
      </c>
      <c r="D235" s="127" t="str">
        <f>IFERROR(IF(OR($B235="",$B235="No CAS"),INDEX('DEQ Pollutant List'!$A$7:$A$611,MATCH($C235,'DEQ Pollutant List'!$C$7:$C$611,0)),INDEX('DEQ Pollutant List'!$A$7:$A$611,MATCH($B235,'DEQ Pollutant List'!$B$7:$B$611,0))),"")</f>
        <v/>
      </c>
      <c r="E235" s="193">
        <v>0.9</v>
      </c>
      <c r="F235" s="116">
        <f>Stockpiles!M79</f>
        <v>7.945056503729369E-10</v>
      </c>
      <c r="G235" s="129">
        <f>Stockpiles!O79</f>
        <v>2.8676730378928246E-9</v>
      </c>
      <c r="H235" s="115" t="s">
        <v>492</v>
      </c>
      <c r="I235" s="124" t="s">
        <v>1285</v>
      </c>
      <c r="J235" s="118">
        <f>F235*'2. Emissions Units &amp; Activities'!$H$23</f>
        <v>1.3971120469449124E-5</v>
      </c>
      <c r="K235" s="121">
        <f>F235*'2. Emissions Units &amp; Activities'!$I$23</f>
        <v>1.3971120469449124E-5</v>
      </c>
      <c r="L235" s="114">
        <f t="shared" si="27"/>
        <v>1.3971120469449124E-5</v>
      </c>
      <c r="M235" s="118">
        <f>G235*'2. Emissions Units &amp; Activities'!$K$23</f>
        <v>3.9644031205427838E-6</v>
      </c>
      <c r="N235" s="119">
        <f>G235*'2. Emissions Units &amp; Activities'!$L$23</f>
        <v>3.9644031205427838E-6</v>
      </c>
      <c r="O235" s="120">
        <f t="shared" si="28"/>
        <v>3.9644031205427838E-6</v>
      </c>
    </row>
    <row r="236" spans="1:15" ht="15.75" thickBot="1" x14ac:dyDescent="0.3">
      <c r="A236" s="125" t="s">
        <v>1212</v>
      </c>
      <c r="B236" s="279" t="s">
        <v>212</v>
      </c>
      <c r="C236" s="123" t="str">
        <f>IFERROR(IF(B236="No CAS","",INDEX('DEQ Pollutant List'!$B$7:$B$611,MATCH('3. Pollutant Emissions - EF'!B236,'DEQ Pollutant List'!$A$7:$A$611,0))),"")</f>
        <v>Nickel and compounds</v>
      </c>
      <c r="D236" s="127" t="str">
        <f>IFERROR(IF(OR($B236="",$B236="No CAS"),INDEX('DEQ Pollutant List'!$A$7:$A$611,MATCH($C236,'DEQ Pollutant List'!$C$7:$C$611,0)),INDEX('DEQ Pollutant List'!$A$7:$A$611,MATCH($B236,'DEQ Pollutant List'!$B$7:$B$611,0))),"")</f>
        <v/>
      </c>
      <c r="E236" s="193">
        <v>0.9</v>
      </c>
      <c r="F236" s="116">
        <f>Stockpiles!M80</f>
        <v>1.7094370996934147E-10</v>
      </c>
      <c r="G236" s="129">
        <f>Stockpiles!O80</f>
        <v>6.170008581390819E-10</v>
      </c>
      <c r="H236" s="115" t="s">
        <v>492</v>
      </c>
      <c r="I236" s="124" t="s">
        <v>1285</v>
      </c>
      <c r="J236" s="118">
        <f>F236*'2. Emissions Units &amp; Activities'!$H$23</f>
        <v>3.0059888993302901E-6</v>
      </c>
      <c r="K236" s="121">
        <f>F236*'2. Emissions Units &amp; Activities'!$I$23</f>
        <v>3.0059888993302901E-6</v>
      </c>
      <c r="L236" s="114">
        <f t="shared" si="27"/>
        <v>3.0059888993302901E-6</v>
      </c>
      <c r="M236" s="118">
        <f>G236*'2. Emissions Units &amp; Activities'!$K$23</f>
        <v>8.5297036833094128E-7</v>
      </c>
      <c r="N236" s="119">
        <f>G236*'2. Emissions Units &amp; Activities'!$L$23</f>
        <v>8.5297036833094128E-7</v>
      </c>
      <c r="O236" s="120">
        <f t="shared" si="28"/>
        <v>8.5297036833094128E-7</v>
      </c>
    </row>
    <row r="237" spans="1:15" ht="15.75" thickBot="1" x14ac:dyDescent="0.3">
      <c r="A237" s="125" t="s">
        <v>1212</v>
      </c>
      <c r="B237" s="279" t="s">
        <v>310</v>
      </c>
      <c r="C237" s="123" t="str">
        <f>IFERROR(IF(B237="No CAS","",INDEX('DEQ Pollutant List'!$B$7:$B$611,MATCH('3. Pollutant Emissions - EF'!B237,'DEQ Pollutant List'!$A$7:$A$611,0))),"")</f>
        <v>Lead and compounds</v>
      </c>
      <c r="D237" s="127" t="str">
        <f>IFERROR(IF(OR($B237="",$B237="No CAS"),INDEX('DEQ Pollutant List'!$A$7:$A$611,MATCH($C237,'DEQ Pollutant List'!$C$7:$C$611,0)),INDEX('DEQ Pollutant List'!$A$7:$A$611,MATCH($B237,'DEQ Pollutant List'!$B$7:$B$611,0))),"")</f>
        <v/>
      </c>
      <c r="E237" s="193">
        <v>0.9</v>
      </c>
      <c r="F237" s="116">
        <f>Stockpiles!M81</f>
        <v>2.1367963746167689E-9</v>
      </c>
      <c r="G237" s="129">
        <f>Stockpiles!O81</f>
        <v>7.7125107267385245E-9</v>
      </c>
      <c r="H237" s="115" t="s">
        <v>492</v>
      </c>
      <c r="I237" s="124" t="s">
        <v>1285</v>
      </c>
      <c r="J237" s="118">
        <f>F237*'2. Emissions Units &amp; Activities'!$H$23</f>
        <v>3.7574861241628635E-5</v>
      </c>
      <c r="K237" s="121">
        <f>F237*'2. Emissions Units &amp; Activities'!$I$23</f>
        <v>3.7574861241628635E-5</v>
      </c>
      <c r="L237" s="114">
        <f t="shared" si="27"/>
        <v>3.7574861241628635E-5</v>
      </c>
      <c r="M237" s="118">
        <f>G237*'2. Emissions Units &amp; Activities'!$K$23</f>
        <v>1.0662129604136768E-5</v>
      </c>
      <c r="N237" s="119">
        <f>G237*'2. Emissions Units &amp; Activities'!$L$23</f>
        <v>1.0662129604136768E-5</v>
      </c>
      <c r="O237" s="120">
        <f t="shared" si="28"/>
        <v>1.0662129604136768E-5</v>
      </c>
    </row>
    <row r="238" spans="1:15" ht="15.75" thickBot="1" x14ac:dyDescent="0.3">
      <c r="A238" s="125" t="s">
        <v>1212</v>
      </c>
      <c r="B238" s="279" t="s">
        <v>311</v>
      </c>
      <c r="C238" s="123" t="str">
        <f>IFERROR(IF(B238="No CAS","",INDEX('DEQ Pollutant List'!$B$7:$B$611,MATCH('3. Pollutant Emissions - EF'!B238,'DEQ Pollutant List'!$A$7:$A$611,0))),"")</f>
        <v>Antimony and compounds</v>
      </c>
      <c r="D238" s="127" t="str">
        <f>IFERROR(IF(OR($B238="",$B238="No CAS"),INDEX('DEQ Pollutant List'!$A$7:$A$611,MATCH($C238,'DEQ Pollutant List'!$C$7:$C$611,0)),INDEX('DEQ Pollutant List'!$A$7:$A$611,MATCH($B238,'DEQ Pollutant List'!$B$7:$B$611,0))),"")</f>
        <v/>
      </c>
      <c r="E238" s="193">
        <v>0.9</v>
      </c>
      <c r="F238" s="116">
        <f>Stockpiles!M82</f>
        <v>3.1624586344328174E-11</v>
      </c>
      <c r="G238" s="129">
        <f>Stockpiles!O82</f>
        <v>1.1414515875573016E-10</v>
      </c>
      <c r="H238" s="115" t="s">
        <v>492</v>
      </c>
      <c r="I238" s="124" t="s">
        <v>1285</v>
      </c>
      <c r="J238" s="118">
        <f>F238*'2. Emissions Units &amp; Activities'!$H$23</f>
        <v>5.5610794637610368E-7</v>
      </c>
      <c r="K238" s="121">
        <f>F238*'2. Emissions Units &amp; Activities'!$I$23</f>
        <v>5.5610794637610368E-7</v>
      </c>
      <c r="L238" s="114">
        <f t="shared" si="27"/>
        <v>5.5610794637610368E-7</v>
      </c>
      <c r="M238" s="118">
        <f>G238*'2. Emissions Units &amp; Activities'!$K$23</f>
        <v>1.5779951814122416E-7</v>
      </c>
      <c r="N238" s="119">
        <f>G238*'2. Emissions Units &amp; Activities'!$L$23</f>
        <v>1.5779951814122416E-7</v>
      </c>
      <c r="O238" s="120">
        <f t="shared" si="28"/>
        <v>1.5779951814122416E-7</v>
      </c>
    </row>
    <row r="239" spans="1:15" ht="15.75" thickBot="1" x14ac:dyDescent="0.3">
      <c r="A239" s="125" t="s">
        <v>1212</v>
      </c>
      <c r="B239" s="279" t="s">
        <v>312</v>
      </c>
      <c r="C239" s="123" t="str">
        <f>IFERROR(IF(B239="No CAS","",INDEX('DEQ Pollutant List'!$B$7:$B$611,MATCH('3. Pollutant Emissions - EF'!B239,'DEQ Pollutant List'!$A$7:$A$611,0))),"")</f>
        <v>Selenium and compounds</v>
      </c>
      <c r="D239" s="127" t="str">
        <f>IFERROR(IF(OR($B239="",$B239="No CAS"),INDEX('DEQ Pollutant List'!$A$7:$A$611,MATCH($C239,'DEQ Pollutant List'!$C$7:$C$611,0)),INDEX('DEQ Pollutant List'!$A$7:$A$611,MATCH($B239,'DEQ Pollutant List'!$B$7:$B$611,0))),"")</f>
        <v/>
      </c>
      <c r="E239" s="193">
        <v>0.9</v>
      </c>
      <c r="F239" s="116">
        <f>Stockpiles!M83</f>
        <v>1.6239652447087444E-11</v>
      </c>
      <c r="G239" s="129">
        <f>Stockpiles!O83</f>
        <v>5.8615081523212789E-11</v>
      </c>
      <c r="H239" s="115" t="s">
        <v>492</v>
      </c>
      <c r="I239" s="124" t="s">
        <v>1285</v>
      </c>
      <c r="J239" s="118">
        <f>F239*'2. Emissions Units &amp; Activities'!$H$23</f>
        <v>2.8556894543637763E-7</v>
      </c>
      <c r="K239" s="121">
        <f>F239*'2. Emissions Units &amp; Activities'!$I$23</f>
        <v>2.8556894543637763E-7</v>
      </c>
      <c r="L239" s="114">
        <f t="shared" si="27"/>
        <v>2.8556894543637763E-7</v>
      </c>
      <c r="M239" s="118">
        <f>G239*'2. Emissions Units &amp; Activities'!$K$23</f>
        <v>8.1032184991439438E-8</v>
      </c>
      <c r="N239" s="119">
        <f>G239*'2. Emissions Units &amp; Activities'!$L$23</f>
        <v>8.1032184991439438E-8</v>
      </c>
      <c r="O239" s="120">
        <f t="shared" si="28"/>
        <v>8.1032184991439438E-8</v>
      </c>
    </row>
    <row r="240" spans="1:15" ht="15.75" thickBot="1" x14ac:dyDescent="0.3">
      <c r="A240" s="125" t="s">
        <v>1212</v>
      </c>
      <c r="B240" s="279" t="s">
        <v>314</v>
      </c>
      <c r="C240" s="123" t="str">
        <f>IFERROR(IF(B240="No CAS","",INDEX('DEQ Pollutant List'!$B$7:$B$611,MATCH('3. Pollutant Emissions - EF'!B240,'DEQ Pollutant List'!$A$7:$A$611,0))),"")</f>
        <v>Thallium and compounds</v>
      </c>
      <c r="D240" s="127" t="str">
        <f>IFERROR(IF(OR($B240="",$B240="No CAS"),INDEX('DEQ Pollutant List'!$A$7:$A$611,MATCH($C240,'DEQ Pollutant List'!$C$7:$C$611,0)),INDEX('DEQ Pollutant List'!$A$7:$A$611,MATCH($B240,'DEQ Pollutant List'!$B$7:$B$611,0))),"")</f>
        <v/>
      </c>
      <c r="E240" s="193">
        <v>0.9</v>
      </c>
      <c r="F240" s="116">
        <f>Stockpiles!M84</f>
        <v>3.7522144338270458E-11</v>
      </c>
      <c r="G240" s="129">
        <f>Stockpiles!O84</f>
        <v>1.354316883615285E-10</v>
      </c>
      <c r="H240" s="115" t="s">
        <v>492</v>
      </c>
      <c r="I240" s="124" t="s">
        <v>1285</v>
      </c>
      <c r="J240" s="118">
        <f>F240*'2. Emissions Units &amp; Activities'!$H$23</f>
        <v>6.5981456340299881E-7</v>
      </c>
      <c r="K240" s="121">
        <f>F240*'2. Emissions Units &amp; Activities'!$I$23</f>
        <v>6.5981456340299881E-7</v>
      </c>
      <c r="L240" s="114">
        <f t="shared" si="27"/>
        <v>6.5981456340299881E-7</v>
      </c>
      <c r="M240" s="118">
        <f>G240*'2. Emissions Units &amp; Activities'!$K$23</f>
        <v>1.8722699584864164E-7</v>
      </c>
      <c r="N240" s="119">
        <f>G240*'2. Emissions Units &amp; Activities'!$L$23</f>
        <v>1.8722699584864164E-7</v>
      </c>
      <c r="O240" s="120">
        <f t="shared" si="28"/>
        <v>1.8722699584864164E-7</v>
      </c>
    </row>
    <row r="241" spans="1:15" ht="15.75" thickBot="1" x14ac:dyDescent="0.3">
      <c r="A241" s="125" t="s">
        <v>1212</v>
      </c>
      <c r="B241" s="279" t="s">
        <v>315</v>
      </c>
      <c r="C241" s="123" t="str">
        <f>IFERROR(IF(B241="No CAS","",INDEX('DEQ Pollutant List'!$B$7:$B$611,MATCH('3. Pollutant Emissions - EF'!B241,'DEQ Pollutant List'!$A$7:$A$611,0))),"")</f>
        <v>Zinc and compounds</v>
      </c>
      <c r="D241" s="127" t="str">
        <f>IFERROR(IF(OR($B241="",$B241="No CAS"),INDEX('DEQ Pollutant List'!$A$7:$A$611,MATCH($C241,'DEQ Pollutant List'!$C$7:$C$611,0)),INDEX('DEQ Pollutant List'!$A$7:$A$611,MATCH($B241,'DEQ Pollutant List'!$B$7:$B$611,0))),"")</f>
        <v/>
      </c>
      <c r="E241" s="193">
        <v>0.9</v>
      </c>
      <c r="F241" s="116">
        <f>Stockpiles!M85</f>
        <v>2.5641556495401221E-9</v>
      </c>
      <c r="G241" s="129">
        <f>Stockpiles!O85</f>
        <v>9.2550128720862277E-9</v>
      </c>
      <c r="H241" s="115" t="s">
        <v>492</v>
      </c>
      <c r="I241" s="124" t="s">
        <v>1285</v>
      </c>
      <c r="J241" s="118">
        <f>F241*'2. Emissions Units &amp; Activities'!$H$23</f>
        <v>4.5089833489954357E-5</v>
      </c>
      <c r="K241" s="121">
        <f>F241*'2. Emissions Units &amp; Activities'!$I$23</f>
        <v>4.5089833489954357E-5</v>
      </c>
      <c r="L241" s="114">
        <f t="shared" si="27"/>
        <v>4.5089833489954357E-5</v>
      </c>
      <c r="M241" s="118">
        <f>G241*'2. Emissions Units &amp; Activities'!$K$23</f>
        <v>1.2794555524964119E-5</v>
      </c>
      <c r="N241" s="119">
        <f>G241*'2. Emissions Units &amp; Activities'!$L$23</f>
        <v>1.2794555524964119E-5</v>
      </c>
      <c r="O241" s="120">
        <f t="shared" si="28"/>
        <v>1.2794555524964119E-5</v>
      </c>
    </row>
    <row r="242" spans="1:15" ht="15.75" thickBot="1" x14ac:dyDescent="0.3">
      <c r="A242" s="125" t="s">
        <v>1212</v>
      </c>
      <c r="B242" s="279" t="s">
        <v>142</v>
      </c>
      <c r="C242" s="123" t="str">
        <f>IFERROR(IF(B242="No CAS","",INDEX('DEQ Pollutant List'!$B$7:$B$611,MATCH('3. Pollutant Emissions - EF'!B242,'DEQ Pollutant List'!$A$7:$A$611,0))),"")</f>
        <v>Barium and compounds</v>
      </c>
      <c r="D242" s="127" t="str">
        <f>IFERROR(IF(OR($B242="",$B242="No CAS"),INDEX('DEQ Pollutant List'!$A$7:$A$611,MATCH($C242,'DEQ Pollutant List'!$C$7:$C$611,0)),INDEX('DEQ Pollutant List'!$A$7:$A$611,MATCH($B242,'DEQ Pollutant List'!$B$7:$B$611,0))),"")</f>
        <v/>
      </c>
      <c r="E242" s="193">
        <v>0.9</v>
      </c>
      <c r="F242" s="116">
        <f>Stockpiles!M86</f>
        <v>1.7094370996934151E-8</v>
      </c>
      <c r="G242" s="129">
        <f>Stockpiles!O86</f>
        <v>6.1700085813908196E-8</v>
      </c>
      <c r="H242" s="115" t="s">
        <v>492</v>
      </c>
      <c r="I242" s="124" t="s">
        <v>1285</v>
      </c>
      <c r="J242" s="118">
        <f>F242*'2. Emissions Units &amp; Activities'!$H$23</f>
        <v>3.0059888993302908E-4</v>
      </c>
      <c r="K242" s="121">
        <f>F242*'2. Emissions Units &amp; Activities'!$I$23</f>
        <v>3.0059888993302908E-4</v>
      </c>
      <c r="L242" s="114">
        <f t="shared" si="27"/>
        <v>3.0059888993302908E-4</v>
      </c>
      <c r="M242" s="118">
        <f>G242*'2. Emissions Units &amp; Activities'!$K$23</f>
        <v>8.5297036833094144E-5</v>
      </c>
      <c r="N242" s="119">
        <f>G242*'2. Emissions Units &amp; Activities'!$L$23</f>
        <v>8.5297036833094144E-5</v>
      </c>
      <c r="O242" s="120">
        <f t="shared" si="28"/>
        <v>8.5297036833094144E-5</v>
      </c>
    </row>
    <row r="243" spans="1:15" ht="15.75" thickBot="1" x14ac:dyDescent="0.3">
      <c r="A243" s="125" t="s">
        <v>1212</v>
      </c>
      <c r="B243" s="279">
        <v>504</v>
      </c>
      <c r="C243" s="123" t="str">
        <f>IFERROR(IF(B243="No CAS","",INDEX('DEQ Pollutant List'!$B$7:$B$611,MATCH('3. Pollutant Emissions - EF'!B243,'DEQ Pollutant List'!$A$7:$A$611,0))),"")</f>
        <v>Phosphorus and compounds</v>
      </c>
      <c r="D243" s="127" t="str">
        <f>IFERROR(IF(OR($B243="",$B243="No CAS"),INDEX('DEQ Pollutant List'!$A$7:$A$611,MATCH($C243,'DEQ Pollutant List'!$C$7:$C$611,0)),INDEX('DEQ Pollutant List'!$A$7:$A$611,MATCH($B243,'DEQ Pollutant List'!$B$7:$B$611,0))),"")</f>
        <v/>
      </c>
      <c r="E243" s="193">
        <v>0.9</v>
      </c>
      <c r="F243" s="116">
        <f>Stockpiles!M87</f>
        <v>2.8205712144941348E-9</v>
      </c>
      <c r="G243" s="129">
        <f>Stockpiles!O87</f>
        <v>1.0180514159294852E-8</v>
      </c>
      <c r="H243" s="115" t="s">
        <v>492</v>
      </c>
      <c r="I243" s="124" t="s">
        <v>1285</v>
      </c>
      <c r="J243" s="118">
        <f>F243*'2. Emissions Units &amp; Activities'!$H$23</f>
        <v>4.9598816838949801E-5</v>
      </c>
      <c r="K243" s="121">
        <f>F243*'2. Emissions Units &amp; Activities'!$I$23</f>
        <v>4.9598816838949801E-5</v>
      </c>
      <c r="L243" s="114">
        <f t="shared" si="27"/>
        <v>4.9598816838949801E-5</v>
      </c>
      <c r="M243" s="118">
        <f>G243*'2. Emissions Units &amp; Activities'!$K$23</f>
        <v>1.4074011077460532E-5</v>
      </c>
      <c r="N243" s="119">
        <f>G243*'2. Emissions Units &amp; Activities'!$L$23</f>
        <v>1.4074011077460532E-5</v>
      </c>
      <c r="O243" s="120">
        <f t="shared" si="28"/>
        <v>1.4074011077460532E-5</v>
      </c>
    </row>
    <row r="244" spans="1:15" ht="15.75" thickBot="1" x14ac:dyDescent="0.3">
      <c r="A244" s="125" t="s">
        <v>1212</v>
      </c>
      <c r="B244" s="279" t="s">
        <v>316</v>
      </c>
      <c r="C244" s="123" t="str">
        <f>IFERROR(IF(B244="No CAS","",INDEX('DEQ Pollutant List'!$B$7:$B$611,MATCH('3. Pollutant Emissions - EF'!B244,'DEQ Pollutant List'!$A$7:$A$611,0))),"")</f>
        <v>Phosphorus pentoxide</v>
      </c>
      <c r="D244" s="127"/>
      <c r="E244" s="193">
        <v>0.9</v>
      </c>
      <c r="F244" s="116">
        <f>Stockpiles!M88</f>
        <v>6.8377483987736599E-9</v>
      </c>
      <c r="G244" s="129">
        <f>Stockpiles!O88</f>
        <v>2.4680034325563278E-8</v>
      </c>
      <c r="H244" s="115" t="s">
        <v>492</v>
      </c>
      <c r="I244" s="124" t="s">
        <v>1285</v>
      </c>
      <c r="J244" s="118">
        <f>F244*'2. Emissions Units &amp; Activities'!$H$23</f>
        <v>1.2023955597321163E-4</v>
      </c>
      <c r="K244" s="121">
        <f>F244*'2. Emissions Units &amp; Activities'!$I$23</f>
        <v>1.2023955597321163E-4</v>
      </c>
      <c r="L244" s="114">
        <f t="shared" si="27"/>
        <v>1.2023955597321163E-4</v>
      </c>
      <c r="M244" s="118">
        <f>G244*'2. Emissions Units &amp; Activities'!$K$23</f>
        <v>3.4118814733237656E-5</v>
      </c>
      <c r="N244" s="119">
        <f>G244*'2. Emissions Units &amp; Activities'!$L$23</f>
        <v>3.4118814733237656E-5</v>
      </c>
      <c r="O244" s="120">
        <f t="shared" si="28"/>
        <v>3.4118814733237656E-5</v>
      </c>
    </row>
    <row r="245" spans="1:15" ht="15.75" thickBot="1" x14ac:dyDescent="0.3">
      <c r="A245" s="125" t="s">
        <v>1212</v>
      </c>
      <c r="B245" s="279" t="s">
        <v>183</v>
      </c>
      <c r="C245" s="123" t="str">
        <f>IFERROR(IF(B245="No CAS","",INDEX('DEQ Pollutant List'!$B$7:$B$611,MATCH('3. Pollutant Emissions - EF'!B245,'DEQ Pollutant List'!$A$7:$A$611,0))),"")</f>
        <v>Silica, crystalline (respirable)</v>
      </c>
      <c r="D245" s="127"/>
      <c r="E245" s="193">
        <v>0.9</v>
      </c>
      <c r="F245" s="116">
        <f>Stockpiles!M89</f>
        <v>3.1851086760037552E-6</v>
      </c>
      <c r="G245" s="129">
        <f>Stockpiles!O89</f>
        <v>1.1496268489276442E-5</v>
      </c>
      <c r="H245" s="115" t="s">
        <v>492</v>
      </c>
      <c r="I245" s="124" t="s">
        <v>1285</v>
      </c>
      <c r="J245" s="118">
        <f>F245*'2. Emissions Units &amp; Activities'!$H$23</f>
        <v>5.6009088166771637E-2</v>
      </c>
      <c r="K245" s="121">
        <f>F245*'2. Emissions Units &amp; Activities'!$I$23</f>
        <v>5.6009088166771637E-2</v>
      </c>
      <c r="L245" s="114">
        <f t="shared" si="27"/>
        <v>5.6009088166771637E-2</v>
      </c>
      <c r="M245" s="118">
        <f>G245*'2. Emissions Units &amp; Activities'!$K$23</f>
        <v>1.589297038792626E-2</v>
      </c>
      <c r="N245" s="119">
        <f>G245*'2. Emissions Units &amp; Activities'!$L$23</f>
        <v>1.589297038792626E-2</v>
      </c>
      <c r="O245" s="120">
        <f t="shared" si="28"/>
        <v>1.589297038792626E-2</v>
      </c>
    </row>
    <row r="246" spans="1:15" ht="15.75" thickBot="1" x14ac:dyDescent="0.3">
      <c r="A246" s="125" t="s">
        <v>1212</v>
      </c>
      <c r="B246" s="279" t="s">
        <v>317</v>
      </c>
      <c r="C246" s="123" t="str">
        <f>IFERROR(IF(B246="No CAS","",INDEX('DEQ Pollutant List'!$B$7:$B$611,MATCH('3. Pollutant Emissions - EF'!B246,'DEQ Pollutant List'!$A$7:$A$611,0))),"")</f>
        <v>Sulfur trioxide</v>
      </c>
      <c r="D246" s="127"/>
      <c r="E246" s="193">
        <v>0.9</v>
      </c>
      <c r="F246" s="116">
        <f>Stockpiles!M90</f>
        <v>2.1367963746167689E-9</v>
      </c>
      <c r="G246" s="129">
        <f>Stockpiles!O90</f>
        <v>7.7125107267385245E-9</v>
      </c>
      <c r="H246" s="115" t="s">
        <v>492</v>
      </c>
      <c r="I246" s="124" t="s">
        <v>1285</v>
      </c>
      <c r="J246" s="118">
        <f>F246*'2. Emissions Units &amp; Activities'!$H$23</f>
        <v>3.7574861241628635E-5</v>
      </c>
      <c r="K246" s="121">
        <f>F246*'2. Emissions Units &amp; Activities'!$I$23</f>
        <v>3.7574861241628635E-5</v>
      </c>
      <c r="L246" s="114">
        <f t="shared" si="27"/>
        <v>3.7574861241628635E-5</v>
      </c>
      <c r="M246" s="118">
        <f>G246*'2. Emissions Units &amp; Activities'!$K$23</f>
        <v>1.0662129604136768E-5</v>
      </c>
      <c r="N246" s="119">
        <f>G246*'2. Emissions Units &amp; Activities'!$L$23</f>
        <v>1.0662129604136768E-5</v>
      </c>
      <c r="O246" s="120">
        <f t="shared" si="28"/>
        <v>1.0662129604136768E-5</v>
      </c>
    </row>
    <row r="247" spans="1:15" ht="15.75" thickBot="1" x14ac:dyDescent="0.3">
      <c r="A247" s="198" t="s">
        <v>1212</v>
      </c>
      <c r="B247" s="280" t="s">
        <v>318</v>
      </c>
      <c r="C247" s="216" t="str">
        <f>IFERROR(IF(B247="No CAS","",INDEX('DEQ Pollutant List'!$B$7:$B$611,MATCH('3. Pollutant Emissions - EF'!B247,'DEQ Pollutant List'!$A$7:$A$611,0))),"")</f>
        <v>Vanadium pentoxide</v>
      </c>
      <c r="D247" s="189"/>
      <c r="E247" s="193">
        <v>0.9</v>
      </c>
      <c r="F247" s="202">
        <f>Stockpiles!M91</f>
        <v>2.1367963746167689E-9</v>
      </c>
      <c r="G247" s="199">
        <f>Stockpiles!O91</f>
        <v>7.7125107267385245E-9</v>
      </c>
      <c r="H247" s="200" t="s">
        <v>492</v>
      </c>
      <c r="I247" s="124" t="s">
        <v>1285</v>
      </c>
      <c r="J247" s="232">
        <f>F247*'2. Emissions Units &amp; Activities'!$H$23</f>
        <v>3.7574861241628635E-5</v>
      </c>
      <c r="K247" s="233">
        <f>F247*'2. Emissions Units &amp; Activities'!$I$23</f>
        <v>3.7574861241628635E-5</v>
      </c>
      <c r="L247" s="234">
        <f t="shared" si="27"/>
        <v>3.7574861241628635E-5</v>
      </c>
      <c r="M247" s="232">
        <f>G247*'2. Emissions Units &amp; Activities'!$K$23</f>
        <v>1.0662129604136768E-5</v>
      </c>
      <c r="N247" s="233">
        <f>G247*'2. Emissions Units &amp; Activities'!$L$23</f>
        <v>1.0662129604136768E-5</v>
      </c>
      <c r="O247" s="236">
        <f t="shared" si="28"/>
        <v>1.0662129604136768E-5</v>
      </c>
    </row>
    <row r="248" spans="1:15" ht="15.75" thickBot="1" x14ac:dyDescent="0.3">
      <c r="A248" s="125" t="s">
        <v>1215</v>
      </c>
      <c r="B248" s="285" t="s">
        <v>305</v>
      </c>
      <c r="C248" s="123" t="str">
        <f>IFERROR(IF(B248="No CAS","",INDEX('DEQ Pollutant List'!$B$7:$B$611,MATCH('3. Pollutant Emissions - EF'!B248,'DEQ Pollutant List'!$A$7:$A$611,0))),"")</f>
        <v>Silver and compounds</v>
      </c>
      <c r="D248" s="127" t="str">
        <f>IFERROR(IF(OR($B248="",$B248="No CAS"),INDEX('DEQ Pollutant List'!$A$7:$A$611,MATCH($C248,'DEQ Pollutant List'!$C$7:$C$611,0)),INDEX('DEQ Pollutant List'!$A$7:$A$611,MATCH($B248,'DEQ Pollutant List'!$B$7:$B$611,0))),"")</f>
        <v/>
      </c>
      <c r="E248" s="193">
        <v>0.9</v>
      </c>
      <c r="F248" s="116">
        <f>Stockpiles!M97</f>
        <v>1.6453116390070921E-5</v>
      </c>
      <c r="G248" s="129">
        <f>Stockpiles!O97</f>
        <v>2.9338061465721032E-7</v>
      </c>
      <c r="H248" s="115" t="s">
        <v>1286</v>
      </c>
      <c r="I248" s="196" t="s">
        <v>1288</v>
      </c>
      <c r="J248" s="118">
        <f>F248*'2. Emissions Units &amp; Activities'!$H$24</f>
        <v>3.2894245145067807E-5</v>
      </c>
      <c r="K248" s="121">
        <f>F248*'2. Emissions Units &amp; Activities'!$I$24</f>
        <v>3.2894245145067807E-5</v>
      </c>
      <c r="L248" s="114">
        <f t="shared" si="27"/>
        <v>3.2894245145067807E-5</v>
      </c>
      <c r="M248" s="118">
        <f>G248*'2. Emissions Units &amp; Activities'!$K$24</f>
        <v>5.8654747408027984E-7</v>
      </c>
      <c r="N248" s="296">
        <f>G248*'2. Emissions Units &amp; Activities'!$L$24</f>
        <v>5.8654747408027984E-7</v>
      </c>
      <c r="O248" s="284">
        <f t="shared" si="28"/>
        <v>5.8654747408027984E-7</v>
      </c>
    </row>
    <row r="249" spans="1:15" ht="15.75" thickBot="1" x14ac:dyDescent="0.3">
      <c r="A249" s="125" t="s">
        <v>1215</v>
      </c>
      <c r="B249" s="279" t="s">
        <v>190</v>
      </c>
      <c r="C249" s="123" t="str">
        <f>IFERROR(IF(B249="No CAS","",INDEX('DEQ Pollutant List'!$B$7:$B$611,MATCH('3. Pollutant Emissions - EF'!B249,'DEQ Pollutant List'!$A$7:$A$611,0))),"")</f>
        <v>Aluminum and compounds</v>
      </c>
      <c r="D249" s="127" t="str">
        <f>IFERROR(IF(OR($B249="",$B249="No CAS"),INDEX('DEQ Pollutant List'!$A$7:$A$611,MATCH($C249,'DEQ Pollutant List'!$C$7:$C$611,0)),INDEX('DEQ Pollutant List'!$A$7:$A$611,MATCH($B249,'DEQ Pollutant List'!$B$7:$B$611,0))),"")</f>
        <v/>
      </c>
      <c r="E249" s="193">
        <v>0.9</v>
      </c>
      <c r="F249" s="116">
        <f>Stockpiles!M98</f>
        <v>41.938993678290764</v>
      </c>
      <c r="G249" s="129">
        <f>Stockpiles!O98</f>
        <v>0.74782718676122906</v>
      </c>
      <c r="H249" s="115" t="s">
        <v>1286</v>
      </c>
      <c r="I249" s="606" t="s">
        <v>1288</v>
      </c>
      <c r="J249" s="118">
        <f>F249*'2. Emissions Units &amp; Activities'!$H$24</f>
        <v>83.847430874777814</v>
      </c>
      <c r="K249" s="121">
        <f>F249*'2. Emissions Units &amp; Activities'!$I$24</f>
        <v>83.847430874777814</v>
      </c>
      <c r="L249" s="114">
        <f t="shared" ref="L249:L271" si="29">K249</f>
        <v>83.847430874777814</v>
      </c>
      <c r="M249" s="118">
        <f>G249*'2. Emissions Units &amp; Activities'!$K$24</f>
        <v>1.495109511430633</v>
      </c>
      <c r="N249" s="119">
        <f>G249*'2. Emissions Units &amp; Activities'!$L$24</f>
        <v>1.495109511430633</v>
      </c>
      <c r="O249" s="120">
        <f t="shared" ref="O249:O271" si="30">N249</f>
        <v>1.495109511430633</v>
      </c>
    </row>
    <row r="250" spans="1:15" ht="15.75" thickBot="1" x14ac:dyDescent="0.3">
      <c r="A250" s="125" t="s">
        <v>1215</v>
      </c>
      <c r="B250" s="279" t="s">
        <v>306</v>
      </c>
      <c r="C250" s="123" t="str">
        <f>IFERROR(IF(B250="No CAS","",INDEX('DEQ Pollutant List'!$B$7:$B$611,MATCH('3. Pollutant Emissions - EF'!B250,'DEQ Pollutant List'!$A$7:$A$611,0))),"")</f>
        <v>Arsenic and compounds</v>
      </c>
      <c r="D250" s="127" t="str">
        <f>IFERROR(IF(OR($B250="",$B250="No CAS"),INDEX('DEQ Pollutant List'!$A$7:$A$611,MATCH($C250,'DEQ Pollutant List'!$C$7:$C$611,0)),INDEX('DEQ Pollutant List'!$A$7:$A$611,MATCH($B250,'DEQ Pollutant List'!$B$7:$B$611,0))),"")</f>
        <v/>
      </c>
      <c r="E250" s="193">
        <v>0.9</v>
      </c>
      <c r="F250" s="116">
        <f>Stockpiles!M99</f>
        <v>1.7111241045673759E-3</v>
      </c>
      <c r="G250" s="129">
        <f>Stockpiles!O99</f>
        <v>3.0511583924349879E-5</v>
      </c>
      <c r="H250" s="115" t="s">
        <v>1286</v>
      </c>
      <c r="I250" s="606" t="s">
        <v>1288</v>
      </c>
      <c r="J250" s="118">
        <f>F250*'2. Emissions Units &amp; Activities'!$H$24</f>
        <v>3.4210014950870524E-3</v>
      </c>
      <c r="K250" s="121">
        <f>F250*'2. Emissions Units &amp; Activities'!$I$24</f>
        <v>3.4210014950870524E-3</v>
      </c>
      <c r="L250" s="114">
        <f t="shared" si="29"/>
        <v>3.4210014950870524E-3</v>
      </c>
      <c r="M250" s="118">
        <f>G250*'2. Emissions Units &amp; Activities'!$K$24</f>
        <v>6.1000937304349111E-5</v>
      </c>
      <c r="N250" s="119">
        <f>G250*'2. Emissions Units &amp; Activities'!$L$24</f>
        <v>6.1000937304349111E-5</v>
      </c>
      <c r="O250" s="120">
        <f t="shared" si="30"/>
        <v>6.1000937304349111E-5</v>
      </c>
    </row>
    <row r="251" spans="1:15" ht="15.75" thickBot="1" x14ac:dyDescent="0.3">
      <c r="A251" s="125" t="s">
        <v>1215</v>
      </c>
      <c r="B251" s="279" t="s">
        <v>142</v>
      </c>
      <c r="C251" s="123" t="str">
        <f>IFERROR(IF(B251="No CAS","",INDEX('DEQ Pollutant List'!$B$7:$B$611,MATCH('3. Pollutant Emissions - EF'!B251,'DEQ Pollutant List'!$A$7:$A$611,0))),"")</f>
        <v>Barium and compounds</v>
      </c>
      <c r="D251" s="127" t="str">
        <f>IFERROR(IF(OR($B251="",$B251="No CAS"),INDEX('DEQ Pollutant List'!$A$7:$A$611,MATCH($C251,'DEQ Pollutant List'!$C$7:$C$611,0)),INDEX('DEQ Pollutant List'!$A$7:$A$611,MATCH($B251,'DEQ Pollutant List'!$B$7:$B$611,0))),"")</f>
        <v/>
      </c>
      <c r="E251" s="193">
        <v>0.9</v>
      </c>
      <c r="F251" s="116">
        <f>Stockpiles!M100</f>
        <v>0.18427490356879431</v>
      </c>
      <c r="G251" s="129">
        <f>Stockpiles!O100</f>
        <v>3.2858628841607564E-3</v>
      </c>
      <c r="H251" s="115" t="s">
        <v>1286</v>
      </c>
      <c r="I251" s="606" t="s">
        <v>1288</v>
      </c>
      <c r="J251" s="118">
        <f>F251*'2. Emissions Units &amp; Activities'!$H$24</f>
        <v>0.36841554562475942</v>
      </c>
      <c r="K251" s="121">
        <f>F251*'2. Emissions Units &amp; Activities'!$I$24</f>
        <v>0.36841554562475942</v>
      </c>
      <c r="L251" s="114">
        <f t="shared" si="29"/>
        <v>0.36841554562475942</v>
      </c>
      <c r="M251" s="118">
        <f>G251*'2. Emissions Units &amp; Activities'!$K$24</f>
        <v>6.5693317096991348E-3</v>
      </c>
      <c r="N251" s="119">
        <f>G251*'2. Emissions Units &amp; Activities'!$L$24</f>
        <v>6.5693317096991348E-3</v>
      </c>
      <c r="O251" s="120">
        <f t="shared" si="30"/>
        <v>6.5693317096991348E-3</v>
      </c>
    </row>
    <row r="252" spans="1:15" ht="15.75" thickBot="1" x14ac:dyDescent="0.3">
      <c r="A252" s="125" t="s">
        <v>1215</v>
      </c>
      <c r="B252" s="279" t="s">
        <v>307</v>
      </c>
      <c r="C252" s="123" t="str">
        <f>IFERROR(IF(B252="No CAS","",INDEX('DEQ Pollutant List'!$B$7:$B$611,MATCH('3. Pollutant Emissions - EF'!B252,'DEQ Pollutant List'!$A$7:$A$611,0))),"")</f>
        <v>Beryllium and compounds</v>
      </c>
      <c r="D252" s="127" t="str">
        <f>IFERROR(IF(OR($B252="",$B252="No CAS"),INDEX('DEQ Pollutant List'!$A$7:$A$611,MATCH($C252,'DEQ Pollutant List'!$C$7:$C$611,0)),INDEX('DEQ Pollutant List'!$A$7:$A$611,MATCH($B252,'DEQ Pollutant List'!$B$7:$B$611,0))),"")</f>
        <v/>
      </c>
      <c r="E252" s="193">
        <v>0.9</v>
      </c>
      <c r="F252" s="116">
        <f>Stockpiles!M101</f>
        <v>2.0138614461446803E-3</v>
      </c>
      <c r="G252" s="129">
        <f>Stockpiles!O101</f>
        <v>3.5909787234042546E-5</v>
      </c>
      <c r="H252" s="115" t="s">
        <v>1286</v>
      </c>
      <c r="I252" s="606" t="s">
        <v>1288</v>
      </c>
      <c r="J252" s="118">
        <f>F252*'2. Emissions Units &amp; Activities'!$H$24</f>
        <v>4.0262556057562987E-3</v>
      </c>
      <c r="K252" s="121">
        <f>F252*'2. Emissions Units &amp; Activities'!$I$24</f>
        <v>4.0262556057562987E-3</v>
      </c>
      <c r="L252" s="114">
        <f t="shared" si="29"/>
        <v>4.0262556057562987E-3</v>
      </c>
      <c r="M252" s="118">
        <f>G252*'2. Emissions Units &amp; Activities'!$K$24</f>
        <v>7.1793410827426245E-5</v>
      </c>
      <c r="N252" s="119">
        <f>G252*'2. Emissions Units &amp; Activities'!$L$24</f>
        <v>7.1793410827426245E-5</v>
      </c>
      <c r="O252" s="120">
        <f t="shared" si="30"/>
        <v>7.1793410827426245E-5</v>
      </c>
    </row>
    <row r="253" spans="1:15" ht="15.75" thickBot="1" x14ac:dyDescent="0.3">
      <c r="A253" s="125" t="s">
        <v>1215</v>
      </c>
      <c r="B253" s="279" t="s">
        <v>308</v>
      </c>
      <c r="C253" s="123" t="str">
        <f>IFERROR(IF(B253="No CAS","",INDEX('DEQ Pollutant List'!$B$7:$B$611,MATCH('3. Pollutant Emissions - EF'!B253,'DEQ Pollutant List'!$A$7:$A$611,0))),"")</f>
        <v>Cadmium and compounds</v>
      </c>
      <c r="D253" s="127" t="str">
        <f>IFERROR(IF(OR($B253="",$B253="No CAS"),INDEX('DEQ Pollutant List'!$A$7:$A$611,MATCH($C253,'DEQ Pollutant List'!$C$7:$C$611,0)),INDEX('DEQ Pollutant List'!$A$7:$A$611,MATCH($B253,'DEQ Pollutant List'!$B$7:$B$611,0))),"")</f>
        <v/>
      </c>
      <c r="E253" s="193">
        <v>0.9</v>
      </c>
      <c r="F253" s="116">
        <f>Stockpiles!M102</f>
        <v>5.2649972448226948E-5</v>
      </c>
      <c r="G253" s="129">
        <f>Stockpiles!O102</f>
        <v>9.3881796690307314E-7</v>
      </c>
      <c r="H253" s="115" t="s">
        <v>1286</v>
      </c>
      <c r="I253" s="606" t="s">
        <v>1288</v>
      </c>
      <c r="J253" s="118">
        <f>F253*'2. Emissions Units &amp; Activities'!$H$24</f>
        <v>1.0526158446421699E-4</v>
      </c>
      <c r="K253" s="121">
        <f>F253*'2. Emissions Units &amp; Activities'!$I$24</f>
        <v>1.0526158446421699E-4</v>
      </c>
      <c r="L253" s="114">
        <f t="shared" si="29"/>
        <v>1.0526158446421699E-4</v>
      </c>
      <c r="M253" s="118">
        <f>G253*'2. Emissions Units &amp; Activities'!$K$24</f>
        <v>1.8769519170568956E-6</v>
      </c>
      <c r="N253" s="119">
        <f>G253*'2. Emissions Units &amp; Activities'!$L$24</f>
        <v>1.8769519170568956E-6</v>
      </c>
      <c r="O253" s="120">
        <f t="shared" si="30"/>
        <v>1.8769519170568956E-6</v>
      </c>
    </row>
    <row r="254" spans="1:15" ht="15.75" thickBot="1" x14ac:dyDescent="0.3">
      <c r="A254" s="125" t="s">
        <v>1215</v>
      </c>
      <c r="B254" s="279" t="s">
        <v>147</v>
      </c>
      <c r="C254" s="123" t="str">
        <f>IFERROR(IF(B254="No CAS","",INDEX('DEQ Pollutant List'!$B$7:$B$611,MATCH('3. Pollutant Emissions - EF'!B254,'DEQ Pollutant List'!$A$7:$A$611,0))),"")</f>
        <v>Cobalt and compounds</v>
      </c>
      <c r="D254" s="127" t="str">
        <f>IFERROR(IF(OR($B254="",$B254="No CAS"),INDEX('DEQ Pollutant List'!$A$7:$A$611,MATCH($C254,'DEQ Pollutant List'!$C$7:$C$611,0)),INDEX('DEQ Pollutant List'!$A$7:$A$611,MATCH($B254,'DEQ Pollutant List'!$B$7:$B$611,0))),"")</f>
        <v/>
      </c>
      <c r="E254" s="193">
        <v>0.9</v>
      </c>
      <c r="F254" s="116">
        <f>Stockpiles!M103</f>
        <v>6.5812465560283683E-5</v>
      </c>
      <c r="G254" s="129">
        <f>Stockpiles!O103</f>
        <v>1.1735224586288413E-6</v>
      </c>
      <c r="H254" s="115" t="s">
        <v>1286</v>
      </c>
      <c r="I254" s="606" t="s">
        <v>1288</v>
      </c>
      <c r="J254" s="118">
        <f>F254*'2. Emissions Units &amp; Activities'!$H$24</f>
        <v>1.3157698058027123E-4</v>
      </c>
      <c r="K254" s="121">
        <f>F254*'2. Emissions Units &amp; Activities'!$I$24</f>
        <v>1.3157698058027123E-4</v>
      </c>
      <c r="L254" s="114">
        <f t="shared" si="29"/>
        <v>1.3157698058027123E-4</v>
      </c>
      <c r="M254" s="118">
        <f>G254*'2. Emissions Units &amp; Activities'!$K$24</f>
        <v>2.3461898963211194E-6</v>
      </c>
      <c r="N254" s="119">
        <f>G254*'2. Emissions Units &amp; Activities'!$L$24</f>
        <v>2.3461898963211194E-6</v>
      </c>
      <c r="O254" s="120">
        <f t="shared" si="30"/>
        <v>2.3461898963211194E-6</v>
      </c>
    </row>
    <row r="255" spans="1:15" ht="15.75" thickBot="1" x14ac:dyDescent="0.3">
      <c r="A255" s="125" t="s">
        <v>1215</v>
      </c>
      <c r="B255" s="279" t="s">
        <v>205</v>
      </c>
      <c r="C255" s="123" t="str">
        <f>IFERROR(IF(B255="No CAS","",INDEX('DEQ Pollutant List'!$B$7:$B$611,MATCH('3. Pollutant Emissions - EF'!B255,'DEQ Pollutant List'!$A$7:$A$611,0))),"")</f>
        <v>Copper and compounds</v>
      </c>
      <c r="D255" s="127" t="str">
        <f>IFERROR(IF(OR($B255="",$B255="No CAS"),INDEX('DEQ Pollutant List'!$A$7:$A$611,MATCH($C255,'DEQ Pollutant List'!$C$7:$C$611,0)),INDEX('DEQ Pollutant List'!$A$7:$A$611,MATCH($B255,'DEQ Pollutant List'!$B$7:$B$611,0))),"")</f>
        <v/>
      </c>
      <c r="E255" s="193">
        <v>0.9</v>
      </c>
      <c r="F255" s="116">
        <f>Stockpiles!M104</f>
        <v>3.4222482091347517E-3</v>
      </c>
      <c r="G255" s="129">
        <f>Stockpiles!O104</f>
        <v>6.1023167848699758E-5</v>
      </c>
      <c r="H255" s="115" t="s">
        <v>1286</v>
      </c>
      <c r="I255" s="606" t="s">
        <v>1288</v>
      </c>
      <c r="J255" s="118">
        <f>F255*'2. Emissions Units &amp; Activities'!$H$24</f>
        <v>6.8420029901741048E-3</v>
      </c>
      <c r="K255" s="121">
        <f>F255*'2. Emissions Units &amp; Activities'!$I$24</f>
        <v>6.8420029901741048E-3</v>
      </c>
      <c r="L255" s="114">
        <f t="shared" si="29"/>
        <v>6.8420029901741048E-3</v>
      </c>
      <c r="M255" s="118">
        <f>G255*'2. Emissions Units &amp; Activities'!$K$24</f>
        <v>1.2200187460869822E-4</v>
      </c>
      <c r="N255" s="119">
        <f>G255*'2. Emissions Units &amp; Activities'!$L$24</f>
        <v>1.2200187460869822E-4</v>
      </c>
      <c r="O255" s="120">
        <f t="shared" si="30"/>
        <v>1.2200187460869822E-4</v>
      </c>
    </row>
    <row r="256" spans="1:15" ht="15.75" thickBot="1" x14ac:dyDescent="0.3">
      <c r="A256" s="125" t="s">
        <v>1215</v>
      </c>
      <c r="B256" s="279" t="s">
        <v>55</v>
      </c>
      <c r="C256" s="123" t="str">
        <f>IFERROR(IF(B256="No CAS","",INDEX('DEQ Pollutant List'!$B$7:$B$611,MATCH('3. Pollutant Emissions - EF'!B256,'DEQ Pollutant List'!$A$7:$A$611,0))),"")</f>
        <v>Chromium VI, chromate and dichromate particulate</v>
      </c>
      <c r="D256" s="127" t="str">
        <f>IFERROR(IF(OR($B256="",$B256="No CAS"),INDEX('DEQ Pollutant List'!$A$7:$A$611,MATCH($C256,'DEQ Pollutant List'!$C$7:$C$611,0)),INDEX('DEQ Pollutant List'!$A$7:$A$611,MATCH($B256,'DEQ Pollutant List'!$B$7:$B$611,0))),"")</f>
        <v/>
      </c>
      <c r="E256" s="193">
        <v>0.9</v>
      </c>
      <c r="F256" s="116">
        <f>Stockpiles!M105</f>
        <v>5.2426210065321987E-3</v>
      </c>
      <c r="G256" s="129">
        <f>Stockpiles!O105</f>
        <v>9.3482799054373514E-5</v>
      </c>
      <c r="H256" s="115" t="s">
        <v>1286</v>
      </c>
      <c r="I256" s="606" t="s">
        <v>1288</v>
      </c>
      <c r="J256" s="118">
        <f>F256*'2. Emissions Units &amp; Activities'!$H$24</f>
        <v>1.0481422273024408E-2</v>
      </c>
      <c r="K256" s="121">
        <f>F256*'2. Emissions Units &amp; Activities'!$I$24</f>
        <v>1.0481422273024408E-2</v>
      </c>
      <c r="L256" s="114">
        <f t="shared" si="29"/>
        <v>1.0481422273024408E-2</v>
      </c>
      <c r="M256" s="118">
        <f>G256*'2. Emissions Units &amp; Activities'!$K$24</f>
        <v>1.8689748714094038E-4</v>
      </c>
      <c r="N256" s="119">
        <f>G256*'2. Emissions Units &amp; Activities'!$L$24</f>
        <v>1.8689748714094038E-4</v>
      </c>
      <c r="O256" s="120">
        <f t="shared" si="30"/>
        <v>1.8689748714094038E-4</v>
      </c>
    </row>
    <row r="257" spans="1:15" ht="15.75" thickBot="1" x14ac:dyDescent="0.3">
      <c r="A257" s="125" t="s">
        <v>1215</v>
      </c>
      <c r="B257" s="279" t="s">
        <v>309</v>
      </c>
      <c r="C257" s="123" t="str">
        <f>IFERROR(IF(B257="No CAS","",INDEX('DEQ Pollutant List'!$B$7:$B$611,MATCH('3. Pollutant Emissions - EF'!B257,'DEQ Pollutant List'!$A$7:$A$611,0))),"")</f>
        <v>Mercury and compounds</v>
      </c>
      <c r="D257" s="127" t="str">
        <f>IFERROR(IF(OR($B257="",$B257="No CAS"),INDEX('DEQ Pollutant List'!$A$7:$A$611,MATCH($C257,'DEQ Pollutant List'!$C$7:$C$611,0)),INDEX('DEQ Pollutant List'!$A$7:$A$611,MATCH($B257,'DEQ Pollutant List'!$B$7:$B$611,0))),"")</f>
        <v/>
      </c>
      <c r="E257" s="193">
        <v>0.9</v>
      </c>
      <c r="F257" s="116">
        <f>Stockpiles!M106</f>
        <v>1.3162493112056737E-5</v>
      </c>
      <c r="G257" s="129">
        <f>Stockpiles!O106</f>
        <v>2.3470449172576829E-7</v>
      </c>
      <c r="H257" s="115" t="s">
        <v>1286</v>
      </c>
      <c r="I257" s="606" t="s">
        <v>1288</v>
      </c>
      <c r="J257" s="118">
        <f>F257*'2. Emissions Units &amp; Activities'!$H$24</f>
        <v>2.6315396116054249E-5</v>
      </c>
      <c r="K257" s="121">
        <f>F257*'2. Emissions Units &amp; Activities'!$I$24</f>
        <v>2.6315396116054249E-5</v>
      </c>
      <c r="L257" s="114">
        <f t="shared" si="29"/>
        <v>2.6315396116054249E-5</v>
      </c>
      <c r="M257" s="118">
        <f>G257*'2. Emissions Units &amp; Activities'!$K$24</f>
        <v>4.6923797926422389E-7</v>
      </c>
      <c r="N257" s="119">
        <f>G257*'2. Emissions Units &amp; Activities'!$L$24</f>
        <v>4.6923797926422389E-7</v>
      </c>
      <c r="O257" s="120">
        <f t="shared" si="30"/>
        <v>4.6923797926422389E-7</v>
      </c>
    </row>
    <row r="258" spans="1:15" ht="15.75" thickBot="1" x14ac:dyDescent="0.3">
      <c r="A258" s="125" t="s">
        <v>1215</v>
      </c>
      <c r="B258" s="279" t="s">
        <v>181</v>
      </c>
      <c r="C258" s="123" t="str">
        <f>IFERROR(IF(B258="No CAS","",INDEX('DEQ Pollutant List'!$B$7:$B$611,MATCH('3. Pollutant Emissions - EF'!B258,'DEQ Pollutant List'!$A$7:$A$611,0))),"")</f>
        <v>Manganese and compounds</v>
      </c>
      <c r="D258" s="127" t="str">
        <f>IFERROR(IF(OR($B258="",$B258="No CAS"),INDEX('DEQ Pollutant List'!$A$7:$A$611,MATCH($C258,'DEQ Pollutant List'!$C$7:$C$611,0)),INDEX('DEQ Pollutant List'!$A$7:$A$611,MATCH($B258,'DEQ Pollutant List'!$B$7:$B$611,0))),"")</f>
        <v/>
      </c>
      <c r="E258" s="193">
        <v>0.9</v>
      </c>
      <c r="F258" s="116">
        <f>Stockpiles!M107</f>
        <v>0.33103670176822686</v>
      </c>
      <c r="G258" s="129">
        <f>Stockpiles!O107</f>
        <v>5.9028179669030709E-3</v>
      </c>
      <c r="H258" s="115" t="s">
        <v>1286</v>
      </c>
      <c r="I258" s="606" t="s">
        <v>1288</v>
      </c>
      <c r="J258" s="118">
        <f>F258*'2. Emissions Units &amp; Activities'!$H$24</f>
        <v>0.66183221231876421</v>
      </c>
      <c r="K258" s="121">
        <f>F258*'2. Emissions Units &amp; Activities'!$I$24</f>
        <v>0.66183221231876421</v>
      </c>
      <c r="L258" s="114">
        <f t="shared" si="29"/>
        <v>0.66183221231876421</v>
      </c>
      <c r="M258" s="118">
        <f>G258*'2. Emissions Units &amp; Activities'!$K$24</f>
        <v>1.1801335178495229E-2</v>
      </c>
      <c r="N258" s="119">
        <f>G258*'2. Emissions Units &amp; Activities'!$L$24</f>
        <v>1.1801335178495229E-2</v>
      </c>
      <c r="O258" s="120">
        <f t="shared" si="30"/>
        <v>1.1801335178495229E-2</v>
      </c>
    </row>
    <row r="259" spans="1:15" ht="15.75" thickBot="1" x14ac:dyDescent="0.3">
      <c r="A259" s="125" t="s">
        <v>1215</v>
      </c>
      <c r="B259" s="279" t="s">
        <v>66</v>
      </c>
      <c r="C259" s="123" t="str">
        <f>IFERROR(IF(B259="No CAS","",INDEX('DEQ Pollutant List'!$B$7:$B$611,MATCH('3. Pollutant Emissions - EF'!B259,'DEQ Pollutant List'!$A$7:$A$611,0))),"")</f>
        <v>Molybdenum trioxide</v>
      </c>
      <c r="D259" s="127" t="str">
        <f>IFERROR(IF(OR($B259="",$B259="No CAS"),INDEX('DEQ Pollutant List'!$A$7:$A$611,MATCH($C259,'DEQ Pollutant List'!$C$7:$C$611,0)),INDEX('DEQ Pollutant List'!$A$7:$A$611,MATCH($B259,'DEQ Pollutant List'!$B$7:$B$611,0))),"")</f>
        <v/>
      </c>
      <c r="E259" s="193">
        <v>0.9</v>
      </c>
      <c r="F259" s="116">
        <f>Stockpiles!M108</f>
        <v>6.1176133081465864E-3</v>
      </c>
      <c r="G259" s="129">
        <f>Stockpiles!O108</f>
        <v>1.0908505781082845E-4</v>
      </c>
      <c r="H259" s="115" t="s">
        <v>1286</v>
      </c>
      <c r="I259" s="606" t="s">
        <v>1288</v>
      </c>
      <c r="J259" s="118">
        <f>F259*'2. Emissions Units &amp; Activities'!$H$24</f>
        <v>1.2230769362474293E-2</v>
      </c>
      <c r="K259" s="121">
        <f>F259*'2. Emissions Units &amp; Activities'!$I$24</f>
        <v>1.2230769362474293E-2</v>
      </c>
      <c r="L259" s="114">
        <f t="shared" si="29"/>
        <v>1.2230769362474293E-2</v>
      </c>
      <c r="M259" s="118">
        <f>G259*'2. Emissions Units &amp; Activities'!$K$24</f>
        <v>2.180906369481908E-4</v>
      </c>
      <c r="N259" s="119">
        <f>G259*'2. Emissions Units &amp; Activities'!$L$24</f>
        <v>2.180906369481908E-4</v>
      </c>
      <c r="O259" s="120">
        <f t="shared" si="30"/>
        <v>2.180906369481908E-4</v>
      </c>
    </row>
    <row r="260" spans="1:15" ht="15.75" thickBot="1" x14ac:dyDescent="0.3">
      <c r="A260" s="125" t="s">
        <v>1215</v>
      </c>
      <c r="B260" s="279" t="s">
        <v>212</v>
      </c>
      <c r="C260" s="123" t="str">
        <f>IFERROR(IF(B260="No CAS","",INDEX('DEQ Pollutant List'!$B$7:$B$611,MATCH('3. Pollutant Emissions - EF'!B260,'DEQ Pollutant List'!$A$7:$A$611,0))),"")</f>
        <v>Nickel and compounds</v>
      </c>
      <c r="D260" s="127" t="str">
        <f>IFERROR(IF(OR($B260="",$B260="No CAS"),INDEX('DEQ Pollutant List'!$A$7:$A$611,MATCH($C260,'DEQ Pollutant List'!$C$7:$C$611,0)),INDEX('DEQ Pollutant List'!$A$7:$A$611,MATCH($B260,'DEQ Pollutant List'!$B$7:$B$611,0))),"")</f>
        <v/>
      </c>
      <c r="E260" s="193">
        <v>0.9</v>
      </c>
      <c r="F260" s="116">
        <f>Stockpiles!M109</f>
        <v>1.3162493112056734E-3</v>
      </c>
      <c r="G260" s="129">
        <f>Stockpiles!O109</f>
        <v>2.3470449172576826E-5</v>
      </c>
      <c r="H260" s="115" t="s">
        <v>1286</v>
      </c>
      <c r="I260" s="606" t="s">
        <v>1288</v>
      </c>
      <c r="J260" s="118">
        <f>F260*'2. Emissions Units &amp; Activities'!$H$24</f>
        <v>2.6315396116054243E-3</v>
      </c>
      <c r="K260" s="121">
        <f>F260*'2. Emissions Units &amp; Activities'!$I$24</f>
        <v>2.6315396116054243E-3</v>
      </c>
      <c r="L260" s="114">
        <f t="shared" si="29"/>
        <v>2.6315396116054243E-3</v>
      </c>
      <c r="M260" s="118">
        <f>G260*'2. Emissions Units &amp; Activities'!$K$24</f>
        <v>4.6923797926422382E-5</v>
      </c>
      <c r="N260" s="119">
        <f>G260*'2. Emissions Units &amp; Activities'!$L$24</f>
        <v>4.6923797926422382E-5</v>
      </c>
      <c r="O260" s="120">
        <f t="shared" si="30"/>
        <v>4.6923797926422382E-5</v>
      </c>
    </row>
    <row r="261" spans="1:15" ht="15.75" thickBot="1" x14ac:dyDescent="0.3">
      <c r="A261" s="125" t="s">
        <v>1215</v>
      </c>
      <c r="B261" s="279" t="s">
        <v>310</v>
      </c>
      <c r="C261" s="123" t="str">
        <f>IFERROR(IF(B261="No CAS","",INDEX('DEQ Pollutant List'!$B$7:$B$611,MATCH('3. Pollutant Emissions - EF'!B261,'DEQ Pollutant List'!$A$7:$A$611,0))),"")</f>
        <v>Lead and compounds</v>
      </c>
      <c r="D261" s="127" t="str">
        <f>IFERROR(IF(OR($B261="",$B261="No CAS"),INDEX('DEQ Pollutant List'!$A$7:$A$611,MATCH($C261,'DEQ Pollutant List'!$C$7:$C$611,0)),INDEX('DEQ Pollutant List'!$A$7:$A$611,MATCH($B261,'DEQ Pollutant List'!$B$7:$B$611,0))),"")</f>
        <v/>
      </c>
      <c r="E261" s="193">
        <v>0.9</v>
      </c>
      <c r="F261" s="116">
        <f>Stockpiles!M110</f>
        <v>1.645311639007092E-2</v>
      </c>
      <c r="G261" s="129">
        <f>Stockpiles!O110</f>
        <v>2.9338061465721032E-4</v>
      </c>
      <c r="H261" s="115" t="s">
        <v>1286</v>
      </c>
      <c r="I261" s="606" t="s">
        <v>1288</v>
      </c>
      <c r="J261" s="118">
        <f>F261*'2. Emissions Units &amp; Activities'!$H$24</f>
        <v>3.2894245145067808E-2</v>
      </c>
      <c r="K261" s="121">
        <f>F261*'2. Emissions Units &amp; Activities'!$I$24</f>
        <v>3.2894245145067808E-2</v>
      </c>
      <c r="L261" s="114">
        <f t="shared" si="29"/>
        <v>3.2894245145067808E-2</v>
      </c>
      <c r="M261" s="118">
        <f>G261*'2. Emissions Units &amp; Activities'!$K$24</f>
        <v>5.8654747408027979E-4</v>
      </c>
      <c r="N261" s="119">
        <f>G261*'2. Emissions Units &amp; Activities'!$L$24</f>
        <v>5.8654747408027979E-4</v>
      </c>
      <c r="O261" s="120">
        <f t="shared" si="30"/>
        <v>5.8654747408027979E-4</v>
      </c>
    </row>
    <row r="262" spans="1:15" ht="15.75" thickBot="1" x14ac:dyDescent="0.3">
      <c r="A262" s="125" t="s">
        <v>1215</v>
      </c>
      <c r="B262" s="279" t="s">
        <v>311</v>
      </c>
      <c r="C262" s="123" t="str">
        <f>IFERROR(IF(B262="No CAS","",INDEX('DEQ Pollutant List'!$B$7:$B$611,MATCH('3. Pollutant Emissions - EF'!B262,'DEQ Pollutant List'!$A$7:$A$611,0))),"")</f>
        <v>Antimony and compounds</v>
      </c>
      <c r="D262" s="127" t="str">
        <f>IFERROR(IF(OR($B262="",$B262="No CAS"),INDEX('DEQ Pollutant List'!$A$7:$A$611,MATCH($C262,'DEQ Pollutant List'!$C$7:$C$611,0)),INDEX('DEQ Pollutant List'!$A$7:$A$611,MATCH($B262,'DEQ Pollutant List'!$B$7:$B$611,0))),"")</f>
        <v/>
      </c>
      <c r="E262" s="193">
        <v>0.9</v>
      </c>
      <c r="F262" s="116">
        <f>Stockpiles!M111</f>
        <v>2.4350612257304958E-4</v>
      </c>
      <c r="G262" s="129">
        <f>Stockpiles!O111</f>
        <v>4.3420330969267124E-6</v>
      </c>
      <c r="H262" s="115" t="s">
        <v>1286</v>
      </c>
      <c r="I262" s="606" t="s">
        <v>1288</v>
      </c>
      <c r="J262" s="118">
        <f>F262*'2. Emissions Units &amp; Activities'!$H$24</f>
        <v>4.8683482814700346E-4</v>
      </c>
      <c r="K262" s="121">
        <f>F262*'2. Emissions Units &amp; Activities'!$I$24</f>
        <v>4.8683482814700346E-4</v>
      </c>
      <c r="L262" s="114">
        <f t="shared" si="29"/>
        <v>4.8683482814700346E-4</v>
      </c>
      <c r="M262" s="118">
        <f>G262*'2. Emissions Units &amp; Activities'!$K$24</f>
        <v>8.6809026163881397E-6</v>
      </c>
      <c r="N262" s="119">
        <f>G262*'2. Emissions Units &amp; Activities'!$L$24</f>
        <v>8.6809026163881397E-6</v>
      </c>
      <c r="O262" s="120">
        <f t="shared" si="30"/>
        <v>8.6809026163881397E-6</v>
      </c>
    </row>
    <row r="263" spans="1:15" ht="15.75" thickBot="1" x14ac:dyDescent="0.3">
      <c r="A263" s="125" t="s">
        <v>1215</v>
      </c>
      <c r="B263" s="279" t="s">
        <v>312</v>
      </c>
      <c r="C263" s="123" t="str">
        <f>IFERROR(IF(B263="No CAS","",INDEX('DEQ Pollutant List'!$B$7:$B$611,MATCH('3. Pollutant Emissions - EF'!B263,'DEQ Pollutant List'!$A$7:$A$611,0))),"")</f>
        <v>Selenium and compounds</v>
      </c>
      <c r="D263" s="127" t="str">
        <f>IFERROR(IF(OR($B263="",$B263="No CAS"),INDEX('DEQ Pollutant List'!$A$7:$A$611,MATCH($C263,'DEQ Pollutant List'!$C$7:$C$611,0)),INDEX('DEQ Pollutant List'!$A$7:$A$611,MATCH($B263,'DEQ Pollutant List'!$B$7:$B$611,0))),"")</f>
        <v/>
      </c>
      <c r="E263" s="193">
        <v>0.9</v>
      </c>
      <c r="F263" s="116">
        <f>Stockpiles!M112</f>
        <v>1.2504368456453901E-4</v>
      </c>
      <c r="G263" s="129">
        <f>Stockpiles!O112</f>
        <v>2.2296926713947989E-6</v>
      </c>
      <c r="H263" s="115" t="s">
        <v>1286</v>
      </c>
      <c r="I263" s="606" t="s">
        <v>1288</v>
      </c>
      <c r="J263" s="118">
        <f>F263*'2. Emissions Units &amp; Activities'!$H$24</f>
        <v>2.4999626310251536E-4</v>
      </c>
      <c r="K263" s="121">
        <f>F263*'2. Emissions Units &amp; Activities'!$I$24</f>
        <v>2.4999626310251536E-4</v>
      </c>
      <c r="L263" s="114">
        <f t="shared" si="29"/>
        <v>2.4999626310251536E-4</v>
      </c>
      <c r="M263" s="118">
        <f>G263*'2. Emissions Units &amp; Activities'!$K$24</f>
        <v>4.4577608030101273E-6</v>
      </c>
      <c r="N263" s="119">
        <f>G263*'2. Emissions Units &amp; Activities'!$L$24</f>
        <v>4.4577608030101273E-6</v>
      </c>
      <c r="O263" s="120">
        <f t="shared" si="30"/>
        <v>4.4577608030101273E-6</v>
      </c>
    </row>
    <row r="264" spans="1:15" ht="15.75" thickBot="1" x14ac:dyDescent="0.3">
      <c r="A264" s="125" t="s">
        <v>1215</v>
      </c>
      <c r="B264" s="279" t="s">
        <v>314</v>
      </c>
      <c r="C264" s="123" t="str">
        <f>IFERROR(IF(B264="No CAS","",INDEX('DEQ Pollutant List'!$B$7:$B$611,MATCH('3. Pollutant Emissions - EF'!B264,'DEQ Pollutant List'!$A$7:$A$611,0))),"")</f>
        <v>Thallium and compounds</v>
      </c>
      <c r="D264" s="127" t="str">
        <f>IFERROR(IF(OR($B264="",$B264="No CAS"),INDEX('DEQ Pollutant List'!$A$7:$A$611,MATCH($C264,'DEQ Pollutant List'!$C$7:$C$611,0)),INDEX('DEQ Pollutant List'!$A$7:$A$611,MATCH($B264,'DEQ Pollutant List'!$B$7:$B$611,0))),"")</f>
        <v/>
      </c>
      <c r="E264" s="193">
        <v>0.9</v>
      </c>
      <c r="F264" s="116">
        <f>Stockpiles!M113</f>
        <v>2.8891672380964537E-4</v>
      </c>
      <c r="G264" s="129">
        <f>Stockpiles!O113</f>
        <v>5.1517635933806142E-6</v>
      </c>
      <c r="H264" s="115" t="s">
        <v>1286</v>
      </c>
      <c r="I264" s="606" t="s">
        <v>1288</v>
      </c>
      <c r="J264" s="118">
        <f>F264*'2. Emissions Units &amp; Activities'!$H$24</f>
        <v>5.7762294474739074E-4</v>
      </c>
      <c r="K264" s="121">
        <f>F264*'2. Emissions Units &amp; Activities'!$I$24</f>
        <v>5.7762294474739074E-4</v>
      </c>
      <c r="L264" s="114">
        <f t="shared" si="29"/>
        <v>5.7762294474739074E-4</v>
      </c>
      <c r="M264" s="118">
        <f>G264*'2. Emissions Units &amp; Activities'!$K$24</f>
        <v>1.0299773644849715E-5</v>
      </c>
      <c r="N264" s="119">
        <f>G264*'2. Emissions Units &amp; Activities'!$L$24</f>
        <v>1.0299773644849715E-5</v>
      </c>
      <c r="O264" s="120">
        <f t="shared" si="30"/>
        <v>1.0299773644849715E-5</v>
      </c>
    </row>
    <row r="265" spans="1:15" ht="15.75" thickBot="1" x14ac:dyDescent="0.3">
      <c r="A265" s="125" t="s">
        <v>1215</v>
      </c>
      <c r="B265" s="279" t="s">
        <v>315</v>
      </c>
      <c r="C265" s="123" t="str">
        <f>IFERROR(IF(B265="No CAS","",INDEX('DEQ Pollutant List'!$B$7:$B$611,MATCH('3. Pollutant Emissions - EF'!B265,'DEQ Pollutant List'!$A$7:$A$611,0))),"")</f>
        <v>Zinc and compounds</v>
      </c>
      <c r="D265" s="127" t="str">
        <f>IFERROR(IF(OR($B265="",$B265="No CAS"),INDEX('DEQ Pollutant List'!$A$7:$A$611,MATCH($C265,'DEQ Pollutant List'!$C$7:$C$611,0)),INDEX('DEQ Pollutant List'!$A$7:$A$611,MATCH($B265,'DEQ Pollutant List'!$B$7:$B$611,0))),"")</f>
        <v/>
      </c>
      <c r="E265" s="193">
        <v>0.9</v>
      </c>
      <c r="F265" s="116">
        <f>Stockpiles!M114</f>
        <v>1.9743739668085104E-2</v>
      </c>
      <c r="G265" s="129">
        <f>Stockpiles!O114</f>
        <v>3.5205673758865243E-4</v>
      </c>
      <c r="H265" s="115" t="s">
        <v>1286</v>
      </c>
      <c r="I265" s="606" t="s">
        <v>1288</v>
      </c>
      <c r="J265" s="118">
        <f>F265*'2. Emissions Units &amp; Activities'!$H$24</f>
        <v>3.9473094174081368E-2</v>
      </c>
      <c r="K265" s="121">
        <f>F265*'2. Emissions Units &amp; Activities'!$I$24</f>
        <v>3.9473094174081368E-2</v>
      </c>
      <c r="L265" s="114">
        <f t="shared" si="29"/>
        <v>3.9473094174081368E-2</v>
      </c>
      <c r="M265" s="118">
        <f>G265*'2. Emissions Units &amp; Activities'!$K$24</f>
        <v>7.0385696889633587E-4</v>
      </c>
      <c r="N265" s="119">
        <f>G265*'2. Emissions Units &amp; Activities'!$L$24</f>
        <v>7.0385696889633587E-4</v>
      </c>
      <c r="O265" s="120">
        <f t="shared" si="30"/>
        <v>7.0385696889633587E-4</v>
      </c>
    </row>
    <row r="266" spans="1:15" ht="15.75" thickBot="1" x14ac:dyDescent="0.3">
      <c r="A266" s="125" t="s">
        <v>1215</v>
      </c>
      <c r="B266" s="279" t="s">
        <v>142</v>
      </c>
      <c r="C266" s="123" t="str">
        <f>IFERROR(IF(B266="No CAS","",INDEX('DEQ Pollutant List'!$B$7:$B$611,MATCH('3. Pollutant Emissions - EF'!B266,'DEQ Pollutant List'!$A$7:$A$611,0))),"")</f>
        <v>Barium and compounds</v>
      </c>
      <c r="D266" s="127" t="str">
        <f>IFERROR(IF(OR($B266="",$B266="No CAS"),INDEX('DEQ Pollutant List'!$A$7:$A$611,MATCH($C266,'DEQ Pollutant List'!$C$7:$C$611,0)),INDEX('DEQ Pollutant List'!$A$7:$A$611,MATCH($B266,'DEQ Pollutant List'!$B$7:$B$611,0))),"")</f>
        <v/>
      </c>
      <c r="E266" s="193">
        <v>0.9</v>
      </c>
      <c r="F266" s="116">
        <f>Stockpiles!M115</f>
        <v>0.13162493112056736</v>
      </c>
      <c r="G266" s="129">
        <f>Stockpiles!O115</f>
        <v>2.3470449172576825E-3</v>
      </c>
      <c r="H266" s="115" t="s">
        <v>1286</v>
      </c>
      <c r="I266" s="606" t="s">
        <v>1288</v>
      </c>
      <c r="J266" s="118">
        <f>F266*'2. Emissions Units &amp; Activities'!$H$24</f>
        <v>0.26315396116054246</v>
      </c>
      <c r="K266" s="121">
        <f>F266*'2. Emissions Units &amp; Activities'!$I$24</f>
        <v>0.26315396116054246</v>
      </c>
      <c r="L266" s="114">
        <f t="shared" si="29"/>
        <v>0.26315396116054246</v>
      </c>
      <c r="M266" s="118">
        <f>G266*'2. Emissions Units &amp; Activities'!$K$24</f>
        <v>4.6923797926422383E-3</v>
      </c>
      <c r="N266" s="119">
        <f>G266*'2. Emissions Units &amp; Activities'!$L$24</f>
        <v>4.6923797926422383E-3</v>
      </c>
      <c r="O266" s="120">
        <f t="shared" si="30"/>
        <v>4.6923797926422383E-3</v>
      </c>
    </row>
    <row r="267" spans="1:15" ht="15.75" thickBot="1" x14ac:dyDescent="0.3">
      <c r="A267" s="125" t="s">
        <v>1215</v>
      </c>
      <c r="B267" s="279">
        <v>504</v>
      </c>
      <c r="C267" s="123" t="str">
        <f>IFERROR(IF(B267="No CAS","",INDEX('DEQ Pollutant List'!$B$7:$B$611,MATCH('3. Pollutant Emissions - EF'!B267,'DEQ Pollutant List'!$A$7:$A$611,0))),"")</f>
        <v>Phosphorus and compounds</v>
      </c>
      <c r="D267" s="127" t="str">
        <f>IFERROR(IF(OR($B267="",$B267="No CAS"),INDEX('DEQ Pollutant List'!$A$7:$A$611,MATCH($C267,'DEQ Pollutant List'!$C$7:$C$611,0)),INDEX('DEQ Pollutant List'!$A$7:$A$611,MATCH($B267,'DEQ Pollutant List'!$B$7:$B$611,0))),"")</f>
        <v/>
      </c>
      <c r="E267" s="193">
        <v>0.9</v>
      </c>
      <c r="F267" s="116">
        <f>Stockpiles!M116</f>
        <v>2.1718113634893614E-2</v>
      </c>
      <c r="G267" s="129">
        <f>Stockpiles!O116</f>
        <v>3.8726241134751766E-4</v>
      </c>
      <c r="H267" s="115" t="s">
        <v>1286</v>
      </c>
      <c r="I267" s="606" t="s">
        <v>1288</v>
      </c>
      <c r="J267" s="118">
        <f>F267*'2. Emissions Units &amp; Activities'!$H$24</f>
        <v>4.3420403591489506E-2</v>
      </c>
      <c r="K267" s="121">
        <f>F267*'2. Emissions Units &amp; Activities'!$I$24</f>
        <v>4.3420403591489506E-2</v>
      </c>
      <c r="L267" s="114">
        <f t="shared" si="29"/>
        <v>4.3420403591489506E-2</v>
      </c>
      <c r="M267" s="118">
        <f>G267*'2. Emissions Units &amp; Activities'!$K$24</f>
        <v>7.742426657859694E-4</v>
      </c>
      <c r="N267" s="119">
        <f>G267*'2. Emissions Units &amp; Activities'!$L$24</f>
        <v>7.742426657859694E-4</v>
      </c>
      <c r="O267" s="120">
        <f t="shared" si="30"/>
        <v>7.742426657859694E-4</v>
      </c>
    </row>
    <row r="268" spans="1:15" ht="15.75" thickBot="1" x14ac:dyDescent="0.3">
      <c r="A268" s="125" t="s">
        <v>1215</v>
      </c>
      <c r="B268" s="279" t="s">
        <v>316</v>
      </c>
      <c r="C268" s="123" t="str">
        <f>IFERROR(IF(B268="No CAS","",INDEX('DEQ Pollutant List'!$B$7:$B$611,MATCH('3. Pollutant Emissions - EF'!B268,'DEQ Pollutant List'!$A$7:$A$611,0))),"")</f>
        <v>Phosphorus pentoxide</v>
      </c>
      <c r="D268" s="127"/>
      <c r="E268" s="193">
        <v>0.9</v>
      </c>
      <c r="F268" s="116">
        <f>Stockpiles!M117</f>
        <v>5.2649972448226945E-2</v>
      </c>
      <c r="G268" s="129">
        <f>Stockpiles!O117</f>
        <v>9.3881796690307312E-4</v>
      </c>
      <c r="H268" s="115" t="s">
        <v>1286</v>
      </c>
      <c r="I268" s="606" t="s">
        <v>1288</v>
      </c>
      <c r="J268" s="118">
        <f>F268*'2. Emissions Units &amp; Activities'!$H$24</f>
        <v>0.10526158446421698</v>
      </c>
      <c r="K268" s="121">
        <f>F268*'2. Emissions Units &amp; Activities'!$I$24</f>
        <v>0.10526158446421698</v>
      </c>
      <c r="L268" s="114">
        <f t="shared" si="29"/>
        <v>0.10526158446421698</v>
      </c>
      <c r="M268" s="118">
        <f>G268*'2. Emissions Units &amp; Activities'!$K$24</f>
        <v>1.8769519170568954E-3</v>
      </c>
      <c r="N268" s="119">
        <f>G268*'2. Emissions Units &amp; Activities'!$L$24</f>
        <v>1.8769519170568954E-3</v>
      </c>
      <c r="O268" s="120">
        <f t="shared" si="30"/>
        <v>1.8769519170568954E-3</v>
      </c>
    </row>
    <row r="269" spans="1:15" ht="15.75" thickBot="1" x14ac:dyDescent="0.3">
      <c r="A269" s="125" t="s">
        <v>1215</v>
      </c>
      <c r="B269" s="279" t="s">
        <v>183</v>
      </c>
      <c r="C269" s="123" t="str">
        <f>IFERROR(IF(B269="No CAS","",INDEX('DEQ Pollutant List'!$B$7:$B$611,MATCH('3. Pollutant Emissions - EF'!B269,'DEQ Pollutant List'!$A$7:$A$611,0))),"")</f>
        <v>Silica, crystalline (respirable)</v>
      </c>
      <c r="D269" s="127"/>
      <c r="E269" s="193">
        <v>0.9</v>
      </c>
      <c r="F269" s="116">
        <f>Stockpiles!M118</f>
        <v>24.525015291039711</v>
      </c>
      <c r="G269" s="129">
        <f>Stockpiles!O118</f>
        <v>0.43731314420803774</v>
      </c>
      <c r="H269" s="115" t="s">
        <v>1286</v>
      </c>
      <c r="I269" s="606" t="s">
        <v>1288</v>
      </c>
      <c r="J269" s="118">
        <f>F269*'2. Emissions Units &amp; Activities'!$H$24</f>
        <v>49.032161813238069</v>
      </c>
      <c r="K269" s="121">
        <f>F269*'2. Emissions Units &amp; Activities'!$I$24</f>
        <v>49.032161813238069</v>
      </c>
      <c r="L269" s="114">
        <f t="shared" si="29"/>
        <v>49.032161813238069</v>
      </c>
      <c r="M269" s="118">
        <f>G269*'2. Emissions Units &amp; Activities'!$K$24</f>
        <v>0.87430766486406508</v>
      </c>
      <c r="N269" s="119">
        <f>G269*'2. Emissions Units &amp; Activities'!$L$24</f>
        <v>0.87430766486406508</v>
      </c>
      <c r="O269" s="120">
        <f t="shared" si="30"/>
        <v>0.87430766486406508</v>
      </c>
    </row>
    <row r="270" spans="1:15" ht="15.75" thickBot="1" x14ac:dyDescent="0.3">
      <c r="A270" s="125" t="s">
        <v>1215</v>
      </c>
      <c r="B270" s="279" t="s">
        <v>317</v>
      </c>
      <c r="C270" s="123" t="str">
        <f>IFERROR(IF(B270="No CAS","",INDEX('DEQ Pollutant List'!$B$7:$B$611,MATCH('3. Pollutant Emissions - EF'!B270,'DEQ Pollutant List'!$A$7:$A$611,0))),"")</f>
        <v>Sulfur trioxide</v>
      </c>
      <c r="D270" s="127"/>
      <c r="E270" s="193">
        <v>0.9</v>
      </c>
      <c r="F270" s="116">
        <f>Stockpiles!M119</f>
        <v>1.645311639007092E-2</v>
      </c>
      <c r="G270" s="129">
        <f>Stockpiles!O119</f>
        <v>2.9338061465721032E-4</v>
      </c>
      <c r="H270" s="115" t="s">
        <v>1286</v>
      </c>
      <c r="I270" s="606" t="s">
        <v>1288</v>
      </c>
      <c r="J270" s="118">
        <f>F270*'2. Emissions Units &amp; Activities'!$H$24</f>
        <v>3.2894245145067808E-2</v>
      </c>
      <c r="K270" s="121">
        <f>F270*'2. Emissions Units &amp; Activities'!$I$24</f>
        <v>3.2894245145067808E-2</v>
      </c>
      <c r="L270" s="114">
        <f t="shared" si="29"/>
        <v>3.2894245145067808E-2</v>
      </c>
      <c r="M270" s="118">
        <f>G270*'2. Emissions Units &amp; Activities'!$K$24</f>
        <v>5.8654747408027979E-4</v>
      </c>
      <c r="N270" s="119">
        <f>G270*'2. Emissions Units &amp; Activities'!$L$24</f>
        <v>5.8654747408027979E-4</v>
      </c>
      <c r="O270" s="120">
        <f t="shared" si="30"/>
        <v>5.8654747408027979E-4</v>
      </c>
    </row>
    <row r="271" spans="1:15" ht="15.75" thickBot="1" x14ac:dyDescent="0.3">
      <c r="A271" s="198" t="s">
        <v>1215</v>
      </c>
      <c r="B271" s="280" t="s">
        <v>318</v>
      </c>
      <c r="C271" s="216" t="str">
        <f>IFERROR(IF(B271="No CAS","",INDEX('DEQ Pollutant List'!$B$7:$B$611,MATCH('3. Pollutant Emissions - EF'!B271,'DEQ Pollutant List'!$A$7:$A$611,0))),"")</f>
        <v>Vanadium pentoxide</v>
      </c>
      <c r="D271" s="189"/>
      <c r="E271" s="193">
        <v>0.9</v>
      </c>
      <c r="F271" s="202">
        <f>Stockpiles!M120</f>
        <v>1.645311639007092E-2</v>
      </c>
      <c r="G271" s="199">
        <f>Stockpiles!O120</f>
        <v>2.9338061465721032E-4</v>
      </c>
      <c r="H271" s="200" t="s">
        <v>1286</v>
      </c>
      <c r="I271" s="117" t="s">
        <v>1288</v>
      </c>
      <c r="J271" s="232">
        <f>F271*'2. Emissions Units &amp; Activities'!$H$24</f>
        <v>3.2894245145067808E-2</v>
      </c>
      <c r="K271" s="233">
        <f>F271*'2. Emissions Units &amp; Activities'!$I$24</f>
        <v>3.2894245145067808E-2</v>
      </c>
      <c r="L271" s="234">
        <f t="shared" si="29"/>
        <v>3.2894245145067808E-2</v>
      </c>
      <c r="M271" s="232">
        <f>G271*'2. Emissions Units &amp; Activities'!$K$24</f>
        <v>5.8654747408027979E-4</v>
      </c>
      <c r="N271" s="235">
        <f>G271*'2. Emissions Units &amp; Activities'!$L$24</f>
        <v>5.8654747408027979E-4</v>
      </c>
      <c r="O271" s="236">
        <f t="shared" si="30"/>
        <v>5.8654747408027979E-4</v>
      </c>
    </row>
    <row r="272" spans="1:15" x14ac:dyDescent="0.25">
      <c r="A272" s="125" t="s">
        <v>1230</v>
      </c>
      <c r="B272" s="279" t="s">
        <v>305</v>
      </c>
      <c r="C272" s="123" t="str">
        <f>IFERROR(IF(B272="No CAS","",INDEX('DEQ Pollutant List'!$B$7:$B$611,MATCH('3. Pollutant Emissions - EF'!B272,'DEQ Pollutant List'!$A$7:$A$611,0))),"")</f>
        <v>Silver and compounds</v>
      </c>
      <c r="D272" s="127" t="str">
        <f>IFERROR(IF(OR($B272="",$B272="No CAS"),INDEX('DEQ Pollutant List'!$A$7:$A$611,MATCH($C272,'DEQ Pollutant List'!$C$7:$C$611,0)),INDEX('DEQ Pollutant List'!$A$7:$A$611,MATCH($B272,'DEQ Pollutant List'!$B$7:$B$611,0))),"")</f>
        <v/>
      </c>
      <c r="E272" s="126">
        <v>0</v>
      </c>
      <c r="F272" s="116">
        <f>'Drop points'!E44</f>
        <v>2.1367963746167694E-11</v>
      </c>
      <c r="G272" s="129">
        <f>'Drop points'!G44</f>
        <v>7.7125107267385263E-11</v>
      </c>
      <c r="H272" s="115" t="s">
        <v>492</v>
      </c>
      <c r="I272" s="117" t="s">
        <v>1289</v>
      </c>
      <c r="J272" s="282">
        <f>F272*'2. Emissions Units &amp; Activities'!$H$29</f>
        <v>1.4229653569340436E-5</v>
      </c>
      <c r="K272" s="286">
        <f>F272*'2. Emissions Units &amp; Activities'!$I$29</f>
        <v>3.369300523495722E-5</v>
      </c>
      <c r="L272" s="281">
        <f t="shared" ref="L272:L308" si="31">K272</f>
        <v>3.369300523495722E-5</v>
      </c>
      <c r="M272" s="282">
        <f>G272*'2. Emissions Units &amp; Activities'!$K$29</f>
        <v>3.7020051488344925E-7</v>
      </c>
      <c r="N272" s="283">
        <f>G272*'2. Emissions Units &amp; Activities'!$L$29</f>
        <v>3.7020051488344925E-7</v>
      </c>
      <c r="O272" s="284">
        <f t="shared" si="22"/>
        <v>3.7020051488344925E-7</v>
      </c>
    </row>
    <row r="273" spans="1:15" x14ac:dyDescent="0.25">
      <c r="A273" s="125" t="s">
        <v>1230</v>
      </c>
      <c r="B273" s="279" t="s">
        <v>190</v>
      </c>
      <c r="C273" s="123" t="str">
        <f>IFERROR(IF(B273="No CAS","",INDEX('DEQ Pollutant List'!$B$7:$B$611,MATCH('3. Pollutant Emissions - EF'!B273,'DEQ Pollutant List'!$A$7:$A$611,0))),"")</f>
        <v>Aluminum and compounds</v>
      </c>
      <c r="D273" s="127" t="str">
        <f>IFERROR(IF(OR($B273="",$B273="No CAS"),INDEX('DEQ Pollutant List'!$A$7:$A$611,MATCH($C273,'DEQ Pollutant List'!$C$7:$C$611,0)),INDEX('DEQ Pollutant List'!$A$7:$A$611,MATCH($B273,'DEQ Pollutant List'!$B$7:$B$611,0))),"")</f>
        <v/>
      </c>
      <c r="E273" s="126">
        <v>0</v>
      </c>
      <c r="F273" s="116">
        <f>'Drop points'!E45</f>
        <v>5.4466939588981438E-5</v>
      </c>
      <c r="G273" s="129">
        <f>'Drop points'!G45</f>
        <v>1.9659189842456497E-4</v>
      </c>
      <c r="H273" s="115" t="s">
        <v>492</v>
      </c>
      <c r="I273" s="117" t="s">
        <v>1289</v>
      </c>
      <c r="J273" s="118">
        <f>F273*'2. Emissions Units &amp; Activities'!$H$29</f>
        <v>36.271386948248768</v>
      </c>
      <c r="K273" s="121">
        <f>F273*'2. Emissions Units &amp; Activities'!$I$29</f>
        <v>85.883470343905927</v>
      </c>
      <c r="L273" s="114">
        <f t="shared" ref="L273:L295" si="32">K273</f>
        <v>85.883470343905927</v>
      </c>
      <c r="M273" s="118">
        <f>G273*'2. Emissions Units &amp; Activities'!$K$29</f>
        <v>0.94364111243791182</v>
      </c>
      <c r="N273" s="119">
        <f>G273*'2. Emissions Units &amp; Activities'!$L$29</f>
        <v>0.94364111243791182</v>
      </c>
      <c r="O273" s="120">
        <f t="shared" ref="O273:O295" si="33">N273</f>
        <v>0.94364111243791182</v>
      </c>
    </row>
    <row r="274" spans="1:15" x14ac:dyDescent="0.25">
      <c r="A274" s="125" t="s">
        <v>1230</v>
      </c>
      <c r="B274" s="279" t="s">
        <v>306</v>
      </c>
      <c r="C274" s="123" t="str">
        <f>IFERROR(IF(B274="No CAS","",INDEX('DEQ Pollutant List'!$B$7:$B$611,MATCH('3. Pollutant Emissions - EF'!B274,'DEQ Pollutant List'!$A$7:$A$611,0))),"")</f>
        <v>Arsenic and compounds</v>
      </c>
      <c r="D274" s="127" t="str">
        <f>IFERROR(IF(OR($B274="",$B274="No CAS"),INDEX('DEQ Pollutant List'!$A$7:$A$611,MATCH($C274,'DEQ Pollutant List'!$C$7:$C$611,0)),INDEX('DEQ Pollutant List'!$A$7:$A$611,MATCH($B274,'DEQ Pollutant List'!$B$7:$B$611,0))),"")</f>
        <v/>
      </c>
      <c r="E274" s="126">
        <v>0</v>
      </c>
      <c r="F274" s="116">
        <f>'Drop points'!E46</f>
        <v>2.2222682296014402E-9</v>
      </c>
      <c r="G274" s="129">
        <f>'Drop points'!G46</f>
        <v>8.0210111558080674E-9</v>
      </c>
      <c r="H274" s="115" t="s">
        <v>492</v>
      </c>
      <c r="I274" s="117" t="s">
        <v>1289</v>
      </c>
      <c r="J274" s="118">
        <f>F274*'2. Emissions Units &amp; Activities'!$H$29</f>
        <v>1.4798839712114055E-3</v>
      </c>
      <c r="K274" s="121">
        <f>F274*'2. Emissions Units &amp; Activities'!$I$29</f>
        <v>3.5040725444355509E-3</v>
      </c>
      <c r="L274" s="114">
        <f t="shared" si="32"/>
        <v>3.5040725444355509E-3</v>
      </c>
      <c r="M274" s="118">
        <f>G274*'2. Emissions Units &amp; Activities'!$K$29</f>
        <v>3.8500853547878726E-5</v>
      </c>
      <c r="N274" s="119">
        <f>G274*'2. Emissions Units &amp; Activities'!$L$29</f>
        <v>3.8500853547878726E-5</v>
      </c>
      <c r="O274" s="120">
        <f t="shared" si="33"/>
        <v>3.8500853547878726E-5</v>
      </c>
    </row>
    <row r="275" spans="1:15" x14ac:dyDescent="0.25">
      <c r="A275" s="125" t="s">
        <v>1230</v>
      </c>
      <c r="B275" s="279" t="s">
        <v>142</v>
      </c>
      <c r="C275" s="123" t="str">
        <f>IFERROR(IF(B275="No CAS","",INDEX('DEQ Pollutant List'!$B$7:$B$611,MATCH('3. Pollutant Emissions - EF'!B275,'DEQ Pollutant List'!$A$7:$A$611,0))),"")</f>
        <v>Barium and compounds</v>
      </c>
      <c r="D275" s="127" t="str">
        <f>IFERROR(IF(OR($B275="",$B275="No CAS"),INDEX('DEQ Pollutant List'!$A$7:$A$611,MATCH($C275,'DEQ Pollutant List'!$C$7:$C$611,0)),INDEX('DEQ Pollutant List'!$A$7:$A$611,MATCH($B275,'DEQ Pollutant List'!$B$7:$B$611,0))),"")</f>
        <v/>
      </c>
      <c r="E275" s="126">
        <v>0</v>
      </c>
      <c r="F275" s="116">
        <f>'Drop points'!E47</f>
        <v>2.3932119395707819E-7</v>
      </c>
      <c r="G275" s="129">
        <f>'Drop points'!G47</f>
        <v>8.6380120139471493E-7</v>
      </c>
      <c r="H275" s="115" t="s">
        <v>492</v>
      </c>
      <c r="I275" s="117" t="s">
        <v>1289</v>
      </c>
      <c r="J275" s="118">
        <f>F275*'2. Emissions Units &amp; Activities'!$H$29</f>
        <v>0.15937211997661291</v>
      </c>
      <c r="K275" s="121">
        <f>F275*'2. Emissions Units &amp; Activities'!$I$29</f>
        <v>0.37736165863152088</v>
      </c>
      <c r="L275" s="114">
        <f t="shared" si="32"/>
        <v>0.37736165863152088</v>
      </c>
      <c r="M275" s="118">
        <f>G275*'2. Emissions Units &amp; Activities'!$K$29</f>
        <v>4.1462457666946321E-3</v>
      </c>
      <c r="N275" s="119">
        <f>G275*'2. Emissions Units &amp; Activities'!$L$29</f>
        <v>4.1462457666946321E-3</v>
      </c>
      <c r="O275" s="120">
        <f t="shared" si="33"/>
        <v>4.1462457666946321E-3</v>
      </c>
    </row>
    <row r="276" spans="1:15" x14ac:dyDescent="0.25">
      <c r="A276" s="125" t="s">
        <v>1230</v>
      </c>
      <c r="B276" s="279" t="s">
        <v>307</v>
      </c>
      <c r="C276" s="123" t="str">
        <f>IFERROR(IF(B276="No CAS","",INDEX('DEQ Pollutant List'!$B$7:$B$611,MATCH('3. Pollutant Emissions - EF'!B276,'DEQ Pollutant List'!$A$7:$A$611,0))),"")</f>
        <v>Beryllium and compounds</v>
      </c>
      <c r="D276" s="127" t="str">
        <f>IFERROR(IF(OR($B276="",$B276="No CAS"),INDEX('DEQ Pollutant List'!$A$7:$A$611,MATCH($C276,'DEQ Pollutant List'!$C$7:$C$611,0)),INDEX('DEQ Pollutant List'!$A$7:$A$611,MATCH($B276,'DEQ Pollutant List'!$B$7:$B$611,0))),"")</f>
        <v/>
      </c>
      <c r="E276" s="126">
        <v>0</v>
      </c>
      <c r="F276" s="116">
        <f>'Drop points'!E48</f>
        <v>2.6154387625309254E-9</v>
      </c>
      <c r="G276" s="129">
        <f>'Drop points'!G48</f>
        <v>9.4401131295279542E-9</v>
      </c>
      <c r="H276" s="115" t="s">
        <v>492</v>
      </c>
      <c r="I276" s="117" t="s">
        <v>1289</v>
      </c>
      <c r="J276" s="118">
        <f>F276*'2. Emissions Units &amp; Activities'!$H$29</f>
        <v>1.7417095968872694E-3</v>
      </c>
      <c r="K276" s="121">
        <f>F276*'2. Emissions Units &amp; Activities'!$I$29</f>
        <v>4.1240238407587631E-3</v>
      </c>
      <c r="L276" s="114">
        <f t="shared" si="32"/>
        <v>4.1240238407587631E-3</v>
      </c>
      <c r="M276" s="118">
        <f>G276*'2. Emissions Units &amp; Activities'!$K$29</f>
        <v>4.5312543021734182E-5</v>
      </c>
      <c r="N276" s="119">
        <f>G276*'2. Emissions Units &amp; Activities'!$L$29</f>
        <v>4.5312543021734182E-5</v>
      </c>
      <c r="O276" s="120">
        <f t="shared" si="33"/>
        <v>4.5312543021734182E-5</v>
      </c>
    </row>
    <row r="277" spans="1:15" x14ac:dyDescent="0.25">
      <c r="A277" s="125" t="s">
        <v>1230</v>
      </c>
      <c r="B277" s="279" t="s">
        <v>308</v>
      </c>
      <c r="C277" s="123" t="str">
        <f>IFERROR(IF(B277="No CAS","",INDEX('DEQ Pollutant List'!$B$7:$B$611,MATCH('3. Pollutant Emissions - EF'!B277,'DEQ Pollutant List'!$A$7:$A$611,0))),"")</f>
        <v>Cadmium and compounds</v>
      </c>
      <c r="D277" s="127" t="str">
        <f>IFERROR(IF(OR($B277="",$B277="No CAS"),INDEX('DEQ Pollutant List'!$A$7:$A$611,MATCH($C277,'DEQ Pollutant List'!$C$7:$C$611,0)),INDEX('DEQ Pollutant List'!$A$7:$A$611,MATCH($B277,'DEQ Pollutant List'!$B$7:$B$611,0))),"")</f>
        <v/>
      </c>
      <c r="E277" s="126">
        <v>0</v>
      </c>
      <c r="F277" s="116">
        <f>'Drop points'!E49</f>
        <v>6.8377483987736617E-11</v>
      </c>
      <c r="G277" s="129">
        <f>'Drop points'!G49</f>
        <v>2.4680034325563284E-10</v>
      </c>
      <c r="H277" s="115" t="s">
        <v>492</v>
      </c>
      <c r="I277" s="117" t="s">
        <v>1289</v>
      </c>
      <c r="J277" s="118">
        <f>F277*'2. Emissions Units &amp; Activities'!$H$29</f>
        <v>4.5534891421889397E-5</v>
      </c>
      <c r="K277" s="121">
        <f>F277*'2. Emissions Units &amp; Activities'!$I$29</f>
        <v>1.078176167518631E-4</v>
      </c>
      <c r="L277" s="114">
        <f t="shared" si="32"/>
        <v>1.078176167518631E-4</v>
      </c>
      <c r="M277" s="118">
        <f>G277*'2. Emissions Units &amp; Activities'!$K$29</f>
        <v>1.1846416476270376E-6</v>
      </c>
      <c r="N277" s="119">
        <f>G277*'2. Emissions Units &amp; Activities'!$L$29</f>
        <v>1.1846416476270376E-6</v>
      </c>
      <c r="O277" s="120">
        <f t="shared" si="33"/>
        <v>1.1846416476270376E-6</v>
      </c>
    </row>
    <row r="278" spans="1:15" x14ac:dyDescent="0.25">
      <c r="A278" s="125" t="s">
        <v>1230</v>
      </c>
      <c r="B278" s="279" t="s">
        <v>147</v>
      </c>
      <c r="C278" s="123" t="str">
        <f>IFERROR(IF(B278="No CAS","",INDEX('DEQ Pollutant List'!$B$7:$B$611,MATCH('3. Pollutant Emissions - EF'!B278,'DEQ Pollutant List'!$A$7:$A$611,0))),"")</f>
        <v>Cobalt and compounds</v>
      </c>
      <c r="D278" s="127" t="str">
        <f>IFERROR(IF(OR($B278="",$B278="No CAS"),INDEX('DEQ Pollutant List'!$A$7:$A$611,MATCH($C278,'DEQ Pollutant List'!$C$7:$C$611,0)),INDEX('DEQ Pollutant List'!$A$7:$A$611,MATCH($B278,'DEQ Pollutant List'!$B$7:$B$611,0))),"")</f>
        <v/>
      </c>
      <c r="E278" s="126">
        <v>0</v>
      </c>
      <c r="F278" s="116">
        <f>'Drop points'!E50</f>
        <v>8.5471854984670774E-11</v>
      </c>
      <c r="G278" s="129">
        <f>'Drop points'!G50</f>
        <v>3.0850042906954105E-10</v>
      </c>
      <c r="H278" s="115" t="s">
        <v>492</v>
      </c>
      <c r="I278" s="117" t="s">
        <v>1289</v>
      </c>
      <c r="J278" s="118">
        <f>F278*'2. Emissions Units &amp; Activities'!$H$29</f>
        <v>5.6918614277361744E-5</v>
      </c>
      <c r="K278" s="121">
        <f>F278*'2. Emissions Units &amp; Activities'!$I$29</f>
        <v>1.3477202093982888E-4</v>
      </c>
      <c r="L278" s="114">
        <f t="shared" si="32"/>
        <v>1.3477202093982888E-4</v>
      </c>
      <c r="M278" s="118">
        <f>G278*'2. Emissions Units &amp; Activities'!$K$29</f>
        <v>1.480802059533797E-6</v>
      </c>
      <c r="N278" s="119">
        <f>G278*'2. Emissions Units &amp; Activities'!$L$29</f>
        <v>1.480802059533797E-6</v>
      </c>
      <c r="O278" s="120">
        <f t="shared" si="33"/>
        <v>1.480802059533797E-6</v>
      </c>
    </row>
    <row r="279" spans="1:15" x14ac:dyDescent="0.25">
      <c r="A279" s="125" t="s">
        <v>1230</v>
      </c>
      <c r="B279" s="279" t="s">
        <v>205</v>
      </c>
      <c r="C279" s="123" t="str">
        <f>IFERROR(IF(B279="No CAS","",INDEX('DEQ Pollutant List'!$B$7:$B$611,MATCH('3. Pollutant Emissions - EF'!B279,'DEQ Pollutant List'!$A$7:$A$611,0))),"")</f>
        <v>Copper and compounds</v>
      </c>
      <c r="D279" s="127" t="str">
        <f>IFERROR(IF(OR($B279="",$B279="No CAS"),INDEX('DEQ Pollutant List'!$A$7:$A$611,MATCH($C279,'DEQ Pollutant List'!$C$7:$C$611,0)),INDEX('DEQ Pollutant List'!$A$7:$A$611,MATCH($B279,'DEQ Pollutant List'!$B$7:$B$611,0))),"")</f>
        <v/>
      </c>
      <c r="E279" s="126">
        <v>0</v>
      </c>
      <c r="F279" s="116">
        <f>'Drop points'!E51</f>
        <v>4.4445364592028804E-9</v>
      </c>
      <c r="G279" s="129">
        <f>'Drop points'!G51</f>
        <v>1.6042022311616135E-8</v>
      </c>
      <c r="H279" s="115" t="s">
        <v>492</v>
      </c>
      <c r="I279" s="117" t="s">
        <v>1289</v>
      </c>
      <c r="J279" s="118">
        <f>F279*'2. Emissions Units &amp; Activities'!$H$29</f>
        <v>2.9597679424228111E-3</v>
      </c>
      <c r="K279" s="121">
        <f>F279*'2. Emissions Units &amp; Activities'!$I$29</f>
        <v>7.0081450888711018E-3</v>
      </c>
      <c r="L279" s="114">
        <f t="shared" si="32"/>
        <v>7.0081450888711018E-3</v>
      </c>
      <c r="M279" s="118">
        <f>G279*'2. Emissions Units &amp; Activities'!$K$29</f>
        <v>7.7001707095757452E-5</v>
      </c>
      <c r="N279" s="119">
        <f>G279*'2. Emissions Units &amp; Activities'!$L$29</f>
        <v>7.7001707095757452E-5</v>
      </c>
      <c r="O279" s="120">
        <f t="shared" si="33"/>
        <v>7.7001707095757452E-5</v>
      </c>
    </row>
    <row r="280" spans="1:15" x14ac:dyDescent="0.25">
      <c r="A280" s="125" t="s">
        <v>1230</v>
      </c>
      <c r="B280" s="279" t="s">
        <v>55</v>
      </c>
      <c r="C280" s="123" t="str">
        <f>IFERROR(IF(B280="No CAS","",INDEX('DEQ Pollutant List'!$B$7:$B$611,MATCH('3. Pollutant Emissions - EF'!B280,'DEQ Pollutant List'!$A$7:$A$611,0))),"")</f>
        <v>Chromium VI, chromate and dichromate particulate</v>
      </c>
      <c r="D280" s="127" t="str">
        <f>IFERROR(IF(OR($B280="",$B280="No CAS"),INDEX('DEQ Pollutant List'!$A$7:$A$611,MATCH($C280,'DEQ Pollutant List'!$C$7:$C$611,0)),INDEX('DEQ Pollutant List'!$A$7:$A$611,MATCH($B280,'DEQ Pollutant List'!$B$7:$B$611,0))),"")</f>
        <v/>
      </c>
      <c r="E280" s="126">
        <v>0</v>
      </c>
      <c r="F280" s="116">
        <f>'Drop points'!E52</f>
        <v>6.8086879680788741E-9</v>
      </c>
      <c r="G280" s="129">
        <f>'Drop points'!G52</f>
        <v>2.4575144179679643E-8</v>
      </c>
      <c r="H280" s="115" t="s">
        <v>492</v>
      </c>
      <c r="I280" s="117" t="s">
        <v>1289</v>
      </c>
      <c r="J280" s="118">
        <f>F280*'2. Emissions Units &amp; Activities'!$H$29</f>
        <v>4.5341368133346369E-3</v>
      </c>
      <c r="K280" s="121">
        <f>F280*'2. Emissions Units &amp; Activities'!$I$29</f>
        <v>1.0735939188066769E-2</v>
      </c>
      <c r="L280" s="114">
        <f t="shared" si="32"/>
        <v>1.0735939188066769E-2</v>
      </c>
      <c r="M280" s="118">
        <f>G280*'2. Emissions Units &amp; Activities'!$K$29</f>
        <v>1.1796069206246228E-4</v>
      </c>
      <c r="N280" s="119">
        <f>G280*'2. Emissions Units &amp; Activities'!$L$29</f>
        <v>1.1796069206246228E-4</v>
      </c>
      <c r="O280" s="120">
        <f t="shared" si="33"/>
        <v>1.1796069206246228E-4</v>
      </c>
    </row>
    <row r="281" spans="1:15" x14ac:dyDescent="0.25">
      <c r="A281" s="125" t="s">
        <v>1230</v>
      </c>
      <c r="B281" s="279" t="s">
        <v>309</v>
      </c>
      <c r="C281" s="123" t="str">
        <f>IFERROR(IF(B281="No CAS","",INDEX('DEQ Pollutant List'!$B$7:$B$611,MATCH('3. Pollutant Emissions - EF'!B281,'DEQ Pollutant List'!$A$7:$A$611,0))),"")</f>
        <v>Mercury and compounds</v>
      </c>
      <c r="D281" s="127" t="str">
        <f>IFERROR(IF(OR($B281="",$B281="No CAS"),INDEX('DEQ Pollutant List'!$A$7:$A$611,MATCH($C281,'DEQ Pollutant List'!$C$7:$C$611,0)),INDEX('DEQ Pollutant List'!$A$7:$A$611,MATCH($B281,'DEQ Pollutant List'!$B$7:$B$611,0))),"")</f>
        <v/>
      </c>
      <c r="E281" s="126">
        <v>0</v>
      </c>
      <c r="F281" s="116">
        <f>'Drop points'!E53</f>
        <v>1.7094370996934154E-11</v>
      </c>
      <c r="G281" s="129">
        <f>'Drop points'!G53</f>
        <v>6.170008581390821E-11</v>
      </c>
      <c r="H281" s="115" t="s">
        <v>492</v>
      </c>
      <c r="I281" s="117" t="s">
        <v>1289</v>
      </c>
      <c r="J281" s="118">
        <f>F281*'2. Emissions Units &amp; Activities'!$H$29</f>
        <v>1.1383722855472349E-5</v>
      </c>
      <c r="K281" s="121">
        <f>F281*'2. Emissions Units &amp; Activities'!$I$29</f>
        <v>2.6954404187965774E-5</v>
      </c>
      <c r="L281" s="114">
        <f t="shared" si="32"/>
        <v>2.6954404187965774E-5</v>
      </c>
      <c r="M281" s="118">
        <f>G281*'2. Emissions Units &amp; Activities'!$K$29</f>
        <v>2.9616041190675939E-7</v>
      </c>
      <c r="N281" s="119">
        <f>G281*'2. Emissions Units &amp; Activities'!$L$29</f>
        <v>2.9616041190675939E-7</v>
      </c>
      <c r="O281" s="120">
        <f t="shared" si="33"/>
        <v>2.9616041190675939E-7</v>
      </c>
    </row>
    <row r="282" spans="1:15" x14ac:dyDescent="0.25">
      <c r="A282" s="125" t="s">
        <v>1230</v>
      </c>
      <c r="B282" s="279" t="s">
        <v>181</v>
      </c>
      <c r="C282" s="123" t="str">
        <f>IFERROR(IF(B282="No CAS","",INDEX('DEQ Pollutant List'!$B$7:$B$611,MATCH('3. Pollutant Emissions - EF'!B282,'DEQ Pollutant List'!$A$7:$A$611,0))),"")</f>
        <v>Manganese and compounds</v>
      </c>
      <c r="D282" s="127" t="str">
        <f>IFERROR(IF(OR($B282="",$B282="No CAS"),INDEX('DEQ Pollutant List'!$A$7:$A$611,MATCH($C282,'DEQ Pollutant List'!$C$7:$C$611,0)),INDEX('DEQ Pollutant List'!$A$7:$A$611,MATCH($B282,'DEQ Pollutant List'!$B$7:$B$611,0))),"")</f>
        <v/>
      </c>
      <c r="E282" s="126">
        <v>0</v>
      </c>
      <c r="F282" s="116">
        <f>'Drop points'!E54</f>
        <v>4.2992343057289394E-7</v>
      </c>
      <c r="G282" s="129">
        <f>'Drop points'!G54</f>
        <v>1.5517571582197912E-6</v>
      </c>
      <c r="H282" s="115" t="s">
        <v>492</v>
      </c>
      <c r="I282" s="117" t="s">
        <v>1289</v>
      </c>
      <c r="J282" s="118">
        <f>F282*'2. Emissions Units &amp; Activities'!$H$29</f>
        <v>0.28630062981512955</v>
      </c>
      <c r="K282" s="121">
        <f>F282*'2. Emissions Units &amp; Activities'!$I$29</f>
        <v>0.67790326532733913</v>
      </c>
      <c r="L282" s="114">
        <f t="shared" si="32"/>
        <v>0.67790326532733913</v>
      </c>
      <c r="M282" s="118">
        <f>G282*'2. Emissions Units &amp; Activities'!$K$29</f>
        <v>7.4484343594549982E-3</v>
      </c>
      <c r="N282" s="119">
        <f>G282*'2. Emissions Units &amp; Activities'!$L$29</f>
        <v>7.4484343594549982E-3</v>
      </c>
      <c r="O282" s="120">
        <f t="shared" si="33"/>
        <v>7.4484343594549982E-3</v>
      </c>
    </row>
    <row r="283" spans="1:15" x14ac:dyDescent="0.25">
      <c r="A283" s="125" t="s">
        <v>1230</v>
      </c>
      <c r="B283" s="279" t="s">
        <v>66</v>
      </c>
      <c r="C283" s="123" t="str">
        <f>IFERROR(IF(B283="No CAS","",INDEX('DEQ Pollutant List'!$B$7:$B$611,MATCH('3. Pollutant Emissions - EF'!B283,'DEQ Pollutant List'!$A$7:$A$611,0))),"")</f>
        <v>Molybdenum trioxide</v>
      </c>
      <c r="D283" s="127" t="str">
        <f>IFERROR(IF(OR($B283="",$B283="No CAS"),INDEX('DEQ Pollutant List'!$A$7:$A$611,MATCH($C283,'DEQ Pollutant List'!$C$7:$C$611,0)),INDEX('DEQ Pollutant List'!$A$7:$A$611,MATCH($B283,'DEQ Pollutant List'!$B$7:$B$611,0))),"")</f>
        <v/>
      </c>
      <c r="E283" s="126">
        <v>0</v>
      </c>
      <c r="F283" s="116">
        <f>'Drop points'!E55</f>
        <v>7.9450565037293711E-9</v>
      </c>
      <c r="G283" s="129">
        <f>'Drop points'!G55</f>
        <v>2.8676730378928252E-8</v>
      </c>
      <c r="H283" s="115" t="s">
        <v>492</v>
      </c>
      <c r="I283" s="117" t="s">
        <v>1289</v>
      </c>
      <c r="J283" s="118">
        <f>F283*'2. Emissions Units &amp; Activities'!$H$29</f>
        <v>5.2908832577545153E-3</v>
      </c>
      <c r="K283" s="121">
        <f>F283*'2. Emissions Units &amp; Activities'!$I$29</f>
        <v>1.2527765095080473E-2</v>
      </c>
      <c r="L283" s="114">
        <f t="shared" si="32"/>
        <v>1.2527765095080473E-2</v>
      </c>
      <c r="M283" s="118">
        <f>G283*'2. Emissions Units &amp; Activities'!$K$29</f>
        <v>1.376483058188556E-4</v>
      </c>
      <c r="N283" s="119">
        <f>G283*'2. Emissions Units &amp; Activities'!$L$29</f>
        <v>1.376483058188556E-4</v>
      </c>
      <c r="O283" s="120">
        <f t="shared" si="33"/>
        <v>1.376483058188556E-4</v>
      </c>
    </row>
    <row r="284" spans="1:15" x14ac:dyDescent="0.25">
      <c r="A284" s="125" t="s">
        <v>1230</v>
      </c>
      <c r="B284" s="279" t="s">
        <v>212</v>
      </c>
      <c r="C284" s="123" t="str">
        <f>IFERROR(IF(B284="No CAS","",INDEX('DEQ Pollutant List'!$B$7:$B$611,MATCH('3. Pollutant Emissions - EF'!B284,'DEQ Pollutant List'!$A$7:$A$611,0))),"")</f>
        <v>Nickel and compounds</v>
      </c>
      <c r="D284" s="127" t="str">
        <f>IFERROR(IF(OR($B284="",$B284="No CAS"),INDEX('DEQ Pollutant List'!$A$7:$A$611,MATCH($C284,'DEQ Pollutant List'!$C$7:$C$611,0)),INDEX('DEQ Pollutant List'!$A$7:$A$611,MATCH($B284,'DEQ Pollutant List'!$B$7:$B$611,0))),"")</f>
        <v/>
      </c>
      <c r="E284" s="126">
        <v>0</v>
      </c>
      <c r="F284" s="116">
        <f>'Drop points'!E56</f>
        <v>1.7094370996934152E-9</v>
      </c>
      <c r="G284" s="129">
        <f>'Drop points'!G56</f>
        <v>6.1700085813908204E-9</v>
      </c>
      <c r="H284" s="115" t="s">
        <v>492</v>
      </c>
      <c r="I284" s="117" t="s">
        <v>1289</v>
      </c>
      <c r="J284" s="118">
        <f>F284*'2. Emissions Units &amp; Activities'!$H$29</f>
        <v>1.1383722855472346E-3</v>
      </c>
      <c r="K284" s="121">
        <f>F284*'2. Emissions Units &amp; Activities'!$I$29</f>
        <v>2.6954404187965772E-3</v>
      </c>
      <c r="L284" s="114">
        <f t="shared" si="32"/>
        <v>2.6954404187965772E-3</v>
      </c>
      <c r="M284" s="118">
        <f>G284*'2. Emissions Units &amp; Activities'!$K$29</f>
        <v>2.9616041190675937E-5</v>
      </c>
      <c r="N284" s="119">
        <f>G284*'2. Emissions Units &amp; Activities'!$L$29</f>
        <v>2.9616041190675937E-5</v>
      </c>
      <c r="O284" s="120">
        <f t="shared" si="33"/>
        <v>2.9616041190675937E-5</v>
      </c>
    </row>
    <row r="285" spans="1:15" x14ac:dyDescent="0.25">
      <c r="A285" s="125" t="s">
        <v>1230</v>
      </c>
      <c r="B285" s="279">
        <v>504</v>
      </c>
      <c r="C285" s="123" t="str">
        <f>IFERROR(IF(B285="No CAS","",INDEX('DEQ Pollutant List'!$B$7:$B$611,MATCH('3. Pollutant Emissions - EF'!B285,'DEQ Pollutant List'!$A$7:$A$611,0))),"")</f>
        <v>Phosphorus and compounds</v>
      </c>
      <c r="D285" s="127" t="str">
        <f>IFERROR(IF(OR($B285="",$B285="No CAS"),INDEX('DEQ Pollutant List'!$A$7:$A$611,MATCH($C285,'DEQ Pollutant List'!$C$7:$C$611,0)),INDEX('DEQ Pollutant List'!$A$7:$A$611,MATCH($B285,'DEQ Pollutant List'!$B$7:$B$611,0))),"")</f>
        <v/>
      </c>
      <c r="E285" s="126">
        <v>0</v>
      </c>
      <c r="F285" s="116">
        <f>'Drop points'!E57</f>
        <v>2.8205712144941355E-8</v>
      </c>
      <c r="G285" s="129">
        <f>'Drop points'!G57</f>
        <v>1.0180514159294854E-7</v>
      </c>
      <c r="H285" s="115" t="s">
        <v>492</v>
      </c>
      <c r="I285" s="117" t="s">
        <v>1289</v>
      </c>
      <c r="J285" s="118">
        <f>F285*'2. Emissions Units &amp; Activities'!$H$29</f>
        <v>1.8783142711529376E-2</v>
      </c>
      <c r="K285" s="121">
        <f>F285*'2. Emissions Units &amp; Activities'!$I$29</f>
        <v>4.4474766910143529E-2</v>
      </c>
      <c r="L285" s="114">
        <f t="shared" si="32"/>
        <v>4.4474766910143529E-2</v>
      </c>
      <c r="M285" s="118">
        <f>G285*'2. Emissions Units &amp; Activities'!$K$29</f>
        <v>4.8866467964615303E-4</v>
      </c>
      <c r="N285" s="119">
        <f>G285*'2. Emissions Units &amp; Activities'!$L$29</f>
        <v>4.8866467964615303E-4</v>
      </c>
      <c r="O285" s="120">
        <f t="shared" si="33"/>
        <v>4.8866467964615303E-4</v>
      </c>
    </row>
    <row r="286" spans="1:15" x14ac:dyDescent="0.25">
      <c r="A286" s="125" t="s">
        <v>1230</v>
      </c>
      <c r="B286" s="279" t="s">
        <v>310</v>
      </c>
      <c r="C286" s="123" t="str">
        <f>IFERROR(IF(B286="No CAS","",INDEX('DEQ Pollutant List'!$B$7:$B$611,MATCH('3. Pollutant Emissions - EF'!B286,'DEQ Pollutant List'!$A$7:$A$611,0))),"")</f>
        <v>Lead and compounds</v>
      </c>
      <c r="D286" s="127" t="str">
        <f>IFERROR(IF(OR($B286="",$B286="No CAS"),INDEX('DEQ Pollutant List'!$A$7:$A$611,MATCH($C286,'DEQ Pollutant List'!$C$7:$C$611,0)),INDEX('DEQ Pollutant List'!$A$7:$A$611,MATCH($B286,'DEQ Pollutant List'!$B$7:$B$611,0))),"")</f>
        <v/>
      </c>
      <c r="E286" s="126">
        <v>0</v>
      </c>
      <c r="F286" s="116">
        <f>'Drop points'!E58</f>
        <v>2.1367963746167693E-8</v>
      </c>
      <c r="G286" s="129">
        <f>'Drop points'!G58</f>
        <v>7.7125107267385261E-8</v>
      </c>
      <c r="H286" s="115" t="s">
        <v>492</v>
      </c>
      <c r="I286" s="117" t="s">
        <v>1289</v>
      </c>
      <c r="J286" s="118">
        <f>F286*'2. Emissions Units &amp; Activities'!$H$29</f>
        <v>1.4229653569340436E-2</v>
      </c>
      <c r="K286" s="121">
        <f>F286*'2. Emissions Units &amp; Activities'!$I$29</f>
        <v>3.3693005234957218E-2</v>
      </c>
      <c r="L286" s="114">
        <f t="shared" si="32"/>
        <v>3.3693005234957218E-2</v>
      </c>
      <c r="M286" s="118">
        <f>G286*'2. Emissions Units &amp; Activities'!$K$29</f>
        <v>3.7020051488344924E-4</v>
      </c>
      <c r="N286" s="119">
        <f>G286*'2. Emissions Units &amp; Activities'!$L$29</f>
        <v>3.7020051488344924E-4</v>
      </c>
      <c r="O286" s="120">
        <f t="shared" si="33"/>
        <v>3.7020051488344924E-4</v>
      </c>
    </row>
    <row r="287" spans="1:15" x14ac:dyDescent="0.25">
      <c r="A287" s="125" t="s">
        <v>1230</v>
      </c>
      <c r="B287" s="279" t="s">
        <v>311</v>
      </c>
      <c r="C287" s="123" t="str">
        <f>IFERROR(IF(B287="No CAS","",INDEX('DEQ Pollutant List'!$B$7:$B$611,MATCH('3. Pollutant Emissions - EF'!B287,'DEQ Pollutant List'!$A$7:$A$611,0))),"")</f>
        <v>Antimony and compounds</v>
      </c>
      <c r="D287" s="127" t="str">
        <f>IFERROR(IF(OR($B287="",$B287="No CAS"),INDEX('DEQ Pollutant List'!$A$7:$A$611,MATCH($C287,'DEQ Pollutant List'!$C$7:$C$611,0)),INDEX('DEQ Pollutant List'!$A$7:$A$611,MATCH($B287,'DEQ Pollutant List'!$B$7:$B$611,0))),"")</f>
        <v/>
      </c>
      <c r="E287" s="126">
        <v>0</v>
      </c>
      <c r="F287" s="116">
        <f>'Drop points'!E59</f>
        <v>3.1624586344328182E-10</v>
      </c>
      <c r="G287" s="129">
        <f>'Drop points'!G59</f>
        <v>1.1414515875573018E-9</v>
      </c>
      <c r="H287" s="115" t="s">
        <v>492</v>
      </c>
      <c r="I287" s="117" t="s">
        <v>1289</v>
      </c>
      <c r="J287" s="118">
        <f>F287*'2. Emissions Units &amp; Activities'!$H$29</f>
        <v>2.1059887282623844E-4</v>
      </c>
      <c r="K287" s="121">
        <f>F287*'2. Emissions Units &amp; Activities'!$I$29</f>
        <v>4.9865647747736677E-4</v>
      </c>
      <c r="L287" s="114">
        <f t="shared" si="32"/>
        <v>4.9865647747736677E-4</v>
      </c>
      <c r="M287" s="118">
        <f>G287*'2. Emissions Units &amp; Activities'!$K$29</f>
        <v>5.4789676202750488E-6</v>
      </c>
      <c r="N287" s="119">
        <f>G287*'2. Emissions Units &amp; Activities'!$L$29</f>
        <v>5.4789676202750488E-6</v>
      </c>
      <c r="O287" s="120">
        <f t="shared" si="33"/>
        <v>5.4789676202750488E-6</v>
      </c>
    </row>
    <row r="288" spans="1:15" x14ac:dyDescent="0.25">
      <c r="A288" s="125" t="s">
        <v>1230</v>
      </c>
      <c r="B288" s="279" t="s">
        <v>312</v>
      </c>
      <c r="C288" s="123" t="str">
        <f>IFERROR(IF(B288="No CAS","",INDEX('DEQ Pollutant List'!$B$7:$B$611,MATCH('3. Pollutant Emissions - EF'!B288,'DEQ Pollutant List'!$A$7:$A$611,0))),"")</f>
        <v>Selenium and compounds</v>
      </c>
      <c r="D288" s="127" t="str">
        <f>IFERROR(IF(OR($B288="",$B288="No CAS"),INDEX('DEQ Pollutant List'!$A$7:$A$611,MATCH($C288,'DEQ Pollutant List'!$C$7:$C$611,0)),INDEX('DEQ Pollutant List'!$A$7:$A$611,MATCH($B288,'DEQ Pollutant List'!$B$7:$B$611,0))),"")</f>
        <v/>
      </c>
      <c r="E288" s="126">
        <v>0</v>
      </c>
      <c r="F288" s="116">
        <f>'Drop points'!E60</f>
        <v>1.6239652447087446E-10</v>
      </c>
      <c r="G288" s="129">
        <f>'Drop points'!G60</f>
        <v>5.8615081523212797E-10</v>
      </c>
      <c r="H288" s="115" t="s">
        <v>492</v>
      </c>
      <c r="I288" s="117" t="s">
        <v>1289</v>
      </c>
      <c r="J288" s="118">
        <f>F288*'2. Emissions Units &amp; Activities'!$H$29</f>
        <v>1.0814536712698731E-4</v>
      </c>
      <c r="K288" s="121">
        <f>F288*'2. Emissions Units &amp; Activities'!$I$29</f>
        <v>2.5606683978567486E-4</v>
      </c>
      <c r="L288" s="114">
        <f t="shared" si="32"/>
        <v>2.5606683978567486E-4</v>
      </c>
      <c r="M288" s="118">
        <f>G288*'2. Emissions Units &amp; Activities'!$K$29</f>
        <v>2.8135239131142144E-6</v>
      </c>
      <c r="N288" s="119">
        <f>G288*'2. Emissions Units &amp; Activities'!$L$29</f>
        <v>2.8135239131142144E-6</v>
      </c>
      <c r="O288" s="120">
        <f t="shared" si="33"/>
        <v>2.8135239131142144E-6</v>
      </c>
    </row>
    <row r="289" spans="1:15" x14ac:dyDescent="0.25">
      <c r="A289" s="125" t="s">
        <v>1230</v>
      </c>
      <c r="B289" s="279" t="s">
        <v>314</v>
      </c>
      <c r="C289" s="123" t="str">
        <f>IFERROR(IF(B289="No CAS","",INDEX('DEQ Pollutant List'!$B$7:$B$611,MATCH('3. Pollutant Emissions - EF'!B289,'DEQ Pollutant List'!$A$7:$A$611,0))),"")</f>
        <v>Thallium and compounds</v>
      </c>
      <c r="D289" s="127" t="str">
        <f>IFERROR(IF(OR($B289="",$B289="No CAS"),INDEX('DEQ Pollutant List'!$A$7:$A$611,MATCH($C289,'DEQ Pollutant List'!$C$7:$C$611,0)),INDEX('DEQ Pollutant List'!$A$7:$A$611,MATCH($B289,'DEQ Pollutant List'!$B$7:$B$611,0))),"")</f>
        <v/>
      </c>
      <c r="E289" s="126">
        <v>0</v>
      </c>
      <c r="F289" s="116">
        <f>'Drop points'!E61</f>
        <v>3.7522144338270468E-10</v>
      </c>
      <c r="G289" s="129">
        <f>'Drop points'!G61</f>
        <v>1.3543168836152852E-9</v>
      </c>
      <c r="H289" s="115" t="s">
        <v>492</v>
      </c>
      <c r="I289" s="117" t="s">
        <v>1289</v>
      </c>
      <c r="J289" s="118">
        <f>F289*'2. Emissions Units &amp; Activities'!$H$29</f>
        <v>2.4987271667761807E-4</v>
      </c>
      <c r="K289" s="121">
        <f>F289*'2. Emissions Units &amp; Activities'!$I$29</f>
        <v>5.9164917192584875E-4</v>
      </c>
      <c r="L289" s="114">
        <f t="shared" si="32"/>
        <v>5.9164917192584875E-4</v>
      </c>
      <c r="M289" s="118">
        <f>G289*'2. Emissions Units &amp; Activities'!$K$29</f>
        <v>6.5007210413533693E-6</v>
      </c>
      <c r="N289" s="119">
        <f>G289*'2. Emissions Units &amp; Activities'!$L$29</f>
        <v>6.5007210413533693E-6</v>
      </c>
      <c r="O289" s="120">
        <f t="shared" si="33"/>
        <v>6.5007210413533693E-6</v>
      </c>
    </row>
    <row r="290" spans="1:15" x14ac:dyDescent="0.25">
      <c r="A290" s="125" t="s">
        <v>1230</v>
      </c>
      <c r="B290" s="279" t="s">
        <v>315</v>
      </c>
      <c r="C290" s="123" t="str">
        <f>IFERROR(IF(B290="No CAS","",INDEX('DEQ Pollutant List'!$B$7:$B$611,MATCH('3. Pollutant Emissions - EF'!B290,'DEQ Pollutant List'!$A$7:$A$611,0))),"")</f>
        <v>Zinc and compounds</v>
      </c>
      <c r="D290" s="127" t="str">
        <f>IFERROR(IF(OR($B290="",$B290="No CAS"),INDEX('DEQ Pollutant List'!$A$7:$A$611,MATCH($C290,'DEQ Pollutant List'!$C$7:$C$611,0)),INDEX('DEQ Pollutant List'!$A$7:$A$611,MATCH($B290,'DEQ Pollutant List'!$B$7:$B$611,0))),"")</f>
        <v/>
      </c>
      <c r="E290" s="126">
        <v>0</v>
      </c>
      <c r="F290" s="116">
        <f>'Drop points'!E62</f>
        <v>2.5641556495401228E-8</v>
      </c>
      <c r="G290" s="129">
        <f>'Drop points'!G62</f>
        <v>9.25501287208623E-8</v>
      </c>
      <c r="H290" s="115" t="s">
        <v>492</v>
      </c>
      <c r="I290" s="117" t="s">
        <v>1289</v>
      </c>
      <c r="J290" s="118">
        <f>F290*'2. Emissions Units &amp; Activities'!$H$29</f>
        <v>1.707558428320852E-2</v>
      </c>
      <c r="K290" s="121">
        <f>F290*'2. Emissions Units &amp; Activities'!$I$29</f>
        <v>4.0431606281948654E-2</v>
      </c>
      <c r="L290" s="114">
        <f t="shared" si="32"/>
        <v>4.0431606281948654E-2</v>
      </c>
      <c r="M290" s="118">
        <f>G290*'2. Emissions Units &amp; Activities'!$K$29</f>
        <v>4.4424061786013902E-4</v>
      </c>
      <c r="N290" s="119">
        <f>G290*'2. Emissions Units &amp; Activities'!$L$29</f>
        <v>4.4424061786013902E-4</v>
      </c>
      <c r="O290" s="120">
        <f t="shared" si="33"/>
        <v>4.4424061786013902E-4</v>
      </c>
    </row>
    <row r="291" spans="1:15" x14ac:dyDescent="0.25">
      <c r="A291" s="125" t="s">
        <v>1230</v>
      </c>
      <c r="B291" s="279" t="s">
        <v>142</v>
      </c>
      <c r="C291" s="123" t="str">
        <f>IFERROR(IF(B291="No CAS","",INDEX('DEQ Pollutant List'!$B$7:$B$611,MATCH('3. Pollutant Emissions - EF'!B291,'DEQ Pollutant List'!$A$7:$A$611,0))),"")</f>
        <v>Barium and compounds</v>
      </c>
      <c r="D291" s="127" t="str">
        <f>IFERROR(IF(OR($B291="",$B291="No CAS"),INDEX('DEQ Pollutant List'!$A$7:$A$611,MATCH($C291,'DEQ Pollutant List'!$C$7:$C$611,0)),INDEX('DEQ Pollutant List'!$A$7:$A$611,MATCH($B291,'DEQ Pollutant List'!$B$7:$B$611,0))),"")</f>
        <v/>
      </c>
      <c r="E291" s="126">
        <v>0</v>
      </c>
      <c r="F291" s="116">
        <f>'Drop points'!E63</f>
        <v>1.7094370996934154E-7</v>
      </c>
      <c r="G291" s="129">
        <f>'Drop points'!G63</f>
        <v>6.1700085813908209E-7</v>
      </c>
      <c r="H291" s="115" t="s">
        <v>492</v>
      </c>
      <c r="I291" s="117" t="s">
        <v>1289</v>
      </c>
      <c r="J291" s="118">
        <f>F291*'2. Emissions Units &amp; Activities'!$H$29</f>
        <v>0.11383722855472349</v>
      </c>
      <c r="K291" s="121">
        <f>F291*'2. Emissions Units &amp; Activities'!$I$29</f>
        <v>0.26954404187965775</v>
      </c>
      <c r="L291" s="114">
        <f t="shared" si="32"/>
        <v>0.26954404187965775</v>
      </c>
      <c r="M291" s="118">
        <f>G291*'2. Emissions Units &amp; Activities'!$K$29</f>
        <v>2.961604119067594E-3</v>
      </c>
      <c r="N291" s="119">
        <f>G291*'2. Emissions Units &amp; Activities'!$L$29</f>
        <v>2.961604119067594E-3</v>
      </c>
      <c r="O291" s="120">
        <f t="shared" si="33"/>
        <v>2.961604119067594E-3</v>
      </c>
    </row>
    <row r="292" spans="1:15" x14ac:dyDescent="0.25">
      <c r="A292" s="125" t="s">
        <v>1230</v>
      </c>
      <c r="B292" s="279" t="s">
        <v>316</v>
      </c>
      <c r="C292" s="123" t="str">
        <f>IFERROR(IF(B292="No CAS","",INDEX('DEQ Pollutant List'!$B$7:$B$611,MATCH('3. Pollutant Emissions - EF'!B292,'DEQ Pollutant List'!$A$7:$A$611,0))),"")</f>
        <v>Phosphorus pentoxide</v>
      </c>
      <c r="D292" s="127"/>
      <c r="E292" s="126">
        <v>0</v>
      </c>
      <c r="F292" s="116">
        <f>'Drop points'!E64</f>
        <v>6.8377483987736617E-8</v>
      </c>
      <c r="G292" s="129">
        <f>'Drop points'!G64</f>
        <v>2.4680034325563284E-7</v>
      </c>
      <c r="H292" s="115" t="s">
        <v>492</v>
      </c>
      <c r="I292" s="117" t="s">
        <v>1289</v>
      </c>
      <c r="J292" s="118">
        <f>F292*'2. Emissions Units &amp; Activities'!$H$29</f>
        <v>4.5534891421889399E-2</v>
      </c>
      <c r="K292" s="121">
        <f>F292*'2. Emissions Units &amp; Activities'!$I$29</f>
        <v>0.10781761675186309</v>
      </c>
      <c r="L292" s="114">
        <f t="shared" si="32"/>
        <v>0.10781761675186309</v>
      </c>
      <c r="M292" s="118">
        <f>G292*'2. Emissions Units &amp; Activities'!$K$29</f>
        <v>1.1846416476270377E-3</v>
      </c>
      <c r="N292" s="119">
        <f>G292*'2. Emissions Units &amp; Activities'!$L$29</f>
        <v>1.1846416476270377E-3</v>
      </c>
      <c r="O292" s="120">
        <f t="shared" si="33"/>
        <v>1.1846416476270377E-3</v>
      </c>
    </row>
    <row r="293" spans="1:15" x14ac:dyDescent="0.25">
      <c r="A293" s="125" t="s">
        <v>1230</v>
      </c>
      <c r="B293" s="279" t="s">
        <v>183</v>
      </c>
      <c r="C293" s="123" t="str">
        <f>IFERROR(IF(B293="No CAS","",INDEX('DEQ Pollutant List'!$B$7:$B$611,MATCH('3. Pollutant Emissions - EF'!B293,'DEQ Pollutant List'!$A$7:$A$611,0))),"")</f>
        <v>Silica, crystalline (respirable)</v>
      </c>
      <c r="D293" s="127"/>
      <c r="E293" s="126">
        <v>0</v>
      </c>
      <c r="F293" s="116">
        <f>'Drop points'!E65</f>
        <v>3.185108676003756E-5</v>
      </c>
      <c r="G293" s="129">
        <f>'Drop points'!G65</f>
        <v>1.1496268489276445E-4</v>
      </c>
      <c r="H293" s="115" t="s">
        <v>492</v>
      </c>
      <c r="I293" s="117" t="s">
        <v>1289</v>
      </c>
      <c r="J293" s="118">
        <f>F293*'2. Emissions Units &amp; Activities'!$H$29</f>
        <v>21.210721610458851</v>
      </c>
      <c r="K293" s="121">
        <f>F293*'2. Emissions Units &amp; Activities'!$I$29</f>
        <v>50.222793603227224</v>
      </c>
      <c r="L293" s="114">
        <f t="shared" si="32"/>
        <v>50.222793603227224</v>
      </c>
      <c r="M293" s="118">
        <f>G293*'2. Emissions Units &amp; Activities'!$K$29</f>
        <v>0.55182088748526936</v>
      </c>
      <c r="N293" s="119">
        <f>G293*'2. Emissions Units &amp; Activities'!$L$29</f>
        <v>0.55182088748526936</v>
      </c>
      <c r="O293" s="120">
        <f t="shared" si="33"/>
        <v>0.55182088748526936</v>
      </c>
    </row>
    <row r="294" spans="1:15" x14ac:dyDescent="0.25">
      <c r="A294" s="125" t="s">
        <v>1230</v>
      </c>
      <c r="B294" s="279" t="s">
        <v>317</v>
      </c>
      <c r="C294" s="123" t="str">
        <f>IFERROR(IF(B294="No CAS","",INDEX('DEQ Pollutant List'!$B$7:$B$611,MATCH('3. Pollutant Emissions - EF'!B294,'DEQ Pollutant List'!$A$7:$A$611,0))),"")</f>
        <v>Sulfur trioxide</v>
      </c>
      <c r="D294" s="127"/>
      <c r="E294" s="126">
        <v>0</v>
      </c>
      <c r="F294" s="116">
        <f>'Drop points'!E66</f>
        <v>2.1367963746167693E-8</v>
      </c>
      <c r="G294" s="129">
        <f>'Drop points'!G66</f>
        <v>7.7125107267385261E-8</v>
      </c>
      <c r="H294" s="115" t="s">
        <v>492</v>
      </c>
      <c r="I294" s="117" t="s">
        <v>1289</v>
      </c>
      <c r="J294" s="118">
        <f>F294*'2. Emissions Units &amp; Activities'!$H$29</f>
        <v>1.4229653569340436E-2</v>
      </c>
      <c r="K294" s="121">
        <f>F294*'2. Emissions Units &amp; Activities'!$I$29</f>
        <v>3.3693005234957218E-2</v>
      </c>
      <c r="L294" s="114">
        <f t="shared" si="32"/>
        <v>3.3693005234957218E-2</v>
      </c>
      <c r="M294" s="118">
        <f>G294*'2. Emissions Units &amp; Activities'!$K$29</f>
        <v>3.7020051488344924E-4</v>
      </c>
      <c r="N294" s="119">
        <f>G294*'2. Emissions Units &amp; Activities'!$L$29</f>
        <v>3.7020051488344924E-4</v>
      </c>
      <c r="O294" s="120">
        <f t="shared" si="33"/>
        <v>3.7020051488344924E-4</v>
      </c>
    </row>
    <row r="295" spans="1:15" ht="15.75" thickBot="1" x14ac:dyDescent="0.3">
      <c r="A295" s="125" t="s">
        <v>1230</v>
      </c>
      <c r="B295" s="280" t="s">
        <v>318</v>
      </c>
      <c r="C295" s="216" t="str">
        <f>IFERROR(IF(B295="No CAS","",INDEX('DEQ Pollutant List'!$B$7:$B$611,MATCH('3. Pollutant Emissions - EF'!B295,'DEQ Pollutant List'!$A$7:$A$611,0))),"")</f>
        <v>Vanadium pentoxide</v>
      </c>
      <c r="D295" s="189"/>
      <c r="E295" s="190">
        <v>0</v>
      </c>
      <c r="F295" s="202">
        <f>'Drop points'!E67</f>
        <v>2.1367963746167693E-8</v>
      </c>
      <c r="G295" s="199">
        <f>'Drop points'!G67</f>
        <v>7.7125107267385261E-8</v>
      </c>
      <c r="H295" s="200" t="s">
        <v>492</v>
      </c>
      <c r="I295" s="117" t="s">
        <v>1289</v>
      </c>
      <c r="J295" s="232">
        <f>F295*'2. Emissions Units &amp; Activities'!$H$29</f>
        <v>1.4229653569340436E-2</v>
      </c>
      <c r="K295" s="233">
        <f>F295*'2. Emissions Units &amp; Activities'!$I$29</f>
        <v>3.3693005234957218E-2</v>
      </c>
      <c r="L295" s="234">
        <f t="shared" si="32"/>
        <v>3.3693005234957218E-2</v>
      </c>
      <c r="M295" s="232">
        <f>G295*'2. Emissions Units &amp; Activities'!$K$29</f>
        <v>3.7020051488344924E-4</v>
      </c>
      <c r="N295" s="235">
        <f>G295*'2. Emissions Units &amp; Activities'!$L$29</f>
        <v>3.7020051488344924E-4</v>
      </c>
      <c r="O295" s="236">
        <f t="shared" si="33"/>
        <v>3.7020051488344924E-4</v>
      </c>
    </row>
    <row r="296" spans="1:15" x14ac:dyDescent="0.25">
      <c r="A296" s="125" t="s">
        <v>1219</v>
      </c>
      <c r="B296" s="279" t="s">
        <v>190</v>
      </c>
      <c r="C296" s="123" t="str">
        <f>IFERROR(IF(B296="No CAS","",INDEX('DEQ Pollutant List'!$B$7:$B$611,MATCH('3. Pollutant Emissions - EF'!B296,'DEQ Pollutant List'!$A$7:$A$611,0))),"")</f>
        <v>Aluminum and compounds</v>
      </c>
      <c r="D296" s="151"/>
      <c r="E296" s="126">
        <v>0</v>
      </c>
      <c r="F296" s="282">
        <f>'Welding Emission Factors'!D9</f>
        <v>0.13442579999999998</v>
      </c>
      <c r="G296" s="297">
        <f t="shared" ref="G296:G303" si="34">F296</f>
        <v>0.13442579999999998</v>
      </c>
      <c r="H296" s="152" t="s">
        <v>1290</v>
      </c>
      <c r="I296" s="298" t="s">
        <v>1291</v>
      </c>
      <c r="J296" s="288">
        <f>F296*'2. Emissions Units &amp; Activities'!$H$25</f>
        <v>2.2180256999999998E-2</v>
      </c>
      <c r="K296" s="286">
        <f>F296*'2. Emissions Units &amp; Activities'!$I$25</f>
        <v>2.2180256999999998E-2</v>
      </c>
      <c r="L296" s="281">
        <f t="shared" ref="L296:L303" si="35">K296</f>
        <v>2.2180256999999998E-2</v>
      </c>
      <c r="M296" s="282">
        <f>G296*'2. Emissions Units &amp; Activities'!$K$25</f>
        <v>6.0767827397260267E-5</v>
      </c>
      <c r="N296" s="283">
        <f>G296*'2. Emissions Units &amp; Activities'!$L$25</f>
        <v>6.0767827397260267E-5</v>
      </c>
      <c r="O296" s="284">
        <f t="shared" ref="O296:O303" si="36">N296</f>
        <v>6.0767827397260267E-5</v>
      </c>
    </row>
    <row r="297" spans="1:15" x14ac:dyDescent="0.25">
      <c r="A297" s="125" t="s">
        <v>1219</v>
      </c>
      <c r="B297" s="128" t="s">
        <v>147</v>
      </c>
      <c r="C297" s="123" t="str">
        <f>IFERROR(IF(B297="No CAS","",INDEX('DEQ Pollutant List'!$B$7:$B$611,MATCH('3. Pollutant Emissions - EF'!B297,'DEQ Pollutant List'!$A$7:$A$611,0))),"")</f>
        <v>Cobalt and compounds</v>
      </c>
      <c r="D297" s="151"/>
      <c r="E297" s="126">
        <v>0</v>
      </c>
      <c r="F297" s="118">
        <f>'Welding Emission Factors'!E9</f>
        <v>1E-3</v>
      </c>
      <c r="G297" s="131">
        <f t="shared" si="34"/>
        <v>1E-3</v>
      </c>
      <c r="H297" s="152" t="s">
        <v>1290</v>
      </c>
      <c r="I297" s="227" t="s">
        <v>1292</v>
      </c>
      <c r="J297" s="289">
        <f>F297*'2. Emissions Units &amp; Activities'!$H$25</f>
        <v>1.65E-4</v>
      </c>
      <c r="K297" s="121">
        <f>F297*'2. Emissions Units &amp; Activities'!$I$25</f>
        <v>1.65E-4</v>
      </c>
      <c r="L297" s="114">
        <f t="shared" si="35"/>
        <v>1.65E-4</v>
      </c>
      <c r="M297" s="118">
        <f>G297*'2. Emissions Units &amp; Activities'!$K$25</f>
        <v>4.5205479452054796E-7</v>
      </c>
      <c r="N297" s="119">
        <f>G297*'2. Emissions Units &amp; Activities'!$L$25</f>
        <v>4.5205479452054796E-7</v>
      </c>
      <c r="O297" s="120">
        <f t="shared" si="36"/>
        <v>4.5205479452054796E-7</v>
      </c>
    </row>
    <row r="298" spans="1:15" x14ac:dyDescent="0.25">
      <c r="A298" s="125" t="s">
        <v>1219</v>
      </c>
      <c r="B298" s="128" t="s">
        <v>55</v>
      </c>
      <c r="C298" s="123" t="str">
        <f>IFERROR(IF(B298="No CAS","",INDEX('DEQ Pollutant List'!$B$7:$B$611,MATCH('3. Pollutant Emissions - EF'!B298,'DEQ Pollutant List'!$A$7:$A$611,0))),"")</f>
        <v>Chromium VI, chromate and dichromate particulate</v>
      </c>
      <c r="D298" s="151" t="str">
        <f>IFERROR(IF(OR($B298="",$B298="No CAS"),INDEX('DEQ Pollutant List'!$A$7:$A$611,MATCH($C298,'DEQ Pollutant List'!$C$7:$C$611,0)),INDEX('DEQ Pollutant List'!$A$7:$A$611,MATCH($B298,'DEQ Pollutant List'!$B$7:$B$611,0))),"")</f>
        <v/>
      </c>
      <c r="E298" s="126">
        <v>0</v>
      </c>
      <c r="F298" s="299">
        <f>'Welding Emission Factors'!F9</f>
        <v>3.3E-3</v>
      </c>
      <c r="G298" s="131">
        <f t="shared" si="34"/>
        <v>3.3E-3</v>
      </c>
      <c r="H298" s="152" t="s">
        <v>1290</v>
      </c>
      <c r="I298" s="227" t="s">
        <v>1292</v>
      </c>
      <c r="J298" s="289">
        <f>F298*'2. Emissions Units &amp; Activities'!$H$25</f>
        <v>5.4450000000000006E-4</v>
      </c>
      <c r="K298" s="121">
        <f>F298*'2. Emissions Units &amp; Activities'!$I$25</f>
        <v>5.4450000000000006E-4</v>
      </c>
      <c r="L298" s="114">
        <f t="shared" si="35"/>
        <v>5.4450000000000006E-4</v>
      </c>
      <c r="M298" s="118">
        <f>G298*'2. Emissions Units &amp; Activities'!$K$25</f>
        <v>1.4917808219178083E-6</v>
      </c>
      <c r="N298" s="119">
        <f>G298*'2. Emissions Units &amp; Activities'!$L$25</f>
        <v>1.4917808219178083E-6</v>
      </c>
      <c r="O298" s="120">
        <f t="shared" si="36"/>
        <v>1.4917808219178083E-6</v>
      </c>
    </row>
    <row r="299" spans="1:15" x14ac:dyDescent="0.25">
      <c r="A299" s="125" t="s">
        <v>1219</v>
      </c>
      <c r="B299" s="128" t="s">
        <v>181</v>
      </c>
      <c r="C299" s="123" t="str">
        <f>IFERROR(IF(B299="No CAS","",INDEX('DEQ Pollutant List'!$B$7:$B$611,MATCH('3. Pollutant Emissions - EF'!B299,'DEQ Pollutant List'!$A$7:$A$611,0))),"")</f>
        <v>Manganese and compounds</v>
      </c>
      <c r="D299" s="151" t="str">
        <f>IFERROR(IF(OR($B299="",$B299="No CAS"),INDEX('DEQ Pollutant List'!$A$7:$A$611,MATCH($C299,'DEQ Pollutant List'!$C$7:$C$611,0)),INDEX('DEQ Pollutant List'!$A$7:$A$611,MATCH($B299,'DEQ Pollutant List'!$B$7:$B$611,0))),"")</f>
        <v/>
      </c>
      <c r="E299" s="126">
        <v>0</v>
      </c>
      <c r="F299" s="299">
        <f>'Welding Emission Factors'!G9</f>
        <v>1.03</v>
      </c>
      <c r="G299" s="131">
        <f t="shared" si="34"/>
        <v>1.03</v>
      </c>
      <c r="H299" s="152" t="s">
        <v>1290</v>
      </c>
      <c r="I299" s="227" t="s">
        <v>1292</v>
      </c>
      <c r="J299" s="289">
        <f>F299*'2. Emissions Units &amp; Activities'!$H$25</f>
        <v>0.16995000000000002</v>
      </c>
      <c r="K299" s="121">
        <f>F299*'2. Emissions Units &amp; Activities'!$I$25</f>
        <v>0.16995000000000002</v>
      </c>
      <c r="L299" s="114">
        <f t="shared" si="35"/>
        <v>0.16995000000000002</v>
      </c>
      <c r="M299" s="118">
        <f>G299*'2. Emissions Units &amp; Activities'!$K$25</f>
        <v>4.6561643835616438E-4</v>
      </c>
      <c r="N299" s="119">
        <f>G299*'2. Emissions Units &amp; Activities'!$L$25</f>
        <v>4.6561643835616438E-4</v>
      </c>
      <c r="O299" s="120">
        <f t="shared" si="36"/>
        <v>4.6561643835616438E-4</v>
      </c>
    </row>
    <row r="300" spans="1:15" ht="15.75" x14ac:dyDescent="0.25">
      <c r="A300" s="125" t="s">
        <v>1219</v>
      </c>
      <c r="B300" s="224">
        <v>365</v>
      </c>
      <c r="C300" s="123" t="str">
        <f>IFERROR(IF(B300="No CAS","",INDEX('DEQ Pollutant List'!$B$7:$B$611,MATCH('3. Pollutant Emissions - EF'!B300,'DEQ Pollutant List'!$A$7:$A$611,0))),"")</f>
        <v>Nickel compounds, insoluble</v>
      </c>
      <c r="D300" s="151"/>
      <c r="E300" s="126">
        <v>0</v>
      </c>
      <c r="F300" s="299">
        <f>'Welding Emission Factors'!H9</f>
        <v>2E-3</v>
      </c>
      <c r="G300" s="131">
        <f t="shared" si="34"/>
        <v>2E-3</v>
      </c>
      <c r="H300" s="152" t="s">
        <v>1290</v>
      </c>
      <c r="I300" s="227" t="s">
        <v>1292</v>
      </c>
      <c r="J300" s="289">
        <f>F300*'2. Emissions Units &amp; Activities'!$H$25</f>
        <v>3.3E-4</v>
      </c>
      <c r="K300" s="121">
        <f>F300*'2. Emissions Units &amp; Activities'!$I$25</f>
        <v>3.3E-4</v>
      </c>
      <c r="L300" s="114">
        <f t="shared" si="35"/>
        <v>3.3E-4</v>
      </c>
      <c r="M300" s="118">
        <f>G300*'2. Emissions Units &amp; Activities'!$K$25</f>
        <v>9.0410958904109593E-7</v>
      </c>
      <c r="N300" s="119">
        <f>G300*'2. Emissions Units &amp; Activities'!$L$25</f>
        <v>9.0410958904109593E-7</v>
      </c>
      <c r="O300" s="120">
        <f t="shared" si="36"/>
        <v>9.0410958904109593E-7</v>
      </c>
    </row>
    <row r="301" spans="1:15" x14ac:dyDescent="0.25">
      <c r="A301" s="125" t="s">
        <v>1219</v>
      </c>
      <c r="B301" s="128" t="s">
        <v>183</v>
      </c>
      <c r="C301" s="123" t="str">
        <f>IFERROR(IF(B301="No CAS","",INDEX('DEQ Pollutant List'!$B$7:$B$611,MATCH('3. Pollutant Emissions - EF'!B301,'DEQ Pollutant List'!$A$7:$A$611,0))),"")</f>
        <v>Silica, crystalline (respirable)</v>
      </c>
      <c r="D301" s="151" t="str">
        <f>IFERROR(IF(OR($B301="",$B301="No CAS"),INDEX('DEQ Pollutant List'!$A$7:$A$611,MATCH($C301,'DEQ Pollutant List'!$C$7:$C$611,0)),INDEX('DEQ Pollutant List'!$A$7:$A$611,MATCH($B301,'DEQ Pollutant List'!$B$7:$B$611,0))),"")</f>
        <v/>
      </c>
      <c r="E301" s="126">
        <v>0</v>
      </c>
      <c r="F301" s="299">
        <f>'Welding Emission Factors'!I9</f>
        <v>0.56142539999999996</v>
      </c>
      <c r="G301" s="131">
        <f t="shared" si="34"/>
        <v>0.56142539999999996</v>
      </c>
      <c r="H301" s="152" t="s">
        <v>1290</v>
      </c>
      <c r="I301" s="117" t="s">
        <v>1291</v>
      </c>
      <c r="J301" s="289">
        <f>F301*'2. Emissions Units &amp; Activities'!$H$25</f>
        <v>9.2635190999999992E-2</v>
      </c>
      <c r="K301" s="121">
        <f>F301*'2. Emissions Units &amp; Activities'!$I$25</f>
        <v>9.2635190999999992E-2</v>
      </c>
      <c r="L301" s="114">
        <f t="shared" si="35"/>
        <v>9.2635190999999992E-2</v>
      </c>
      <c r="M301" s="118">
        <f>G301*'2. Emissions Units &amp; Activities'!$K$25</f>
        <v>2.5379504383561642E-4</v>
      </c>
      <c r="N301" s="119">
        <f>G301*'2. Emissions Units &amp; Activities'!$L$25</f>
        <v>2.5379504383561642E-4</v>
      </c>
      <c r="O301" s="120">
        <f t="shared" si="36"/>
        <v>2.5379504383561642E-4</v>
      </c>
    </row>
    <row r="302" spans="1:15" x14ac:dyDescent="0.25">
      <c r="A302" s="125" t="s">
        <v>1219</v>
      </c>
      <c r="B302" s="128" t="s">
        <v>214</v>
      </c>
      <c r="C302" s="123" t="str">
        <f>IFERROR(IF(B302="No CAS","",INDEX('DEQ Pollutant List'!$B$7:$B$611,MATCH('3. Pollutant Emissions - EF'!B302,'DEQ Pollutant List'!$A$7:$A$611,0))),"")</f>
        <v>Vanadium (fume or dust)</v>
      </c>
      <c r="D302" s="151" t="str">
        <f>IFERROR(IF(OR($B302="",$B302="No CAS"),INDEX('DEQ Pollutant List'!$A$7:$A$611,MATCH($C302,'DEQ Pollutant List'!$C$7:$C$611,0)),INDEX('DEQ Pollutant List'!$A$7:$A$611,MATCH($B302,'DEQ Pollutant List'!$B$7:$B$611,0))),"")</f>
        <v/>
      </c>
      <c r="E302" s="126">
        <v>0</v>
      </c>
      <c r="F302" s="299">
        <f>'Welding Emission Factors'!J9</f>
        <v>2.6357999999999999E-2</v>
      </c>
      <c r="G302" s="131">
        <f t="shared" si="34"/>
        <v>2.6357999999999999E-2</v>
      </c>
      <c r="H302" s="152" t="s">
        <v>1290</v>
      </c>
      <c r="I302" s="227" t="s">
        <v>1292</v>
      </c>
      <c r="J302" s="289">
        <f>F302*'2. Emissions Units &amp; Activities'!$H$25</f>
        <v>4.34907E-3</v>
      </c>
      <c r="K302" s="121">
        <f>F302*'2. Emissions Units &amp; Activities'!$I$25</f>
        <v>4.34907E-3</v>
      </c>
      <c r="L302" s="114">
        <f t="shared" si="35"/>
        <v>4.34907E-3</v>
      </c>
      <c r="M302" s="118">
        <f>G302*'2. Emissions Units &amp; Activities'!$K$25</f>
        <v>1.1915260273972603E-5</v>
      </c>
      <c r="N302" s="119">
        <f>G302*'2. Emissions Units &amp; Activities'!$L$25</f>
        <v>1.1915260273972603E-5</v>
      </c>
      <c r="O302" s="120">
        <f t="shared" si="36"/>
        <v>1.1915260273972603E-5</v>
      </c>
    </row>
    <row r="303" spans="1:15" ht="15.75" thickBot="1" x14ac:dyDescent="0.3">
      <c r="A303" s="198" t="s">
        <v>1219</v>
      </c>
      <c r="B303" s="300">
        <v>239</v>
      </c>
      <c r="C303" s="225" t="str">
        <f>IFERROR(IF(B303="No CAS","",INDEX('DEQ Pollutant List'!$B$7:$B$611,MATCH('3. Pollutant Emissions - EF'!B303,'DEQ Pollutant List'!$A$7:$A$611,0))),"")</f>
        <v>Fluorides</v>
      </c>
      <c r="D303" s="230"/>
      <c r="E303" s="190">
        <v>0</v>
      </c>
      <c r="F303" s="301">
        <f>'Welding Emission Factors'!K9</f>
        <v>0.39537</v>
      </c>
      <c r="G303" s="302">
        <f t="shared" si="34"/>
        <v>0.39537</v>
      </c>
      <c r="H303" s="213" t="s">
        <v>1290</v>
      </c>
      <c r="I303" s="228" t="s">
        <v>1291</v>
      </c>
      <c r="J303" s="290">
        <f>F303*'2. Emissions Units &amp; Activities'!$H$25</f>
        <v>6.5236050000000004E-2</v>
      </c>
      <c r="K303" s="233">
        <f>F303*'2. Emissions Units &amp; Activities'!$I$25</f>
        <v>6.5236050000000004E-2</v>
      </c>
      <c r="L303" s="234">
        <f t="shared" si="35"/>
        <v>6.5236050000000004E-2</v>
      </c>
      <c r="M303" s="232">
        <f>G303*'2. Emissions Units &amp; Activities'!$K$25</f>
        <v>1.7872890410958905E-4</v>
      </c>
      <c r="N303" s="235">
        <f>G303*'2. Emissions Units &amp; Activities'!$L$25</f>
        <v>1.7872890410958905E-4</v>
      </c>
      <c r="O303" s="236">
        <f t="shared" si="36"/>
        <v>1.7872890410958905E-4</v>
      </c>
    </row>
    <row r="304" spans="1:15" x14ac:dyDescent="0.25">
      <c r="A304" s="134" t="s">
        <v>1228</v>
      </c>
      <c r="B304" s="135" t="s">
        <v>181</v>
      </c>
      <c r="C304" s="136" t="str">
        <f>IFERROR(IF(B304="No CAS","",INDEX('DEQ Pollutant List'!$B$7:$B$611,MATCH('3. Pollutant Emissions - EF'!B304,'DEQ Pollutant List'!$A$7:$A$611,0))),"")</f>
        <v>Manganese and compounds</v>
      </c>
      <c r="D304" s="151" t="str">
        <f>IFERROR(IF(OR($B304="",$B304="No CAS"),INDEX('DEQ Pollutant List'!$A$7:$A$611,MATCH($C304,'DEQ Pollutant List'!$C$7:$C$611,0)),INDEX('DEQ Pollutant List'!$A$7:$A$611,MATCH($B304,'DEQ Pollutant List'!$B$7:$B$611,0))),"")</f>
        <v/>
      </c>
      <c r="E304" s="126">
        <v>0</v>
      </c>
      <c r="F304" s="130">
        <f>'Welding Emission Factors'!G11</f>
        <v>1.1459999999999999E-4</v>
      </c>
      <c r="G304" s="133">
        <f t="shared" ref="G304:G307" si="37">F304</f>
        <v>1.1459999999999999E-4</v>
      </c>
      <c r="H304" s="122" t="s">
        <v>1290</v>
      </c>
      <c r="I304" s="124" t="s">
        <v>1291</v>
      </c>
      <c r="J304" s="118">
        <f>F304*'2. Emissions Units &amp; Activities'!$H$28</f>
        <v>2.2920000000000001E-5</v>
      </c>
      <c r="K304" s="121">
        <f>F304*'2. Emissions Units &amp; Activities'!$I$28</f>
        <v>2.2920000000000001E-5</v>
      </c>
      <c r="L304" s="114">
        <f t="shared" si="31"/>
        <v>2.2920000000000001E-5</v>
      </c>
      <c r="M304" s="118">
        <f>G304*'2. Emissions Units &amp; Activities'!$K$28</f>
        <v>6.279452054794521E-8</v>
      </c>
      <c r="N304" s="119">
        <f>G304*'2. Emissions Units &amp; Activities'!$L$28</f>
        <v>6.279452054794521E-8</v>
      </c>
      <c r="O304" s="120">
        <f t="shared" ref="O304" si="38">M304</f>
        <v>6.279452054794521E-8</v>
      </c>
    </row>
    <row r="305" spans="1:15" x14ac:dyDescent="0.25">
      <c r="A305" s="134" t="s">
        <v>1228</v>
      </c>
      <c r="B305" s="135" t="s">
        <v>212</v>
      </c>
      <c r="C305" s="136" t="str">
        <f>IFERROR(IF(B305="No CAS","",INDEX('DEQ Pollutant List'!$B$7:$B$611,MATCH('3. Pollutant Emissions - EF'!B305,'DEQ Pollutant List'!$A$7:$A$611,0))),"")</f>
        <v>Nickel and compounds</v>
      </c>
      <c r="D305" s="151" t="str">
        <f>IFERROR(IF(OR($B305="",$B305="No CAS"),INDEX('DEQ Pollutant List'!$A$7:$A$611,MATCH($C305,'DEQ Pollutant List'!$C$7:$C$611,0)),INDEX('DEQ Pollutant List'!$A$7:$A$611,MATCH($B305,'DEQ Pollutant List'!$B$7:$B$611,0))),"")</f>
        <v/>
      </c>
      <c r="E305" s="126">
        <v>0</v>
      </c>
      <c r="F305" s="130">
        <f>'Welding Emission Factors'!H11</f>
        <v>8.5949999999999989E-5</v>
      </c>
      <c r="G305" s="131">
        <f t="shared" si="37"/>
        <v>8.5949999999999989E-5</v>
      </c>
      <c r="H305" s="122" t="s">
        <v>1290</v>
      </c>
      <c r="I305" s="124" t="s">
        <v>1291</v>
      </c>
      <c r="J305" s="118">
        <f>F305*'2. Emissions Units &amp; Activities'!$H$28</f>
        <v>1.719E-5</v>
      </c>
      <c r="K305" s="121">
        <f>F305*'2. Emissions Units &amp; Activities'!$I$28</f>
        <v>1.719E-5</v>
      </c>
      <c r="L305" s="114">
        <f t="shared" si="31"/>
        <v>1.719E-5</v>
      </c>
      <c r="M305" s="118">
        <f>G305*'2. Emissions Units &amp; Activities'!$K$28</f>
        <v>4.7095890410958904E-8</v>
      </c>
      <c r="N305" s="119">
        <f>G305*'2. Emissions Units &amp; Activities'!$L$28</f>
        <v>4.7095890410958904E-8</v>
      </c>
      <c r="O305" s="120">
        <f t="shared" ref="O305:O307" si="39">M305</f>
        <v>4.7095890410958904E-8</v>
      </c>
    </row>
    <row r="306" spans="1:15" x14ac:dyDescent="0.25">
      <c r="A306" s="134" t="s">
        <v>1228</v>
      </c>
      <c r="B306" s="135" t="s">
        <v>183</v>
      </c>
      <c r="C306" s="136" t="str">
        <f>IFERROR(IF(B306="No CAS","",INDEX('DEQ Pollutant List'!$B$7:$B$611,MATCH('3. Pollutant Emissions - EF'!B306,'DEQ Pollutant List'!$A$7:$A$611,0))),"")</f>
        <v>Silica, crystalline (respirable)</v>
      </c>
      <c r="D306" s="151" t="str">
        <f>IFERROR(IF(OR($B306="",$B306="No CAS"),INDEX('DEQ Pollutant List'!$A$7:$A$611,MATCH($C306,'DEQ Pollutant List'!$C$7:$C$611,0)),INDEX('DEQ Pollutant List'!$A$7:$A$611,MATCH($B306,'DEQ Pollutant List'!$B$7:$B$611,0))),"")</f>
        <v/>
      </c>
      <c r="E306" s="126">
        <v>0</v>
      </c>
      <c r="F306" s="130">
        <f>'Welding Emission Factors'!I11</f>
        <v>1.4325000000000001E-4</v>
      </c>
      <c r="G306" s="131">
        <f t="shared" si="37"/>
        <v>1.4325000000000001E-4</v>
      </c>
      <c r="H306" s="122" t="s">
        <v>1290</v>
      </c>
      <c r="I306" s="124" t="s">
        <v>1291</v>
      </c>
      <c r="J306" s="118">
        <f>F306*'2. Emissions Units &amp; Activities'!$H$28</f>
        <v>2.8650000000000005E-5</v>
      </c>
      <c r="K306" s="121">
        <f>F306*'2. Emissions Units &amp; Activities'!$I$28</f>
        <v>2.8650000000000005E-5</v>
      </c>
      <c r="L306" s="114">
        <f t="shared" si="31"/>
        <v>2.8650000000000005E-5</v>
      </c>
      <c r="M306" s="118">
        <f>G306*'2. Emissions Units &amp; Activities'!$K$28</f>
        <v>7.8493150684931529E-8</v>
      </c>
      <c r="N306" s="119">
        <f>G306*'2. Emissions Units &amp; Activities'!$L$28</f>
        <v>7.8493150684931529E-8</v>
      </c>
      <c r="O306" s="120">
        <f t="shared" si="39"/>
        <v>7.8493150684931529E-8</v>
      </c>
    </row>
    <row r="307" spans="1:15" x14ac:dyDescent="0.25">
      <c r="A307" s="134" t="s">
        <v>1228</v>
      </c>
      <c r="B307" s="135" t="s">
        <v>214</v>
      </c>
      <c r="C307" s="136" t="str">
        <f>IFERROR(IF(B307="No CAS","",INDEX('DEQ Pollutant List'!$B$7:$B$611,MATCH('3. Pollutant Emissions - EF'!B307,'DEQ Pollutant List'!$A$7:$A$611,0))),"")</f>
        <v>Vanadium (fume or dust)</v>
      </c>
      <c r="D307" s="151" t="str">
        <f>IFERROR(IF(OR($B307="",$B307="No CAS"),INDEX('DEQ Pollutant List'!$A$7:$A$611,MATCH($C307,'DEQ Pollutant List'!$C$7:$C$611,0)),INDEX('DEQ Pollutant List'!$A$7:$A$611,MATCH($B307,'DEQ Pollutant List'!$B$7:$B$611,0))),"")</f>
        <v/>
      </c>
      <c r="E307" s="126">
        <v>0</v>
      </c>
      <c r="F307" s="130">
        <f>'Welding Emission Factors'!J11</f>
        <v>2.0055000000000002E-4</v>
      </c>
      <c r="G307" s="131">
        <f t="shared" si="37"/>
        <v>2.0055000000000002E-4</v>
      </c>
      <c r="H307" s="122" t="s">
        <v>1290</v>
      </c>
      <c r="I307" s="124" t="s">
        <v>1291</v>
      </c>
      <c r="J307" s="118">
        <f>F307*'2. Emissions Units &amp; Activities'!$H$28</f>
        <v>4.0110000000000007E-5</v>
      </c>
      <c r="K307" s="121">
        <f>F307*'2. Emissions Units &amp; Activities'!$I$28</f>
        <v>4.0110000000000007E-5</v>
      </c>
      <c r="L307" s="114">
        <f t="shared" si="31"/>
        <v>4.0110000000000007E-5</v>
      </c>
      <c r="M307" s="118">
        <f>G307*'2. Emissions Units &amp; Activities'!$K$28</f>
        <v>1.0989041095890414E-7</v>
      </c>
      <c r="N307" s="119">
        <f>G307*'2. Emissions Units &amp; Activities'!$L$28</f>
        <v>1.0989041095890414E-7</v>
      </c>
      <c r="O307" s="120">
        <f t="shared" si="39"/>
        <v>1.0989041095890414E-7</v>
      </c>
    </row>
    <row r="308" spans="1:15" ht="15.75" thickBot="1" x14ac:dyDescent="0.3">
      <c r="A308" s="188" t="s">
        <v>1228</v>
      </c>
      <c r="B308" s="229">
        <v>239</v>
      </c>
      <c r="C308" s="225" t="str">
        <f>IFERROR(IF(B308="No CAS","",INDEX('DEQ Pollutant List'!$B$7:$B$611,MATCH('3. Pollutant Emissions - EF'!B308,'DEQ Pollutant List'!$A$7:$A$611,0))),"")</f>
        <v>Fluorides</v>
      </c>
      <c r="D308" s="230" t="str">
        <f>IFERROR(IF(OR($B308="",$B308="No CAS"),INDEX('DEQ Pollutant List'!$A$7:$A$611,MATCH($C308,'DEQ Pollutant List'!$C$7:$C$611,0)),INDEX('DEQ Pollutant List'!$A$7:$A$611,MATCH($B308,'DEQ Pollutant List'!$B$7:$B$611,0))),"")</f>
        <v/>
      </c>
      <c r="E308" s="190">
        <v>0</v>
      </c>
      <c r="F308" s="231">
        <f>'Welding Emission Factors'!K11</f>
        <v>8.5949999999999989E-5</v>
      </c>
      <c r="G308" s="199">
        <f>F308</f>
        <v>8.5949999999999989E-5</v>
      </c>
      <c r="H308" s="226" t="s">
        <v>1290</v>
      </c>
      <c r="I308" s="222" t="s">
        <v>1291</v>
      </c>
      <c r="J308" s="232">
        <f>F308*'2. Emissions Units &amp; Activities'!$H$28</f>
        <v>1.719E-5</v>
      </c>
      <c r="K308" s="233">
        <f>F308*'2. Emissions Units &amp; Activities'!$I$28</f>
        <v>1.719E-5</v>
      </c>
      <c r="L308" s="234">
        <f t="shared" si="31"/>
        <v>1.719E-5</v>
      </c>
      <c r="M308" s="232">
        <f>G308*'2. Emissions Units &amp; Activities'!$K$28</f>
        <v>4.7095890410958904E-8</v>
      </c>
      <c r="N308" s="235">
        <f>G308*'2. Emissions Units &amp; Activities'!$L$28</f>
        <v>4.7095890410958904E-8</v>
      </c>
      <c r="O308" s="236">
        <f>M308</f>
        <v>4.7095890410958904E-8</v>
      </c>
    </row>
    <row r="309" spans="1:15" ht="15.75" thickBot="1" x14ac:dyDescent="0.3">
      <c r="A309" s="134" t="s">
        <v>1224</v>
      </c>
      <c r="B309" s="237" t="s">
        <v>155</v>
      </c>
      <c r="C309" s="136" t="s">
        <v>155</v>
      </c>
      <c r="D309" s="151" t="s">
        <v>155</v>
      </c>
      <c r="E309" s="126" t="s">
        <v>155</v>
      </c>
      <c r="F309" s="303" t="s">
        <v>155</v>
      </c>
      <c r="G309" s="129" t="s">
        <v>155</v>
      </c>
      <c r="H309" s="122" t="s">
        <v>155</v>
      </c>
      <c r="I309" s="124" t="s">
        <v>1293</v>
      </c>
      <c r="J309" s="116" t="s">
        <v>155</v>
      </c>
      <c r="K309" s="291" t="s">
        <v>155</v>
      </c>
      <c r="L309" s="263" t="s">
        <v>155</v>
      </c>
      <c r="M309" s="116" t="s">
        <v>155</v>
      </c>
      <c r="N309" s="291" t="s">
        <v>155</v>
      </c>
      <c r="O309" s="263" t="s">
        <v>155</v>
      </c>
    </row>
    <row r="310" spans="1:15" ht="15.75" thickBot="1" x14ac:dyDescent="0.3">
      <c r="A310" s="239" t="s">
        <v>1226</v>
      </c>
      <c r="B310" s="304" t="s">
        <v>155</v>
      </c>
      <c r="C310" s="240" t="s">
        <v>155</v>
      </c>
      <c r="D310" s="241" t="s">
        <v>155</v>
      </c>
      <c r="E310" s="242" t="s">
        <v>155</v>
      </c>
      <c r="F310" s="243" t="s">
        <v>155</v>
      </c>
      <c r="G310" s="244" t="s">
        <v>155</v>
      </c>
      <c r="H310" s="305" t="s">
        <v>155</v>
      </c>
      <c r="I310" s="245" t="s">
        <v>1293</v>
      </c>
      <c r="J310" s="292" t="s">
        <v>155</v>
      </c>
      <c r="K310" s="293" t="s">
        <v>155</v>
      </c>
      <c r="L310" s="294" t="s">
        <v>155</v>
      </c>
      <c r="M310" s="292" t="s">
        <v>155</v>
      </c>
      <c r="N310" s="293" t="s">
        <v>155</v>
      </c>
      <c r="O310" s="294" t="s">
        <v>155</v>
      </c>
    </row>
    <row r="311" spans="1:15" x14ac:dyDescent="0.25">
      <c r="A311" s="134" t="s">
        <v>1233</v>
      </c>
      <c r="B311" s="271" t="s">
        <v>305</v>
      </c>
      <c r="C311" s="221" t="str">
        <f>IFERROR(IF(B311="No CAS","",INDEX('DEQ Pollutant List'!$B$7:$B$611,MATCH('3. Pollutant Emissions - EF'!B311,'DEQ Pollutant List'!$A$7:$A$611,0))),"")</f>
        <v>Silver and compounds</v>
      </c>
      <c r="D311" s="151" t="str">
        <f>IFERROR(IF(OR($B311="",$B311="No CAS"),INDEX('DEQ Pollutant List'!$A$7:$A$611,MATCH($C311,'DEQ Pollutant List'!$C$7:$C$611,0)),INDEX('DEQ Pollutant List'!$A$7:$A$611,MATCH($B311,'DEQ Pollutant List'!$B$7:$B$611,0))),"")</f>
        <v/>
      </c>
      <c r="E311" s="126">
        <v>0</v>
      </c>
      <c r="F311" s="273">
        <f>Crusher!E16</f>
        <v>3E-11</v>
      </c>
      <c r="G311" s="129">
        <f>Crusher!G16</f>
        <v>3E-11</v>
      </c>
      <c r="H311" s="115" t="s">
        <v>492</v>
      </c>
      <c r="I311" s="117" t="s">
        <v>493</v>
      </c>
      <c r="J311" s="116">
        <f>F311*'2. Emissions Units &amp; Activities'!$H$35</f>
        <v>3.3296700000000001E-6</v>
      </c>
      <c r="K311" s="291">
        <f>F311*'2. Emissions Units &amp; Activities'!$I$35</f>
        <v>7.8839999999999994E-6</v>
      </c>
      <c r="L311" s="263">
        <f t="shared" ref="L311:L358" si="40">K311</f>
        <v>7.8839999999999994E-6</v>
      </c>
      <c r="M311" s="116">
        <f>G311*'2. Emissions Units &amp; Activities'!$K$35</f>
        <v>2.4E-8</v>
      </c>
      <c r="N311" s="291">
        <f>G311*'2. Emissions Units &amp; Activities'!$L$35</f>
        <v>2.4E-8</v>
      </c>
      <c r="O311" s="263">
        <f t="shared" ref="O311:O358" si="41">N311</f>
        <v>2.4E-8</v>
      </c>
    </row>
    <row r="312" spans="1:15" x14ac:dyDescent="0.25">
      <c r="A312" s="134" t="s">
        <v>1233</v>
      </c>
      <c r="B312" s="274" t="s">
        <v>190</v>
      </c>
      <c r="C312" s="124" t="str">
        <f>IFERROR(IF(B312="No CAS","",INDEX('DEQ Pollutant List'!$B$7:$B$611,MATCH('3. Pollutant Emissions - EF'!B312,'DEQ Pollutant List'!$A$7:$A$611,0))),"")</f>
        <v>Aluminum and compounds</v>
      </c>
      <c r="D312" s="151" t="str">
        <f>IFERROR(IF(OR($B312="",$B312="No CAS"),INDEX('DEQ Pollutant List'!$A$7:$A$611,MATCH($C312,'DEQ Pollutant List'!$C$7:$C$611,0)),INDEX('DEQ Pollutant List'!$A$7:$A$611,MATCH($B312,'DEQ Pollutant List'!$B$7:$B$611,0))),"")</f>
        <v/>
      </c>
      <c r="E312" s="126">
        <v>0</v>
      </c>
      <c r="F312" s="273">
        <f>Crusher!E17</f>
        <v>7.6469999999999978E-5</v>
      </c>
      <c r="G312" s="129">
        <f>Crusher!G17</f>
        <v>7.6469999999999978E-5</v>
      </c>
      <c r="H312" s="115" t="s">
        <v>492</v>
      </c>
      <c r="I312" s="117" t="s">
        <v>493</v>
      </c>
      <c r="J312" s="116">
        <f>F312*'2. Emissions Units &amp; Activities'!$H$35</f>
        <v>8.4873288299999974</v>
      </c>
      <c r="K312" s="291">
        <f>F312*'2. Emissions Units &amp; Activities'!$I$35</f>
        <v>20.096315999999995</v>
      </c>
      <c r="L312" s="263">
        <f t="shared" si="40"/>
        <v>20.096315999999995</v>
      </c>
      <c r="M312" s="116">
        <f>G312*'2. Emissions Units &amp; Activities'!$K$35</f>
        <v>6.117599999999998E-2</v>
      </c>
      <c r="N312" s="291">
        <f>G312*'2. Emissions Units &amp; Activities'!$L$35</f>
        <v>6.117599999999998E-2</v>
      </c>
      <c r="O312" s="263">
        <f t="shared" si="41"/>
        <v>6.117599999999998E-2</v>
      </c>
    </row>
    <row r="313" spans="1:15" x14ac:dyDescent="0.25">
      <c r="A313" s="134" t="s">
        <v>1233</v>
      </c>
      <c r="B313" s="274" t="s">
        <v>306</v>
      </c>
      <c r="C313" s="124" t="str">
        <f>IFERROR(IF(B313="No CAS","",INDEX('DEQ Pollutant List'!$B$7:$B$611,MATCH('3. Pollutant Emissions - EF'!B313,'DEQ Pollutant List'!$A$7:$A$611,0))),"")</f>
        <v>Arsenic and compounds</v>
      </c>
      <c r="D313" s="151" t="str">
        <f>IFERROR(IF(OR($B313="",$B313="No CAS"),INDEX('DEQ Pollutant List'!$A$7:$A$611,MATCH($C313,'DEQ Pollutant List'!$C$7:$C$611,0)),INDEX('DEQ Pollutant List'!$A$7:$A$611,MATCH($B313,'DEQ Pollutant List'!$B$7:$B$611,0))),"")</f>
        <v/>
      </c>
      <c r="E313" s="126">
        <v>0</v>
      </c>
      <c r="F313" s="273">
        <f>Crusher!E18</f>
        <v>3.1200000000000004E-9</v>
      </c>
      <c r="G313" s="129">
        <f>Crusher!G18</f>
        <v>3.1200000000000004E-9</v>
      </c>
      <c r="H313" s="115" t="s">
        <v>492</v>
      </c>
      <c r="I313" s="117" t="s">
        <v>493</v>
      </c>
      <c r="J313" s="116">
        <f>F313*'2. Emissions Units &amp; Activities'!$H$35</f>
        <v>3.4628568000000004E-4</v>
      </c>
      <c r="K313" s="291">
        <f>F313*'2. Emissions Units &amp; Activities'!$I$35</f>
        <v>8.1993600000000006E-4</v>
      </c>
      <c r="L313" s="263">
        <f t="shared" si="40"/>
        <v>8.1993600000000006E-4</v>
      </c>
      <c r="M313" s="116">
        <f>G313*'2. Emissions Units &amp; Activities'!$K$35</f>
        <v>2.4960000000000003E-6</v>
      </c>
      <c r="N313" s="291">
        <f>G313*'2. Emissions Units &amp; Activities'!$L$35</f>
        <v>2.4960000000000003E-6</v>
      </c>
      <c r="O313" s="263">
        <f t="shared" si="41"/>
        <v>2.4960000000000003E-6</v>
      </c>
    </row>
    <row r="314" spans="1:15" x14ac:dyDescent="0.25">
      <c r="A314" s="134" t="s">
        <v>1233</v>
      </c>
      <c r="B314" s="274" t="s">
        <v>142</v>
      </c>
      <c r="C314" s="124" t="str">
        <f>IFERROR(IF(B314="No CAS","",INDEX('DEQ Pollutant List'!$B$7:$B$611,MATCH('3. Pollutant Emissions - EF'!B314,'DEQ Pollutant List'!$A$7:$A$611,0))),"")</f>
        <v>Barium and compounds</v>
      </c>
      <c r="D314" s="151" t="str">
        <f>IFERROR(IF(OR($B314="",$B314="No CAS"),INDEX('DEQ Pollutant List'!$A$7:$A$611,MATCH($C314,'DEQ Pollutant List'!$C$7:$C$611,0)),INDEX('DEQ Pollutant List'!$A$7:$A$611,MATCH($B314,'DEQ Pollutant List'!$B$7:$B$611,0))),"")</f>
        <v/>
      </c>
      <c r="E314" s="126">
        <v>0</v>
      </c>
      <c r="F314" s="273">
        <f>Crusher!E19</f>
        <v>3.3599999999999999E-7</v>
      </c>
      <c r="G314" s="129">
        <f>Crusher!G19</f>
        <v>3.3599999999999999E-7</v>
      </c>
      <c r="H314" s="115" t="s">
        <v>492</v>
      </c>
      <c r="I314" s="117" t="s">
        <v>493</v>
      </c>
      <c r="J314" s="116">
        <f>F314*'2. Emissions Units &amp; Activities'!$H$35</f>
        <v>3.7292303999999998E-2</v>
      </c>
      <c r="K314" s="291">
        <f>F314*'2. Emissions Units &amp; Activities'!$I$35</f>
        <v>8.8300799999999999E-2</v>
      </c>
      <c r="L314" s="263">
        <f t="shared" si="40"/>
        <v>8.8300799999999999E-2</v>
      </c>
      <c r="M314" s="116">
        <f>G314*'2. Emissions Units &amp; Activities'!$K$35</f>
        <v>2.6879999999999997E-4</v>
      </c>
      <c r="N314" s="291">
        <f>G314*'2. Emissions Units &amp; Activities'!$L$35</f>
        <v>2.6879999999999997E-4</v>
      </c>
      <c r="O314" s="263">
        <f t="shared" si="41"/>
        <v>2.6879999999999997E-4</v>
      </c>
    </row>
    <row r="315" spans="1:15" x14ac:dyDescent="0.25">
      <c r="A315" s="134" t="s">
        <v>1233</v>
      </c>
      <c r="B315" s="274" t="s">
        <v>307</v>
      </c>
      <c r="C315" s="124" t="str">
        <f>IFERROR(IF(B315="No CAS","",INDEX('DEQ Pollutant List'!$B$7:$B$611,MATCH('3. Pollutant Emissions - EF'!B315,'DEQ Pollutant List'!$A$7:$A$611,0))),"")</f>
        <v>Beryllium and compounds</v>
      </c>
      <c r="D315" s="151" t="str">
        <f>IFERROR(IF(OR($B315="",$B315="No CAS"),INDEX('DEQ Pollutant List'!$A$7:$A$611,MATCH($C315,'DEQ Pollutant List'!$C$7:$C$611,0)),INDEX('DEQ Pollutant List'!$A$7:$A$611,MATCH($B315,'DEQ Pollutant List'!$B$7:$B$611,0))),"")</f>
        <v/>
      </c>
      <c r="E315" s="126">
        <v>0</v>
      </c>
      <c r="F315" s="273">
        <f>Crusher!E20</f>
        <v>3.6719999999999997E-9</v>
      </c>
      <c r="G315" s="129">
        <f>Crusher!G20</f>
        <v>3.6719999999999997E-9</v>
      </c>
      <c r="H315" s="115" t="s">
        <v>492</v>
      </c>
      <c r="I315" s="117" t="s">
        <v>493</v>
      </c>
      <c r="J315" s="116">
        <f>F315*'2. Emissions Units &amp; Activities'!$H$35</f>
        <v>4.0755160799999998E-4</v>
      </c>
      <c r="K315" s="291">
        <f>F315*'2. Emissions Units &amp; Activities'!$I$35</f>
        <v>9.6500159999999993E-4</v>
      </c>
      <c r="L315" s="263">
        <f t="shared" si="40"/>
        <v>9.6500159999999993E-4</v>
      </c>
      <c r="M315" s="116">
        <f>G315*'2. Emissions Units &amp; Activities'!$K$35</f>
        <v>2.9375999999999996E-6</v>
      </c>
      <c r="N315" s="291">
        <f>G315*'2. Emissions Units &amp; Activities'!$L$35</f>
        <v>2.9375999999999996E-6</v>
      </c>
      <c r="O315" s="263">
        <f t="shared" si="41"/>
        <v>2.9375999999999996E-6</v>
      </c>
    </row>
    <row r="316" spans="1:15" x14ac:dyDescent="0.25">
      <c r="A316" s="134" t="s">
        <v>1233</v>
      </c>
      <c r="B316" s="274" t="s">
        <v>308</v>
      </c>
      <c r="C316" s="124" t="str">
        <f>IFERROR(IF(B316="No CAS","",INDEX('DEQ Pollutant List'!$B$7:$B$611,MATCH('3. Pollutant Emissions - EF'!B316,'DEQ Pollutant List'!$A$7:$A$611,0))),"")</f>
        <v>Cadmium and compounds</v>
      </c>
      <c r="D316" s="151" t="str">
        <f>IFERROR(IF(OR($B316="",$B316="No CAS"),INDEX('DEQ Pollutant List'!$A$7:$A$611,MATCH($C316,'DEQ Pollutant List'!$C$7:$C$611,0)),INDEX('DEQ Pollutant List'!$A$7:$A$611,MATCH($B316,'DEQ Pollutant List'!$B$7:$B$611,0))),"")</f>
        <v/>
      </c>
      <c r="E316" s="126">
        <v>0</v>
      </c>
      <c r="F316" s="273">
        <f>Crusher!E21</f>
        <v>9.5999999999999992E-11</v>
      </c>
      <c r="G316" s="129">
        <f>Crusher!G21</f>
        <v>9.5999999999999992E-11</v>
      </c>
      <c r="H316" s="115" t="s">
        <v>492</v>
      </c>
      <c r="I316" s="117" t="s">
        <v>493</v>
      </c>
      <c r="J316" s="116">
        <f>F316*'2. Emissions Units &amp; Activities'!$H$35</f>
        <v>1.0654943999999999E-5</v>
      </c>
      <c r="K316" s="291">
        <f>F316*'2. Emissions Units &amp; Activities'!$I$35</f>
        <v>2.5228799999999998E-5</v>
      </c>
      <c r="L316" s="263">
        <f t="shared" si="40"/>
        <v>2.5228799999999998E-5</v>
      </c>
      <c r="M316" s="116">
        <f>G316*'2. Emissions Units &amp; Activities'!$K$35</f>
        <v>7.6799999999999999E-8</v>
      </c>
      <c r="N316" s="291">
        <f>G316*'2. Emissions Units &amp; Activities'!$L$35</f>
        <v>7.6799999999999999E-8</v>
      </c>
      <c r="O316" s="263">
        <f t="shared" si="41"/>
        <v>7.6799999999999999E-8</v>
      </c>
    </row>
    <row r="317" spans="1:15" x14ac:dyDescent="0.25">
      <c r="A317" s="134" t="s">
        <v>1233</v>
      </c>
      <c r="B317" s="274" t="s">
        <v>147</v>
      </c>
      <c r="C317" s="124" t="str">
        <f>IFERROR(IF(B317="No CAS","",INDEX('DEQ Pollutant List'!$B$7:$B$611,MATCH('3. Pollutant Emissions - EF'!B317,'DEQ Pollutant List'!$A$7:$A$611,0))),"")</f>
        <v>Cobalt and compounds</v>
      </c>
      <c r="D317" s="151" t="str">
        <f>IFERROR(IF(OR($B317="",$B317="No CAS"),INDEX('DEQ Pollutant List'!$A$7:$A$611,MATCH($C317,'DEQ Pollutant List'!$C$7:$C$611,0)),INDEX('DEQ Pollutant List'!$A$7:$A$611,MATCH($B317,'DEQ Pollutant List'!$B$7:$B$611,0))),"")</f>
        <v/>
      </c>
      <c r="E317" s="126">
        <v>0</v>
      </c>
      <c r="F317" s="273">
        <f>Crusher!E22</f>
        <v>1.2E-10</v>
      </c>
      <c r="G317" s="129">
        <f>Crusher!G22</f>
        <v>1.2E-10</v>
      </c>
      <c r="H317" s="115" t="s">
        <v>492</v>
      </c>
      <c r="I317" s="117" t="s">
        <v>493</v>
      </c>
      <c r="J317" s="116">
        <f>F317*'2. Emissions Units &amp; Activities'!$H$35</f>
        <v>1.331868E-5</v>
      </c>
      <c r="K317" s="291">
        <f>F317*'2. Emissions Units &amp; Activities'!$I$35</f>
        <v>3.1535999999999998E-5</v>
      </c>
      <c r="L317" s="263">
        <f t="shared" si="40"/>
        <v>3.1535999999999998E-5</v>
      </c>
      <c r="M317" s="116">
        <f>G317*'2. Emissions Units &amp; Activities'!$K$35</f>
        <v>9.5999999999999999E-8</v>
      </c>
      <c r="N317" s="291">
        <f>G317*'2. Emissions Units &amp; Activities'!$L$35</f>
        <v>9.5999999999999999E-8</v>
      </c>
      <c r="O317" s="263">
        <f t="shared" si="41"/>
        <v>9.5999999999999999E-8</v>
      </c>
    </row>
    <row r="318" spans="1:15" x14ac:dyDescent="0.25">
      <c r="A318" s="134" t="s">
        <v>1233</v>
      </c>
      <c r="B318" s="274" t="s">
        <v>205</v>
      </c>
      <c r="C318" s="124" t="str">
        <f>IFERROR(IF(B318="No CAS","",INDEX('DEQ Pollutant List'!$B$7:$B$611,MATCH('3. Pollutant Emissions - EF'!B318,'DEQ Pollutant List'!$A$7:$A$611,0))),"")</f>
        <v>Copper and compounds</v>
      </c>
      <c r="D318" s="151" t="str">
        <f>IFERROR(IF(OR($B318="",$B318="No CAS"),INDEX('DEQ Pollutant List'!$A$7:$A$611,MATCH($C318,'DEQ Pollutant List'!$C$7:$C$611,0)),INDEX('DEQ Pollutant List'!$A$7:$A$611,MATCH($B318,'DEQ Pollutant List'!$B$7:$B$611,0))),"")</f>
        <v/>
      </c>
      <c r="E318" s="126">
        <v>0</v>
      </c>
      <c r="F318" s="273">
        <f>Crusher!E23</f>
        <v>6.2400000000000008E-9</v>
      </c>
      <c r="G318" s="129">
        <f>Crusher!G23</f>
        <v>6.2400000000000008E-9</v>
      </c>
      <c r="H318" s="115" t="s">
        <v>492</v>
      </c>
      <c r="I318" s="117" t="s">
        <v>493</v>
      </c>
      <c r="J318" s="116">
        <f>F318*'2. Emissions Units &amp; Activities'!$H$35</f>
        <v>6.9257136000000009E-4</v>
      </c>
      <c r="K318" s="291">
        <f>F318*'2. Emissions Units &amp; Activities'!$I$35</f>
        <v>1.6398720000000001E-3</v>
      </c>
      <c r="L318" s="263">
        <f t="shared" si="40"/>
        <v>1.6398720000000001E-3</v>
      </c>
      <c r="M318" s="116">
        <f>G318*'2. Emissions Units &amp; Activities'!$K$35</f>
        <v>4.9920000000000007E-6</v>
      </c>
      <c r="N318" s="291">
        <f>G318*'2. Emissions Units &amp; Activities'!$L$35</f>
        <v>4.9920000000000007E-6</v>
      </c>
      <c r="O318" s="263">
        <f t="shared" si="41"/>
        <v>4.9920000000000007E-6</v>
      </c>
    </row>
    <row r="319" spans="1:15" x14ac:dyDescent="0.25">
      <c r="A319" s="134" t="s">
        <v>1233</v>
      </c>
      <c r="B319" s="274" t="s">
        <v>55</v>
      </c>
      <c r="C319" s="124" t="str">
        <f>IFERROR(IF(B319="No CAS","",INDEX('DEQ Pollutant List'!$B$7:$B$611,MATCH('3. Pollutant Emissions - EF'!B319,'DEQ Pollutant List'!$A$7:$A$611,0))),"")</f>
        <v>Chromium VI, chromate and dichromate particulate</v>
      </c>
      <c r="D319" s="151" t="str">
        <f>IFERROR(IF(OR($B319="",$B319="No CAS"),INDEX('DEQ Pollutant List'!$A$7:$A$611,MATCH($C319,'DEQ Pollutant List'!$C$7:$C$611,0)),INDEX('DEQ Pollutant List'!$A$7:$A$611,MATCH($B319,'DEQ Pollutant List'!$B$7:$B$611,0))),"")</f>
        <v/>
      </c>
      <c r="E319" s="126">
        <v>0</v>
      </c>
      <c r="F319" s="273">
        <f>Crusher!E24</f>
        <v>9.5592000000000007E-9</v>
      </c>
      <c r="G319" s="129">
        <f>Crusher!G24</f>
        <v>9.5592000000000007E-9</v>
      </c>
      <c r="H319" s="115" t="s">
        <v>492</v>
      </c>
      <c r="I319" s="117" t="s">
        <v>493</v>
      </c>
      <c r="J319" s="116">
        <f>F319*'2. Emissions Units &amp; Activities'!$H$35</f>
        <v>1.0609660488000001E-3</v>
      </c>
      <c r="K319" s="291">
        <f>F319*'2. Emissions Units &amp; Activities'!$I$35</f>
        <v>2.5121577600000001E-3</v>
      </c>
      <c r="L319" s="263">
        <f t="shared" si="40"/>
        <v>2.5121577600000001E-3</v>
      </c>
      <c r="M319" s="116">
        <f>G319*'2. Emissions Units &amp; Activities'!$K$35</f>
        <v>7.6473600000000013E-6</v>
      </c>
      <c r="N319" s="291">
        <f>G319*'2. Emissions Units &amp; Activities'!$L$35</f>
        <v>7.6473600000000013E-6</v>
      </c>
      <c r="O319" s="263">
        <f t="shared" si="41"/>
        <v>7.6473600000000013E-6</v>
      </c>
    </row>
    <row r="320" spans="1:15" x14ac:dyDescent="0.25">
      <c r="A320" s="134" t="s">
        <v>1233</v>
      </c>
      <c r="B320" s="274" t="s">
        <v>309</v>
      </c>
      <c r="C320" s="124" t="str">
        <f>IFERROR(IF(B320="No CAS","",INDEX('DEQ Pollutant List'!$B$7:$B$611,MATCH('3. Pollutant Emissions - EF'!B320,'DEQ Pollutant List'!$A$7:$A$611,0))),"")</f>
        <v>Mercury and compounds</v>
      </c>
      <c r="D320" s="151" t="str">
        <f>IFERROR(IF(OR($B320="",$B320="No CAS"),INDEX('DEQ Pollutant List'!$A$7:$A$611,MATCH($C320,'DEQ Pollutant List'!$C$7:$C$611,0)),INDEX('DEQ Pollutant List'!$A$7:$A$611,MATCH($B320,'DEQ Pollutant List'!$B$7:$B$611,0))),"")</f>
        <v/>
      </c>
      <c r="E320" s="126">
        <v>0</v>
      </c>
      <c r="F320" s="273">
        <f>Crusher!E25</f>
        <v>2.3999999999999998E-11</v>
      </c>
      <c r="G320" s="129">
        <f>Crusher!G25</f>
        <v>2.3999999999999998E-11</v>
      </c>
      <c r="H320" s="115" t="s">
        <v>492</v>
      </c>
      <c r="I320" s="117" t="s">
        <v>493</v>
      </c>
      <c r="J320" s="116">
        <f>F320*'2. Emissions Units &amp; Activities'!$H$35</f>
        <v>2.6637359999999997E-6</v>
      </c>
      <c r="K320" s="291">
        <f>F320*'2. Emissions Units &amp; Activities'!$I$35</f>
        <v>6.3071999999999995E-6</v>
      </c>
      <c r="L320" s="263">
        <f t="shared" si="40"/>
        <v>6.3071999999999995E-6</v>
      </c>
      <c r="M320" s="116">
        <f>G320*'2. Emissions Units &amp; Activities'!$K$35</f>
        <v>1.92E-8</v>
      </c>
      <c r="N320" s="291">
        <f>G320*'2. Emissions Units &amp; Activities'!$L$35</f>
        <v>1.92E-8</v>
      </c>
      <c r="O320" s="263">
        <f t="shared" si="41"/>
        <v>1.92E-8</v>
      </c>
    </row>
    <row r="321" spans="1:15" x14ac:dyDescent="0.25">
      <c r="A321" s="134" t="s">
        <v>1233</v>
      </c>
      <c r="B321" s="274" t="s">
        <v>181</v>
      </c>
      <c r="C321" s="124" t="str">
        <f>IFERROR(IF(B321="No CAS","",INDEX('DEQ Pollutant List'!$B$7:$B$611,MATCH('3. Pollutant Emissions - EF'!B321,'DEQ Pollutant List'!$A$7:$A$611,0))),"")</f>
        <v>Manganese and compounds</v>
      </c>
      <c r="D321" s="151" t="str">
        <f>IFERROR(IF(OR($B321="",$B321="No CAS"),INDEX('DEQ Pollutant List'!$A$7:$A$611,MATCH($C321,'DEQ Pollutant List'!$C$7:$C$611,0)),INDEX('DEQ Pollutant List'!$A$7:$A$611,MATCH($B321,'DEQ Pollutant List'!$B$7:$B$611,0))),"")</f>
        <v/>
      </c>
      <c r="E321" s="126">
        <v>0</v>
      </c>
      <c r="F321" s="273">
        <f>Crusher!E26</f>
        <v>6.0359999999999993E-7</v>
      </c>
      <c r="G321" s="129">
        <f>Crusher!G26</f>
        <v>6.0359999999999993E-7</v>
      </c>
      <c r="H321" s="115" t="s">
        <v>492</v>
      </c>
      <c r="I321" s="117" t="s">
        <v>493</v>
      </c>
      <c r="J321" s="116">
        <f>F321*'2. Emissions Units &amp; Activities'!$H$35</f>
        <v>6.6992960399999996E-2</v>
      </c>
      <c r="K321" s="291">
        <f>F321*'2. Emissions Units &amp; Activities'!$I$35</f>
        <v>0.15862607999999997</v>
      </c>
      <c r="L321" s="263">
        <f t="shared" si="40"/>
        <v>0.15862607999999997</v>
      </c>
      <c r="M321" s="116">
        <f>G321*'2. Emissions Units &amp; Activities'!$K$35</f>
        <v>4.8287999999999993E-4</v>
      </c>
      <c r="N321" s="291">
        <f>G321*'2. Emissions Units &amp; Activities'!$L$35</f>
        <v>4.8287999999999993E-4</v>
      </c>
      <c r="O321" s="263">
        <f t="shared" si="41"/>
        <v>4.8287999999999993E-4</v>
      </c>
    </row>
    <row r="322" spans="1:15" x14ac:dyDescent="0.25">
      <c r="A322" s="134" t="s">
        <v>1233</v>
      </c>
      <c r="B322" s="274" t="s">
        <v>66</v>
      </c>
      <c r="C322" s="124" t="str">
        <f>IFERROR(IF(B322="No CAS","",INDEX('DEQ Pollutant List'!$B$7:$B$611,MATCH('3. Pollutant Emissions - EF'!B322,'DEQ Pollutant List'!$A$7:$A$611,0))),"")</f>
        <v>Molybdenum trioxide</v>
      </c>
      <c r="D322" s="151" t="str">
        <f>IFERROR(IF(OR($B322="",$B322="No CAS"),INDEX('DEQ Pollutant List'!$A$7:$A$611,MATCH($C322,'DEQ Pollutant List'!$C$7:$C$611,0)),INDEX('DEQ Pollutant List'!$A$7:$A$611,MATCH($B322,'DEQ Pollutant List'!$B$7:$B$611,0))),"")</f>
        <v/>
      </c>
      <c r="E322" s="126">
        <v>0</v>
      </c>
      <c r="F322" s="273">
        <f>Crusher!E27</f>
        <v>1.1154628393387699E-8</v>
      </c>
      <c r="G322" s="129">
        <f>Crusher!G27</f>
        <v>1.1154628393387699E-8</v>
      </c>
      <c r="H322" s="115" t="s">
        <v>492</v>
      </c>
      <c r="I322" s="117" t="s">
        <v>493</v>
      </c>
      <c r="J322" s="116">
        <f>F322*'2. Emissions Units &amp; Activities'!$H$35</f>
        <v>1.2380410507537073E-3</v>
      </c>
      <c r="K322" s="291">
        <f>F322*'2. Emissions Units &amp; Activities'!$I$35</f>
        <v>2.9314363417822873E-3</v>
      </c>
      <c r="L322" s="263">
        <f t="shared" si="40"/>
        <v>2.9314363417822873E-3</v>
      </c>
      <c r="M322" s="116">
        <f>G322*'2. Emissions Units &amp; Activities'!$K$35</f>
        <v>8.9237027147101593E-6</v>
      </c>
      <c r="N322" s="291">
        <f>G322*'2. Emissions Units &amp; Activities'!$L$35</f>
        <v>8.9237027147101593E-6</v>
      </c>
      <c r="O322" s="263">
        <f t="shared" si="41"/>
        <v>8.9237027147101593E-6</v>
      </c>
    </row>
    <row r="323" spans="1:15" x14ac:dyDescent="0.25">
      <c r="A323" s="134" t="s">
        <v>1233</v>
      </c>
      <c r="B323" s="274" t="s">
        <v>212</v>
      </c>
      <c r="C323" s="124" t="str">
        <f>IFERROR(IF(B323="No CAS","",INDEX('DEQ Pollutant List'!$B$7:$B$611,MATCH('3. Pollutant Emissions - EF'!B323,'DEQ Pollutant List'!$A$7:$A$611,0))),"")</f>
        <v>Nickel and compounds</v>
      </c>
      <c r="D323" s="151" t="str">
        <f>IFERROR(IF(OR($B323="",$B323="No CAS"),INDEX('DEQ Pollutant List'!$A$7:$A$611,MATCH($C323,'DEQ Pollutant List'!$C$7:$C$611,0)),INDEX('DEQ Pollutant List'!$A$7:$A$611,MATCH($B323,'DEQ Pollutant List'!$B$7:$B$611,0))),"")</f>
        <v/>
      </c>
      <c r="E323" s="126">
        <v>0</v>
      </c>
      <c r="F323" s="273">
        <f>Crusher!E28</f>
        <v>2.3999999999999996E-9</v>
      </c>
      <c r="G323" s="129">
        <f>Crusher!G28</f>
        <v>2.3999999999999996E-9</v>
      </c>
      <c r="H323" s="115" t="s">
        <v>492</v>
      </c>
      <c r="I323" s="117" t="s">
        <v>493</v>
      </c>
      <c r="J323" s="116">
        <f>F323*'2. Emissions Units &amp; Activities'!$H$35</f>
        <v>2.6637359999999997E-4</v>
      </c>
      <c r="K323" s="291">
        <f>F323*'2. Emissions Units &amp; Activities'!$I$35</f>
        <v>6.3071999999999987E-4</v>
      </c>
      <c r="L323" s="263">
        <f t="shared" si="40"/>
        <v>6.3071999999999987E-4</v>
      </c>
      <c r="M323" s="116">
        <f>G323*'2. Emissions Units &amp; Activities'!$K$35</f>
        <v>1.9199999999999998E-6</v>
      </c>
      <c r="N323" s="291">
        <f>G323*'2. Emissions Units &amp; Activities'!$L$35</f>
        <v>1.9199999999999998E-6</v>
      </c>
      <c r="O323" s="263">
        <f t="shared" si="41"/>
        <v>1.9199999999999998E-6</v>
      </c>
    </row>
    <row r="324" spans="1:15" x14ac:dyDescent="0.25">
      <c r="A324" s="134" t="s">
        <v>1233</v>
      </c>
      <c r="B324" s="274" t="s">
        <v>310</v>
      </c>
      <c r="C324" s="124" t="str">
        <f>IFERROR(IF(B324="No CAS","",INDEX('DEQ Pollutant List'!$B$7:$B$611,MATCH('3. Pollutant Emissions - EF'!B324,'DEQ Pollutant List'!$A$7:$A$611,0))),"")</f>
        <v>Lead and compounds</v>
      </c>
      <c r="D324" s="151" t="str">
        <f>IFERROR(IF(OR($B324="",$B324="No CAS"),INDEX('DEQ Pollutant List'!$A$7:$A$611,MATCH($C324,'DEQ Pollutant List'!$C$7:$C$611,0)),INDEX('DEQ Pollutant List'!$A$7:$A$611,MATCH($B324,'DEQ Pollutant List'!$B$7:$B$611,0))),"")</f>
        <v/>
      </c>
      <c r="E324" s="126">
        <v>0</v>
      </c>
      <c r="F324" s="273">
        <f>Crusher!E29</f>
        <v>2.9999999999999997E-8</v>
      </c>
      <c r="G324" s="129">
        <f>Crusher!G29</f>
        <v>2.9999999999999997E-8</v>
      </c>
      <c r="H324" s="115" t="s">
        <v>492</v>
      </c>
      <c r="I324" s="117" t="s">
        <v>493</v>
      </c>
      <c r="J324" s="116">
        <f>F324*'2. Emissions Units &amp; Activities'!$H$35</f>
        <v>3.3296699999999999E-3</v>
      </c>
      <c r="K324" s="291">
        <f>F324*'2. Emissions Units &amp; Activities'!$I$35</f>
        <v>7.8839999999999986E-3</v>
      </c>
      <c r="L324" s="263">
        <f t="shared" si="40"/>
        <v>7.8839999999999986E-3</v>
      </c>
      <c r="M324" s="116">
        <f>G324*'2. Emissions Units &amp; Activities'!$K$35</f>
        <v>2.3999999999999997E-5</v>
      </c>
      <c r="N324" s="291">
        <f>G324*'2. Emissions Units &amp; Activities'!$L$35</f>
        <v>2.3999999999999997E-5</v>
      </c>
      <c r="O324" s="263">
        <f t="shared" si="41"/>
        <v>2.3999999999999997E-5</v>
      </c>
    </row>
    <row r="325" spans="1:15" x14ac:dyDescent="0.25">
      <c r="A325" s="134" t="s">
        <v>1233</v>
      </c>
      <c r="B325" s="274" t="s">
        <v>311</v>
      </c>
      <c r="C325" s="124" t="str">
        <f>IFERROR(IF(B325="No CAS","",INDEX('DEQ Pollutant List'!$B$7:$B$611,MATCH('3. Pollutant Emissions - EF'!B325,'DEQ Pollutant List'!$A$7:$A$611,0))),"")</f>
        <v>Antimony and compounds</v>
      </c>
      <c r="D325" s="151" t="str">
        <f>IFERROR(IF(OR($B325="",$B325="No CAS"),INDEX('DEQ Pollutant List'!$A$7:$A$611,MATCH($C325,'DEQ Pollutant List'!$C$7:$C$611,0)),INDEX('DEQ Pollutant List'!$A$7:$A$611,MATCH($B325,'DEQ Pollutant List'!$B$7:$B$611,0))),"")</f>
        <v/>
      </c>
      <c r="E325" s="126">
        <v>0</v>
      </c>
      <c r="F325" s="273">
        <f>Crusher!E30</f>
        <v>4.4399999999999997E-10</v>
      </c>
      <c r="G325" s="129">
        <f>Crusher!G30</f>
        <v>4.4399999999999997E-10</v>
      </c>
      <c r="H325" s="115" t="s">
        <v>492</v>
      </c>
      <c r="I325" s="117" t="s">
        <v>493</v>
      </c>
      <c r="J325" s="116">
        <f>F325*'2. Emissions Units &amp; Activities'!$H$35</f>
        <v>4.9279115999999998E-5</v>
      </c>
      <c r="K325" s="291">
        <f>F325*'2. Emissions Units &amp; Activities'!$I$35</f>
        <v>1.1668319999999999E-4</v>
      </c>
      <c r="L325" s="263">
        <f t="shared" si="40"/>
        <v>1.1668319999999999E-4</v>
      </c>
      <c r="M325" s="116">
        <f>G325*'2. Emissions Units &amp; Activities'!$K$35</f>
        <v>3.5519999999999995E-7</v>
      </c>
      <c r="N325" s="291">
        <f>G325*'2. Emissions Units &amp; Activities'!$L$35</f>
        <v>3.5519999999999995E-7</v>
      </c>
      <c r="O325" s="263">
        <f t="shared" si="41"/>
        <v>3.5519999999999995E-7</v>
      </c>
    </row>
    <row r="326" spans="1:15" x14ac:dyDescent="0.25">
      <c r="A326" s="134" t="s">
        <v>1233</v>
      </c>
      <c r="B326" s="274" t="s">
        <v>312</v>
      </c>
      <c r="C326" s="124" t="str">
        <f>IFERROR(IF(B326="No CAS","",INDEX('DEQ Pollutant List'!$B$7:$B$611,MATCH('3. Pollutant Emissions - EF'!B326,'DEQ Pollutant List'!$A$7:$A$611,0))),"")</f>
        <v>Selenium and compounds</v>
      </c>
      <c r="D326" s="151" t="str">
        <f>IFERROR(IF(OR($B326="",$B326="No CAS"),INDEX('DEQ Pollutant List'!$A$7:$A$611,MATCH($C326,'DEQ Pollutant List'!$C$7:$C$611,0)),INDEX('DEQ Pollutant List'!$A$7:$A$611,MATCH($B326,'DEQ Pollutant List'!$B$7:$B$611,0))),"")</f>
        <v/>
      </c>
      <c r="E326" s="126">
        <v>0</v>
      </c>
      <c r="F326" s="273">
        <f>Crusher!E31</f>
        <v>2.2799999999999999E-10</v>
      </c>
      <c r="G326" s="129">
        <f>Crusher!G31</f>
        <v>2.2799999999999999E-10</v>
      </c>
      <c r="H326" s="115" t="s">
        <v>492</v>
      </c>
      <c r="I326" s="117" t="s">
        <v>493</v>
      </c>
      <c r="J326" s="116">
        <f>F326*'2. Emissions Units &amp; Activities'!$H$35</f>
        <v>2.5305491999999998E-5</v>
      </c>
      <c r="K326" s="291">
        <f>F326*'2. Emissions Units &amp; Activities'!$I$35</f>
        <v>5.9918399999999999E-5</v>
      </c>
      <c r="L326" s="263">
        <f t="shared" si="40"/>
        <v>5.9918399999999999E-5</v>
      </c>
      <c r="M326" s="116">
        <f>G326*'2. Emissions Units &amp; Activities'!$K$35</f>
        <v>1.8239999999999999E-7</v>
      </c>
      <c r="N326" s="291">
        <f>G326*'2. Emissions Units &amp; Activities'!$L$35</f>
        <v>1.8239999999999999E-7</v>
      </c>
      <c r="O326" s="263">
        <f t="shared" si="41"/>
        <v>1.8239999999999999E-7</v>
      </c>
    </row>
    <row r="327" spans="1:15" x14ac:dyDescent="0.25">
      <c r="A327" s="134" t="s">
        <v>1233</v>
      </c>
      <c r="B327" s="274" t="s">
        <v>314</v>
      </c>
      <c r="C327" s="124" t="str">
        <f>IFERROR(IF(B327="No CAS","",INDEX('DEQ Pollutant List'!$B$7:$B$611,MATCH('3. Pollutant Emissions - EF'!B327,'DEQ Pollutant List'!$A$7:$A$611,0))),"")</f>
        <v>Thallium and compounds</v>
      </c>
      <c r="D327" s="151" t="str">
        <f>IFERROR(IF(OR($B327="",$B327="No CAS"),INDEX('DEQ Pollutant List'!$A$7:$A$611,MATCH($C327,'DEQ Pollutant List'!$C$7:$C$611,0)),INDEX('DEQ Pollutant List'!$A$7:$A$611,MATCH($B327,'DEQ Pollutant List'!$B$7:$B$611,0))),"")</f>
        <v/>
      </c>
      <c r="E327" s="126">
        <v>0</v>
      </c>
      <c r="F327" s="273">
        <f>Crusher!E32</f>
        <v>5.2679999999999998E-10</v>
      </c>
      <c r="G327" s="129">
        <f>Crusher!G32</f>
        <v>5.2679999999999998E-10</v>
      </c>
      <c r="H327" s="115" t="s">
        <v>492</v>
      </c>
      <c r="I327" s="117" t="s">
        <v>493</v>
      </c>
      <c r="J327" s="116">
        <f>F327*'2. Emissions Units &amp; Activities'!$H$35</f>
        <v>5.8469005199999996E-5</v>
      </c>
      <c r="K327" s="291">
        <f>F327*'2. Emissions Units &amp; Activities'!$I$35</f>
        <v>1.3844304000000001E-4</v>
      </c>
      <c r="L327" s="263">
        <f t="shared" si="40"/>
        <v>1.3844304000000001E-4</v>
      </c>
      <c r="M327" s="116">
        <f>G327*'2. Emissions Units &amp; Activities'!$K$35</f>
        <v>4.2143999999999999E-7</v>
      </c>
      <c r="N327" s="291">
        <f>G327*'2. Emissions Units &amp; Activities'!$L$35</f>
        <v>4.2143999999999999E-7</v>
      </c>
      <c r="O327" s="263">
        <f t="shared" si="41"/>
        <v>4.2143999999999999E-7</v>
      </c>
    </row>
    <row r="328" spans="1:15" x14ac:dyDescent="0.25">
      <c r="A328" s="134" t="s">
        <v>1233</v>
      </c>
      <c r="B328" s="274" t="s">
        <v>315</v>
      </c>
      <c r="C328" s="124" t="str">
        <f>IFERROR(IF(B328="No CAS","",INDEX('DEQ Pollutant List'!$B$7:$B$611,MATCH('3. Pollutant Emissions - EF'!B328,'DEQ Pollutant List'!$A$7:$A$611,0))),"")</f>
        <v>Zinc and compounds</v>
      </c>
      <c r="D328" s="151" t="str">
        <f>IFERROR(IF(OR($B328="",$B328="No CAS"),INDEX('DEQ Pollutant List'!$A$7:$A$611,MATCH($C328,'DEQ Pollutant List'!$C$7:$C$611,0)),INDEX('DEQ Pollutant List'!$A$7:$A$611,MATCH($B328,'DEQ Pollutant List'!$B$7:$B$611,0))),"")</f>
        <v/>
      </c>
      <c r="E328" s="126">
        <v>0</v>
      </c>
      <c r="F328" s="273">
        <f>Crusher!E33</f>
        <v>3.5999999999999998E-8</v>
      </c>
      <c r="G328" s="129">
        <f>Crusher!G33</f>
        <v>3.5999999999999998E-8</v>
      </c>
      <c r="H328" s="115" t="s">
        <v>492</v>
      </c>
      <c r="I328" s="117" t="s">
        <v>493</v>
      </c>
      <c r="J328" s="116">
        <f>F328*'2. Emissions Units &amp; Activities'!$H$35</f>
        <v>3.9956039999999998E-3</v>
      </c>
      <c r="K328" s="291">
        <f>F328*'2. Emissions Units &amp; Activities'!$I$35</f>
        <v>9.4608000000000001E-3</v>
      </c>
      <c r="L328" s="263">
        <f t="shared" si="40"/>
        <v>9.4608000000000001E-3</v>
      </c>
      <c r="M328" s="116">
        <f>G328*'2. Emissions Units &amp; Activities'!$K$35</f>
        <v>2.8799999999999999E-5</v>
      </c>
      <c r="N328" s="291">
        <f>G328*'2. Emissions Units &amp; Activities'!$L$35</f>
        <v>2.8799999999999999E-5</v>
      </c>
      <c r="O328" s="263">
        <f t="shared" si="41"/>
        <v>2.8799999999999999E-5</v>
      </c>
    </row>
    <row r="329" spans="1:15" x14ac:dyDescent="0.25">
      <c r="A329" s="134" t="s">
        <v>1233</v>
      </c>
      <c r="B329" s="274" t="s">
        <v>142</v>
      </c>
      <c r="C329" s="124" t="str">
        <f>IFERROR(IF(B329="No CAS","",INDEX('DEQ Pollutant List'!$B$7:$B$611,MATCH('3. Pollutant Emissions - EF'!B329,'DEQ Pollutant List'!$A$7:$A$611,0))),"")</f>
        <v>Barium and compounds</v>
      </c>
      <c r="D329" s="151" t="str">
        <f>IFERROR(IF(OR($B329="",$B329="No CAS"),INDEX('DEQ Pollutant List'!$A$7:$A$611,MATCH($C329,'DEQ Pollutant List'!$C$7:$C$611,0)),INDEX('DEQ Pollutant List'!$A$7:$A$611,MATCH($B329,'DEQ Pollutant List'!$B$7:$B$611,0))),"")</f>
        <v/>
      </c>
      <c r="E329" s="126">
        <v>0</v>
      </c>
      <c r="F329" s="273">
        <f>Crusher!E34</f>
        <v>2.3999999999999998E-7</v>
      </c>
      <c r="G329" s="129">
        <f>Crusher!G34</f>
        <v>2.3999999999999998E-7</v>
      </c>
      <c r="H329" s="115" t="s">
        <v>492</v>
      </c>
      <c r="I329" s="117" t="s">
        <v>493</v>
      </c>
      <c r="J329" s="116">
        <f>F329*'2. Emissions Units &amp; Activities'!$H$35</f>
        <v>2.6637359999999999E-2</v>
      </c>
      <c r="K329" s="291">
        <f>F329*'2. Emissions Units &amp; Activities'!$I$35</f>
        <v>6.3071999999999989E-2</v>
      </c>
      <c r="L329" s="263">
        <f t="shared" si="40"/>
        <v>6.3071999999999989E-2</v>
      </c>
      <c r="M329" s="116">
        <f>G329*'2. Emissions Units &amp; Activities'!$K$35</f>
        <v>1.9199999999999998E-4</v>
      </c>
      <c r="N329" s="291">
        <f>G329*'2. Emissions Units &amp; Activities'!$L$35</f>
        <v>1.9199999999999998E-4</v>
      </c>
      <c r="O329" s="263">
        <f t="shared" si="41"/>
        <v>1.9199999999999998E-4</v>
      </c>
    </row>
    <row r="330" spans="1:15" x14ac:dyDescent="0.25">
      <c r="A330" s="134" t="s">
        <v>1233</v>
      </c>
      <c r="B330" s="274">
        <v>504</v>
      </c>
      <c r="C330" s="124" t="str">
        <f>IFERROR(IF(B330="No CAS","",INDEX('DEQ Pollutant List'!$B$7:$B$611,MATCH('3. Pollutant Emissions - EF'!B330,'DEQ Pollutant List'!$A$7:$A$611,0))),"")</f>
        <v>Phosphorus and compounds</v>
      </c>
      <c r="D330" s="151" t="str">
        <f>IFERROR(IF(OR($B330="",$B330="No CAS"),INDEX('DEQ Pollutant List'!$A$7:$A$611,MATCH($C330,'DEQ Pollutant List'!$C$7:$C$611,0)),INDEX('DEQ Pollutant List'!$A$7:$A$611,MATCH($B330,'DEQ Pollutant List'!$B$7:$B$611,0))),"")</f>
        <v/>
      </c>
      <c r="E330" s="126">
        <v>0</v>
      </c>
      <c r="F330" s="273">
        <f>Crusher!E35</f>
        <v>3.9599999999999997E-8</v>
      </c>
      <c r="G330" s="129">
        <f>Crusher!G35</f>
        <v>3.9599999999999997E-8</v>
      </c>
      <c r="H330" s="115" t="s">
        <v>492</v>
      </c>
      <c r="I330" s="117" t="s">
        <v>493</v>
      </c>
      <c r="J330" s="116">
        <f>F330*'2. Emissions Units &amp; Activities'!$H$35</f>
        <v>4.3951643999999993E-3</v>
      </c>
      <c r="K330" s="291">
        <f>F330*'2. Emissions Units &amp; Activities'!$I$35</f>
        <v>1.0406879999999999E-2</v>
      </c>
      <c r="L330" s="263">
        <f t="shared" si="40"/>
        <v>1.0406879999999999E-2</v>
      </c>
      <c r="M330" s="116">
        <f>G330*'2. Emissions Units &amp; Activities'!$K$35</f>
        <v>3.1679999999999995E-5</v>
      </c>
      <c r="N330" s="291">
        <f>G330*'2. Emissions Units &amp; Activities'!$L$35</f>
        <v>3.1679999999999995E-5</v>
      </c>
      <c r="O330" s="263">
        <f t="shared" si="41"/>
        <v>3.1679999999999995E-5</v>
      </c>
    </row>
    <row r="331" spans="1:15" x14ac:dyDescent="0.25">
      <c r="A331" s="134" t="s">
        <v>1233</v>
      </c>
      <c r="B331" s="274" t="s">
        <v>316</v>
      </c>
      <c r="C331" s="124" t="str">
        <f>IFERROR(IF(B331="No CAS","",INDEX('DEQ Pollutant List'!$B$7:$B$611,MATCH('3. Pollutant Emissions - EF'!B331,'DEQ Pollutant List'!$A$7:$A$611,0))),"")</f>
        <v>Phosphorus pentoxide</v>
      </c>
      <c r="D331" s="151" t="str">
        <f>IFERROR(IF(OR($B331="",$B331="No CAS"),INDEX('DEQ Pollutant List'!$A$7:$A$611,MATCH($C331,'DEQ Pollutant List'!$C$7:$C$611,0)),INDEX('DEQ Pollutant List'!$A$7:$A$611,MATCH($B331,'DEQ Pollutant List'!$B$7:$B$611,0))),"")</f>
        <v/>
      </c>
      <c r="E331" s="126">
        <v>0</v>
      </c>
      <c r="F331" s="273">
        <f>Crusher!E36</f>
        <v>9.5999999999999999E-8</v>
      </c>
      <c r="G331" s="129">
        <f>Crusher!G36</f>
        <v>9.5999999999999999E-8</v>
      </c>
      <c r="H331" s="115" t="s">
        <v>492</v>
      </c>
      <c r="I331" s="117" t="s">
        <v>493</v>
      </c>
      <c r="J331" s="116">
        <f>F331*'2. Emissions Units &amp; Activities'!$H$35</f>
        <v>1.0654944E-2</v>
      </c>
      <c r="K331" s="291">
        <f>F331*'2. Emissions Units &amp; Activities'!$I$35</f>
        <v>2.5228799999999999E-2</v>
      </c>
      <c r="L331" s="263">
        <f t="shared" si="40"/>
        <v>2.5228799999999999E-2</v>
      </c>
      <c r="M331" s="116">
        <f>G331*'2. Emissions Units &amp; Activities'!$K$35</f>
        <v>7.6799999999999997E-5</v>
      </c>
      <c r="N331" s="291">
        <f>G331*'2. Emissions Units &amp; Activities'!$L$35</f>
        <v>7.6799999999999997E-5</v>
      </c>
      <c r="O331" s="263">
        <f t="shared" si="41"/>
        <v>7.6799999999999997E-5</v>
      </c>
    </row>
    <row r="332" spans="1:15" x14ac:dyDescent="0.25">
      <c r="A332" s="134" t="s">
        <v>1233</v>
      </c>
      <c r="B332" s="128" t="s">
        <v>183</v>
      </c>
      <c r="C332" s="124" t="str">
        <f>IFERROR(IF(B332="No CAS","",INDEX('DEQ Pollutant List'!$B$7:$B$611,MATCH('3. Pollutant Emissions - EF'!B332,'DEQ Pollutant List'!$A$7:$A$611,0))),"")</f>
        <v>Silica, crystalline (respirable)</v>
      </c>
      <c r="D332" s="151" t="str">
        <f>IFERROR(IF(OR($B332="",$B332="No CAS"),INDEX('DEQ Pollutant List'!$A$7:$A$611,MATCH($C332,'DEQ Pollutant List'!$C$7:$C$611,0)),INDEX('DEQ Pollutant List'!$A$7:$A$611,MATCH($B332,'DEQ Pollutant List'!$B$7:$B$611,0))),"")</f>
        <v/>
      </c>
      <c r="E332" s="126">
        <v>0</v>
      </c>
      <c r="F332" s="273">
        <f>Crusher!E37</f>
        <v>4.4717999999999994E-5</v>
      </c>
      <c r="G332" s="129">
        <f>Crusher!G37</f>
        <v>4.4717999999999994E-5</v>
      </c>
      <c r="H332" s="115" t="s">
        <v>492</v>
      </c>
      <c r="I332" s="117" t="s">
        <v>493</v>
      </c>
      <c r="J332" s="116">
        <f>F332*'2. Emissions Units &amp; Activities'!$H$35</f>
        <v>4.9632061019999991</v>
      </c>
      <c r="K332" s="291">
        <f>F332*'2. Emissions Units &amp; Activities'!$I$35</f>
        <v>11.751890399999999</v>
      </c>
      <c r="L332" s="263">
        <f t="shared" si="40"/>
        <v>11.751890399999999</v>
      </c>
      <c r="M332" s="116">
        <f>G332*'2. Emissions Units &amp; Activities'!$K$35</f>
        <v>3.5774399999999998E-2</v>
      </c>
      <c r="N332" s="291">
        <f>G332*'2. Emissions Units &amp; Activities'!$L$35</f>
        <v>3.5774399999999998E-2</v>
      </c>
      <c r="O332" s="263">
        <f t="shared" si="41"/>
        <v>3.5774399999999998E-2</v>
      </c>
    </row>
    <row r="333" spans="1:15" x14ac:dyDescent="0.25">
      <c r="A333" s="134" t="s">
        <v>1233</v>
      </c>
      <c r="B333" s="128" t="s">
        <v>317</v>
      </c>
      <c r="C333" s="124" t="str">
        <f>IFERROR(IF(B333="No CAS","",INDEX('DEQ Pollutant List'!$B$7:$B$611,MATCH('3. Pollutant Emissions - EF'!B333,'DEQ Pollutant List'!$A$7:$A$611,0))),"")</f>
        <v>Sulfur trioxide</v>
      </c>
      <c r="D333" s="151" t="str">
        <f>IFERROR(IF(OR($B333="",$B333="No CAS"),INDEX('DEQ Pollutant List'!$A$7:$A$611,MATCH($C333,'DEQ Pollutant List'!$C$7:$C$611,0)),INDEX('DEQ Pollutant List'!$A$7:$A$611,MATCH($B333,'DEQ Pollutant List'!$B$7:$B$611,0))),"")</f>
        <v/>
      </c>
      <c r="E333" s="126">
        <v>0</v>
      </c>
      <c r="F333" s="273">
        <f>Crusher!E38</f>
        <v>2.9999999999999997E-8</v>
      </c>
      <c r="G333" s="129">
        <f>Crusher!G38</f>
        <v>2.9999999999999997E-8</v>
      </c>
      <c r="H333" s="115" t="s">
        <v>492</v>
      </c>
      <c r="I333" s="117" t="s">
        <v>493</v>
      </c>
      <c r="J333" s="116">
        <f>F333*'2. Emissions Units &amp; Activities'!$H$35</f>
        <v>3.3296699999999999E-3</v>
      </c>
      <c r="K333" s="291">
        <f>F333*'2. Emissions Units &amp; Activities'!$I$35</f>
        <v>7.8839999999999986E-3</v>
      </c>
      <c r="L333" s="263">
        <f t="shared" si="40"/>
        <v>7.8839999999999986E-3</v>
      </c>
      <c r="M333" s="116">
        <f>G333*'2. Emissions Units &amp; Activities'!$K$35</f>
        <v>2.3999999999999997E-5</v>
      </c>
      <c r="N333" s="291">
        <f>G333*'2. Emissions Units &amp; Activities'!$L$35</f>
        <v>2.3999999999999997E-5</v>
      </c>
      <c r="O333" s="263">
        <f t="shared" si="41"/>
        <v>2.3999999999999997E-5</v>
      </c>
    </row>
    <row r="334" spans="1:15" ht="15.75" thickBot="1" x14ac:dyDescent="0.3">
      <c r="A334" s="188" t="s">
        <v>1233</v>
      </c>
      <c r="B334" s="276" t="s">
        <v>318</v>
      </c>
      <c r="C334" s="222" t="str">
        <f>IFERROR(IF(B334="No CAS","",INDEX('DEQ Pollutant List'!$B$7:$B$611,MATCH('3. Pollutant Emissions - EF'!B334,'DEQ Pollutant List'!$A$7:$A$611,0))),"")</f>
        <v>Vanadium pentoxide</v>
      </c>
      <c r="D334" s="230" t="str">
        <f>IFERROR(IF(OR($B334="",$B334="No CAS"),INDEX('DEQ Pollutant List'!$A$7:$A$611,MATCH($C334,'DEQ Pollutant List'!$C$7:$C$611,0)),INDEX('DEQ Pollutant List'!$A$7:$A$611,MATCH($B334,'DEQ Pollutant List'!$B$7:$B$611,0))),"")</f>
        <v/>
      </c>
      <c r="E334" s="190">
        <v>0</v>
      </c>
      <c r="F334" s="231">
        <f>Crusher!E39</f>
        <v>2.9999999999999997E-8</v>
      </c>
      <c r="G334" s="199">
        <f>Crusher!G39</f>
        <v>2.9999999999999997E-8</v>
      </c>
      <c r="H334" s="200" t="s">
        <v>492</v>
      </c>
      <c r="I334" s="201" t="s">
        <v>493</v>
      </c>
      <c r="J334" s="202">
        <f>F334*'2. Emissions Units &amp; Activities'!$H$35</f>
        <v>3.3296699999999999E-3</v>
      </c>
      <c r="K334" s="295">
        <f>F334*'2. Emissions Units &amp; Activities'!$I$35</f>
        <v>7.8839999999999986E-3</v>
      </c>
      <c r="L334" s="277">
        <f t="shared" si="40"/>
        <v>7.8839999999999986E-3</v>
      </c>
      <c r="M334" s="202">
        <f>G334*'2. Emissions Units &amp; Activities'!$K$35</f>
        <v>2.3999999999999997E-5</v>
      </c>
      <c r="N334" s="295">
        <f>G334*'2. Emissions Units &amp; Activities'!$L$35</f>
        <v>2.3999999999999997E-5</v>
      </c>
      <c r="O334" s="277">
        <f t="shared" si="41"/>
        <v>2.3999999999999997E-5</v>
      </c>
    </row>
    <row r="335" spans="1:15" x14ac:dyDescent="0.25">
      <c r="A335" s="125" t="s">
        <v>1237</v>
      </c>
      <c r="B335" s="128" t="s">
        <v>305</v>
      </c>
      <c r="C335" s="123" t="str">
        <f>IFERROR(IF(B335="No CAS","",INDEX('DEQ Pollutant List'!$B$7:$B$611,MATCH('3. Pollutant Emissions - EF'!B335,'DEQ Pollutant List'!$A$7:$A$611,0))),"")</f>
        <v>Silver and compounds</v>
      </c>
      <c r="D335" s="151" t="str">
        <f>IFERROR(IF(OR($B335="",$B335="No CAS"),INDEX('DEQ Pollutant List'!$A$7:$A$611,MATCH($C335,'DEQ Pollutant List'!$C$7:$C$611,0)),INDEX('DEQ Pollutant List'!$A$7:$A$611,MATCH($B335,'DEQ Pollutant List'!$B$7:$B$611,0))),"")</f>
        <v/>
      </c>
      <c r="E335" s="126">
        <v>0.67519999999999991</v>
      </c>
      <c r="F335" s="273">
        <f>'Unpaved Roads'!G49</f>
        <v>2.3414891794042238E-8</v>
      </c>
      <c r="G335" s="129">
        <f>'Unpaved Roads'!E49</f>
        <v>3.1225559023841489E-8</v>
      </c>
      <c r="H335" s="115" t="s">
        <v>509</v>
      </c>
      <c r="I335" s="117" t="s">
        <v>1294</v>
      </c>
      <c r="J335" s="116">
        <f>F335*'2. Emissions Units &amp; Activities'!$H$36</f>
        <v>3.7736557144205011E-5</v>
      </c>
      <c r="K335" s="291">
        <f>F335*'2. Emissions Units &amp; Activities'!$I$36</f>
        <v>6.9925381403117048E-5</v>
      </c>
      <c r="L335" s="263">
        <f t="shared" si="40"/>
        <v>6.9925381403117048E-5</v>
      </c>
      <c r="M335" s="116">
        <f>G335*'2. Emissions Units &amp; Activities'!$K$36</f>
        <v>3.6370679544815374E-7</v>
      </c>
      <c r="N335" s="116">
        <f>G335*'2. Emissions Units &amp; Activities'!$L$36</f>
        <v>3.6370679544815374E-7</v>
      </c>
      <c r="O335" s="263">
        <f t="shared" si="41"/>
        <v>3.6370679544815374E-7</v>
      </c>
    </row>
    <row r="336" spans="1:15" x14ac:dyDescent="0.25">
      <c r="A336" s="125" t="s">
        <v>1237</v>
      </c>
      <c r="B336" s="128" t="s">
        <v>190</v>
      </c>
      <c r="C336" s="123" t="str">
        <f>IFERROR(IF(B336="No CAS","",INDEX('DEQ Pollutant List'!$B$7:$B$611,MATCH('3. Pollutant Emissions - EF'!B336,'DEQ Pollutant List'!$A$7:$A$611,0))),"")</f>
        <v>Aluminum and compounds</v>
      </c>
      <c r="D336" s="151" t="str">
        <f>IFERROR(IF(OR($B336="",$B336="No CAS"),INDEX('DEQ Pollutant List'!$A$7:$A$611,MATCH($C336,'DEQ Pollutant List'!$C$7:$C$611,0)),INDEX('DEQ Pollutant List'!$A$7:$A$611,MATCH($B336,'DEQ Pollutant List'!$B$7:$B$611,0))),"")</f>
        <v/>
      </c>
      <c r="E336" s="126">
        <v>0.67519999999999991</v>
      </c>
      <c r="F336" s="273">
        <f>'Unpaved Roads'!G50</f>
        <v>5.9684559183013644E-2</v>
      </c>
      <c r="G336" s="129">
        <f>'Unpaved Roads'!E50</f>
        <v>7.9593949951771936E-2</v>
      </c>
      <c r="H336" s="115" t="s">
        <v>509</v>
      </c>
      <c r="I336" s="117" t="s">
        <v>1294</v>
      </c>
      <c r="J336" s="116">
        <f>F336*'2. Emissions Units &amp; Activities'!$H$36</f>
        <v>96.190484160578535</v>
      </c>
      <c r="K336" s="291">
        <f>F336*'2. Emissions Units &amp; Activities'!$I$36</f>
        <v>178.23979719654531</v>
      </c>
      <c r="L336" s="263">
        <f t="shared" si="40"/>
        <v>178.23979719654531</v>
      </c>
      <c r="M336" s="116">
        <f>G336*'2. Emissions Units &amp; Activities'!$K$36</f>
        <v>0.92708862159734362</v>
      </c>
      <c r="N336" s="116">
        <f>G336*'2. Emissions Units &amp; Activities'!$L$36</f>
        <v>0.92708862159734362</v>
      </c>
      <c r="O336" s="263">
        <f t="shared" si="41"/>
        <v>0.92708862159734362</v>
      </c>
    </row>
    <row r="337" spans="1:15" x14ac:dyDescent="0.25">
      <c r="A337" s="125" t="s">
        <v>1237</v>
      </c>
      <c r="B337" s="128" t="s">
        <v>306</v>
      </c>
      <c r="C337" s="123" t="str">
        <f>IFERROR(IF(B337="No CAS","",INDEX('DEQ Pollutant List'!$B$7:$B$611,MATCH('3. Pollutant Emissions - EF'!B337,'DEQ Pollutant List'!$A$7:$A$611,0))),"")</f>
        <v>Arsenic and compounds</v>
      </c>
      <c r="D337" s="151" t="str">
        <f>IFERROR(IF(OR($B337="",$B337="No CAS"),INDEX('DEQ Pollutant List'!$A$7:$A$611,MATCH($C337,'DEQ Pollutant List'!$C$7:$C$611,0)),INDEX('DEQ Pollutant List'!$A$7:$A$611,MATCH($B337,'DEQ Pollutant List'!$B$7:$B$611,0))),"")</f>
        <v/>
      </c>
      <c r="E337" s="126">
        <v>0.67519999999999991</v>
      </c>
      <c r="F337" s="273">
        <f>'Unpaved Roads'!G51</f>
        <v>2.4351487465803931E-6</v>
      </c>
      <c r="G337" s="129">
        <f>'Unpaved Roads'!E51</f>
        <v>3.2474581384795157E-6</v>
      </c>
      <c r="H337" s="115" t="s">
        <v>509</v>
      </c>
      <c r="I337" s="117" t="s">
        <v>1294</v>
      </c>
      <c r="J337" s="116">
        <f>F337*'2. Emissions Units &amp; Activities'!$H$36</f>
        <v>3.9246019429973215E-3</v>
      </c>
      <c r="K337" s="291">
        <f>F337*'2. Emissions Units &amp; Activities'!$I$36</f>
        <v>7.2722396659241741E-3</v>
      </c>
      <c r="L337" s="263">
        <f t="shared" si="40"/>
        <v>7.2722396659241741E-3</v>
      </c>
      <c r="M337" s="116">
        <f>G337*'2. Emissions Units &amp; Activities'!$K$36</f>
        <v>3.7825506726607998E-5</v>
      </c>
      <c r="N337" s="116">
        <f>G337*'2. Emissions Units &amp; Activities'!$L$36</f>
        <v>3.7825506726607998E-5</v>
      </c>
      <c r="O337" s="263">
        <f t="shared" si="41"/>
        <v>3.7825506726607998E-5</v>
      </c>
    </row>
    <row r="338" spans="1:15" x14ac:dyDescent="0.25">
      <c r="A338" s="125" t="s">
        <v>1237</v>
      </c>
      <c r="B338" s="128" t="s">
        <v>142</v>
      </c>
      <c r="C338" s="123" t="str">
        <f>IFERROR(IF(B338="No CAS","",INDEX('DEQ Pollutant List'!$B$7:$B$611,MATCH('3. Pollutant Emissions - EF'!B338,'DEQ Pollutant List'!$A$7:$A$611,0))),"")</f>
        <v>Barium and compounds</v>
      </c>
      <c r="D338" s="151" t="str">
        <f>IFERROR(IF(OR($B338="",$B338="No CAS"),INDEX('DEQ Pollutant List'!$A$7:$A$611,MATCH($C338,'DEQ Pollutant List'!$C$7:$C$611,0)),INDEX('DEQ Pollutant List'!$A$7:$A$611,MATCH($B338,'DEQ Pollutant List'!$B$7:$B$611,0))),"")</f>
        <v/>
      </c>
      <c r="E338" s="126">
        <v>0.67519999999999991</v>
      </c>
      <c r="F338" s="273">
        <f>'Unpaved Roads'!G52</f>
        <v>2.6224678809327304E-4</v>
      </c>
      <c r="G338" s="129">
        <f>'Unpaved Roads'!E52</f>
        <v>3.4972626106702468E-4</v>
      </c>
      <c r="H338" s="115" t="s">
        <v>509</v>
      </c>
      <c r="I338" s="117" t="s">
        <v>1294</v>
      </c>
      <c r="J338" s="116">
        <f>F338*'2. Emissions Units &amp; Activities'!$H$36</f>
        <v>0.42264944001509608</v>
      </c>
      <c r="K338" s="291">
        <f>F338*'2. Emissions Units &amp; Activities'!$I$36</f>
        <v>0.78316427171491088</v>
      </c>
      <c r="L338" s="263">
        <f t="shared" si="40"/>
        <v>0.78316427171491088</v>
      </c>
      <c r="M338" s="116">
        <f>G338*'2. Emissions Units &amp; Activities'!$K$36</f>
        <v>4.0735161090193215E-3</v>
      </c>
      <c r="N338" s="116">
        <f>G338*'2. Emissions Units &amp; Activities'!$L$36</f>
        <v>4.0735161090193215E-3</v>
      </c>
      <c r="O338" s="263">
        <f t="shared" si="41"/>
        <v>4.0735161090193215E-3</v>
      </c>
    </row>
    <row r="339" spans="1:15" x14ac:dyDescent="0.25">
      <c r="A339" s="125" t="s">
        <v>1237</v>
      </c>
      <c r="B339" s="128" t="s">
        <v>307</v>
      </c>
      <c r="C339" s="123" t="str">
        <f>IFERROR(IF(B339="No CAS","",INDEX('DEQ Pollutant List'!$B$7:$B$611,MATCH('3. Pollutant Emissions - EF'!B339,'DEQ Pollutant List'!$A$7:$A$611,0))),"")</f>
        <v>Beryllium and compounds</v>
      </c>
      <c r="D339" s="151" t="str">
        <f>IFERROR(IF(OR($B339="",$B339="No CAS"),INDEX('DEQ Pollutant List'!$A$7:$A$611,MATCH($C339,'DEQ Pollutant List'!$C$7:$C$611,0)),INDEX('DEQ Pollutant List'!$A$7:$A$611,MATCH($B339,'DEQ Pollutant List'!$B$7:$B$611,0))),"")</f>
        <v/>
      </c>
      <c r="E339" s="126">
        <v>0.67519999999999991</v>
      </c>
      <c r="F339" s="273">
        <f>'Unpaved Roads'!G53</f>
        <v>2.865982755590769E-6</v>
      </c>
      <c r="G339" s="129">
        <f>'Unpaved Roads'!E53</f>
        <v>3.8220084245181979E-6</v>
      </c>
      <c r="H339" s="115" t="s">
        <v>509</v>
      </c>
      <c r="I339" s="117" t="s">
        <v>1294</v>
      </c>
      <c r="J339" s="116">
        <f>F339*'2. Emissions Units &amp; Activities'!$H$36</f>
        <v>4.6189545944506916E-3</v>
      </c>
      <c r="K339" s="291">
        <f>F339*'2. Emissions Units &amp; Activities'!$I$36</f>
        <v>8.5588666837415235E-3</v>
      </c>
      <c r="L339" s="263">
        <f t="shared" si="40"/>
        <v>8.5588666837415235E-3</v>
      </c>
      <c r="M339" s="116">
        <f>G339*'2. Emissions Units &amp; Activities'!$K$36</f>
        <v>4.4517711762854012E-5</v>
      </c>
      <c r="N339" s="116">
        <f>G339*'2. Emissions Units &amp; Activities'!$L$36</f>
        <v>4.4517711762854012E-5</v>
      </c>
      <c r="O339" s="263">
        <f t="shared" si="41"/>
        <v>4.4517711762854012E-5</v>
      </c>
    </row>
    <row r="340" spans="1:15" x14ac:dyDescent="0.25">
      <c r="A340" s="125" t="s">
        <v>1237</v>
      </c>
      <c r="B340" s="128" t="s">
        <v>308</v>
      </c>
      <c r="C340" s="123" t="str">
        <f>IFERROR(IF(B340="No CAS","",INDEX('DEQ Pollutant List'!$B$7:$B$611,MATCH('3. Pollutant Emissions - EF'!B340,'DEQ Pollutant List'!$A$7:$A$611,0))),"")</f>
        <v>Cadmium and compounds</v>
      </c>
      <c r="D340" s="151" t="str">
        <f>IFERROR(IF(OR($B340="",$B340="No CAS"),INDEX('DEQ Pollutant List'!$A$7:$A$611,MATCH($C340,'DEQ Pollutant List'!$C$7:$C$611,0)),INDEX('DEQ Pollutant List'!$A$7:$A$611,MATCH($B340,'DEQ Pollutant List'!$B$7:$B$611,0))),"")</f>
        <v/>
      </c>
      <c r="E340" s="126">
        <v>0.67519999999999991</v>
      </c>
      <c r="F340" s="273">
        <f>'Unpaved Roads'!G54</f>
        <v>7.4927653740935142E-8</v>
      </c>
      <c r="G340" s="129">
        <f>'Unpaved Roads'!E54</f>
        <v>9.9921788876292772E-8</v>
      </c>
      <c r="H340" s="115" t="s">
        <v>509</v>
      </c>
      <c r="I340" s="117" t="s">
        <v>1294</v>
      </c>
      <c r="J340" s="116">
        <f>F340*'2. Emissions Units &amp; Activities'!$H$36</f>
        <v>1.2075698286145599E-4</v>
      </c>
      <c r="K340" s="291">
        <f>F340*'2. Emissions Units &amp; Activities'!$I$36</f>
        <v>2.2376122048997451E-4</v>
      </c>
      <c r="L340" s="263">
        <f t="shared" si="40"/>
        <v>2.2376122048997451E-4</v>
      </c>
      <c r="M340" s="116">
        <f>G340*'2. Emissions Units &amp; Activities'!$K$36</f>
        <v>1.1638617454340919E-6</v>
      </c>
      <c r="N340" s="116">
        <f>G340*'2. Emissions Units &amp; Activities'!$L$36</f>
        <v>1.1638617454340919E-6</v>
      </c>
      <c r="O340" s="263">
        <f t="shared" si="41"/>
        <v>1.1638617454340919E-6</v>
      </c>
    </row>
    <row r="341" spans="1:15" x14ac:dyDescent="0.25">
      <c r="A341" s="125" t="s">
        <v>1237</v>
      </c>
      <c r="B341" s="128" t="s">
        <v>147</v>
      </c>
      <c r="C341" s="123" t="str">
        <f>IFERROR(IF(B341="No CAS","",INDEX('DEQ Pollutant List'!$B$7:$B$611,MATCH('3. Pollutant Emissions - EF'!B341,'DEQ Pollutant List'!$A$7:$A$611,0))),"")</f>
        <v>Cobalt and compounds</v>
      </c>
      <c r="D341" s="151" t="str">
        <f>IFERROR(IF(OR($B341="",$B341="No CAS"),INDEX('DEQ Pollutant List'!$A$7:$A$611,MATCH($C341,'DEQ Pollutant List'!$C$7:$C$611,0)),INDEX('DEQ Pollutant List'!$A$7:$A$611,MATCH($B341,'DEQ Pollutant List'!$B$7:$B$611,0))),"")</f>
        <v/>
      </c>
      <c r="E341" s="126">
        <v>0.67519999999999991</v>
      </c>
      <c r="F341" s="273">
        <f>'Unpaved Roads'!G55</f>
        <v>9.3659567176168954E-8</v>
      </c>
      <c r="G341" s="129">
        <f>'Unpaved Roads'!E55</f>
        <v>1.2490223609536596E-7</v>
      </c>
      <c r="H341" s="115" t="s">
        <v>509</v>
      </c>
      <c r="I341" s="117" t="s">
        <v>1294</v>
      </c>
      <c r="J341" s="116">
        <f>F341*'2. Emissions Units &amp; Activities'!$H$36</f>
        <v>1.5094622857682004E-4</v>
      </c>
      <c r="K341" s="291">
        <f>F341*'2. Emissions Units &amp; Activities'!$I$36</f>
        <v>2.7970152561246819E-4</v>
      </c>
      <c r="L341" s="263">
        <f t="shared" si="40"/>
        <v>2.7970152561246819E-4</v>
      </c>
      <c r="M341" s="116">
        <f>G341*'2. Emissions Units &amp; Activities'!$K$36</f>
        <v>1.4548271817926149E-6</v>
      </c>
      <c r="N341" s="116">
        <f>G341*'2. Emissions Units &amp; Activities'!$L$36</f>
        <v>1.4548271817926149E-6</v>
      </c>
      <c r="O341" s="263">
        <f t="shared" si="41"/>
        <v>1.4548271817926149E-6</v>
      </c>
    </row>
    <row r="342" spans="1:15" x14ac:dyDescent="0.25">
      <c r="A342" s="125" t="s">
        <v>1237</v>
      </c>
      <c r="B342" s="128" t="s">
        <v>205</v>
      </c>
      <c r="C342" s="123" t="str">
        <f>IFERROR(IF(B342="No CAS","",INDEX('DEQ Pollutant List'!$B$7:$B$611,MATCH('3. Pollutant Emissions - EF'!B342,'DEQ Pollutant List'!$A$7:$A$611,0))),"")</f>
        <v>Copper and compounds</v>
      </c>
      <c r="D342" s="151" t="str">
        <f>IFERROR(IF(OR($B342="",$B342="No CAS"),INDEX('DEQ Pollutant List'!$A$7:$A$611,MATCH($C342,'DEQ Pollutant List'!$C$7:$C$611,0)),INDEX('DEQ Pollutant List'!$A$7:$A$611,MATCH($B342,'DEQ Pollutant List'!$B$7:$B$611,0))),"")</f>
        <v/>
      </c>
      <c r="E342" s="126">
        <v>0.67519999999999991</v>
      </c>
      <c r="F342" s="273">
        <f>'Unpaved Roads'!G56</f>
        <v>4.8702974931607862E-6</v>
      </c>
      <c r="G342" s="129">
        <f>'Unpaved Roads'!E56</f>
        <v>6.4949162769590315E-6</v>
      </c>
      <c r="H342" s="115" t="s">
        <v>509</v>
      </c>
      <c r="I342" s="117" t="s">
        <v>1294</v>
      </c>
      <c r="J342" s="116">
        <f>F342*'2. Emissions Units &amp; Activities'!$H$36</f>
        <v>7.849203885994643E-3</v>
      </c>
      <c r="K342" s="291">
        <f>F342*'2. Emissions Units &amp; Activities'!$I$36</f>
        <v>1.4544479331848348E-2</v>
      </c>
      <c r="L342" s="263">
        <f t="shared" si="40"/>
        <v>1.4544479331848348E-2</v>
      </c>
      <c r="M342" s="116">
        <f>G342*'2. Emissions Units &amp; Activities'!$K$36</f>
        <v>7.5651013453215997E-5</v>
      </c>
      <c r="N342" s="116">
        <f>G342*'2. Emissions Units &amp; Activities'!$L$36</f>
        <v>7.5651013453215997E-5</v>
      </c>
      <c r="O342" s="263">
        <f t="shared" si="41"/>
        <v>7.5651013453215997E-5</v>
      </c>
    </row>
    <row r="343" spans="1:15" x14ac:dyDescent="0.25">
      <c r="A343" s="125" t="s">
        <v>1237</v>
      </c>
      <c r="B343" s="128" t="s">
        <v>55</v>
      </c>
      <c r="C343" s="123" t="str">
        <f>IFERROR(IF(B343="No CAS","",INDEX('DEQ Pollutant List'!$B$7:$B$611,MATCH('3. Pollutant Emissions - EF'!B343,'DEQ Pollutant List'!$A$7:$A$611,0))),"")</f>
        <v>Chromium VI, chromate and dichromate particulate</v>
      </c>
      <c r="D343" s="151" t="str">
        <f>IFERROR(IF(OR($B343="",$B343="No CAS"),INDEX('DEQ Pollutant List'!$A$7:$A$611,MATCH($C343,'DEQ Pollutant List'!$C$7:$C$611,0)),INDEX('DEQ Pollutant List'!$A$7:$A$611,MATCH($B343,'DEQ Pollutant List'!$B$7:$B$611,0))),"")</f>
        <v/>
      </c>
      <c r="E343" s="126">
        <v>0.67519999999999991</v>
      </c>
      <c r="F343" s="273">
        <f>'Unpaved Roads'!G57</f>
        <v>7.4609211212536185E-6</v>
      </c>
      <c r="G343" s="129">
        <f>'Unpaved Roads'!E57</f>
        <v>9.9497121273568536E-6</v>
      </c>
      <c r="H343" s="115" t="s">
        <v>509</v>
      </c>
      <c r="I343" s="117" t="s">
        <v>1294</v>
      </c>
      <c r="J343" s="116">
        <f>F343*'2. Emissions Units &amp; Activities'!$H$36</f>
        <v>1.2024376568429484E-2</v>
      </c>
      <c r="K343" s="291">
        <f>F343*'2. Emissions Units &amp; Activities'!$I$36</f>
        <v>2.2281023530289216E-2</v>
      </c>
      <c r="L343" s="263">
        <f t="shared" si="40"/>
        <v>2.2281023530289216E-2</v>
      </c>
      <c r="M343" s="116">
        <f>G343*'2. Emissions Units &amp; Activities'!$K$36</f>
        <v>1.1589153330159972E-4</v>
      </c>
      <c r="N343" s="116">
        <f>G343*'2. Emissions Units &amp; Activities'!$L$36</f>
        <v>1.1589153330159972E-4</v>
      </c>
      <c r="O343" s="263">
        <f t="shared" si="41"/>
        <v>1.1589153330159972E-4</v>
      </c>
    </row>
    <row r="344" spans="1:15" x14ac:dyDescent="0.25">
      <c r="A344" s="125" t="s">
        <v>1237</v>
      </c>
      <c r="B344" s="128" t="s">
        <v>309</v>
      </c>
      <c r="C344" s="123" t="str">
        <f>IFERROR(IF(B344="No CAS","",INDEX('DEQ Pollutant List'!$B$7:$B$611,MATCH('3. Pollutant Emissions - EF'!B344,'DEQ Pollutant List'!$A$7:$A$611,0))),"")</f>
        <v>Mercury and compounds</v>
      </c>
      <c r="D344" s="151" t="str">
        <f>IFERROR(IF(OR($B344="",$B344="No CAS"),INDEX('DEQ Pollutant List'!$A$7:$A$611,MATCH($C344,'DEQ Pollutant List'!$C$7:$C$611,0)),INDEX('DEQ Pollutant List'!$A$7:$A$611,MATCH($B344,'DEQ Pollutant List'!$B$7:$B$611,0))),"")</f>
        <v/>
      </c>
      <c r="E344" s="126">
        <v>0.67519999999999991</v>
      </c>
      <c r="F344" s="273">
        <f>'Unpaved Roads'!G58</f>
        <v>1.8731913435233785E-8</v>
      </c>
      <c r="G344" s="129">
        <f>'Unpaved Roads'!E58</f>
        <v>2.4980447219073193E-8</v>
      </c>
      <c r="H344" s="115" t="s">
        <v>509</v>
      </c>
      <c r="I344" s="117" t="s">
        <v>1294</v>
      </c>
      <c r="J344" s="116">
        <f>F344*'2. Emissions Units &amp; Activities'!$H$36</f>
        <v>3.0189245715363999E-5</v>
      </c>
      <c r="K344" s="291">
        <f>F344*'2. Emissions Units &amp; Activities'!$I$36</f>
        <v>5.5940305122493626E-5</v>
      </c>
      <c r="L344" s="263">
        <f t="shared" si="40"/>
        <v>5.5940305122493626E-5</v>
      </c>
      <c r="M344" s="116">
        <f>G344*'2. Emissions Units &amp; Activities'!$K$36</f>
        <v>2.9096543635852298E-7</v>
      </c>
      <c r="N344" s="116">
        <f>G344*'2. Emissions Units &amp; Activities'!$L$36</f>
        <v>2.9096543635852298E-7</v>
      </c>
      <c r="O344" s="263">
        <f t="shared" si="41"/>
        <v>2.9096543635852298E-7</v>
      </c>
    </row>
    <row r="345" spans="1:15" x14ac:dyDescent="0.25">
      <c r="A345" s="125" t="s">
        <v>1237</v>
      </c>
      <c r="B345" s="128" t="s">
        <v>181</v>
      </c>
      <c r="C345" s="123" t="str">
        <f>IFERROR(IF(B345="No CAS","",INDEX('DEQ Pollutant List'!$B$7:$B$611,MATCH('3. Pollutant Emissions - EF'!B345,'DEQ Pollutant List'!$A$7:$A$611,0))),"")</f>
        <v>Manganese and compounds</v>
      </c>
      <c r="D345" s="151" t="str">
        <f>IFERROR(IF(OR($B345="",$B345="No CAS"),INDEX('DEQ Pollutant List'!$A$7:$A$611,MATCH($C345,'DEQ Pollutant List'!$C$7:$C$611,0)),INDEX('DEQ Pollutant List'!$A$7:$A$611,MATCH($B345,'DEQ Pollutant List'!$B$7:$B$611,0))),"")</f>
        <v/>
      </c>
      <c r="E345" s="126">
        <v>0.67519999999999991</v>
      </c>
      <c r="F345" s="273">
        <f>'Unpaved Roads'!G59</f>
        <v>4.7110762289612971E-4</v>
      </c>
      <c r="G345" s="129">
        <f>'Unpaved Roads'!E59</f>
        <v>6.2825824755969066E-4</v>
      </c>
      <c r="H345" s="115" t="s">
        <v>509</v>
      </c>
      <c r="I345" s="117" t="s">
        <v>1294</v>
      </c>
      <c r="J345" s="116">
        <f>F345*'2. Emissions Units &amp; Activities'!$H$36</f>
        <v>0.75925952974140465</v>
      </c>
      <c r="K345" s="291">
        <f>F345*'2. Emissions Units &amp; Activities'!$I$36</f>
        <v>1.4068986738307148</v>
      </c>
      <c r="L345" s="263">
        <f t="shared" si="40"/>
        <v>1.4068986738307148</v>
      </c>
      <c r="M345" s="116">
        <f>G345*'2. Emissions Units &amp; Activities'!$K$36</f>
        <v>7.3177807244168514E-3</v>
      </c>
      <c r="N345" s="116">
        <f>G345*'2. Emissions Units &amp; Activities'!$L$36</f>
        <v>7.3177807244168514E-3</v>
      </c>
      <c r="O345" s="263">
        <f t="shared" si="41"/>
        <v>7.3177807244168514E-3</v>
      </c>
    </row>
    <row r="346" spans="1:15" x14ac:dyDescent="0.25">
      <c r="A346" s="125" t="s">
        <v>1237</v>
      </c>
      <c r="B346" s="128" t="s">
        <v>66</v>
      </c>
      <c r="C346" s="123" t="str">
        <f>IFERROR(IF(B346="No CAS","",INDEX('DEQ Pollutant List'!$B$7:$B$611,MATCH('3. Pollutant Emissions - EF'!B346,'DEQ Pollutant List'!$A$7:$A$611,0))),"")</f>
        <v>Molybdenum trioxide</v>
      </c>
      <c r="D346" s="151" t="str">
        <f>IFERROR(IF(OR($B346="",$B346="No CAS"),INDEX('DEQ Pollutant List'!$A$7:$A$611,MATCH($C346,'DEQ Pollutant List'!$C$7:$C$611,0)),INDEX('DEQ Pollutant List'!$A$7:$A$611,MATCH($B346,'DEQ Pollutant List'!$B$7:$B$611,0))),"")</f>
        <v/>
      </c>
      <c r="E346" s="126">
        <v>0.67519999999999991</v>
      </c>
      <c r="F346" s="273">
        <f>'Unpaved Roads'!G60</f>
        <v>8.7061472277974712E-6</v>
      </c>
      <c r="G346" s="129">
        <f>'Unpaved Roads'!E60</f>
        <v>1.1610316909558192E-5</v>
      </c>
      <c r="H346" s="115" t="s">
        <v>509</v>
      </c>
      <c r="I346" s="117" t="s">
        <v>1294</v>
      </c>
      <c r="J346" s="116">
        <f>F346*'2. Emissions Units &amp; Activities'!$H$36</f>
        <v>1.4031242392981551E-2</v>
      </c>
      <c r="K346" s="291">
        <f>F346*'2. Emissions Units &amp; Activities'!$I$36</f>
        <v>2.5999721493922448E-2</v>
      </c>
      <c r="L346" s="263">
        <f t="shared" si="40"/>
        <v>2.5999721493922448E-2</v>
      </c>
      <c r="M346" s="116">
        <f>G346*'2. Emissions Units &amp; Activities'!$K$36</f>
        <v>1.3523380491246758E-4</v>
      </c>
      <c r="N346" s="116">
        <f>G346*'2. Emissions Units &amp; Activities'!$L$36</f>
        <v>1.3523380491246758E-4</v>
      </c>
      <c r="O346" s="263">
        <f t="shared" si="41"/>
        <v>1.3523380491246758E-4</v>
      </c>
    </row>
    <row r="347" spans="1:15" x14ac:dyDescent="0.25">
      <c r="A347" s="125" t="s">
        <v>1237</v>
      </c>
      <c r="B347" s="128" t="s">
        <v>212</v>
      </c>
      <c r="C347" s="123" t="str">
        <f>IFERROR(IF(B347="No CAS","",INDEX('DEQ Pollutant List'!$B$7:$B$611,MATCH('3. Pollutant Emissions - EF'!B347,'DEQ Pollutant List'!$A$7:$A$611,0))),"")</f>
        <v>Nickel and compounds</v>
      </c>
      <c r="D347" s="151" t="str">
        <f>IFERROR(IF(OR($B347="",$B347="No CAS"),INDEX('DEQ Pollutant List'!$A$7:$A$611,MATCH($C347,'DEQ Pollutant List'!$C$7:$C$611,0)),INDEX('DEQ Pollutant List'!$A$7:$A$611,MATCH($B347,'DEQ Pollutant List'!$B$7:$B$611,0))),"")</f>
        <v/>
      </c>
      <c r="E347" s="126">
        <v>0.67519999999999991</v>
      </c>
      <c r="F347" s="273">
        <f>'Unpaved Roads'!G61</f>
        <v>1.8731913435233786E-6</v>
      </c>
      <c r="G347" s="129">
        <f>'Unpaved Roads'!E61</f>
        <v>2.4980447219073188E-6</v>
      </c>
      <c r="H347" s="115" t="s">
        <v>509</v>
      </c>
      <c r="I347" s="117" t="s">
        <v>1294</v>
      </c>
      <c r="J347" s="116">
        <f>F347*'2. Emissions Units &amp; Activities'!$H$36</f>
        <v>3.0189245715364003E-3</v>
      </c>
      <c r="K347" s="291">
        <f>F347*'2. Emissions Units &amp; Activities'!$I$36</f>
        <v>5.5940305122493626E-3</v>
      </c>
      <c r="L347" s="263">
        <f t="shared" si="40"/>
        <v>5.5940305122493626E-3</v>
      </c>
      <c r="M347" s="116">
        <f>G347*'2. Emissions Units &amp; Activities'!$K$36</f>
        <v>2.9096543635852295E-5</v>
      </c>
      <c r="N347" s="116">
        <f>G347*'2. Emissions Units &amp; Activities'!$L$36</f>
        <v>2.9096543635852295E-5</v>
      </c>
      <c r="O347" s="263">
        <f t="shared" si="41"/>
        <v>2.9096543635852295E-5</v>
      </c>
    </row>
    <row r="348" spans="1:15" x14ac:dyDescent="0.25">
      <c r="A348" s="125" t="s">
        <v>1237</v>
      </c>
      <c r="B348" s="128" t="s">
        <v>310</v>
      </c>
      <c r="C348" s="123" t="str">
        <f>IFERROR(IF(B348="No CAS","",INDEX('DEQ Pollutant List'!$B$7:$B$611,MATCH('3. Pollutant Emissions - EF'!B348,'DEQ Pollutant List'!$A$7:$A$611,0))),"")</f>
        <v>Lead and compounds</v>
      </c>
      <c r="D348" s="151" t="str">
        <f>IFERROR(IF(OR($B348="",$B348="No CAS"),INDEX('DEQ Pollutant List'!$A$7:$A$611,MATCH($C348,'DEQ Pollutant List'!$C$7:$C$611,0)),INDEX('DEQ Pollutant List'!$A$7:$A$611,MATCH($B348,'DEQ Pollutant List'!$B$7:$B$611,0))),"")</f>
        <v/>
      </c>
      <c r="E348" s="126">
        <v>0.67519999999999991</v>
      </c>
      <c r="F348" s="273">
        <f>'Unpaved Roads'!G62</f>
        <v>2.3414891794042234E-5</v>
      </c>
      <c r="G348" s="129">
        <f>'Unpaved Roads'!E62</f>
        <v>3.1225559023841493E-5</v>
      </c>
      <c r="H348" s="115" t="s">
        <v>509</v>
      </c>
      <c r="I348" s="117" t="s">
        <v>1294</v>
      </c>
      <c r="J348" s="116">
        <f>F348*'2. Emissions Units &amp; Activities'!$H$36</f>
        <v>3.7736557144205006E-2</v>
      </c>
      <c r="K348" s="291">
        <f>F348*'2. Emissions Units &amp; Activities'!$I$36</f>
        <v>6.9925381403117035E-2</v>
      </c>
      <c r="L348" s="263">
        <f t="shared" si="40"/>
        <v>6.9925381403117035E-2</v>
      </c>
      <c r="M348" s="116">
        <f>G348*'2. Emissions Units &amp; Activities'!$K$36</f>
        <v>3.6370679544815379E-4</v>
      </c>
      <c r="N348" s="116">
        <f>G348*'2. Emissions Units &amp; Activities'!$L$36</f>
        <v>3.6370679544815379E-4</v>
      </c>
      <c r="O348" s="263">
        <f t="shared" si="41"/>
        <v>3.6370679544815379E-4</v>
      </c>
    </row>
    <row r="349" spans="1:15" x14ac:dyDescent="0.25">
      <c r="A349" s="125" t="s">
        <v>1237</v>
      </c>
      <c r="B349" s="128" t="s">
        <v>311</v>
      </c>
      <c r="C349" s="123" t="str">
        <f>IFERROR(IF(B349="No CAS","",INDEX('DEQ Pollutant List'!$B$7:$B$611,MATCH('3. Pollutant Emissions - EF'!B349,'DEQ Pollutant List'!$A$7:$A$611,0))),"")</f>
        <v>Antimony and compounds</v>
      </c>
      <c r="D349" s="151" t="str">
        <f>IFERROR(IF(OR($B349="",$B349="No CAS"),INDEX('DEQ Pollutant List'!$A$7:$A$611,MATCH($C349,'DEQ Pollutant List'!$C$7:$C$611,0)),INDEX('DEQ Pollutant List'!$A$7:$A$611,MATCH($B349,'DEQ Pollutant List'!$B$7:$B$611,0))),"")</f>
        <v/>
      </c>
      <c r="E349" s="126">
        <v>0.67519999999999991</v>
      </c>
      <c r="F349" s="273">
        <f>'Unpaved Roads'!G63</f>
        <v>3.4654039855182502E-7</v>
      </c>
      <c r="G349" s="129">
        <f>'Unpaved Roads'!E63</f>
        <v>4.6213827355285397E-7</v>
      </c>
      <c r="H349" s="115" t="s">
        <v>509</v>
      </c>
      <c r="I349" s="117" t="s">
        <v>1294</v>
      </c>
      <c r="J349" s="116">
        <f>F349*'2. Emissions Units &amp; Activities'!$H$36</f>
        <v>5.5850104573423398E-4</v>
      </c>
      <c r="K349" s="291">
        <f>F349*'2. Emissions Units &amp; Activities'!$I$36</f>
        <v>1.0348956447661321E-3</v>
      </c>
      <c r="L349" s="263">
        <f t="shared" si="40"/>
        <v>1.0348956447661321E-3</v>
      </c>
      <c r="M349" s="116">
        <f>G349*'2. Emissions Units &amp; Activities'!$K$36</f>
        <v>5.3828605726326746E-6</v>
      </c>
      <c r="N349" s="116">
        <f>G349*'2. Emissions Units &amp; Activities'!$L$36</f>
        <v>5.3828605726326746E-6</v>
      </c>
      <c r="O349" s="263">
        <f t="shared" si="41"/>
        <v>5.3828605726326746E-6</v>
      </c>
    </row>
    <row r="350" spans="1:15" x14ac:dyDescent="0.25">
      <c r="A350" s="125" t="s">
        <v>1237</v>
      </c>
      <c r="B350" s="128" t="s">
        <v>312</v>
      </c>
      <c r="C350" s="123" t="str">
        <f>IFERROR(IF(B350="No CAS","",INDEX('DEQ Pollutant List'!$B$7:$B$611,MATCH('3. Pollutant Emissions - EF'!B350,'DEQ Pollutant List'!$A$7:$A$611,0))),"")</f>
        <v>Selenium and compounds</v>
      </c>
      <c r="D350" s="151" t="str">
        <f>IFERROR(IF(OR($B350="",$B350="No CAS"),INDEX('DEQ Pollutant List'!$A$7:$A$611,MATCH($C350,'DEQ Pollutant List'!$C$7:$C$611,0)),INDEX('DEQ Pollutant List'!$A$7:$A$611,MATCH($B350,'DEQ Pollutant List'!$B$7:$B$611,0))),"")</f>
        <v/>
      </c>
      <c r="E350" s="126">
        <v>0.67519999999999991</v>
      </c>
      <c r="F350" s="273">
        <f>'Unpaved Roads'!G64</f>
        <v>1.77953177634721E-7</v>
      </c>
      <c r="G350" s="129">
        <f>'Unpaved Roads'!E64</f>
        <v>2.3731424858119534E-7</v>
      </c>
      <c r="H350" s="115" t="s">
        <v>509</v>
      </c>
      <c r="I350" s="117" t="s">
        <v>1294</v>
      </c>
      <c r="J350" s="116">
        <f>F350*'2. Emissions Units &amp; Activities'!$H$36</f>
        <v>2.8679783429595804E-4</v>
      </c>
      <c r="K350" s="291">
        <f>F350*'2. Emissions Units &amp; Activities'!$I$36</f>
        <v>5.3143289866368956E-4</v>
      </c>
      <c r="L350" s="263">
        <f t="shared" si="40"/>
        <v>5.3143289866368956E-4</v>
      </c>
      <c r="M350" s="116">
        <f>G350*'2. Emissions Units &amp; Activities'!$K$36</f>
        <v>2.7641716454059686E-6</v>
      </c>
      <c r="N350" s="116">
        <f>G350*'2. Emissions Units &amp; Activities'!$L$36</f>
        <v>2.7641716454059686E-6</v>
      </c>
      <c r="O350" s="263">
        <f t="shared" si="41"/>
        <v>2.7641716454059686E-6</v>
      </c>
    </row>
    <row r="351" spans="1:15" x14ac:dyDescent="0.25">
      <c r="A351" s="125" t="s">
        <v>1237</v>
      </c>
      <c r="B351" s="128" t="s">
        <v>314</v>
      </c>
      <c r="C351" s="123" t="str">
        <f>IFERROR(IF(B351="No CAS","",INDEX('DEQ Pollutant List'!$B$7:$B$611,MATCH('3. Pollutant Emissions - EF'!B351,'DEQ Pollutant List'!$A$7:$A$611,0))),"")</f>
        <v>Thallium and compounds</v>
      </c>
      <c r="D351" s="151" t="str">
        <f>IFERROR(IF(OR($B351="",$B351="No CAS"),INDEX('DEQ Pollutant List'!$A$7:$A$611,MATCH($C351,'DEQ Pollutant List'!$C$7:$C$611,0)),INDEX('DEQ Pollutant List'!$A$7:$A$611,MATCH($B351,'DEQ Pollutant List'!$B$7:$B$611,0))),"")</f>
        <v/>
      </c>
      <c r="E351" s="126">
        <v>0.67519999999999991</v>
      </c>
      <c r="F351" s="273">
        <f>'Unpaved Roads'!G65</f>
        <v>4.1116549990338163E-7</v>
      </c>
      <c r="G351" s="129">
        <f>'Unpaved Roads'!E65</f>
        <v>5.4832081645865661E-7</v>
      </c>
      <c r="H351" s="115" t="s">
        <v>509</v>
      </c>
      <c r="I351" s="117" t="s">
        <v>1294</v>
      </c>
      <c r="J351" s="116">
        <f>F351*'2. Emissions Units &amp; Activities'!$H$36</f>
        <v>6.6265394345223986E-4</v>
      </c>
      <c r="K351" s="291">
        <f>F351*'2. Emissions Units &amp; Activities'!$I$36</f>
        <v>1.2278896974387353E-3</v>
      </c>
      <c r="L351" s="263">
        <f t="shared" si="40"/>
        <v>1.2278896974387353E-3</v>
      </c>
      <c r="M351" s="116">
        <f>G351*'2. Emissions Units &amp; Activities'!$K$36</f>
        <v>6.3866913280695804E-6</v>
      </c>
      <c r="N351" s="116">
        <f>G351*'2. Emissions Units &amp; Activities'!$L$36</f>
        <v>6.3866913280695804E-6</v>
      </c>
      <c r="O351" s="263">
        <f t="shared" si="41"/>
        <v>6.3866913280695804E-6</v>
      </c>
    </row>
    <row r="352" spans="1:15" x14ac:dyDescent="0.25">
      <c r="A352" s="125" t="s">
        <v>1237</v>
      </c>
      <c r="B352" s="128" t="s">
        <v>315</v>
      </c>
      <c r="C352" s="123" t="str">
        <f>IFERROR(IF(B352="No CAS","",INDEX('DEQ Pollutant List'!$B$7:$B$611,MATCH('3. Pollutant Emissions - EF'!B352,'DEQ Pollutant List'!$A$7:$A$611,0))),"")</f>
        <v>Zinc and compounds</v>
      </c>
      <c r="D352" s="151" t="str">
        <f>IFERROR(IF(OR($B352="",$B352="No CAS"),INDEX('DEQ Pollutant List'!$A$7:$A$611,MATCH($C352,'DEQ Pollutant List'!$C$7:$C$611,0)),INDEX('DEQ Pollutant List'!$A$7:$A$611,MATCH($B352,'DEQ Pollutant List'!$B$7:$B$611,0))),"")</f>
        <v/>
      </c>
      <c r="E352" s="126">
        <v>0.67519999999999991</v>
      </c>
      <c r="F352" s="273">
        <f>'Unpaved Roads'!G66</f>
        <v>2.8097870152850685E-5</v>
      </c>
      <c r="G352" s="129">
        <f>'Unpaved Roads'!E66</f>
        <v>3.7470670828609789E-5</v>
      </c>
      <c r="H352" s="115" t="s">
        <v>509</v>
      </c>
      <c r="I352" s="117" t="s">
        <v>1294</v>
      </c>
      <c r="J352" s="116">
        <f>F352*'2. Emissions Units &amp; Activities'!$H$36</f>
        <v>4.5283868573046011E-2</v>
      </c>
      <c r="K352" s="291">
        <f>F352*'2. Emissions Units &amp; Activities'!$I$36</f>
        <v>8.3910457683740461E-2</v>
      </c>
      <c r="L352" s="263">
        <f t="shared" si="40"/>
        <v>8.3910457683740461E-2</v>
      </c>
      <c r="M352" s="116">
        <f>G352*'2. Emissions Units &amp; Activities'!$K$36</f>
        <v>4.3644815453778451E-4</v>
      </c>
      <c r="N352" s="116">
        <f>G352*'2. Emissions Units &amp; Activities'!$L$36</f>
        <v>4.3644815453778451E-4</v>
      </c>
      <c r="O352" s="263">
        <f t="shared" si="41"/>
        <v>4.3644815453778451E-4</v>
      </c>
    </row>
    <row r="353" spans="1:15" x14ac:dyDescent="0.25">
      <c r="A353" s="125" t="s">
        <v>1237</v>
      </c>
      <c r="B353" s="128" t="s">
        <v>142</v>
      </c>
      <c r="C353" s="123" t="str">
        <f>IFERROR(IF(B353="No CAS","",INDEX('DEQ Pollutant List'!$B$7:$B$611,MATCH('3. Pollutant Emissions - EF'!B353,'DEQ Pollutant List'!$A$7:$A$611,0))),"")</f>
        <v>Barium and compounds</v>
      </c>
      <c r="D353" s="151" t="str">
        <f>IFERROR(IF(OR($B353="",$B353="No CAS"),INDEX('DEQ Pollutant List'!$A$7:$A$611,MATCH($C353,'DEQ Pollutant List'!$C$7:$C$611,0)),INDEX('DEQ Pollutant List'!$A$7:$A$611,MATCH($B353,'DEQ Pollutant List'!$B$7:$B$611,0))),"")</f>
        <v/>
      </c>
      <c r="E353" s="126">
        <v>0.67519999999999991</v>
      </c>
      <c r="F353" s="273">
        <f>'Unpaved Roads'!G67</f>
        <v>1.8731913435233788E-4</v>
      </c>
      <c r="G353" s="129">
        <f>'Unpaved Roads'!E67</f>
        <v>2.4980447219073195E-4</v>
      </c>
      <c r="H353" s="115" t="s">
        <v>509</v>
      </c>
      <c r="I353" s="117" t="s">
        <v>1294</v>
      </c>
      <c r="J353" s="116">
        <f>F353*'2. Emissions Units &amp; Activities'!$H$36</f>
        <v>0.30189245715364005</v>
      </c>
      <c r="K353" s="291">
        <f>F353*'2. Emissions Units &amp; Activities'!$I$36</f>
        <v>0.55940305122493628</v>
      </c>
      <c r="L353" s="263">
        <f t="shared" si="40"/>
        <v>0.55940305122493628</v>
      </c>
      <c r="M353" s="116">
        <f>G353*'2. Emissions Units &amp; Activities'!$K$36</f>
        <v>2.9096543635852303E-3</v>
      </c>
      <c r="N353" s="116">
        <f>G353*'2. Emissions Units &amp; Activities'!$L$36</f>
        <v>2.9096543635852303E-3</v>
      </c>
      <c r="O353" s="263">
        <f t="shared" si="41"/>
        <v>2.9096543635852303E-3</v>
      </c>
    </row>
    <row r="354" spans="1:15" x14ac:dyDescent="0.25">
      <c r="A354" s="125" t="s">
        <v>1237</v>
      </c>
      <c r="B354" s="128">
        <v>504</v>
      </c>
      <c r="C354" s="123" t="str">
        <f>IFERROR(IF(B354="No CAS","",INDEX('DEQ Pollutant List'!$B$7:$B$611,MATCH('3. Pollutant Emissions - EF'!B354,'DEQ Pollutant List'!$A$7:$A$611,0))),"")</f>
        <v>Phosphorus and compounds</v>
      </c>
      <c r="D354" s="151" t="str">
        <f>IFERROR(IF(OR($B354="",$B354="No CAS"),INDEX('DEQ Pollutant List'!$A$7:$A$611,MATCH($C354,'DEQ Pollutant List'!$C$7:$C$611,0)),INDEX('DEQ Pollutant List'!$A$7:$A$611,MATCH($B354,'DEQ Pollutant List'!$B$7:$B$611,0))),"")</f>
        <v/>
      </c>
      <c r="E354" s="126">
        <v>0.67519999999999991</v>
      </c>
      <c r="F354" s="273">
        <f>'Unpaved Roads'!G68</f>
        <v>3.0907657168135753E-5</v>
      </c>
      <c r="G354" s="129">
        <f>'Unpaved Roads'!E68</f>
        <v>4.1217737911470773E-5</v>
      </c>
      <c r="H354" s="115" t="s">
        <v>509</v>
      </c>
      <c r="I354" s="117" t="s">
        <v>1294</v>
      </c>
      <c r="J354" s="116">
        <f>F354*'2. Emissions Units &amp; Activities'!$H$36</f>
        <v>4.9812255430350609E-2</v>
      </c>
      <c r="K354" s="291">
        <f>F354*'2. Emissions Units &amp; Activities'!$I$36</f>
        <v>9.2301503452114506E-2</v>
      </c>
      <c r="L354" s="263">
        <f t="shared" si="40"/>
        <v>9.2301503452114506E-2</v>
      </c>
      <c r="M354" s="116">
        <f>G354*'2. Emissions Units &amp; Activities'!$K$36</f>
        <v>4.8009296999156303E-4</v>
      </c>
      <c r="N354" s="116">
        <f>G354*'2. Emissions Units &amp; Activities'!$L$36</f>
        <v>4.8009296999156303E-4</v>
      </c>
      <c r="O354" s="263">
        <f t="shared" si="41"/>
        <v>4.8009296999156303E-4</v>
      </c>
    </row>
    <row r="355" spans="1:15" x14ac:dyDescent="0.25">
      <c r="A355" s="125" t="s">
        <v>1237</v>
      </c>
      <c r="B355" s="128" t="s">
        <v>316</v>
      </c>
      <c r="C355" s="123" t="str">
        <f>IFERROR(IF(B355="No CAS","",INDEX('DEQ Pollutant List'!$B$7:$B$611,MATCH('3. Pollutant Emissions - EF'!B355,'DEQ Pollutant List'!$A$7:$A$611,0))),"")</f>
        <v>Phosphorus pentoxide</v>
      </c>
      <c r="D355" s="151" t="str">
        <f>IFERROR(IF(OR($B355="",$B355="No CAS"),INDEX('DEQ Pollutant List'!$A$7:$A$611,MATCH($C355,'DEQ Pollutant List'!$C$7:$C$611,0)),INDEX('DEQ Pollutant List'!$A$7:$A$611,MATCH($B355,'DEQ Pollutant List'!$B$7:$B$611,0))),"")</f>
        <v/>
      </c>
      <c r="E355" s="126">
        <v>0.67519999999999991</v>
      </c>
      <c r="F355" s="273">
        <f>'Unpaved Roads'!G69</f>
        <v>7.4927653740935148E-5</v>
      </c>
      <c r="G355" s="129">
        <f>'Unpaved Roads'!E69</f>
        <v>9.9921788876292775E-5</v>
      </c>
      <c r="H355" s="115" t="s">
        <v>509</v>
      </c>
      <c r="I355" s="117" t="s">
        <v>1294</v>
      </c>
      <c r="J355" s="116">
        <f>F355*'2. Emissions Units &amp; Activities'!$H$36</f>
        <v>0.120756982861456</v>
      </c>
      <c r="K355" s="291">
        <f>F355*'2. Emissions Units &amp; Activities'!$I$36</f>
        <v>0.22376122048997452</v>
      </c>
      <c r="L355" s="263">
        <f t="shared" si="40"/>
        <v>0.22376122048997452</v>
      </c>
      <c r="M355" s="116">
        <f>G355*'2. Emissions Units &amp; Activities'!$K$36</f>
        <v>1.163861745434092E-3</v>
      </c>
      <c r="N355" s="116">
        <f>G355*'2. Emissions Units &amp; Activities'!$L$36</f>
        <v>1.163861745434092E-3</v>
      </c>
      <c r="O355" s="263">
        <f t="shared" si="41"/>
        <v>1.163861745434092E-3</v>
      </c>
    </row>
    <row r="356" spans="1:15" x14ac:dyDescent="0.25">
      <c r="A356" s="125" t="s">
        <v>1237</v>
      </c>
      <c r="B356" s="128" t="s">
        <v>183</v>
      </c>
      <c r="C356" s="123" t="str">
        <f>IFERROR(IF(B356="No CAS","",INDEX('DEQ Pollutant List'!$B$7:$B$611,MATCH('3. Pollutant Emissions - EF'!B356,'DEQ Pollutant List'!$A$7:$A$611,0))),"")</f>
        <v>Silica, crystalline (respirable)</v>
      </c>
      <c r="D356" s="151" t="str">
        <f>IFERROR(IF(OR($B356="",$B356="No CAS"),INDEX('DEQ Pollutant List'!$A$7:$A$611,MATCH($C356,'DEQ Pollutant List'!$C$7:$C$611,0)),INDEX('DEQ Pollutant List'!$A$7:$A$611,MATCH($B356,'DEQ Pollutant List'!$B$7:$B$611,0))),"")</f>
        <v/>
      </c>
      <c r="E356" s="126">
        <v>0.67519999999999991</v>
      </c>
      <c r="F356" s="273">
        <f>'Unpaved Roads'!G70</f>
        <v>3.4902237708199356E-2</v>
      </c>
      <c r="G356" s="129">
        <f>'Unpaved Roads'!E70</f>
        <v>4.6544818280938129E-2</v>
      </c>
      <c r="H356" s="115" t="s">
        <v>509</v>
      </c>
      <c r="I356" s="117" t="s">
        <v>1294</v>
      </c>
      <c r="J356" s="116">
        <f>F356*'2. Emissions Units &amp; Activities'!$H$36</f>
        <v>56.250112079151982</v>
      </c>
      <c r="K356" s="291">
        <f>F356*'2. Emissions Units &amp; Activities'!$I$36</f>
        <v>104.23077351948626</v>
      </c>
      <c r="L356" s="263">
        <f t="shared" si="40"/>
        <v>104.23077351948626</v>
      </c>
      <c r="M356" s="116">
        <f>G356*'2. Emissions Units &amp; Activities'!$K$36</f>
        <v>0.542141349295018</v>
      </c>
      <c r="N356" s="116">
        <f>G356*'2. Emissions Units &amp; Activities'!$L$36</f>
        <v>0.542141349295018</v>
      </c>
      <c r="O356" s="263">
        <f t="shared" si="41"/>
        <v>0.542141349295018</v>
      </c>
    </row>
    <row r="357" spans="1:15" x14ac:dyDescent="0.25">
      <c r="A357" s="125" t="s">
        <v>1237</v>
      </c>
      <c r="B357" s="128" t="s">
        <v>317</v>
      </c>
      <c r="C357" s="123" t="str">
        <f>IFERROR(IF(B357="No CAS","",INDEX('DEQ Pollutant List'!$B$7:$B$611,MATCH('3. Pollutant Emissions - EF'!B357,'DEQ Pollutant List'!$A$7:$A$611,0))),"")</f>
        <v>Sulfur trioxide</v>
      </c>
      <c r="D357" s="151" t="str">
        <f>IFERROR(IF(OR($B357="",$B357="No CAS"),INDEX('DEQ Pollutant List'!$A$7:$A$611,MATCH($C357,'DEQ Pollutant List'!$C$7:$C$611,0)),INDEX('DEQ Pollutant List'!$A$7:$A$611,MATCH($B357,'DEQ Pollutant List'!$B$7:$B$611,0))),"")</f>
        <v/>
      </c>
      <c r="E357" s="126">
        <v>0.67519999999999991</v>
      </c>
      <c r="F357" s="273">
        <f>'Unpaved Roads'!G71</f>
        <v>2.3414891794042234E-5</v>
      </c>
      <c r="G357" s="129">
        <f>'Unpaved Roads'!E71</f>
        <v>3.1225559023841493E-5</v>
      </c>
      <c r="H357" s="115" t="s">
        <v>509</v>
      </c>
      <c r="I357" s="117" t="s">
        <v>1294</v>
      </c>
      <c r="J357" s="116">
        <f>F357*'2. Emissions Units &amp; Activities'!$H$36</f>
        <v>3.7736557144205006E-2</v>
      </c>
      <c r="K357" s="291">
        <f>F357*'2. Emissions Units &amp; Activities'!$I$36</f>
        <v>6.9925381403117035E-2</v>
      </c>
      <c r="L357" s="263">
        <f t="shared" si="40"/>
        <v>6.9925381403117035E-2</v>
      </c>
      <c r="M357" s="116">
        <f>G357*'2. Emissions Units &amp; Activities'!$K$36</f>
        <v>3.6370679544815379E-4</v>
      </c>
      <c r="N357" s="116">
        <f>G357*'2. Emissions Units &amp; Activities'!$L$36</f>
        <v>3.6370679544815379E-4</v>
      </c>
      <c r="O357" s="263">
        <f t="shared" si="41"/>
        <v>3.6370679544815379E-4</v>
      </c>
    </row>
    <row r="358" spans="1:15" ht="15.75" thickBot="1" x14ac:dyDescent="0.3">
      <c r="A358" s="198" t="s">
        <v>1237</v>
      </c>
      <c r="B358" s="128" t="s">
        <v>318</v>
      </c>
      <c r="C358" s="123" t="str">
        <f>IFERROR(IF(B358="No CAS","",INDEX('DEQ Pollutant List'!$B$7:$B$611,MATCH('3. Pollutant Emissions - EF'!B358,'DEQ Pollutant List'!$A$7:$A$611,0))),"")</f>
        <v>Vanadium pentoxide</v>
      </c>
      <c r="D358" s="151" t="str">
        <f>IFERROR(IF(OR($B358="",$B358="No CAS"),INDEX('DEQ Pollutant List'!$A$7:$A$611,MATCH($C358,'DEQ Pollutant List'!$C$7:$C$611,0)),INDEX('DEQ Pollutant List'!$A$7:$A$611,MATCH($B358,'DEQ Pollutant List'!$B$7:$B$611,0))),"")</f>
        <v/>
      </c>
      <c r="E358" s="126">
        <v>0.67519999999999991</v>
      </c>
      <c r="F358" s="273">
        <f>'Unpaved Roads'!G72</f>
        <v>2.3414891794042234E-5</v>
      </c>
      <c r="G358" s="129">
        <f>'Unpaved Roads'!E72</f>
        <v>3.1225559023841493E-5</v>
      </c>
      <c r="H358" s="115" t="s">
        <v>509</v>
      </c>
      <c r="I358" s="117" t="s">
        <v>1294</v>
      </c>
      <c r="J358" s="116">
        <f>F358*'2. Emissions Units &amp; Activities'!$H$36</f>
        <v>3.7736557144205006E-2</v>
      </c>
      <c r="K358" s="291">
        <f>F358*'2. Emissions Units &amp; Activities'!$I$36</f>
        <v>6.9925381403117035E-2</v>
      </c>
      <c r="L358" s="263">
        <f t="shared" si="40"/>
        <v>6.9925381403117035E-2</v>
      </c>
      <c r="M358" s="116">
        <f>G358*'2. Emissions Units &amp; Activities'!$K$36</f>
        <v>3.6370679544815379E-4</v>
      </c>
      <c r="N358" s="116">
        <f>G358*'2. Emissions Units &amp; Activities'!$L$36</f>
        <v>3.6370679544815379E-4</v>
      </c>
      <c r="O358" s="263">
        <f t="shared" si="41"/>
        <v>3.6370679544815379E-4</v>
      </c>
    </row>
    <row r="359" spans="1:15" x14ac:dyDescent="0.25">
      <c r="A359" s="125" t="s">
        <v>1242</v>
      </c>
      <c r="B359" s="331" t="s">
        <v>601</v>
      </c>
      <c r="C359" s="196" t="str">
        <f>IFERROR(IF(B359="No CAS","",INDEX('DEQ Pollutant List'!$B$7:$B$611,MATCH('3. Pollutant Emissions - EF'!B359,'DEQ Pollutant List'!$A$7:$A$611,0))),"")</f>
        <v>Benzene</v>
      </c>
      <c r="D359" s="332" t="s">
        <v>155</v>
      </c>
      <c r="E359" s="193">
        <v>0</v>
      </c>
      <c r="F359" s="332" t="s">
        <v>155</v>
      </c>
      <c r="G359" s="333" t="s">
        <v>155</v>
      </c>
      <c r="H359" s="334" t="s">
        <v>1295</v>
      </c>
      <c r="I359" s="335" t="s">
        <v>1296</v>
      </c>
      <c r="J359" s="336">
        <f>'Storage Tanks'!F30/2</f>
        <v>9.4736543259328343E-3</v>
      </c>
      <c r="K359" s="336">
        <f>'Storage Tanks'!F30/2</f>
        <v>9.4736543259328343E-3</v>
      </c>
      <c r="L359" s="337">
        <f>K359</f>
        <v>9.4736543259328343E-3</v>
      </c>
      <c r="M359" s="587">
        <f>'Storage Tanks'!E30/2</f>
        <v>1.258807166476007E-4</v>
      </c>
      <c r="N359" s="588">
        <f>'Storage Tanks'!E30/2</f>
        <v>1.258807166476007E-4</v>
      </c>
      <c r="O359" s="352">
        <f>N359</f>
        <v>1.258807166476007E-4</v>
      </c>
    </row>
    <row r="360" spans="1:15" x14ac:dyDescent="0.25">
      <c r="A360" s="125" t="s">
        <v>1242</v>
      </c>
      <c r="B360" s="338" t="s">
        <v>602</v>
      </c>
      <c r="C360" s="117" t="str">
        <f>IFERROR(IF(B360="No CAS","",INDEX('DEQ Pollutant List'!$B$7:$B$611,MATCH('3. Pollutant Emissions - EF'!B360,'DEQ Pollutant List'!$A$7:$A$611,0))),"")</f>
        <v>Benzo[g,h,i]perylene</v>
      </c>
      <c r="D360" s="151"/>
      <c r="E360" s="126">
        <v>0</v>
      </c>
      <c r="F360" s="339" t="s">
        <v>155</v>
      </c>
      <c r="G360" s="340" t="s">
        <v>155</v>
      </c>
      <c r="H360" s="341" t="s">
        <v>1295</v>
      </c>
      <c r="I360" s="342" t="s">
        <v>1296</v>
      </c>
      <c r="J360" s="343">
        <f>'Storage Tanks'!F31/2</f>
        <v>1.6436931293075418E-15</v>
      </c>
      <c r="K360" s="343">
        <f>'Storage Tanks'!F31/2</f>
        <v>1.6436931293075418E-15</v>
      </c>
      <c r="L360" s="289">
        <f>K360</f>
        <v>1.6436931293075418E-15</v>
      </c>
      <c r="M360" s="589">
        <f>'Storage Tanks'!E31/2</f>
        <v>1.4161580622855079E-4</v>
      </c>
      <c r="N360" s="590">
        <f>'Storage Tanks'!E31/2</f>
        <v>1.4161580622855079E-4</v>
      </c>
      <c r="O360" s="263">
        <f>N360</f>
        <v>1.4161580622855079E-4</v>
      </c>
    </row>
    <row r="361" spans="1:15" x14ac:dyDescent="0.25">
      <c r="A361" s="125" t="s">
        <v>1242</v>
      </c>
      <c r="B361" s="338" t="s">
        <v>151</v>
      </c>
      <c r="C361" s="117" t="str">
        <f>IFERROR(IF(B361="No CAS","",INDEX('DEQ Pollutant List'!$B$7:$B$611,MATCH('3. Pollutant Emissions - EF'!B361,'DEQ Pollutant List'!$A$7:$A$611,0))),"")</f>
        <v>Ethyl benzene</v>
      </c>
      <c r="D361" s="151"/>
      <c r="E361" s="126">
        <v>0</v>
      </c>
      <c r="F361" s="339" t="s">
        <v>155</v>
      </c>
      <c r="G361" s="340" t="s">
        <v>155</v>
      </c>
      <c r="H361" s="341" t="s">
        <v>1295</v>
      </c>
      <c r="I361" s="342" t="s">
        <v>1296</v>
      </c>
      <c r="J361" s="343">
        <f>'Storage Tanks'!F32/2</f>
        <v>1.3007343788254267E-2</v>
      </c>
      <c r="K361" s="343">
        <f>'Storage Tanks'!F32/2</f>
        <v>1.3007343788254267E-2</v>
      </c>
      <c r="L361" s="289">
        <f t="shared" ref="L361:L367" si="42">K361</f>
        <v>1.3007343788254267E-2</v>
      </c>
      <c r="M361" s="589">
        <f>'Storage Tanks'!E32/2</f>
        <v>2.0455616455235114E-3</v>
      </c>
      <c r="N361" s="590">
        <f>'Storage Tanks'!E32/2</f>
        <v>2.0455616455235114E-3</v>
      </c>
      <c r="O361" s="263">
        <f t="shared" ref="O361:O367" si="43">N361</f>
        <v>2.0455616455235114E-3</v>
      </c>
    </row>
    <row r="362" spans="1:15" x14ac:dyDescent="0.25">
      <c r="A362" s="125" t="s">
        <v>1242</v>
      </c>
      <c r="B362" s="338" t="s">
        <v>603</v>
      </c>
      <c r="C362" s="117" t="str">
        <f>IFERROR(IF(B362="No CAS","",INDEX('DEQ Pollutant List'!$B$7:$B$611,MATCH('3. Pollutant Emissions - EF'!B362,'DEQ Pollutant List'!$A$7:$A$611,0))),"")</f>
        <v>Hexane</v>
      </c>
      <c r="D362" s="151"/>
      <c r="E362" s="126">
        <v>0</v>
      </c>
      <c r="F362" s="339" t="s">
        <v>155</v>
      </c>
      <c r="G362" s="340" t="s">
        <v>155</v>
      </c>
      <c r="H362" s="341" t="s">
        <v>1295</v>
      </c>
      <c r="I362" s="342" t="s">
        <v>1296</v>
      </c>
      <c r="J362" s="343">
        <f>'Storage Tanks'!F33/2</f>
        <v>1.9590295939354782E-3</v>
      </c>
      <c r="K362" s="343">
        <f>'Storage Tanks'!F33/2</f>
        <v>1.9590295939354782E-3</v>
      </c>
      <c r="L362" s="289">
        <f t="shared" si="42"/>
        <v>1.9590295939354782E-3</v>
      </c>
      <c r="M362" s="589">
        <f>'Storage Tanks'!E33/2</f>
        <v>1.5735089580950087E-5</v>
      </c>
      <c r="N362" s="590">
        <f>'Storage Tanks'!E33/2</f>
        <v>1.5735089580950087E-5</v>
      </c>
      <c r="O362" s="263">
        <f t="shared" si="43"/>
        <v>1.5735089580950087E-5</v>
      </c>
    </row>
    <row r="363" spans="1:15" x14ac:dyDescent="0.25">
      <c r="A363" s="125" t="s">
        <v>1242</v>
      </c>
      <c r="B363" s="338" t="s">
        <v>604</v>
      </c>
      <c r="C363" s="117" t="str">
        <f>IFERROR(IF(B363="No CAS","",INDEX('DEQ Pollutant List'!$B$7:$B$611,MATCH('3. Pollutant Emissions - EF'!B363,'DEQ Pollutant List'!$A$7:$A$611,0))),"")</f>
        <v>Naphthalene</v>
      </c>
      <c r="D363" s="151"/>
      <c r="E363" s="126">
        <v>0</v>
      </c>
      <c r="F363" s="339" t="s">
        <v>155</v>
      </c>
      <c r="G363" s="340" t="s">
        <v>155</v>
      </c>
      <c r="H363" s="341" t="s">
        <v>1295</v>
      </c>
      <c r="I363" s="342" t="s">
        <v>1296</v>
      </c>
      <c r="J363" s="343">
        <f>'Storage Tanks'!F34/2</f>
        <v>1.6571991453800488E-3</v>
      </c>
      <c r="K363" s="343">
        <f>'Storage Tanks'!F34/2</f>
        <v>1.6571991453800488E-3</v>
      </c>
      <c r="L363" s="289">
        <f t="shared" si="42"/>
        <v>1.6571991453800488E-3</v>
      </c>
      <c r="M363" s="589">
        <f>'Storage Tanks'!E34/2</f>
        <v>1.1958668081522066E-2</v>
      </c>
      <c r="N363" s="590">
        <f>'Storage Tanks'!E34/2</f>
        <v>1.1958668081522066E-2</v>
      </c>
      <c r="O363" s="263">
        <f t="shared" si="43"/>
        <v>1.1958668081522066E-2</v>
      </c>
    </row>
    <row r="364" spans="1:15" x14ac:dyDescent="0.25">
      <c r="A364" s="125" t="s">
        <v>1242</v>
      </c>
      <c r="B364" s="338" t="s">
        <v>605</v>
      </c>
      <c r="C364" s="117" t="str">
        <f>IFERROR(IF(B364="No CAS","",INDEX('DEQ Pollutant List'!$B$7:$B$611,MATCH('3. Pollutant Emissions - EF'!B364,'DEQ Pollutant List'!$A$7:$A$611,0))),"")</f>
        <v>Chrysene</v>
      </c>
      <c r="D364" s="151"/>
      <c r="E364" s="126">
        <v>0</v>
      </c>
      <c r="F364" s="339" t="s">
        <v>155</v>
      </c>
      <c r="G364" s="340" t="s">
        <v>155</v>
      </c>
      <c r="H364" s="341" t="s">
        <v>1295</v>
      </c>
      <c r="I364" s="342" t="s">
        <v>1296</v>
      </c>
      <c r="J364" s="343">
        <f>'Storage Tanks'!F35/2</f>
        <v>3.7436861950533082E-13</v>
      </c>
      <c r="K364" s="343">
        <f>'Storage Tanks'!F35/2</f>
        <v>3.7436861950533082E-13</v>
      </c>
      <c r="L364" s="289">
        <f t="shared" si="42"/>
        <v>3.7436861950533082E-13</v>
      </c>
      <c r="M364" s="589">
        <f>'Storage Tanks'!E35/2</f>
        <v>3.6190706036185198E-4</v>
      </c>
      <c r="N364" s="590">
        <f>'Storage Tanks'!E35/2</f>
        <v>3.6190706036185198E-4</v>
      </c>
      <c r="O364" s="263">
        <f t="shared" si="43"/>
        <v>3.6190706036185198E-4</v>
      </c>
    </row>
    <row r="365" spans="1:15" x14ac:dyDescent="0.25">
      <c r="A365" s="125" t="s">
        <v>1242</v>
      </c>
      <c r="B365" s="338" t="s">
        <v>606</v>
      </c>
      <c r="C365" s="117" t="str">
        <f>IFERROR(IF(B365="No CAS","",INDEX('DEQ Pollutant List'!$B$7:$B$611,MATCH('3. Pollutant Emissions - EF'!B365,'DEQ Pollutant List'!$A$7:$A$611,0))),"")</f>
        <v>Toluene</v>
      </c>
      <c r="D365" s="151"/>
      <c r="E365" s="126">
        <v>0</v>
      </c>
      <c r="F365" s="339" t="s">
        <v>155</v>
      </c>
      <c r="G365" s="340" t="s">
        <v>155</v>
      </c>
      <c r="H365" s="341" t="s">
        <v>1295</v>
      </c>
      <c r="I365" s="342" t="s">
        <v>1296</v>
      </c>
      <c r="J365" s="343">
        <f>'Storage Tanks'!F36/2</f>
        <v>0.10472581879363071</v>
      </c>
      <c r="K365" s="343">
        <f>'Storage Tanks'!F36/2</f>
        <v>0.10472581879363071</v>
      </c>
      <c r="L365" s="289">
        <f t="shared" si="42"/>
        <v>0.10472581879363071</v>
      </c>
      <c r="M365" s="589">
        <f>'Storage Tanks'!E36/2</f>
        <v>5.0352286659040282E-3</v>
      </c>
      <c r="N365" s="590">
        <f>'Storage Tanks'!E36/2</f>
        <v>5.0352286659040282E-3</v>
      </c>
      <c r="O365" s="263">
        <f t="shared" si="43"/>
        <v>5.0352286659040282E-3</v>
      </c>
    </row>
    <row r="366" spans="1:15" x14ac:dyDescent="0.25">
      <c r="A366" s="125" t="s">
        <v>1242</v>
      </c>
      <c r="B366" s="338" t="s">
        <v>607</v>
      </c>
      <c r="C366" s="117" t="str">
        <f>IFERROR(IF(B366="No CAS","",INDEX('DEQ Pollutant List'!$B$7:$B$611,MATCH('3. Pollutant Emissions - EF'!B366,'DEQ Pollutant List'!$A$7:$A$611,0))),"")</f>
        <v>1,2,4-Trimethylbenzene</v>
      </c>
      <c r="D366" s="151"/>
      <c r="E366" s="126">
        <v>0</v>
      </c>
      <c r="F366" s="339" t="s">
        <v>155</v>
      </c>
      <c r="G366" s="340" t="s">
        <v>155</v>
      </c>
      <c r="H366" s="341" t="s">
        <v>1295</v>
      </c>
      <c r="I366" s="342" t="s">
        <v>1296</v>
      </c>
      <c r="J366" s="343">
        <f>'Storage Tanks'!F37/2</f>
        <v>3.2726818373009596</v>
      </c>
      <c r="K366" s="343">
        <f>'Storage Tanks'!F37/2</f>
        <v>3.2726818373009596</v>
      </c>
      <c r="L366" s="289">
        <f t="shared" si="42"/>
        <v>3.2726818373009596</v>
      </c>
      <c r="M366" s="589">
        <f>'Storage Tanks'!E37/2</f>
        <v>0.15735089580950087</v>
      </c>
      <c r="N366" s="590">
        <f>'Storage Tanks'!E37/2</f>
        <v>0.15735089580950087</v>
      </c>
      <c r="O366" s="263">
        <f t="shared" si="43"/>
        <v>0.15735089580950087</v>
      </c>
    </row>
    <row r="367" spans="1:15" ht="15.75" thickBot="1" x14ac:dyDescent="0.3">
      <c r="A367" s="198" t="s">
        <v>1242</v>
      </c>
      <c r="B367" s="344" t="s">
        <v>144</v>
      </c>
      <c r="C367" s="117" t="str">
        <f>IFERROR(IF(B367="No CAS","",INDEX('DEQ Pollutant List'!$B$7:$B$611,MATCH('3. Pollutant Emissions - EF'!B367,'DEQ Pollutant List'!$A$7:$A$611,0))),"")</f>
        <v>Xylene (mixture), including m-xylene, o-xylene, p-xylene</v>
      </c>
      <c r="D367" s="230"/>
      <c r="E367" s="190">
        <v>0</v>
      </c>
      <c r="F367" s="345" t="s">
        <v>155</v>
      </c>
      <c r="G367" s="346" t="s">
        <v>155</v>
      </c>
      <c r="H367" s="347" t="s">
        <v>1295</v>
      </c>
      <c r="I367" s="348" t="s">
        <v>1296</v>
      </c>
      <c r="J367" s="349">
        <f>'Storage Tanks'!F38/2</f>
        <v>0.25235380675857527</v>
      </c>
      <c r="K367" s="349">
        <f>'Storage Tanks'!F38/2</f>
        <v>0.25235380675857527</v>
      </c>
      <c r="L367" s="290">
        <f t="shared" si="42"/>
        <v>0.25235380675857527</v>
      </c>
      <c r="M367" s="591">
        <f>'Storage Tanks'!E38/2</f>
        <v>4.5631759784755248E-2</v>
      </c>
      <c r="N367" s="592">
        <f>'Storage Tanks'!E38/2</f>
        <v>4.5631759784755248E-2</v>
      </c>
      <c r="O367" s="277">
        <f t="shared" si="43"/>
        <v>4.5631759784755248E-2</v>
      </c>
    </row>
    <row r="368" spans="1:15" x14ac:dyDescent="0.25">
      <c r="A368" s="125" t="s">
        <v>1297</v>
      </c>
      <c r="B368" s="350" t="s">
        <v>601</v>
      </c>
      <c r="C368" s="196" t="str">
        <f>IFERROR(IF(B368="No CAS","",INDEX('DEQ Pollutant List'!$B$7:$B$611,MATCH('3. Pollutant Emissions - EF'!B368,'DEQ Pollutant List'!$A$7:$A$611,0))),"")</f>
        <v>Benzene</v>
      </c>
      <c r="D368" s="151"/>
      <c r="E368" s="126">
        <v>0</v>
      </c>
      <c r="F368" s="339" t="s">
        <v>155</v>
      </c>
      <c r="G368" s="340" t="s">
        <v>155</v>
      </c>
      <c r="H368" s="341" t="s">
        <v>1295</v>
      </c>
      <c r="I368" s="342" t="s">
        <v>1296</v>
      </c>
      <c r="J368" s="343">
        <f>'Storage Tanks'!F30/2</f>
        <v>9.4736543259328343E-3</v>
      </c>
      <c r="K368" s="343">
        <f>'Storage Tanks'!F30/2</f>
        <v>9.4736543259328343E-3</v>
      </c>
      <c r="L368" s="263">
        <f>K368</f>
        <v>9.4736543259328343E-3</v>
      </c>
      <c r="M368" s="116">
        <f>'Storage Tanks'!E30/2</f>
        <v>1.258807166476007E-4</v>
      </c>
      <c r="N368" s="291">
        <f>'Storage Tanks'!E30/2</f>
        <v>1.258807166476007E-4</v>
      </c>
      <c r="O368" s="263">
        <f>N368</f>
        <v>1.258807166476007E-4</v>
      </c>
    </row>
    <row r="369" spans="1:15" x14ac:dyDescent="0.25">
      <c r="A369" s="125" t="s">
        <v>1297</v>
      </c>
      <c r="B369" s="350" t="s">
        <v>602</v>
      </c>
      <c r="C369" s="117" t="str">
        <f>IFERROR(IF(B369="No CAS","",INDEX('DEQ Pollutant List'!$B$7:$B$611,MATCH('3. Pollutant Emissions - EF'!B369,'DEQ Pollutant List'!$A$7:$A$611,0))),"")</f>
        <v>Benzo[g,h,i]perylene</v>
      </c>
      <c r="D369" s="151"/>
      <c r="E369" s="126">
        <v>0</v>
      </c>
      <c r="F369" s="339" t="s">
        <v>155</v>
      </c>
      <c r="G369" s="340" t="s">
        <v>155</v>
      </c>
      <c r="H369" s="341" t="s">
        <v>1295</v>
      </c>
      <c r="I369" s="342" t="s">
        <v>1296</v>
      </c>
      <c r="J369" s="343">
        <f>'Storage Tanks'!F31/2</f>
        <v>1.6436931293075418E-15</v>
      </c>
      <c r="K369" s="343">
        <f>'Storage Tanks'!F31/2</f>
        <v>1.6436931293075418E-15</v>
      </c>
      <c r="L369" s="263">
        <f t="shared" ref="L369:L376" si="44">K369</f>
        <v>1.6436931293075418E-15</v>
      </c>
      <c r="M369" s="116">
        <f>'Storage Tanks'!E31/2</f>
        <v>1.4161580622855079E-4</v>
      </c>
      <c r="N369" s="291">
        <f>'Storage Tanks'!E31/2</f>
        <v>1.4161580622855079E-4</v>
      </c>
      <c r="O369" s="263">
        <f t="shared" ref="O369:O376" si="45">N369</f>
        <v>1.4161580622855079E-4</v>
      </c>
    </row>
    <row r="370" spans="1:15" x14ac:dyDescent="0.25">
      <c r="A370" s="125" t="s">
        <v>1297</v>
      </c>
      <c r="B370" s="350" t="s">
        <v>151</v>
      </c>
      <c r="C370" s="117" t="str">
        <f>IFERROR(IF(B370="No CAS","",INDEX('DEQ Pollutant List'!$B$7:$B$611,MATCH('3. Pollutant Emissions - EF'!B370,'DEQ Pollutant List'!$A$7:$A$611,0))),"")</f>
        <v>Ethyl benzene</v>
      </c>
      <c r="D370" s="151" t="str">
        <f>IFERROR(IF(OR($B370="",$B370="No CAS"),INDEX('DEQ Pollutant List'!$A$7:$A$611,MATCH($C370,'DEQ Pollutant List'!$C$7:$C$611,0)),INDEX('DEQ Pollutant List'!$A$7:$A$611,MATCH($B370,'DEQ Pollutant List'!$B$7:$B$611,0))),"")</f>
        <v/>
      </c>
      <c r="E370" s="126">
        <v>0</v>
      </c>
      <c r="F370" s="339" t="s">
        <v>155</v>
      </c>
      <c r="G370" s="340" t="s">
        <v>155</v>
      </c>
      <c r="H370" s="341" t="s">
        <v>1295</v>
      </c>
      <c r="I370" s="342" t="s">
        <v>1296</v>
      </c>
      <c r="J370" s="343">
        <f>'Storage Tanks'!F32/2</f>
        <v>1.3007343788254267E-2</v>
      </c>
      <c r="K370" s="343">
        <f>'Storage Tanks'!F32/2</f>
        <v>1.3007343788254267E-2</v>
      </c>
      <c r="L370" s="263">
        <f t="shared" si="44"/>
        <v>1.3007343788254267E-2</v>
      </c>
      <c r="M370" s="116">
        <f>'Storage Tanks'!E32/2</f>
        <v>2.0455616455235114E-3</v>
      </c>
      <c r="N370" s="291">
        <f>'Storage Tanks'!E32/2</f>
        <v>2.0455616455235114E-3</v>
      </c>
      <c r="O370" s="263">
        <f t="shared" si="45"/>
        <v>2.0455616455235114E-3</v>
      </c>
    </row>
    <row r="371" spans="1:15" x14ac:dyDescent="0.25">
      <c r="A371" s="125" t="s">
        <v>1297</v>
      </c>
      <c r="B371" s="350" t="s">
        <v>603</v>
      </c>
      <c r="C371" s="117" t="str">
        <f>IFERROR(IF(B371="No CAS","",INDEX('DEQ Pollutant List'!$B$7:$B$611,MATCH('3. Pollutant Emissions - EF'!B371,'DEQ Pollutant List'!$A$7:$A$611,0))),"")</f>
        <v>Hexane</v>
      </c>
      <c r="D371" s="151" t="str">
        <f>IFERROR(IF(OR($B371="",$B371="No CAS"),INDEX('DEQ Pollutant List'!$A$7:$A$611,MATCH($C371,'DEQ Pollutant List'!$C$7:$C$611,0)),INDEX('DEQ Pollutant List'!$A$7:$A$611,MATCH($B371,'DEQ Pollutant List'!$B$7:$B$611,0))),"")</f>
        <v/>
      </c>
      <c r="E371" s="126">
        <v>0</v>
      </c>
      <c r="F371" s="339" t="s">
        <v>155</v>
      </c>
      <c r="G371" s="340" t="s">
        <v>155</v>
      </c>
      <c r="H371" s="341" t="s">
        <v>1295</v>
      </c>
      <c r="I371" s="342" t="s">
        <v>1296</v>
      </c>
      <c r="J371" s="343">
        <f>'Storage Tanks'!F33/2</f>
        <v>1.9590295939354782E-3</v>
      </c>
      <c r="K371" s="343">
        <f>'Storage Tanks'!F33/2</f>
        <v>1.9590295939354782E-3</v>
      </c>
      <c r="L371" s="263">
        <f t="shared" si="44"/>
        <v>1.9590295939354782E-3</v>
      </c>
      <c r="M371" s="116">
        <f>'Storage Tanks'!E33/2</f>
        <v>1.5735089580950087E-5</v>
      </c>
      <c r="N371" s="291">
        <f>'Storage Tanks'!E33/2</f>
        <v>1.5735089580950087E-5</v>
      </c>
      <c r="O371" s="263">
        <f t="shared" si="45"/>
        <v>1.5735089580950087E-5</v>
      </c>
    </row>
    <row r="372" spans="1:15" x14ac:dyDescent="0.25">
      <c r="A372" s="125" t="s">
        <v>1297</v>
      </c>
      <c r="B372" s="350" t="s">
        <v>604</v>
      </c>
      <c r="C372" s="117" t="str">
        <f>IFERROR(IF(B372="No CAS","",INDEX('DEQ Pollutant List'!$B$7:$B$611,MATCH('3. Pollutant Emissions - EF'!B372,'DEQ Pollutant List'!$A$7:$A$611,0))),"")</f>
        <v>Naphthalene</v>
      </c>
      <c r="D372" s="151" t="str">
        <f>IFERROR(IF(OR($B372="",$B372="No CAS"),INDEX('DEQ Pollutant List'!$A$7:$A$611,MATCH($C372,'DEQ Pollutant List'!$C$7:$C$611,0)),INDEX('DEQ Pollutant List'!$A$7:$A$611,MATCH($B372,'DEQ Pollutant List'!$B$7:$B$611,0))),"")</f>
        <v/>
      </c>
      <c r="E372" s="126">
        <v>0</v>
      </c>
      <c r="F372" s="339" t="s">
        <v>155</v>
      </c>
      <c r="G372" s="340" t="s">
        <v>155</v>
      </c>
      <c r="H372" s="341" t="s">
        <v>1295</v>
      </c>
      <c r="I372" s="342" t="s">
        <v>1296</v>
      </c>
      <c r="J372" s="343">
        <f>'Storage Tanks'!F34/2</f>
        <v>1.6571991453800488E-3</v>
      </c>
      <c r="K372" s="343">
        <f>'Storage Tanks'!F34/2</f>
        <v>1.6571991453800488E-3</v>
      </c>
      <c r="L372" s="263">
        <f t="shared" si="44"/>
        <v>1.6571991453800488E-3</v>
      </c>
      <c r="M372" s="116">
        <f>'Storage Tanks'!E34/2</f>
        <v>1.1958668081522066E-2</v>
      </c>
      <c r="N372" s="291">
        <f>'Storage Tanks'!E34/2</f>
        <v>1.1958668081522066E-2</v>
      </c>
      <c r="O372" s="263">
        <f t="shared" si="45"/>
        <v>1.1958668081522066E-2</v>
      </c>
    </row>
    <row r="373" spans="1:15" x14ac:dyDescent="0.25">
      <c r="A373" s="125" t="s">
        <v>1297</v>
      </c>
      <c r="B373" s="350" t="s">
        <v>605</v>
      </c>
      <c r="C373" s="117" t="str">
        <f>IFERROR(IF(B373="No CAS","",INDEX('DEQ Pollutant List'!$B$7:$B$611,MATCH('3. Pollutant Emissions - EF'!B373,'DEQ Pollutant List'!$A$7:$A$611,0))),"")</f>
        <v>Chrysene</v>
      </c>
      <c r="D373" s="151" t="str">
        <f>IFERROR(IF(OR($B373="",$B373="No CAS"),INDEX('DEQ Pollutant List'!$A$7:$A$611,MATCH($C373,'DEQ Pollutant List'!$C$7:$C$611,0)),INDEX('DEQ Pollutant List'!$A$7:$A$611,MATCH($B373,'DEQ Pollutant List'!$B$7:$B$611,0))),"")</f>
        <v/>
      </c>
      <c r="E373" s="126">
        <v>0</v>
      </c>
      <c r="F373" s="339" t="s">
        <v>155</v>
      </c>
      <c r="G373" s="340" t="s">
        <v>155</v>
      </c>
      <c r="H373" s="341" t="s">
        <v>1295</v>
      </c>
      <c r="I373" s="342" t="s">
        <v>1296</v>
      </c>
      <c r="J373" s="343">
        <f>'Storage Tanks'!F35/2</f>
        <v>3.7436861950533082E-13</v>
      </c>
      <c r="K373" s="343">
        <f>'Storage Tanks'!F35/2</f>
        <v>3.7436861950533082E-13</v>
      </c>
      <c r="L373" s="263">
        <f t="shared" si="44"/>
        <v>3.7436861950533082E-13</v>
      </c>
      <c r="M373" s="116">
        <f>'Storage Tanks'!E35/2</f>
        <v>3.6190706036185198E-4</v>
      </c>
      <c r="N373" s="291">
        <f>'Storage Tanks'!E35/2</f>
        <v>3.6190706036185198E-4</v>
      </c>
      <c r="O373" s="263">
        <f t="shared" si="45"/>
        <v>3.6190706036185198E-4</v>
      </c>
    </row>
    <row r="374" spans="1:15" x14ac:dyDescent="0.25">
      <c r="A374" s="125" t="s">
        <v>1297</v>
      </c>
      <c r="B374" s="350" t="s">
        <v>606</v>
      </c>
      <c r="C374" s="117" t="str">
        <f>IFERROR(IF(B374="No CAS","",INDEX('DEQ Pollutant List'!$B$7:$B$611,MATCH('3. Pollutant Emissions - EF'!B374,'DEQ Pollutant List'!$A$7:$A$611,0))),"")</f>
        <v>Toluene</v>
      </c>
      <c r="D374" s="151" t="str">
        <f>IFERROR(IF(OR($B374="",$B374="No CAS"),INDEX('DEQ Pollutant List'!$A$7:$A$611,MATCH($C374,'DEQ Pollutant List'!$C$7:$C$611,0)),INDEX('DEQ Pollutant List'!$A$7:$A$611,MATCH($B374,'DEQ Pollutant List'!$B$7:$B$611,0))),"")</f>
        <v/>
      </c>
      <c r="E374" s="126">
        <v>0</v>
      </c>
      <c r="F374" s="339" t="s">
        <v>155</v>
      </c>
      <c r="G374" s="340" t="s">
        <v>155</v>
      </c>
      <c r="H374" s="341" t="s">
        <v>1295</v>
      </c>
      <c r="I374" s="342" t="s">
        <v>1296</v>
      </c>
      <c r="J374" s="343">
        <f>'Storage Tanks'!F36/2</f>
        <v>0.10472581879363071</v>
      </c>
      <c r="K374" s="343">
        <f>'Storage Tanks'!F36/2</f>
        <v>0.10472581879363071</v>
      </c>
      <c r="L374" s="263">
        <f t="shared" si="44"/>
        <v>0.10472581879363071</v>
      </c>
      <c r="M374" s="116">
        <f>'Storage Tanks'!E36/2</f>
        <v>5.0352286659040282E-3</v>
      </c>
      <c r="N374" s="291">
        <f>'Storage Tanks'!E36/2</f>
        <v>5.0352286659040282E-3</v>
      </c>
      <c r="O374" s="263">
        <f t="shared" si="45"/>
        <v>5.0352286659040282E-3</v>
      </c>
    </row>
    <row r="375" spans="1:15" x14ac:dyDescent="0.25">
      <c r="A375" s="125" t="s">
        <v>1297</v>
      </c>
      <c r="B375" s="350" t="s">
        <v>607</v>
      </c>
      <c r="C375" s="117" t="str">
        <f>IFERROR(IF(B375="No CAS","",INDEX('DEQ Pollutant List'!$B$7:$B$611,MATCH('3. Pollutant Emissions - EF'!B375,'DEQ Pollutant List'!$A$7:$A$611,0))),"")</f>
        <v>1,2,4-Trimethylbenzene</v>
      </c>
      <c r="D375" s="151" t="str">
        <f>IFERROR(IF(OR($B375="",$B375="No CAS"),INDEX('DEQ Pollutant List'!$A$7:$A$611,MATCH($C375,'DEQ Pollutant List'!$C$7:$C$611,0)),INDEX('DEQ Pollutant List'!$A$7:$A$611,MATCH($B375,'DEQ Pollutant List'!$B$7:$B$611,0))),"")</f>
        <v/>
      </c>
      <c r="E375" s="126">
        <v>0</v>
      </c>
      <c r="F375" s="339" t="s">
        <v>155</v>
      </c>
      <c r="G375" s="340" t="s">
        <v>155</v>
      </c>
      <c r="H375" s="341" t="s">
        <v>1295</v>
      </c>
      <c r="I375" s="342" t="s">
        <v>1296</v>
      </c>
      <c r="J375" s="343">
        <f>'Storage Tanks'!F37/2</f>
        <v>3.2726818373009596</v>
      </c>
      <c r="K375" s="343">
        <f>'Storage Tanks'!F37/2</f>
        <v>3.2726818373009596</v>
      </c>
      <c r="L375" s="263">
        <f t="shared" si="44"/>
        <v>3.2726818373009596</v>
      </c>
      <c r="M375" s="116">
        <f>'Storage Tanks'!E37/2</f>
        <v>0.15735089580950087</v>
      </c>
      <c r="N375" s="291">
        <f>'Storage Tanks'!E37/2</f>
        <v>0.15735089580950087</v>
      </c>
      <c r="O375" s="263">
        <f t="shared" si="45"/>
        <v>0.15735089580950087</v>
      </c>
    </row>
    <row r="376" spans="1:15" ht="15.75" thickBot="1" x14ac:dyDescent="0.3">
      <c r="A376" s="198" t="s">
        <v>1297</v>
      </c>
      <c r="B376" s="351" t="s">
        <v>144</v>
      </c>
      <c r="C376" s="201" t="str">
        <f>IFERROR(IF(B376="No CAS","",INDEX('DEQ Pollutant List'!$B$7:$B$611,MATCH('3. Pollutant Emissions - EF'!B376,'DEQ Pollutant List'!$A$7:$A$611,0))),"")</f>
        <v>Xylene (mixture), including m-xylene, o-xylene, p-xylene</v>
      </c>
      <c r="D376" s="230" t="str">
        <f>IFERROR(IF(OR($B376="",$B376="No CAS"),INDEX('DEQ Pollutant List'!$A$7:$A$611,MATCH($C376,'DEQ Pollutant List'!$C$7:$C$611,0)),INDEX('DEQ Pollutant List'!$A$7:$A$611,MATCH($B376,'DEQ Pollutant List'!$B$7:$B$611,0))),"")</f>
        <v/>
      </c>
      <c r="E376" s="190">
        <v>0</v>
      </c>
      <c r="F376" s="345" t="s">
        <v>155</v>
      </c>
      <c r="G376" s="346" t="s">
        <v>155</v>
      </c>
      <c r="H376" s="347" t="s">
        <v>1295</v>
      </c>
      <c r="I376" s="348" t="s">
        <v>1296</v>
      </c>
      <c r="J376" s="349">
        <f>'Storage Tanks'!F38/2</f>
        <v>0.25235380675857527</v>
      </c>
      <c r="K376" s="349">
        <f>'Storage Tanks'!F38/2</f>
        <v>0.25235380675857527</v>
      </c>
      <c r="L376" s="277">
        <f t="shared" si="44"/>
        <v>0.25235380675857527</v>
      </c>
      <c r="M376" s="202">
        <f>'Storage Tanks'!E38/2</f>
        <v>4.5631759784755248E-2</v>
      </c>
      <c r="N376" s="295">
        <f>'Storage Tanks'!E38/2</f>
        <v>4.5631759784755248E-2</v>
      </c>
      <c r="O376" s="277">
        <f t="shared" si="45"/>
        <v>4.5631759784755248E-2</v>
      </c>
    </row>
    <row r="377" spans="1:15" x14ac:dyDescent="0.25">
      <c r="A377" s="125"/>
      <c r="B377" s="128"/>
      <c r="C377" s="123" t="str">
        <f>IFERROR(IF(B377="No CAS","",INDEX('DEQ Pollutant List'!$C$7:$C$611,MATCH('3. Pollutant Emissions - EF'!B377,'DEQ Pollutant List'!$B$7:$B$611,0))),"")</f>
        <v/>
      </c>
      <c r="D377" s="151" t="str">
        <f>IFERROR(IF(OR($B377="",$B377="No CAS"),INDEX('DEQ Pollutant List'!$A$7:$A$611,MATCH($C377,'DEQ Pollutant List'!$C$7:$C$611,0)),INDEX('DEQ Pollutant List'!$A$7:$A$611,MATCH($B377,'DEQ Pollutant List'!$B$7:$B$611,0))),"")</f>
        <v/>
      </c>
      <c r="E377" s="126"/>
      <c r="F377" s="303"/>
      <c r="G377" s="129"/>
      <c r="H377" s="115"/>
      <c r="I377" s="117"/>
      <c r="J377" s="116"/>
      <c r="K377" s="291"/>
      <c r="L377" s="263"/>
      <c r="M377" s="116"/>
      <c r="N377" s="291"/>
      <c r="O377" s="263"/>
    </row>
    <row r="378" spans="1:15" x14ac:dyDescent="0.25">
      <c r="A378" s="125"/>
      <c r="B378" s="128"/>
      <c r="C378" s="123" t="str">
        <f>IFERROR(IF(B378="No CAS","",INDEX('DEQ Pollutant List'!$C$7:$C$611,MATCH('3. Pollutant Emissions - EF'!B378,'DEQ Pollutant List'!$B$7:$B$611,0))),"")</f>
        <v/>
      </c>
      <c r="D378" s="151" t="str">
        <f>IFERROR(IF(OR($B378="",$B378="No CAS"),INDEX('DEQ Pollutant List'!$A$7:$A$611,MATCH($C378,'DEQ Pollutant List'!$C$7:$C$611,0)),INDEX('DEQ Pollutant List'!$A$7:$A$611,MATCH($B378,'DEQ Pollutant List'!$B$7:$B$611,0))),"")</f>
        <v/>
      </c>
      <c r="E378" s="126"/>
      <c r="F378" s="303"/>
      <c r="G378" s="129"/>
      <c r="H378" s="115"/>
      <c r="I378" s="117"/>
      <c r="J378" s="116"/>
      <c r="K378" s="291"/>
      <c r="L378" s="263"/>
      <c r="M378" s="116"/>
      <c r="N378" s="291"/>
      <c r="O378" s="263"/>
    </row>
    <row r="379" spans="1:15" x14ac:dyDescent="0.25">
      <c r="A379" s="125"/>
      <c r="B379" s="128"/>
      <c r="C379" s="123" t="str">
        <f>IFERROR(IF(B379="No CAS","",INDEX('DEQ Pollutant List'!$C$7:$C$611,MATCH('3. Pollutant Emissions - EF'!B379,'DEQ Pollutant List'!$B$7:$B$611,0))),"")</f>
        <v/>
      </c>
      <c r="D379" s="151" t="str">
        <f>IFERROR(IF(OR($B379="",$B379="No CAS"),INDEX('DEQ Pollutant List'!$A$7:$A$611,MATCH($C379,'DEQ Pollutant List'!$C$7:$C$611,0)),INDEX('DEQ Pollutant List'!$A$7:$A$611,MATCH($B379,'DEQ Pollutant List'!$B$7:$B$611,0))),"")</f>
        <v/>
      </c>
      <c r="E379" s="126"/>
      <c r="F379" s="303"/>
      <c r="G379" s="129"/>
      <c r="H379" s="115"/>
      <c r="I379" s="117"/>
      <c r="J379" s="116"/>
      <c r="K379" s="291"/>
      <c r="L379" s="263"/>
      <c r="M379" s="116"/>
      <c r="N379" s="291"/>
      <c r="O379" s="263"/>
    </row>
    <row r="380" spans="1:15" x14ac:dyDescent="0.25">
      <c r="A380" s="125"/>
      <c r="B380" s="128"/>
      <c r="C380" s="123" t="str">
        <f>IFERROR(IF(B380="No CAS","",INDEX('DEQ Pollutant List'!$C$7:$C$611,MATCH('3. Pollutant Emissions - EF'!B380,'DEQ Pollutant List'!$B$7:$B$611,0))),"")</f>
        <v/>
      </c>
      <c r="D380" s="151" t="str">
        <f>IFERROR(IF(OR($B380="",$B380="No CAS"),INDEX('DEQ Pollutant List'!$A$7:$A$611,MATCH($C380,'DEQ Pollutant List'!$C$7:$C$611,0)),INDEX('DEQ Pollutant List'!$A$7:$A$611,MATCH($B380,'DEQ Pollutant List'!$B$7:$B$611,0))),"")</f>
        <v/>
      </c>
      <c r="E380" s="126"/>
      <c r="F380" s="303"/>
      <c r="G380" s="129"/>
      <c r="H380" s="115"/>
      <c r="I380" s="117"/>
      <c r="J380" s="116"/>
      <c r="K380" s="291"/>
      <c r="L380" s="263"/>
      <c r="M380" s="116"/>
      <c r="N380" s="291"/>
      <c r="O380" s="263"/>
    </row>
    <row r="381" spans="1:15" x14ac:dyDescent="0.25">
      <c r="A381" s="125"/>
      <c r="B381" s="128"/>
      <c r="C381" s="123" t="str">
        <f>IFERROR(IF(B381="No CAS","",INDEX('DEQ Pollutant List'!$C$7:$C$611,MATCH('3. Pollutant Emissions - EF'!B381,'DEQ Pollutant List'!$B$7:$B$611,0))),"")</f>
        <v/>
      </c>
      <c r="D381" s="151" t="str">
        <f>IFERROR(IF(OR($B381="",$B381="No CAS"),INDEX('DEQ Pollutant List'!$A$7:$A$611,MATCH($C381,'DEQ Pollutant List'!$C$7:$C$611,0)),INDEX('DEQ Pollutant List'!$A$7:$A$611,MATCH($B381,'DEQ Pollutant List'!$B$7:$B$611,0))),"")</f>
        <v/>
      </c>
      <c r="E381" s="126"/>
      <c r="F381" s="303"/>
      <c r="G381" s="129"/>
      <c r="H381" s="115"/>
      <c r="I381" s="117"/>
      <c r="J381" s="116"/>
      <c r="K381" s="291"/>
      <c r="L381" s="263"/>
      <c r="M381" s="116"/>
      <c r="N381" s="291"/>
      <c r="O381" s="263"/>
    </row>
    <row r="382" spans="1:15" x14ac:dyDescent="0.25">
      <c r="A382" s="125"/>
      <c r="B382" s="128"/>
      <c r="C382" s="123" t="str">
        <f>IFERROR(IF(B382="No CAS","",INDEX('DEQ Pollutant List'!$C$7:$C$611,MATCH('3. Pollutant Emissions - EF'!B382,'DEQ Pollutant List'!$B$7:$B$611,0))),"")</f>
        <v/>
      </c>
      <c r="D382" s="151" t="str">
        <f>IFERROR(IF(OR($B382="",$B382="No CAS"),INDEX('DEQ Pollutant List'!$A$7:$A$611,MATCH($C382,'DEQ Pollutant List'!$C$7:$C$611,0)),INDEX('DEQ Pollutant List'!$A$7:$A$611,MATCH($B382,'DEQ Pollutant List'!$B$7:$B$611,0))),"")</f>
        <v/>
      </c>
      <c r="E382" s="126"/>
      <c r="F382" s="303"/>
      <c r="G382" s="129"/>
      <c r="H382" s="115"/>
      <c r="I382" s="117"/>
      <c r="J382" s="116"/>
      <c r="K382" s="291"/>
      <c r="L382" s="263"/>
      <c r="M382" s="116"/>
      <c r="N382" s="291"/>
      <c r="O382" s="263"/>
    </row>
    <row r="383" spans="1:15" x14ac:dyDescent="0.25">
      <c r="A383" s="125"/>
      <c r="B383" s="128"/>
      <c r="C383" s="123" t="str">
        <f>IFERROR(IF(B383="No CAS","",INDEX('DEQ Pollutant List'!$C$7:$C$611,MATCH('3. Pollutant Emissions - EF'!B383,'DEQ Pollutant List'!$B$7:$B$611,0))),"")</f>
        <v/>
      </c>
      <c r="D383" s="151" t="str">
        <f>IFERROR(IF(OR($B383="",$B383="No CAS"),INDEX('DEQ Pollutant List'!$A$7:$A$611,MATCH($C383,'DEQ Pollutant List'!$C$7:$C$611,0)),INDEX('DEQ Pollutant List'!$A$7:$A$611,MATCH($B383,'DEQ Pollutant List'!$B$7:$B$611,0))),"")</f>
        <v/>
      </c>
      <c r="E383" s="126"/>
      <c r="F383" s="303"/>
      <c r="G383" s="129"/>
      <c r="H383" s="115"/>
      <c r="I383" s="117"/>
      <c r="J383" s="116"/>
      <c r="K383" s="291"/>
      <c r="L383" s="263"/>
      <c r="M383" s="116"/>
      <c r="N383" s="291"/>
      <c r="O383" s="263"/>
    </row>
    <row r="384" spans="1:15" x14ac:dyDescent="0.25">
      <c r="A384" s="125"/>
      <c r="B384" s="128"/>
      <c r="C384" s="123" t="str">
        <f>IFERROR(IF(B384="No CAS","",INDEX('DEQ Pollutant List'!$C$7:$C$611,MATCH('3. Pollutant Emissions - EF'!B384,'DEQ Pollutant List'!$B$7:$B$611,0))),"")</f>
        <v/>
      </c>
      <c r="D384" s="151" t="str">
        <f>IFERROR(IF(OR($B384="",$B384="No CAS"),INDEX('DEQ Pollutant List'!$A$7:$A$611,MATCH($C384,'DEQ Pollutant List'!$C$7:$C$611,0)),INDEX('DEQ Pollutant List'!$A$7:$A$611,MATCH($B384,'DEQ Pollutant List'!$B$7:$B$611,0))),"")</f>
        <v/>
      </c>
      <c r="E384" s="126"/>
      <c r="F384" s="303"/>
      <c r="G384" s="129"/>
      <c r="H384" s="115"/>
      <c r="I384" s="117"/>
      <c r="J384" s="116"/>
      <c r="K384" s="291"/>
      <c r="L384" s="263"/>
      <c r="M384" s="116"/>
      <c r="N384" s="291"/>
      <c r="O384" s="263"/>
    </row>
    <row r="385" spans="1:15" x14ac:dyDescent="0.25">
      <c r="A385" s="125"/>
      <c r="B385" s="128"/>
      <c r="C385" s="123" t="str">
        <f>IFERROR(IF(B385="No CAS","",INDEX('DEQ Pollutant List'!$C$7:$C$611,MATCH('3. Pollutant Emissions - EF'!B385,'DEQ Pollutant List'!$B$7:$B$611,0))),"")</f>
        <v/>
      </c>
      <c r="D385" s="151" t="str">
        <f>IFERROR(IF(OR($B385="",$B385="No CAS"),INDEX('DEQ Pollutant List'!$A$7:$A$611,MATCH($C385,'DEQ Pollutant List'!$C$7:$C$611,0)),INDEX('DEQ Pollutant List'!$A$7:$A$611,MATCH($B385,'DEQ Pollutant List'!$B$7:$B$611,0))),"")</f>
        <v/>
      </c>
      <c r="E385" s="126"/>
      <c r="F385" s="303"/>
      <c r="G385" s="129"/>
      <c r="H385" s="115"/>
      <c r="I385" s="117"/>
      <c r="J385" s="116"/>
      <c r="K385" s="291"/>
      <c r="L385" s="263"/>
      <c r="M385" s="116"/>
      <c r="N385" s="291"/>
      <c r="O385" s="263"/>
    </row>
    <row r="386" spans="1:15" x14ac:dyDescent="0.25">
      <c r="A386" s="125"/>
      <c r="B386" s="128"/>
      <c r="C386" s="123" t="str">
        <f>IFERROR(IF(B386="No CAS","",INDEX('DEQ Pollutant List'!$C$7:$C$611,MATCH('3. Pollutant Emissions - EF'!B386,'DEQ Pollutant List'!$B$7:$B$611,0))),"")</f>
        <v/>
      </c>
      <c r="D386" s="151" t="str">
        <f>IFERROR(IF(OR($B386="",$B386="No CAS"),INDEX('DEQ Pollutant List'!$A$7:$A$611,MATCH($C386,'DEQ Pollutant List'!$C$7:$C$611,0)),INDEX('DEQ Pollutant List'!$A$7:$A$611,MATCH($B386,'DEQ Pollutant List'!$B$7:$B$611,0))),"")</f>
        <v/>
      </c>
      <c r="E386" s="126"/>
      <c r="F386" s="303"/>
      <c r="G386" s="129"/>
      <c r="H386" s="115"/>
      <c r="I386" s="117"/>
      <c r="J386" s="116"/>
      <c r="K386" s="291"/>
      <c r="L386" s="263"/>
      <c r="M386" s="116"/>
      <c r="N386" s="291"/>
      <c r="O386" s="263"/>
    </row>
    <row r="387" spans="1:15" x14ac:dyDescent="0.25">
      <c r="A387" s="125"/>
      <c r="B387" s="128"/>
      <c r="C387" s="123" t="str">
        <f>IFERROR(IF(B387="No CAS","",INDEX('DEQ Pollutant List'!$C$7:$C$611,MATCH('3. Pollutant Emissions - EF'!B387,'DEQ Pollutant List'!$B$7:$B$611,0))),"")</f>
        <v/>
      </c>
      <c r="D387" s="151" t="str">
        <f>IFERROR(IF(OR($B387="",$B387="No CAS"),INDEX('DEQ Pollutant List'!$A$7:$A$611,MATCH($C387,'DEQ Pollutant List'!$C$7:$C$611,0)),INDEX('DEQ Pollutant List'!$A$7:$A$611,MATCH($B387,'DEQ Pollutant List'!$B$7:$B$611,0))),"")</f>
        <v/>
      </c>
      <c r="E387" s="126"/>
      <c r="F387" s="303"/>
      <c r="G387" s="129"/>
      <c r="H387" s="115"/>
      <c r="I387" s="117"/>
      <c r="J387" s="116"/>
      <c r="K387" s="291"/>
      <c r="L387" s="263"/>
      <c r="M387" s="116"/>
      <c r="N387" s="291"/>
      <c r="O387" s="263"/>
    </row>
    <row r="388" spans="1:15" x14ac:dyDescent="0.25">
      <c r="A388" s="125"/>
      <c r="B388" s="128"/>
      <c r="C388" s="123" t="str">
        <f>IFERROR(IF(B388="No CAS","",INDEX('DEQ Pollutant List'!$C$7:$C$611,MATCH('3. Pollutant Emissions - EF'!B388,'DEQ Pollutant List'!$B$7:$B$611,0))),"")</f>
        <v/>
      </c>
      <c r="D388" s="151" t="str">
        <f>IFERROR(IF(OR($B388="",$B388="No CAS"),INDEX('DEQ Pollutant List'!$A$7:$A$611,MATCH($C388,'DEQ Pollutant List'!$C$7:$C$611,0)),INDEX('DEQ Pollutant List'!$A$7:$A$611,MATCH($B388,'DEQ Pollutant List'!$B$7:$B$611,0))),"")</f>
        <v/>
      </c>
      <c r="E388" s="126"/>
      <c r="F388" s="303"/>
      <c r="G388" s="129"/>
      <c r="H388" s="115"/>
      <c r="I388" s="117"/>
      <c r="J388" s="116"/>
      <c r="K388" s="291"/>
      <c r="L388" s="263"/>
      <c r="M388" s="116"/>
      <c r="N388" s="291"/>
      <c r="O388" s="263"/>
    </row>
    <row r="389" spans="1:15" x14ac:dyDescent="0.25">
      <c r="A389" s="125"/>
      <c r="B389" s="128"/>
      <c r="C389" s="123" t="str">
        <f>IFERROR(IF(B389="No CAS","",INDEX('DEQ Pollutant List'!$C$7:$C$611,MATCH('3. Pollutant Emissions - EF'!B389,'DEQ Pollutant List'!$B$7:$B$611,0))),"")</f>
        <v/>
      </c>
      <c r="D389" s="151" t="str">
        <f>IFERROR(IF(OR($B389="",$B389="No CAS"),INDEX('DEQ Pollutant List'!$A$7:$A$611,MATCH($C389,'DEQ Pollutant List'!$C$7:$C$611,0)),INDEX('DEQ Pollutant List'!$A$7:$A$611,MATCH($B389,'DEQ Pollutant List'!$B$7:$B$611,0))),"")</f>
        <v/>
      </c>
      <c r="E389" s="126"/>
      <c r="F389" s="303"/>
      <c r="G389" s="129"/>
      <c r="H389" s="115"/>
      <c r="I389" s="117"/>
      <c r="J389" s="116"/>
      <c r="K389" s="291"/>
      <c r="L389" s="263"/>
      <c r="M389" s="116"/>
      <c r="N389" s="291"/>
      <c r="O389" s="263"/>
    </row>
    <row r="390" spans="1:15" x14ac:dyDescent="0.25">
      <c r="A390" s="125"/>
      <c r="B390" s="128"/>
      <c r="C390" s="123" t="str">
        <f>IFERROR(IF(B390="No CAS","",INDEX('DEQ Pollutant List'!$C$7:$C$611,MATCH('3. Pollutant Emissions - EF'!B390,'DEQ Pollutant List'!$B$7:$B$611,0))),"")</f>
        <v/>
      </c>
      <c r="D390" s="151" t="str">
        <f>IFERROR(IF(OR($B390="",$B390="No CAS"),INDEX('DEQ Pollutant List'!$A$7:$A$611,MATCH($C390,'DEQ Pollutant List'!$C$7:$C$611,0)),INDEX('DEQ Pollutant List'!$A$7:$A$611,MATCH($B390,'DEQ Pollutant List'!$B$7:$B$611,0))),"")</f>
        <v/>
      </c>
      <c r="E390" s="126"/>
      <c r="F390" s="303"/>
      <c r="G390" s="129"/>
      <c r="H390" s="115"/>
      <c r="I390" s="117"/>
      <c r="J390" s="116"/>
      <c r="K390" s="291"/>
      <c r="L390" s="263"/>
      <c r="M390" s="116"/>
      <c r="N390" s="291"/>
      <c r="O390" s="263"/>
    </row>
    <row r="391" spans="1:15" x14ac:dyDescent="0.25">
      <c r="A391" s="125"/>
      <c r="B391" s="128"/>
      <c r="C391" s="123" t="str">
        <f>IFERROR(IF(B391="No CAS","",INDEX('DEQ Pollutant List'!$C$7:$C$611,MATCH('3. Pollutant Emissions - EF'!B391,'DEQ Pollutant List'!$B$7:$B$611,0))),"")</f>
        <v/>
      </c>
      <c r="D391" s="151" t="str">
        <f>IFERROR(IF(OR($B391="",$B391="No CAS"),INDEX('DEQ Pollutant List'!$A$7:$A$611,MATCH($C391,'DEQ Pollutant List'!$C$7:$C$611,0)),INDEX('DEQ Pollutant List'!$A$7:$A$611,MATCH($B391,'DEQ Pollutant List'!$B$7:$B$611,0))),"")</f>
        <v/>
      </c>
      <c r="E391" s="126"/>
      <c r="F391" s="303"/>
      <c r="G391" s="129"/>
      <c r="H391" s="115"/>
      <c r="I391" s="117"/>
      <c r="J391" s="116"/>
      <c r="K391" s="291"/>
      <c r="L391" s="263"/>
      <c r="M391" s="116"/>
      <c r="N391" s="291"/>
      <c r="O391" s="263"/>
    </row>
    <row r="392" spans="1:15" x14ac:dyDescent="0.25">
      <c r="A392" s="125"/>
      <c r="B392" s="128"/>
      <c r="C392" s="123" t="str">
        <f>IFERROR(IF(B392="No CAS","",INDEX('DEQ Pollutant List'!$C$7:$C$611,MATCH('3. Pollutant Emissions - EF'!B392,'DEQ Pollutant List'!$B$7:$B$611,0))),"")</f>
        <v/>
      </c>
      <c r="D392" s="151" t="str">
        <f>IFERROR(IF(OR($B392="",$B392="No CAS"),INDEX('DEQ Pollutant List'!$A$7:$A$611,MATCH($C392,'DEQ Pollutant List'!$C$7:$C$611,0)),INDEX('DEQ Pollutant List'!$A$7:$A$611,MATCH($B392,'DEQ Pollutant List'!$B$7:$B$611,0))),"")</f>
        <v/>
      </c>
      <c r="E392" s="126"/>
      <c r="F392" s="303"/>
      <c r="G392" s="129"/>
      <c r="H392" s="115"/>
      <c r="I392" s="117"/>
      <c r="J392" s="116"/>
      <c r="K392" s="291"/>
      <c r="L392" s="263"/>
      <c r="M392" s="116"/>
      <c r="N392" s="291"/>
      <c r="O392" s="263"/>
    </row>
    <row r="393" spans="1:15" x14ac:dyDescent="0.25">
      <c r="A393" s="125"/>
      <c r="B393" s="128"/>
      <c r="C393" s="123" t="str">
        <f>IFERROR(IF(B393="No CAS","",INDEX('DEQ Pollutant List'!$C$7:$C$611,MATCH('3. Pollutant Emissions - EF'!B393,'DEQ Pollutant List'!$B$7:$B$611,0))),"")</f>
        <v/>
      </c>
      <c r="D393" s="151" t="str">
        <f>IFERROR(IF(OR($B393="",$B393="No CAS"),INDEX('DEQ Pollutant List'!$A$7:$A$611,MATCH($C393,'DEQ Pollutant List'!$C$7:$C$611,0)),INDEX('DEQ Pollutant List'!$A$7:$A$611,MATCH($B393,'DEQ Pollutant List'!$B$7:$B$611,0))),"")</f>
        <v/>
      </c>
      <c r="E393" s="126"/>
      <c r="F393" s="303"/>
      <c r="G393" s="129"/>
      <c r="H393" s="115"/>
      <c r="I393" s="117"/>
      <c r="J393" s="116"/>
      <c r="K393" s="291"/>
      <c r="L393" s="263"/>
      <c r="M393" s="116"/>
      <c r="N393" s="291"/>
      <c r="O393" s="263"/>
    </row>
    <row r="394" spans="1:15" x14ac:dyDescent="0.25">
      <c r="A394" s="125"/>
      <c r="B394" s="128"/>
      <c r="C394" s="123" t="str">
        <f>IFERROR(IF(B394="No CAS","",INDEX('DEQ Pollutant List'!$C$7:$C$611,MATCH('3. Pollutant Emissions - EF'!B394,'DEQ Pollutant List'!$B$7:$B$611,0))),"")</f>
        <v/>
      </c>
      <c r="D394" s="151" t="str">
        <f>IFERROR(IF(OR($B394="",$B394="No CAS"),INDEX('DEQ Pollutant List'!$A$7:$A$611,MATCH($C394,'DEQ Pollutant List'!$C$7:$C$611,0)),INDEX('DEQ Pollutant List'!$A$7:$A$611,MATCH($B394,'DEQ Pollutant List'!$B$7:$B$611,0))),"")</f>
        <v/>
      </c>
      <c r="E394" s="126"/>
      <c r="F394" s="303"/>
      <c r="G394" s="129"/>
      <c r="H394" s="115"/>
      <c r="I394" s="117"/>
      <c r="J394" s="116"/>
      <c r="K394" s="291"/>
      <c r="L394" s="263"/>
      <c r="M394" s="116"/>
      <c r="N394" s="291"/>
      <c r="O394" s="263"/>
    </row>
    <row r="395" spans="1:15" x14ac:dyDescent="0.25">
      <c r="A395" s="125"/>
      <c r="B395" s="128"/>
      <c r="C395" s="123" t="str">
        <f>IFERROR(IF(B395="No CAS","",INDEX('DEQ Pollutant List'!$C$7:$C$611,MATCH('3. Pollutant Emissions - EF'!B395,'DEQ Pollutant List'!$B$7:$B$611,0))),"")</f>
        <v/>
      </c>
      <c r="D395" s="151" t="str">
        <f>IFERROR(IF(OR($B395="",$B395="No CAS"),INDEX('DEQ Pollutant List'!$A$7:$A$611,MATCH($C395,'DEQ Pollutant List'!$C$7:$C$611,0)),INDEX('DEQ Pollutant List'!$A$7:$A$611,MATCH($B395,'DEQ Pollutant List'!$B$7:$B$611,0))),"")</f>
        <v/>
      </c>
      <c r="E395" s="126"/>
      <c r="F395" s="303"/>
      <c r="G395" s="129"/>
      <c r="H395" s="115"/>
      <c r="I395" s="117"/>
      <c r="J395" s="116"/>
      <c r="K395" s="291"/>
      <c r="L395" s="263"/>
      <c r="M395" s="116"/>
      <c r="N395" s="291"/>
      <c r="O395" s="263"/>
    </row>
    <row r="396" spans="1:15" x14ac:dyDescent="0.25">
      <c r="A396" s="125"/>
      <c r="B396" s="128"/>
      <c r="C396" s="123" t="str">
        <f>IFERROR(IF(B396="No CAS","",INDEX('DEQ Pollutant List'!$C$7:$C$611,MATCH('3. Pollutant Emissions - EF'!B396,'DEQ Pollutant List'!$B$7:$B$611,0))),"")</f>
        <v/>
      </c>
      <c r="D396" s="151" t="str">
        <f>IFERROR(IF(OR($B396="",$B396="No CAS"),INDEX('DEQ Pollutant List'!$A$7:$A$611,MATCH($C396,'DEQ Pollutant List'!$C$7:$C$611,0)),INDEX('DEQ Pollutant List'!$A$7:$A$611,MATCH($B396,'DEQ Pollutant List'!$B$7:$B$611,0))),"")</f>
        <v/>
      </c>
      <c r="E396" s="126"/>
      <c r="F396" s="303"/>
      <c r="G396" s="129"/>
      <c r="H396" s="115"/>
      <c r="I396" s="117"/>
      <c r="J396" s="116"/>
      <c r="K396" s="291"/>
      <c r="L396" s="263"/>
      <c r="M396" s="116"/>
      <c r="N396" s="291"/>
      <c r="O396" s="263"/>
    </row>
    <row r="397" spans="1:15" x14ac:dyDescent="0.25">
      <c r="A397" s="125"/>
      <c r="B397" s="128"/>
      <c r="C397" s="123" t="str">
        <f>IFERROR(IF(B397="No CAS","",INDEX('DEQ Pollutant List'!$C$7:$C$611,MATCH('3. Pollutant Emissions - EF'!B397,'DEQ Pollutant List'!$B$7:$B$611,0))),"")</f>
        <v/>
      </c>
      <c r="D397" s="151" t="str">
        <f>IFERROR(IF(OR($B397="",$B397="No CAS"),INDEX('DEQ Pollutant List'!$A$7:$A$611,MATCH($C397,'DEQ Pollutant List'!$C$7:$C$611,0)),INDEX('DEQ Pollutant List'!$A$7:$A$611,MATCH($B397,'DEQ Pollutant List'!$B$7:$B$611,0))),"")</f>
        <v/>
      </c>
      <c r="E397" s="126"/>
      <c r="F397" s="303"/>
      <c r="G397" s="129"/>
      <c r="H397" s="115"/>
      <c r="I397" s="117"/>
      <c r="J397" s="116"/>
      <c r="K397" s="291"/>
      <c r="L397" s="263"/>
      <c r="M397" s="116"/>
      <c r="N397" s="291"/>
      <c r="O397" s="263"/>
    </row>
    <row r="398" spans="1:15" x14ac:dyDescent="0.25">
      <c r="A398" s="125"/>
      <c r="B398" s="128"/>
      <c r="C398" s="123" t="str">
        <f>IFERROR(IF(B398="No CAS","",INDEX('DEQ Pollutant List'!$C$7:$C$611,MATCH('3. Pollutant Emissions - EF'!B398,'DEQ Pollutant List'!$B$7:$B$611,0))),"")</f>
        <v/>
      </c>
      <c r="D398" s="151" t="str">
        <f>IFERROR(IF(OR($B398="",$B398="No CAS"),INDEX('DEQ Pollutant List'!$A$7:$A$611,MATCH($C398,'DEQ Pollutant List'!$C$7:$C$611,0)),INDEX('DEQ Pollutant List'!$A$7:$A$611,MATCH($B398,'DEQ Pollutant List'!$B$7:$B$611,0))),"")</f>
        <v/>
      </c>
      <c r="E398" s="126"/>
      <c r="F398" s="303"/>
      <c r="G398" s="129"/>
      <c r="H398" s="115"/>
      <c r="I398" s="117"/>
      <c r="J398" s="116"/>
      <c r="K398" s="291"/>
      <c r="L398" s="263"/>
      <c r="M398" s="116"/>
      <c r="N398" s="291"/>
      <c r="O398" s="263"/>
    </row>
    <row r="399" spans="1:15" x14ac:dyDescent="0.25">
      <c r="A399" s="125"/>
      <c r="B399" s="128"/>
      <c r="C399" s="123" t="str">
        <f>IFERROR(IF(B399="No CAS","",INDEX('DEQ Pollutant List'!$C$7:$C$611,MATCH('3. Pollutant Emissions - EF'!B399,'DEQ Pollutant List'!$B$7:$B$611,0))),"")</f>
        <v/>
      </c>
      <c r="D399" s="151" t="str">
        <f>IFERROR(IF(OR($B399="",$B399="No CAS"),INDEX('DEQ Pollutant List'!$A$7:$A$611,MATCH($C399,'DEQ Pollutant List'!$C$7:$C$611,0)),INDEX('DEQ Pollutant List'!$A$7:$A$611,MATCH($B399,'DEQ Pollutant List'!$B$7:$B$611,0))),"")</f>
        <v/>
      </c>
      <c r="E399" s="126"/>
      <c r="F399" s="303"/>
      <c r="G399" s="129"/>
      <c r="H399" s="115"/>
      <c r="I399" s="117"/>
      <c r="J399" s="116"/>
      <c r="K399" s="291"/>
      <c r="L399" s="263"/>
      <c r="M399" s="116"/>
      <c r="N399" s="291"/>
      <c r="O399" s="263"/>
    </row>
    <row r="400" spans="1:15" x14ac:dyDescent="0.25">
      <c r="A400" s="125"/>
      <c r="B400" s="128"/>
      <c r="C400" s="123" t="str">
        <f>IFERROR(IF(B400="No CAS","",INDEX('DEQ Pollutant List'!$C$7:$C$611,MATCH('3. Pollutant Emissions - EF'!B400,'DEQ Pollutant List'!$B$7:$B$611,0))),"")</f>
        <v/>
      </c>
      <c r="D400" s="151" t="str">
        <f>IFERROR(IF(OR($B400="",$B400="No CAS"),INDEX('DEQ Pollutant List'!$A$7:$A$611,MATCH($C400,'DEQ Pollutant List'!$C$7:$C$611,0)),INDEX('DEQ Pollutant List'!$A$7:$A$611,MATCH($B400,'DEQ Pollutant List'!$B$7:$B$611,0))),"")</f>
        <v/>
      </c>
      <c r="E400" s="126"/>
      <c r="F400" s="303"/>
      <c r="G400" s="129"/>
      <c r="H400" s="115"/>
      <c r="I400" s="117"/>
      <c r="J400" s="116"/>
      <c r="K400" s="291"/>
      <c r="L400" s="263"/>
      <c r="M400" s="116"/>
      <c r="N400" s="291"/>
      <c r="O400" s="263"/>
    </row>
    <row r="401" spans="1:15" x14ac:dyDescent="0.25">
      <c r="A401" s="125"/>
      <c r="B401" s="128"/>
      <c r="C401" s="123" t="str">
        <f>IFERROR(IF(B401="No CAS","",INDEX('DEQ Pollutant List'!$C$7:$C$611,MATCH('3. Pollutant Emissions - EF'!B401,'DEQ Pollutant List'!$B$7:$B$611,0))),"")</f>
        <v/>
      </c>
      <c r="D401" s="151" t="str">
        <f>IFERROR(IF(OR($B401="",$B401="No CAS"),INDEX('DEQ Pollutant List'!$A$7:$A$611,MATCH($C401,'DEQ Pollutant List'!$C$7:$C$611,0)),INDEX('DEQ Pollutant List'!$A$7:$A$611,MATCH($B401,'DEQ Pollutant List'!$B$7:$B$611,0))),"")</f>
        <v/>
      </c>
      <c r="E401" s="126"/>
      <c r="F401" s="303"/>
      <c r="G401" s="129"/>
      <c r="H401" s="115"/>
      <c r="I401" s="117"/>
      <c r="J401" s="116"/>
      <c r="K401" s="291"/>
      <c r="L401" s="263"/>
      <c r="M401" s="116"/>
      <c r="N401" s="291"/>
      <c r="O401" s="263"/>
    </row>
    <row r="402" spans="1:15" x14ac:dyDescent="0.25">
      <c r="A402" s="125"/>
      <c r="B402" s="128"/>
      <c r="C402" s="123" t="str">
        <f>IFERROR(IF(B402="No CAS","",INDEX('DEQ Pollutant List'!$C$7:$C$611,MATCH('3. Pollutant Emissions - EF'!B402,'DEQ Pollutant List'!$B$7:$B$611,0))),"")</f>
        <v/>
      </c>
      <c r="D402" s="151" t="str">
        <f>IFERROR(IF(OR($B402="",$B402="No CAS"),INDEX('DEQ Pollutant List'!$A$7:$A$611,MATCH($C402,'DEQ Pollutant List'!$C$7:$C$611,0)),INDEX('DEQ Pollutant List'!$A$7:$A$611,MATCH($B402,'DEQ Pollutant List'!$B$7:$B$611,0))),"")</f>
        <v/>
      </c>
      <c r="E402" s="126"/>
      <c r="F402" s="303"/>
      <c r="G402" s="129"/>
      <c r="H402" s="115"/>
      <c r="I402" s="117"/>
      <c r="J402" s="116"/>
      <c r="K402" s="291"/>
      <c r="L402" s="263"/>
      <c r="M402" s="116"/>
      <c r="N402" s="291"/>
      <c r="O402" s="263"/>
    </row>
    <row r="403" spans="1:15" x14ac:dyDescent="0.25">
      <c r="A403" s="125"/>
      <c r="B403" s="128"/>
      <c r="C403" s="123" t="str">
        <f>IFERROR(IF(B403="No CAS","",INDEX('DEQ Pollutant List'!$C$7:$C$611,MATCH('3. Pollutant Emissions - EF'!B403,'DEQ Pollutant List'!$B$7:$B$611,0))),"")</f>
        <v/>
      </c>
      <c r="D403" s="151" t="str">
        <f>IFERROR(IF(OR($B403="",$B403="No CAS"),INDEX('DEQ Pollutant List'!$A$7:$A$611,MATCH($C403,'DEQ Pollutant List'!$C$7:$C$611,0)),INDEX('DEQ Pollutant List'!$A$7:$A$611,MATCH($B403,'DEQ Pollutant List'!$B$7:$B$611,0))),"")</f>
        <v/>
      </c>
      <c r="E403" s="126"/>
      <c r="F403" s="303"/>
      <c r="G403" s="129"/>
      <c r="H403" s="115"/>
      <c r="I403" s="117"/>
      <c r="J403" s="116"/>
      <c r="K403" s="291"/>
      <c r="L403" s="263"/>
      <c r="M403" s="116"/>
      <c r="N403" s="291"/>
      <c r="O403" s="263"/>
    </row>
    <row r="404" spans="1:15" x14ac:dyDescent="0.25">
      <c r="A404" s="125"/>
      <c r="B404" s="128"/>
      <c r="C404" s="123" t="str">
        <f>IFERROR(IF(B404="No CAS","",INDEX('DEQ Pollutant List'!$C$7:$C$611,MATCH('3. Pollutant Emissions - EF'!B404,'DEQ Pollutant List'!$B$7:$B$611,0))),"")</f>
        <v/>
      </c>
      <c r="D404" s="151" t="str">
        <f>IFERROR(IF(OR($B404="",$B404="No CAS"),INDEX('DEQ Pollutant List'!$A$7:$A$611,MATCH($C404,'DEQ Pollutant List'!$C$7:$C$611,0)),INDEX('DEQ Pollutant List'!$A$7:$A$611,MATCH($B404,'DEQ Pollutant List'!$B$7:$B$611,0))),"")</f>
        <v/>
      </c>
      <c r="E404" s="126"/>
      <c r="F404" s="303"/>
      <c r="G404" s="129"/>
      <c r="H404" s="115"/>
      <c r="I404" s="117"/>
      <c r="J404" s="116"/>
      <c r="K404" s="291"/>
      <c r="L404" s="263"/>
      <c r="M404" s="116"/>
      <c r="N404" s="291"/>
      <c r="O404" s="263"/>
    </row>
    <row r="405" spans="1:15" x14ac:dyDescent="0.25">
      <c r="A405" s="125"/>
      <c r="B405" s="128"/>
      <c r="C405" s="123" t="str">
        <f>IFERROR(IF(B405="No CAS","",INDEX('DEQ Pollutant List'!$C$7:$C$611,MATCH('3. Pollutant Emissions - EF'!B405,'DEQ Pollutant List'!$B$7:$B$611,0))),"")</f>
        <v/>
      </c>
      <c r="D405" s="151" t="str">
        <f>IFERROR(IF(OR($B405="",$B405="No CAS"),INDEX('DEQ Pollutant List'!$A$7:$A$611,MATCH($C405,'DEQ Pollutant List'!$C$7:$C$611,0)),INDEX('DEQ Pollutant List'!$A$7:$A$611,MATCH($B405,'DEQ Pollutant List'!$B$7:$B$611,0))),"")</f>
        <v/>
      </c>
      <c r="E405" s="126"/>
      <c r="F405" s="303"/>
      <c r="G405" s="129"/>
      <c r="H405" s="115"/>
      <c r="I405" s="117"/>
      <c r="J405" s="116"/>
      <c r="K405" s="291"/>
      <c r="L405" s="263"/>
      <c r="M405" s="116"/>
      <c r="N405" s="291"/>
      <c r="O405" s="263"/>
    </row>
    <row r="406" spans="1:15" x14ac:dyDescent="0.25">
      <c r="A406" s="125"/>
      <c r="B406" s="128"/>
      <c r="C406" s="123" t="str">
        <f>IFERROR(IF(B406="No CAS","",INDEX('DEQ Pollutant List'!$C$7:$C$611,MATCH('3. Pollutant Emissions - EF'!B406,'DEQ Pollutant List'!$B$7:$B$611,0))),"")</f>
        <v/>
      </c>
      <c r="D406" s="151" t="str">
        <f>IFERROR(IF(OR($B406="",$B406="No CAS"),INDEX('DEQ Pollutant List'!$A$7:$A$611,MATCH($C406,'DEQ Pollutant List'!$C$7:$C$611,0)),INDEX('DEQ Pollutant List'!$A$7:$A$611,MATCH($B406,'DEQ Pollutant List'!$B$7:$B$611,0))),"")</f>
        <v/>
      </c>
      <c r="E406" s="126"/>
      <c r="F406" s="303"/>
      <c r="G406" s="129"/>
      <c r="H406" s="115"/>
      <c r="I406" s="117"/>
      <c r="J406" s="116"/>
      <c r="K406" s="291"/>
      <c r="L406" s="263"/>
      <c r="M406" s="116"/>
      <c r="N406" s="291"/>
      <c r="O406" s="263"/>
    </row>
    <row r="407" spans="1:15" x14ac:dyDescent="0.25">
      <c r="A407" s="125"/>
      <c r="B407" s="128"/>
      <c r="C407" s="123" t="str">
        <f>IFERROR(IF(B407="No CAS","",INDEX('DEQ Pollutant List'!$C$7:$C$611,MATCH('3. Pollutant Emissions - EF'!B407,'DEQ Pollutant List'!$B$7:$B$611,0))),"")</f>
        <v/>
      </c>
      <c r="D407" s="151" t="str">
        <f>IFERROR(IF(OR($B407="",$B407="No CAS"),INDEX('DEQ Pollutant List'!$A$7:$A$611,MATCH($C407,'DEQ Pollutant List'!$C$7:$C$611,0)),INDEX('DEQ Pollutant List'!$A$7:$A$611,MATCH($B407,'DEQ Pollutant List'!$B$7:$B$611,0))),"")</f>
        <v/>
      </c>
      <c r="E407" s="126"/>
      <c r="F407" s="303"/>
      <c r="G407" s="129"/>
      <c r="H407" s="115"/>
      <c r="I407" s="117"/>
      <c r="J407" s="116"/>
      <c r="K407" s="291"/>
      <c r="L407" s="263"/>
      <c r="M407" s="116"/>
      <c r="N407" s="291"/>
      <c r="O407" s="263"/>
    </row>
    <row r="408" spans="1:15" x14ac:dyDescent="0.25">
      <c r="A408" s="125"/>
      <c r="B408" s="128"/>
      <c r="C408" s="123" t="str">
        <f>IFERROR(IF(B408="No CAS","",INDEX('DEQ Pollutant List'!$C$7:$C$611,MATCH('3. Pollutant Emissions - EF'!B408,'DEQ Pollutant List'!$B$7:$B$611,0))),"")</f>
        <v/>
      </c>
      <c r="D408" s="151" t="str">
        <f>IFERROR(IF(OR($B408="",$B408="No CAS"),INDEX('DEQ Pollutant List'!$A$7:$A$611,MATCH($C408,'DEQ Pollutant List'!$C$7:$C$611,0)),INDEX('DEQ Pollutant List'!$A$7:$A$611,MATCH($B408,'DEQ Pollutant List'!$B$7:$B$611,0))),"")</f>
        <v/>
      </c>
      <c r="E408" s="126"/>
      <c r="F408" s="303"/>
      <c r="G408" s="129"/>
      <c r="H408" s="115"/>
      <c r="I408" s="117"/>
      <c r="J408" s="116"/>
      <c r="K408" s="291"/>
      <c r="L408" s="263"/>
      <c r="M408" s="116"/>
      <c r="N408" s="291"/>
      <c r="O408" s="263"/>
    </row>
    <row r="409" spans="1:15" x14ac:dyDescent="0.25">
      <c r="A409" s="125"/>
      <c r="B409" s="128"/>
      <c r="C409" s="123" t="str">
        <f>IFERROR(IF(B409="No CAS","",INDEX('DEQ Pollutant List'!$C$7:$C$611,MATCH('3. Pollutant Emissions - EF'!B409,'DEQ Pollutant List'!$B$7:$B$611,0))),"")</f>
        <v/>
      </c>
      <c r="D409" s="151" t="str">
        <f>IFERROR(IF(OR($B409="",$B409="No CAS"),INDEX('DEQ Pollutant List'!$A$7:$A$611,MATCH($C409,'DEQ Pollutant List'!$C$7:$C$611,0)),INDEX('DEQ Pollutant List'!$A$7:$A$611,MATCH($B409,'DEQ Pollutant List'!$B$7:$B$611,0))),"")</f>
        <v/>
      </c>
      <c r="E409" s="126"/>
      <c r="F409" s="303"/>
      <c r="G409" s="129"/>
      <c r="H409" s="115"/>
      <c r="I409" s="117"/>
      <c r="J409" s="116"/>
      <c r="K409" s="291"/>
      <c r="L409" s="263"/>
      <c r="M409" s="116"/>
      <c r="N409" s="291"/>
      <c r="O409" s="263"/>
    </row>
    <row r="410" spans="1:15" x14ac:dyDescent="0.25">
      <c r="A410" s="125"/>
      <c r="B410" s="128"/>
      <c r="C410" s="123" t="str">
        <f>IFERROR(IF(B410="No CAS","",INDEX('DEQ Pollutant List'!$C$7:$C$611,MATCH('3. Pollutant Emissions - EF'!B410,'DEQ Pollutant List'!$B$7:$B$611,0))),"")</f>
        <v/>
      </c>
      <c r="D410" s="151" t="str">
        <f>IFERROR(IF(OR($B410="",$B410="No CAS"),INDEX('DEQ Pollutant List'!$A$7:$A$611,MATCH($C410,'DEQ Pollutant List'!$C$7:$C$611,0)),INDEX('DEQ Pollutant List'!$A$7:$A$611,MATCH($B410,'DEQ Pollutant List'!$B$7:$B$611,0))),"")</f>
        <v/>
      </c>
      <c r="E410" s="126"/>
      <c r="F410" s="303"/>
      <c r="G410" s="129"/>
      <c r="H410" s="115"/>
      <c r="I410" s="117"/>
      <c r="J410" s="116"/>
      <c r="K410" s="291"/>
      <c r="L410" s="263"/>
      <c r="M410" s="116"/>
      <c r="N410" s="291"/>
      <c r="O410" s="263"/>
    </row>
    <row r="411" spans="1:15" x14ac:dyDescent="0.25">
      <c r="A411" s="125"/>
      <c r="B411" s="128"/>
      <c r="C411" s="123" t="str">
        <f>IFERROR(IF(B411="No CAS","",INDEX('DEQ Pollutant List'!$C$7:$C$611,MATCH('3. Pollutant Emissions - EF'!B411,'DEQ Pollutant List'!$B$7:$B$611,0))),"")</f>
        <v/>
      </c>
      <c r="D411" s="151" t="str">
        <f>IFERROR(IF(OR($B411="",$B411="No CAS"),INDEX('DEQ Pollutant List'!$A$7:$A$611,MATCH($C411,'DEQ Pollutant List'!$C$7:$C$611,0)),INDEX('DEQ Pollutant List'!$A$7:$A$611,MATCH($B411,'DEQ Pollutant List'!$B$7:$B$611,0))),"")</f>
        <v/>
      </c>
      <c r="E411" s="126"/>
      <c r="F411" s="303"/>
      <c r="G411" s="129"/>
      <c r="H411" s="115"/>
      <c r="I411" s="117"/>
      <c r="J411" s="116"/>
      <c r="K411" s="291"/>
      <c r="L411" s="263"/>
      <c r="M411" s="116"/>
      <c r="N411" s="291"/>
      <c r="O411" s="263"/>
    </row>
    <row r="412" spans="1:15" x14ac:dyDescent="0.25">
      <c r="A412" s="125"/>
      <c r="B412" s="128"/>
      <c r="C412" s="123" t="str">
        <f>IFERROR(IF(B412="No CAS","",INDEX('DEQ Pollutant List'!$C$7:$C$611,MATCH('3. Pollutant Emissions - EF'!B412,'DEQ Pollutant List'!$B$7:$B$611,0))),"")</f>
        <v/>
      </c>
      <c r="D412" s="151" t="str">
        <f>IFERROR(IF(OR($B412="",$B412="No CAS"),INDEX('DEQ Pollutant List'!$A$7:$A$611,MATCH($C412,'DEQ Pollutant List'!$C$7:$C$611,0)),INDEX('DEQ Pollutant List'!$A$7:$A$611,MATCH($B412,'DEQ Pollutant List'!$B$7:$B$611,0))),"")</f>
        <v/>
      </c>
      <c r="E412" s="126"/>
      <c r="F412" s="303"/>
      <c r="G412" s="129"/>
      <c r="H412" s="115"/>
      <c r="I412" s="117"/>
      <c r="J412" s="116"/>
      <c r="K412" s="291"/>
      <c r="L412" s="263"/>
      <c r="M412" s="116"/>
      <c r="N412" s="291"/>
      <c r="O412" s="263"/>
    </row>
    <row r="413" spans="1:15" x14ac:dyDescent="0.25">
      <c r="A413" s="125"/>
      <c r="B413" s="128"/>
      <c r="C413" s="123" t="str">
        <f>IFERROR(IF(B413="No CAS","",INDEX('DEQ Pollutant List'!$C$7:$C$611,MATCH('3. Pollutant Emissions - EF'!B413,'DEQ Pollutant List'!$B$7:$B$611,0))),"")</f>
        <v/>
      </c>
      <c r="D413" s="151" t="str">
        <f>IFERROR(IF(OR($B413="",$B413="No CAS"),INDEX('DEQ Pollutant List'!$A$7:$A$611,MATCH($C413,'DEQ Pollutant List'!$C$7:$C$611,0)),INDEX('DEQ Pollutant List'!$A$7:$A$611,MATCH($B413,'DEQ Pollutant List'!$B$7:$B$611,0))),"")</f>
        <v/>
      </c>
      <c r="E413" s="126"/>
      <c r="F413" s="303"/>
      <c r="G413" s="129"/>
      <c r="H413" s="115"/>
      <c r="I413" s="117"/>
      <c r="J413" s="116"/>
      <c r="K413" s="291"/>
      <c r="L413" s="263"/>
      <c r="M413" s="116"/>
      <c r="N413" s="291"/>
      <c r="O413" s="263"/>
    </row>
    <row r="414" spans="1:15" x14ac:dyDescent="0.25">
      <c r="A414" s="125"/>
      <c r="B414" s="128"/>
      <c r="C414" s="123" t="str">
        <f>IFERROR(IF(B414="No CAS","",INDEX('DEQ Pollutant List'!$C$7:$C$611,MATCH('3. Pollutant Emissions - EF'!B414,'DEQ Pollutant List'!$B$7:$B$611,0))),"")</f>
        <v/>
      </c>
      <c r="D414" s="151" t="str">
        <f>IFERROR(IF(OR($B414="",$B414="No CAS"),INDEX('DEQ Pollutant List'!$A$7:$A$611,MATCH($C414,'DEQ Pollutant List'!$C$7:$C$611,0)),INDEX('DEQ Pollutant List'!$A$7:$A$611,MATCH($B414,'DEQ Pollutant List'!$B$7:$B$611,0))),"")</f>
        <v/>
      </c>
      <c r="E414" s="126"/>
      <c r="F414" s="303"/>
      <c r="G414" s="129"/>
      <c r="H414" s="115"/>
      <c r="I414" s="117"/>
      <c r="J414" s="116"/>
      <c r="K414" s="291"/>
      <c r="L414" s="263"/>
      <c r="M414" s="116"/>
      <c r="N414" s="291"/>
      <c r="O414" s="263"/>
    </row>
    <row r="415" spans="1:15" x14ac:dyDescent="0.25">
      <c r="A415" s="125"/>
      <c r="B415" s="128"/>
      <c r="C415" s="123" t="str">
        <f>IFERROR(IF(B415="No CAS","",INDEX('DEQ Pollutant List'!$C$7:$C$611,MATCH('3. Pollutant Emissions - EF'!B415,'DEQ Pollutant List'!$B$7:$B$611,0))),"")</f>
        <v/>
      </c>
      <c r="D415" s="151" t="str">
        <f>IFERROR(IF(OR($B415="",$B415="No CAS"),INDEX('DEQ Pollutant List'!$A$7:$A$611,MATCH($C415,'DEQ Pollutant List'!$C$7:$C$611,0)),INDEX('DEQ Pollutant List'!$A$7:$A$611,MATCH($B415,'DEQ Pollutant List'!$B$7:$B$611,0))),"")</f>
        <v/>
      </c>
      <c r="E415" s="126"/>
      <c r="F415" s="303"/>
      <c r="G415" s="129"/>
      <c r="H415" s="115"/>
      <c r="I415" s="117"/>
      <c r="J415" s="116"/>
      <c r="K415" s="291"/>
      <c r="L415" s="263"/>
      <c r="M415" s="116"/>
      <c r="N415" s="291"/>
      <c r="O415" s="263"/>
    </row>
    <row r="416" spans="1:15" x14ac:dyDescent="0.25">
      <c r="A416" s="125"/>
      <c r="B416" s="128"/>
      <c r="C416" s="123" t="str">
        <f>IFERROR(IF(B416="No CAS","",INDEX('DEQ Pollutant List'!$C$7:$C$611,MATCH('3. Pollutant Emissions - EF'!B416,'DEQ Pollutant List'!$B$7:$B$611,0))),"")</f>
        <v/>
      </c>
      <c r="D416" s="151" t="str">
        <f>IFERROR(IF(OR($B416="",$B416="No CAS"),INDEX('DEQ Pollutant List'!$A$7:$A$611,MATCH($C416,'DEQ Pollutant List'!$C$7:$C$611,0)),INDEX('DEQ Pollutant List'!$A$7:$A$611,MATCH($B416,'DEQ Pollutant List'!$B$7:$B$611,0))),"")</f>
        <v/>
      </c>
      <c r="E416" s="126"/>
      <c r="F416" s="303"/>
      <c r="G416" s="129"/>
      <c r="H416" s="115"/>
      <c r="I416" s="117"/>
      <c r="J416" s="116"/>
      <c r="K416" s="291"/>
      <c r="L416" s="263"/>
      <c r="M416" s="116"/>
      <c r="N416" s="291"/>
      <c r="O416" s="263"/>
    </row>
    <row r="417" spans="1:15" x14ac:dyDescent="0.25">
      <c r="A417" s="125"/>
      <c r="B417" s="128"/>
      <c r="C417" s="123" t="str">
        <f>IFERROR(IF(B417="No CAS","",INDEX('DEQ Pollutant List'!$C$7:$C$611,MATCH('3. Pollutant Emissions - EF'!B417,'DEQ Pollutant List'!$B$7:$B$611,0))),"")</f>
        <v/>
      </c>
      <c r="D417" s="151" t="str">
        <f>IFERROR(IF(OR($B417="",$B417="No CAS"),INDEX('DEQ Pollutant List'!$A$7:$A$611,MATCH($C417,'DEQ Pollutant List'!$C$7:$C$611,0)),INDEX('DEQ Pollutant List'!$A$7:$A$611,MATCH($B417,'DEQ Pollutant List'!$B$7:$B$611,0))),"")</f>
        <v/>
      </c>
      <c r="E417" s="126"/>
      <c r="F417" s="303"/>
      <c r="G417" s="129"/>
      <c r="H417" s="115"/>
      <c r="I417" s="117"/>
      <c r="J417" s="116"/>
      <c r="K417" s="291"/>
      <c r="L417" s="263"/>
      <c r="M417" s="116"/>
      <c r="N417" s="291"/>
      <c r="O417" s="263"/>
    </row>
    <row r="418" spans="1:15" x14ac:dyDescent="0.25">
      <c r="A418" s="125"/>
      <c r="B418" s="128"/>
      <c r="C418" s="123" t="str">
        <f>IFERROR(IF(B418="No CAS","",INDEX('DEQ Pollutant List'!$C$7:$C$611,MATCH('3. Pollutant Emissions - EF'!B418,'DEQ Pollutant List'!$B$7:$B$611,0))),"")</f>
        <v/>
      </c>
      <c r="D418" s="151" t="str">
        <f>IFERROR(IF(OR($B418="",$B418="No CAS"),INDEX('DEQ Pollutant List'!$A$7:$A$611,MATCH($C418,'DEQ Pollutant List'!$C$7:$C$611,0)),INDEX('DEQ Pollutant List'!$A$7:$A$611,MATCH($B418,'DEQ Pollutant List'!$B$7:$B$611,0))),"")</f>
        <v/>
      </c>
      <c r="E418" s="126"/>
      <c r="F418" s="303"/>
      <c r="G418" s="129"/>
      <c r="H418" s="115"/>
      <c r="I418" s="117"/>
      <c r="J418" s="116"/>
      <c r="K418" s="291"/>
      <c r="L418" s="263"/>
      <c r="M418" s="116"/>
      <c r="N418" s="291"/>
      <c r="O418" s="263"/>
    </row>
    <row r="419" spans="1:15" x14ac:dyDescent="0.25">
      <c r="A419" s="125"/>
      <c r="B419" s="128"/>
      <c r="C419" s="123" t="str">
        <f>IFERROR(IF(B419="No CAS","",INDEX('DEQ Pollutant List'!$C$7:$C$611,MATCH('3. Pollutant Emissions - EF'!B419,'DEQ Pollutant List'!$B$7:$B$611,0))),"")</f>
        <v/>
      </c>
      <c r="D419" s="151" t="str">
        <f>IFERROR(IF(OR($B419="",$B419="No CAS"),INDEX('DEQ Pollutant List'!$A$7:$A$611,MATCH($C419,'DEQ Pollutant List'!$C$7:$C$611,0)),INDEX('DEQ Pollutant List'!$A$7:$A$611,MATCH($B419,'DEQ Pollutant List'!$B$7:$B$611,0))),"")</f>
        <v/>
      </c>
      <c r="E419" s="126"/>
      <c r="F419" s="303"/>
      <c r="G419" s="129"/>
      <c r="H419" s="115"/>
      <c r="I419" s="117"/>
      <c r="J419" s="116"/>
      <c r="K419" s="291"/>
      <c r="L419" s="263"/>
      <c r="M419" s="116"/>
      <c r="N419" s="291"/>
      <c r="O419" s="263"/>
    </row>
    <row r="420" spans="1:15" x14ac:dyDescent="0.25">
      <c r="A420" s="125"/>
      <c r="B420" s="128"/>
      <c r="C420" s="123" t="str">
        <f>IFERROR(IF(B420="No CAS","",INDEX('DEQ Pollutant List'!$C$7:$C$611,MATCH('3. Pollutant Emissions - EF'!B420,'DEQ Pollutant List'!$B$7:$B$611,0))),"")</f>
        <v/>
      </c>
      <c r="D420" s="151" t="str">
        <f>IFERROR(IF(OR($B420="",$B420="No CAS"),INDEX('DEQ Pollutant List'!$A$7:$A$611,MATCH($C420,'DEQ Pollutant List'!$C$7:$C$611,0)),INDEX('DEQ Pollutant List'!$A$7:$A$611,MATCH($B420,'DEQ Pollutant List'!$B$7:$B$611,0))),"")</f>
        <v/>
      </c>
      <c r="E420" s="126"/>
      <c r="F420" s="303"/>
      <c r="G420" s="129"/>
      <c r="H420" s="115"/>
      <c r="I420" s="117"/>
      <c r="J420" s="116"/>
      <c r="K420" s="291"/>
      <c r="L420" s="263"/>
      <c r="M420" s="116"/>
      <c r="N420" s="291"/>
      <c r="O420" s="263"/>
    </row>
    <row r="421" spans="1:15" x14ac:dyDescent="0.25">
      <c r="A421" s="125"/>
      <c r="B421" s="128"/>
      <c r="C421" s="123" t="str">
        <f>IFERROR(IF(B421="No CAS","",INDEX('DEQ Pollutant List'!$C$7:$C$611,MATCH('3. Pollutant Emissions - EF'!B421,'DEQ Pollutant List'!$B$7:$B$611,0))),"")</f>
        <v/>
      </c>
      <c r="D421" s="151" t="str">
        <f>IFERROR(IF(OR($B421="",$B421="No CAS"),INDEX('DEQ Pollutant List'!$A$7:$A$611,MATCH($C421,'DEQ Pollutant List'!$C$7:$C$611,0)),INDEX('DEQ Pollutant List'!$A$7:$A$611,MATCH($B421,'DEQ Pollutant List'!$B$7:$B$611,0))),"")</f>
        <v/>
      </c>
      <c r="E421" s="126"/>
      <c r="F421" s="303"/>
      <c r="G421" s="129"/>
      <c r="H421" s="115"/>
      <c r="I421" s="117"/>
      <c r="J421" s="116"/>
      <c r="K421" s="291"/>
      <c r="L421" s="263"/>
      <c r="M421" s="116"/>
      <c r="N421" s="291"/>
      <c r="O421" s="263"/>
    </row>
    <row r="422" spans="1:15" x14ac:dyDescent="0.25">
      <c r="A422" s="125"/>
      <c r="B422" s="128"/>
      <c r="C422" s="123" t="str">
        <f>IFERROR(IF(B422="No CAS","",INDEX('DEQ Pollutant List'!$C$7:$C$611,MATCH('3. Pollutant Emissions - EF'!B422,'DEQ Pollutant List'!$B$7:$B$611,0))),"")</f>
        <v/>
      </c>
      <c r="D422" s="151" t="str">
        <f>IFERROR(IF(OR($B422="",$B422="No CAS"),INDEX('DEQ Pollutant List'!$A$7:$A$611,MATCH($C422,'DEQ Pollutant List'!$C$7:$C$611,0)),INDEX('DEQ Pollutant List'!$A$7:$A$611,MATCH($B422,'DEQ Pollutant List'!$B$7:$B$611,0))),"")</f>
        <v/>
      </c>
      <c r="E422" s="126"/>
      <c r="F422" s="303"/>
      <c r="G422" s="129"/>
      <c r="H422" s="115"/>
      <c r="I422" s="117"/>
      <c r="J422" s="116"/>
      <c r="K422" s="291"/>
      <c r="L422" s="263"/>
      <c r="M422" s="116"/>
      <c r="N422" s="291"/>
      <c r="O422" s="263"/>
    </row>
    <row r="423" spans="1:15" x14ac:dyDescent="0.25">
      <c r="A423" s="125"/>
      <c r="B423" s="128"/>
      <c r="C423" s="123" t="str">
        <f>IFERROR(IF(B423="No CAS","",INDEX('DEQ Pollutant List'!$C$7:$C$611,MATCH('3. Pollutant Emissions - EF'!B423,'DEQ Pollutant List'!$B$7:$B$611,0))),"")</f>
        <v/>
      </c>
      <c r="D423" s="151" t="str">
        <f>IFERROR(IF(OR($B423="",$B423="No CAS"),INDEX('DEQ Pollutant List'!$A$7:$A$611,MATCH($C423,'DEQ Pollutant List'!$C$7:$C$611,0)),INDEX('DEQ Pollutant List'!$A$7:$A$611,MATCH($B423,'DEQ Pollutant List'!$B$7:$B$611,0))),"")</f>
        <v/>
      </c>
      <c r="E423" s="126"/>
      <c r="F423" s="303"/>
      <c r="G423" s="129"/>
      <c r="H423" s="115"/>
      <c r="I423" s="117"/>
      <c r="J423" s="116"/>
      <c r="K423" s="291"/>
      <c r="L423" s="263"/>
      <c r="M423" s="116"/>
      <c r="N423" s="291"/>
      <c r="O423" s="263"/>
    </row>
    <row r="424" spans="1:15" x14ac:dyDescent="0.25">
      <c r="A424" s="125"/>
      <c r="B424" s="128"/>
      <c r="C424" s="123" t="str">
        <f>IFERROR(IF(B424="No CAS","",INDEX('DEQ Pollutant List'!$C$7:$C$611,MATCH('3. Pollutant Emissions - EF'!B424,'DEQ Pollutant List'!$B$7:$B$611,0))),"")</f>
        <v/>
      </c>
      <c r="D424" s="151" t="str">
        <f>IFERROR(IF(OR($B424="",$B424="No CAS"),INDEX('DEQ Pollutant List'!$A$7:$A$611,MATCH($C424,'DEQ Pollutant List'!$C$7:$C$611,0)),INDEX('DEQ Pollutant List'!$A$7:$A$611,MATCH($B424,'DEQ Pollutant List'!$B$7:$B$611,0))),"")</f>
        <v/>
      </c>
      <c r="E424" s="126"/>
      <c r="F424" s="303"/>
      <c r="G424" s="129"/>
      <c r="H424" s="115"/>
      <c r="I424" s="117"/>
      <c r="J424" s="116"/>
      <c r="K424" s="291"/>
      <c r="L424" s="263"/>
      <c r="M424" s="116"/>
      <c r="N424" s="291"/>
      <c r="O424" s="263"/>
    </row>
    <row r="425" spans="1:15" x14ac:dyDescent="0.25">
      <c r="A425" s="125"/>
      <c r="B425" s="128"/>
      <c r="C425" s="123" t="str">
        <f>IFERROR(IF(B425="No CAS","",INDEX('DEQ Pollutant List'!$C$7:$C$611,MATCH('3. Pollutant Emissions - EF'!B425,'DEQ Pollutant List'!$B$7:$B$611,0))),"")</f>
        <v/>
      </c>
      <c r="D425" s="151" t="str">
        <f>IFERROR(IF(OR($B425="",$B425="No CAS"),INDEX('DEQ Pollutant List'!$A$7:$A$611,MATCH($C425,'DEQ Pollutant List'!$C$7:$C$611,0)),INDEX('DEQ Pollutant List'!$A$7:$A$611,MATCH($B425,'DEQ Pollutant List'!$B$7:$B$611,0))),"")</f>
        <v/>
      </c>
      <c r="E425" s="126"/>
      <c r="F425" s="303"/>
      <c r="G425" s="129"/>
      <c r="H425" s="115"/>
      <c r="I425" s="117"/>
      <c r="J425" s="116"/>
      <c r="K425" s="291"/>
      <c r="L425" s="263"/>
      <c r="M425" s="116"/>
      <c r="N425" s="291"/>
      <c r="O425" s="263"/>
    </row>
    <row r="426" spans="1:15" x14ac:dyDescent="0.25">
      <c r="A426" s="125"/>
      <c r="B426" s="128"/>
      <c r="C426" s="123" t="str">
        <f>IFERROR(IF(B426="No CAS","",INDEX('DEQ Pollutant List'!$C$7:$C$611,MATCH('3. Pollutant Emissions - EF'!B426,'DEQ Pollutant List'!$B$7:$B$611,0))),"")</f>
        <v/>
      </c>
      <c r="D426" s="151" t="str">
        <f>IFERROR(IF(OR($B426="",$B426="No CAS"),INDEX('DEQ Pollutant List'!$A$7:$A$611,MATCH($C426,'DEQ Pollutant List'!$C$7:$C$611,0)),INDEX('DEQ Pollutant List'!$A$7:$A$611,MATCH($B426,'DEQ Pollutant List'!$B$7:$B$611,0))),"")</f>
        <v/>
      </c>
      <c r="E426" s="126"/>
      <c r="F426" s="303"/>
      <c r="G426" s="129"/>
      <c r="H426" s="115"/>
      <c r="I426" s="117"/>
      <c r="J426" s="116"/>
      <c r="K426" s="291"/>
      <c r="L426" s="263"/>
      <c r="M426" s="116"/>
      <c r="N426" s="291"/>
      <c r="O426" s="263"/>
    </row>
    <row r="427" spans="1:15" x14ac:dyDescent="0.25">
      <c r="A427" s="125"/>
      <c r="B427" s="128"/>
      <c r="C427" s="123" t="str">
        <f>IFERROR(IF(B427="No CAS","",INDEX('DEQ Pollutant List'!$C$7:$C$611,MATCH('3. Pollutant Emissions - EF'!B427,'DEQ Pollutant List'!$B$7:$B$611,0))),"")</f>
        <v/>
      </c>
      <c r="D427" s="151" t="str">
        <f>IFERROR(IF(OR($B427="",$B427="No CAS"),INDEX('DEQ Pollutant List'!$A$7:$A$611,MATCH($C427,'DEQ Pollutant List'!$C$7:$C$611,0)),INDEX('DEQ Pollutant List'!$A$7:$A$611,MATCH($B427,'DEQ Pollutant List'!$B$7:$B$611,0))),"")</f>
        <v/>
      </c>
      <c r="E427" s="126"/>
      <c r="F427" s="303"/>
      <c r="G427" s="129"/>
      <c r="H427" s="115"/>
      <c r="I427" s="117"/>
      <c r="J427" s="116"/>
      <c r="K427" s="291"/>
      <c r="L427" s="263"/>
      <c r="M427" s="116"/>
      <c r="N427" s="291"/>
      <c r="O427" s="263"/>
    </row>
    <row r="428" spans="1:15" ht="15.75" thickBot="1" x14ac:dyDescent="0.3">
      <c r="A428" s="125"/>
      <c r="B428" s="128"/>
      <c r="C428" s="123" t="str">
        <f>IFERROR(IF(B428="No CAS","",INDEX('DEQ Pollutant List'!$C$7:$C$611,MATCH('3. Pollutant Emissions - EF'!B428,'DEQ Pollutant List'!$B$7:$B$611,0))),"")</f>
        <v/>
      </c>
      <c r="D428" s="151" t="str">
        <f>IFERROR(IF(OR($B428="",$B428="No CAS"),INDEX('DEQ Pollutant List'!$A$7:$A$611,MATCH($C428,'DEQ Pollutant List'!$C$7:$C$611,0)),INDEX('DEQ Pollutant List'!$A$7:$A$611,MATCH($B428,'DEQ Pollutant List'!$B$7:$B$611,0))),"")</f>
        <v/>
      </c>
      <c r="E428" s="190"/>
      <c r="F428" s="303"/>
      <c r="G428" s="129"/>
      <c r="H428" s="115"/>
      <c r="I428" s="117"/>
      <c r="J428" s="116"/>
      <c r="K428" s="291"/>
      <c r="L428" s="263"/>
      <c r="M428" s="116"/>
      <c r="N428" s="291"/>
      <c r="O428" s="263"/>
    </row>
    <row r="429" spans="1:15" x14ac:dyDescent="0.25">
      <c r="A429" s="125"/>
      <c r="B429" s="128"/>
      <c r="C429" s="123" t="str">
        <f>IFERROR(IF(B429="No CAS","",INDEX('DEQ Pollutant List'!$C$7:$C$611,MATCH('3. Pollutant Emissions - EF'!B429,'DEQ Pollutant List'!$B$7:$B$611,0))),"")</f>
        <v/>
      </c>
      <c r="D429" s="127" t="str">
        <f>IFERROR(IF(OR($B429="",$B429="No CAS"),INDEX('DEQ Pollutant List'!$A$7:$A$611,MATCH($C429,'DEQ Pollutant List'!$C$7:$C$611,0)),INDEX('DEQ Pollutant List'!$A$7:$A$611,MATCH($B429,'DEQ Pollutant List'!$B$7:$B$611,0))),"")</f>
        <v/>
      </c>
      <c r="E429" s="126"/>
      <c r="F429" s="750"/>
      <c r="G429" s="129"/>
      <c r="H429" s="115"/>
      <c r="I429" s="117"/>
      <c r="J429" s="116"/>
      <c r="K429" s="291"/>
      <c r="L429" s="263"/>
      <c r="M429" s="116"/>
      <c r="N429" s="291"/>
      <c r="O429" s="263"/>
    </row>
    <row r="430" spans="1:15" x14ac:dyDescent="0.25">
      <c r="A430" s="125"/>
      <c r="B430" s="128"/>
      <c r="C430" s="123" t="str">
        <f>IFERROR(IF(B430="No CAS","",INDEX('DEQ Pollutant List'!$C$7:$C$611,MATCH('3. Pollutant Emissions - EF'!B430,'DEQ Pollutant List'!$B$7:$B$611,0))),"")</f>
        <v/>
      </c>
      <c r="D430" s="127" t="str">
        <f>IFERROR(IF(OR($B430="",$B430="No CAS"),INDEX('DEQ Pollutant List'!$A$7:$A$611,MATCH($C430,'DEQ Pollutant List'!$C$7:$C$611,0)),INDEX('DEQ Pollutant List'!$A$7:$A$611,MATCH($B430,'DEQ Pollutant List'!$B$7:$B$611,0))),"")</f>
        <v/>
      </c>
      <c r="E430" s="126"/>
      <c r="F430" s="750"/>
      <c r="G430" s="129"/>
      <c r="H430" s="115"/>
      <c r="I430" s="117"/>
      <c r="J430" s="116"/>
      <c r="K430" s="291"/>
      <c r="L430" s="263"/>
      <c r="M430" s="116"/>
      <c r="N430" s="291"/>
      <c r="O430" s="263"/>
    </row>
    <row r="431" spans="1:15" x14ac:dyDescent="0.25">
      <c r="A431" s="125"/>
      <c r="B431" s="128"/>
      <c r="C431" s="123" t="str">
        <f>IFERROR(IF(B431="No CAS","",INDEX('DEQ Pollutant List'!$C$7:$C$611,MATCH('3. Pollutant Emissions - EF'!B431,'DEQ Pollutant List'!$B$7:$B$611,0))),"")</f>
        <v/>
      </c>
      <c r="D431" s="127" t="str">
        <f>IFERROR(IF(OR($B431="",$B431="No CAS"),INDEX('DEQ Pollutant List'!$A$7:$A$611,MATCH($C431,'DEQ Pollutant List'!$C$7:$C$611,0)),INDEX('DEQ Pollutant List'!$A$7:$A$611,MATCH($B431,'DEQ Pollutant List'!$B$7:$B$611,0))),"")</f>
        <v/>
      </c>
      <c r="E431" s="126"/>
      <c r="F431" s="750"/>
      <c r="G431" s="129"/>
      <c r="H431" s="115"/>
      <c r="I431" s="117"/>
      <c r="J431" s="116"/>
      <c r="K431" s="291"/>
      <c r="L431" s="263"/>
      <c r="M431" s="116"/>
      <c r="N431" s="291"/>
      <c r="O431" s="263"/>
    </row>
    <row r="432" spans="1:15" x14ac:dyDescent="0.25">
      <c r="A432" s="125"/>
      <c r="B432" s="128"/>
      <c r="C432" s="123" t="str">
        <f>IFERROR(IF(B432="No CAS","",INDEX('DEQ Pollutant List'!$C$7:$C$611,MATCH('3. Pollutant Emissions - EF'!B432,'DEQ Pollutant List'!$B$7:$B$611,0))),"")</f>
        <v/>
      </c>
      <c r="D432" s="127" t="str">
        <f>IFERROR(IF(OR($B432="",$B432="No CAS"),INDEX('DEQ Pollutant List'!$A$7:$A$611,MATCH($C432,'DEQ Pollutant List'!$C$7:$C$611,0)),INDEX('DEQ Pollutant List'!$A$7:$A$611,MATCH($B432,'DEQ Pollutant List'!$B$7:$B$611,0))),"")</f>
        <v/>
      </c>
      <c r="E432" s="126"/>
      <c r="F432" s="750"/>
      <c r="G432" s="129"/>
      <c r="H432" s="115"/>
      <c r="I432" s="117"/>
      <c r="J432" s="116"/>
      <c r="K432" s="291"/>
      <c r="L432" s="263"/>
      <c r="M432" s="116"/>
      <c r="N432" s="291"/>
      <c r="O432" s="263"/>
    </row>
    <row r="433" spans="1:15" x14ac:dyDescent="0.25">
      <c r="A433" s="125"/>
      <c r="B433" s="128"/>
      <c r="C433" s="123" t="str">
        <f>IFERROR(IF(B433="No CAS","",INDEX('DEQ Pollutant List'!$C$7:$C$611,MATCH('3. Pollutant Emissions - EF'!B433,'DEQ Pollutant List'!$B$7:$B$611,0))),"")</f>
        <v/>
      </c>
      <c r="D433" s="127" t="str">
        <f>IFERROR(IF(OR($B433="",$B433="No CAS"),INDEX('DEQ Pollutant List'!$A$7:$A$611,MATCH($C433,'DEQ Pollutant List'!$C$7:$C$611,0)),INDEX('DEQ Pollutant List'!$A$7:$A$611,MATCH($B433,'DEQ Pollutant List'!$B$7:$B$611,0))),"")</f>
        <v/>
      </c>
      <c r="E433" s="126"/>
      <c r="F433" s="750"/>
      <c r="G433" s="129"/>
      <c r="H433" s="115"/>
      <c r="I433" s="117"/>
      <c r="J433" s="116"/>
      <c r="K433" s="291"/>
      <c r="L433" s="263"/>
      <c r="M433" s="116"/>
      <c r="N433" s="291"/>
      <c r="O433" s="263"/>
    </row>
    <row r="434" spans="1:15" x14ac:dyDescent="0.25">
      <c r="A434" s="125"/>
      <c r="B434" s="128"/>
      <c r="C434" s="123" t="str">
        <f>IFERROR(IF(B434="No CAS","",INDEX('DEQ Pollutant List'!$C$7:$C$611,MATCH('3. Pollutant Emissions - EF'!B434,'DEQ Pollutant List'!$B$7:$B$611,0))),"")</f>
        <v/>
      </c>
      <c r="D434" s="127" t="str">
        <f>IFERROR(IF(OR($B434="",$B434="No CAS"),INDEX('DEQ Pollutant List'!$A$7:$A$611,MATCH($C434,'DEQ Pollutant List'!$C$7:$C$611,0)),INDEX('DEQ Pollutant List'!$A$7:$A$611,MATCH($B434,'DEQ Pollutant List'!$B$7:$B$611,0))),"")</f>
        <v/>
      </c>
      <c r="E434" s="126"/>
      <c r="F434" s="750"/>
      <c r="G434" s="129"/>
      <c r="H434" s="115"/>
      <c r="I434" s="117"/>
      <c r="J434" s="116"/>
      <c r="K434" s="291"/>
      <c r="L434" s="263"/>
      <c r="M434" s="116"/>
      <c r="N434" s="291"/>
      <c r="O434" s="263"/>
    </row>
    <row r="435" spans="1:15" x14ac:dyDescent="0.25">
      <c r="A435" s="125"/>
      <c r="B435" s="128"/>
      <c r="C435" s="123" t="str">
        <f>IFERROR(IF(B435="No CAS","",INDEX('DEQ Pollutant List'!$C$7:$C$611,MATCH('3. Pollutant Emissions - EF'!B435,'DEQ Pollutant List'!$B$7:$B$611,0))),"")</f>
        <v/>
      </c>
      <c r="D435" s="127" t="str">
        <f>IFERROR(IF(OR($B435="",$B435="No CAS"),INDEX('DEQ Pollutant List'!$A$7:$A$611,MATCH($C435,'DEQ Pollutant List'!$C$7:$C$611,0)),INDEX('DEQ Pollutant List'!$A$7:$A$611,MATCH($B435,'DEQ Pollutant List'!$B$7:$B$611,0))),"")</f>
        <v/>
      </c>
      <c r="E435" s="126"/>
      <c r="F435" s="750"/>
      <c r="G435" s="129"/>
      <c r="H435" s="115"/>
      <c r="I435" s="117"/>
      <c r="J435" s="116"/>
      <c r="K435" s="291"/>
      <c r="L435" s="263"/>
      <c r="M435" s="116"/>
      <c r="N435" s="291"/>
      <c r="O435" s="263"/>
    </row>
    <row r="436" spans="1:15" x14ac:dyDescent="0.25">
      <c r="A436" s="125"/>
      <c r="B436" s="128"/>
      <c r="C436" s="123" t="str">
        <f>IFERROR(IF(B436="No CAS","",INDEX('DEQ Pollutant List'!$C$7:$C$611,MATCH('3. Pollutant Emissions - EF'!B436,'DEQ Pollutant List'!$B$7:$B$611,0))),"")</f>
        <v/>
      </c>
      <c r="D436" s="127" t="str">
        <f>IFERROR(IF(OR($B436="",$B436="No CAS"),INDEX('DEQ Pollutant List'!$A$7:$A$611,MATCH($C436,'DEQ Pollutant List'!$C$7:$C$611,0)),INDEX('DEQ Pollutant List'!$A$7:$A$611,MATCH($B436,'DEQ Pollutant List'!$B$7:$B$611,0))),"")</f>
        <v/>
      </c>
      <c r="E436" s="126"/>
      <c r="F436" s="750"/>
      <c r="G436" s="129"/>
      <c r="H436" s="115"/>
      <c r="I436" s="117"/>
      <c r="J436" s="116"/>
      <c r="K436" s="291"/>
      <c r="L436" s="263"/>
      <c r="M436" s="116"/>
      <c r="N436" s="291"/>
      <c r="O436" s="263"/>
    </row>
    <row r="437" spans="1:15" x14ac:dyDescent="0.25">
      <c r="A437" s="125"/>
      <c r="B437" s="128"/>
      <c r="C437" s="123" t="str">
        <f>IFERROR(IF(B437="No CAS","",INDEX('DEQ Pollutant List'!$C$7:$C$611,MATCH('3. Pollutant Emissions - EF'!B437,'DEQ Pollutant List'!$B$7:$B$611,0))),"")</f>
        <v/>
      </c>
      <c r="D437" s="127" t="str">
        <f>IFERROR(IF(OR($B437="",$B437="No CAS"),INDEX('DEQ Pollutant List'!$A$7:$A$611,MATCH($C437,'DEQ Pollutant List'!$C$7:$C$611,0)),INDEX('DEQ Pollutant List'!$A$7:$A$611,MATCH($B437,'DEQ Pollutant List'!$B$7:$B$611,0))),"")</f>
        <v/>
      </c>
      <c r="E437" s="126"/>
      <c r="F437" s="750"/>
      <c r="G437" s="129"/>
      <c r="H437" s="115"/>
      <c r="I437" s="117"/>
      <c r="J437" s="116"/>
      <c r="K437" s="291"/>
      <c r="L437" s="263"/>
      <c r="M437" s="116"/>
      <c r="N437" s="291"/>
      <c r="O437" s="263"/>
    </row>
    <row r="438" spans="1:15" x14ac:dyDescent="0.25">
      <c r="A438" s="125"/>
      <c r="B438" s="128"/>
      <c r="C438" s="123" t="str">
        <f>IFERROR(IF(B438="No CAS","",INDEX('DEQ Pollutant List'!$C$7:$C$611,MATCH('3. Pollutant Emissions - EF'!B438,'DEQ Pollutant List'!$B$7:$B$611,0))),"")</f>
        <v/>
      </c>
      <c r="D438" s="127" t="str">
        <f>IFERROR(IF(OR($B438="",$B438="No CAS"),INDEX('DEQ Pollutant List'!$A$7:$A$611,MATCH($C438,'DEQ Pollutant List'!$C$7:$C$611,0)),INDEX('DEQ Pollutant List'!$A$7:$A$611,MATCH($B438,'DEQ Pollutant List'!$B$7:$B$611,0))),"")</f>
        <v/>
      </c>
      <c r="E438" s="126"/>
      <c r="F438" s="750"/>
      <c r="G438" s="129"/>
      <c r="H438" s="115"/>
      <c r="I438" s="117"/>
      <c r="J438" s="116"/>
      <c r="K438" s="291"/>
      <c r="L438" s="263"/>
      <c r="M438" s="116"/>
      <c r="N438" s="291"/>
      <c r="O438" s="263"/>
    </row>
    <row r="439" spans="1:15" x14ac:dyDescent="0.25">
      <c r="A439" s="125"/>
      <c r="B439" s="128"/>
      <c r="C439" s="123" t="str">
        <f>IFERROR(IF(B439="No CAS","",INDEX('DEQ Pollutant List'!$C$7:$C$611,MATCH('3. Pollutant Emissions - EF'!B439,'DEQ Pollutant List'!$B$7:$B$611,0))),"")</f>
        <v/>
      </c>
      <c r="D439" s="127" t="str">
        <f>IFERROR(IF(OR($B439="",$B439="No CAS"),INDEX('DEQ Pollutant List'!$A$7:$A$611,MATCH($C439,'DEQ Pollutant List'!$C$7:$C$611,0)),INDEX('DEQ Pollutant List'!$A$7:$A$611,MATCH($B439,'DEQ Pollutant List'!$B$7:$B$611,0))),"")</f>
        <v/>
      </c>
      <c r="E439" s="126"/>
      <c r="F439" s="750"/>
      <c r="G439" s="129"/>
      <c r="H439" s="115"/>
      <c r="I439" s="117"/>
      <c r="J439" s="116"/>
      <c r="K439" s="291"/>
      <c r="L439" s="263"/>
      <c r="M439" s="116"/>
      <c r="N439" s="291"/>
      <c r="O439" s="263"/>
    </row>
    <row r="440" spans="1:15" x14ac:dyDescent="0.25">
      <c r="A440" s="125"/>
      <c r="B440" s="128"/>
      <c r="C440" s="123" t="str">
        <f>IFERROR(IF(B440="No CAS","",INDEX('DEQ Pollutant List'!$C$7:$C$611,MATCH('3. Pollutant Emissions - EF'!B440,'DEQ Pollutant List'!$B$7:$B$611,0))),"")</f>
        <v/>
      </c>
      <c r="D440" s="127" t="str">
        <f>IFERROR(IF(OR($B440="",$B440="No CAS"),INDEX('DEQ Pollutant List'!$A$7:$A$611,MATCH($C440,'DEQ Pollutant List'!$C$7:$C$611,0)),INDEX('DEQ Pollutant List'!$A$7:$A$611,MATCH($B440,'DEQ Pollutant List'!$B$7:$B$611,0))),"")</f>
        <v/>
      </c>
      <c r="E440" s="126"/>
      <c r="F440" s="750"/>
      <c r="G440" s="129"/>
      <c r="H440" s="115"/>
      <c r="I440" s="117"/>
      <c r="J440" s="116"/>
      <c r="K440" s="291"/>
      <c r="L440" s="263"/>
      <c r="M440" s="116"/>
      <c r="N440" s="291"/>
      <c r="O440" s="263"/>
    </row>
    <row r="441" spans="1:15" x14ac:dyDescent="0.25">
      <c r="A441" s="125"/>
      <c r="B441" s="128"/>
      <c r="C441" s="123" t="str">
        <f>IFERROR(IF(B441="No CAS","",INDEX('DEQ Pollutant List'!$C$7:$C$611,MATCH('3. Pollutant Emissions - EF'!B441,'DEQ Pollutant List'!$B$7:$B$611,0))),"")</f>
        <v/>
      </c>
      <c r="D441" s="127" t="str">
        <f>IFERROR(IF(OR($B441="",$B441="No CAS"),INDEX('DEQ Pollutant List'!$A$7:$A$611,MATCH($C441,'DEQ Pollutant List'!$C$7:$C$611,0)),INDEX('DEQ Pollutant List'!$A$7:$A$611,MATCH($B441,'DEQ Pollutant List'!$B$7:$B$611,0))),"")</f>
        <v/>
      </c>
      <c r="E441" s="126"/>
      <c r="F441" s="750"/>
      <c r="G441" s="129"/>
      <c r="H441" s="115"/>
      <c r="I441" s="117"/>
      <c r="J441" s="116"/>
      <c r="K441" s="291"/>
      <c r="L441" s="263"/>
      <c r="M441" s="116"/>
      <c r="N441" s="291"/>
      <c r="O441" s="263"/>
    </row>
    <row r="442" spans="1:15" x14ac:dyDescent="0.25">
      <c r="A442" s="125"/>
      <c r="B442" s="128"/>
      <c r="C442" s="123" t="str">
        <f>IFERROR(IF(B442="No CAS","",INDEX('DEQ Pollutant List'!$C$7:$C$611,MATCH('3. Pollutant Emissions - EF'!B442,'DEQ Pollutant List'!$B$7:$B$611,0))),"")</f>
        <v/>
      </c>
      <c r="D442" s="127" t="str">
        <f>IFERROR(IF(OR($B442="",$B442="No CAS"),INDEX('DEQ Pollutant List'!$A$7:$A$611,MATCH($C442,'DEQ Pollutant List'!$C$7:$C$611,0)),INDEX('DEQ Pollutant List'!$A$7:$A$611,MATCH($B442,'DEQ Pollutant List'!$B$7:$B$611,0))),"")</f>
        <v/>
      </c>
      <c r="E442" s="126"/>
      <c r="F442" s="750"/>
      <c r="G442" s="129"/>
      <c r="H442" s="115"/>
      <c r="I442" s="117"/>
      <c r="J442" s="116"/>
      <c r="K442" s="291"/>
      <c r="L442" s="263"/>
      <c r="M442" s="116"/>
      <c r="N442" s="291"/>
      <c r="O442" s="263"/>
    </row>
    <row r="443" spans="1:15" x14ac:dyDescent="0.25">
      <c r="A443" s="125"/>
      <c r="B443" s="128"/>
      <c r="C443" s="123" t="str">
        <f>IFERROR(IF(B443="No CAS","",INDEX('DEQ Pollutant List'!$C$7:$C$611,MATCH('3. Pollutant Emissions - EF'!B443,'DEQ Pollutant List'!$B$7:$B$611,0))),"")</f>
        <v/>
      </c>
      <c r="D443" s="127" t="str">
        <f>IFERROR(IF(OR($B443="",$B443="No CAS"),INDEX('DEQ Pollutant List'!$A$7:$A$611,MATCH($C443,'DEQ Pollutant List'!$C$7:$C$611,0)),INDEX('DEQ Pollutant List'!$A$7:$A$611,MATCH($B443,'DEQ Pollutant List'!$B$7:$B$611,0))),"")</f>
        <v/>
      </c>
      <c r="E443" s="126"/>
      <c r="F443" s="750"/>
      <c r="G443" s="129"/>
      <c r="H443" s="115"/>
      <c r="I443" s="117"/>
      <c r="J443" s="116"/>
      <c r="K443" s="291"/>
      <c r="L443" s="263"/>
      <c r="M443" s="116"/>
      <c r="N443" s="291"/>
      <c r="O443" s="263"/>
    </row>
    <row r="444" spans="1:15" x14ac:dyDescent="0.25">
      <c r="A444" s="125"/>
      <c r="B444" s="128"/>
      <c r="C444" s="123" t="str">
        <f>IFERROR(IF(B444="No CAS","",INDEX('DEQ Pollutant List'!$C$7:$C$611,MATCH('3. Pollutant Emissions - EF'!B444,'DEQ Pollutant List'!$B$7:$B$611,0))),"")</f>
        <v/>
      </c>
      <c r="D444" s="127" t="str">
        <f>IFERROR(IF(OR($B444="",$B444="No CAS"),INDEX('DEQ Pollutant List'!$A$7:$A$611,MATCH($C444,'DEQ Pollutant List'!$C$7:$C$611,0)),INDEX('DEQ Pollutant List'!$A$7:$A$611,MATCH($B444,'DEQ Pollutant List'!$B$7:$B$611,0))),"")</f>
        <v/>
      </c>
      <c r="E444" s="126"/>
      <c r="F444" s="750"/>
      <c r="G444" s="129"/>
      <c r="H444" s="115"/>
      <c r="I444" s="117"/>
      <c r="J444" s="116"/>
      <c r="K444" s="291"/>
      <c r="L444" s="263"/>
      <c r="M444" s="116"/>
      <c r="N444" s="291"/>
      <c r="O444" s="263"/>
    </row>
    <row r="445" spans="1:15" x14ac:dyDescent="0.25">
      <c r="A445" s="125"/>
      <c r="B445" s="128"/>
      <c r="C445" s="123" t="str">
        <f>IFERROR(IF(B445="No CAS","",INDEX('DEQ Pollutant List'!$C$7:$C$611,MATCH('3. Pollutant Emissions - EF'!B445,'DEQ Pollutant List'!$B$7:$B$611,0))),"")</f>
        <v/>
      </c>
      <c r="D445" s="127" t="str">
        <f>IFERROR(IF(OR($B445="",$B445="No CAS"),INDEX('DEQ Pollutant List'!$A$7:$A$611,MATCH($C445,'DEQ Pollutant List'!$C$7:$C$611,0)),INDEX('DEQ Pollutant List'!$A$7:$A$611,MATCH($B445,'DEQ Pollutant List'!$B$7:$B$611,0))),"")</f>
        <v/>
      </c>
      <c r="E445" s="126"/>
      <c r="F445" s="750"/>
      <c r="G445" s="129"/>
      <c r="H445" s="115"/>
      <c r="I445" s="117"/>
      <c r="J445" s="116"/>
      <c r="K445" s="291"/>
      <c r="L445" s="263"/>
      <c r="M445" s="116"/>
      <c r="N445" s="291"/>
      <c r="O445" s="263"/>
    </row>
    <row r="446" spans="1:15" x14ac:dyDescent="0.25">
      <c r="A446" s="125"/>
      <c r="B446" s="128"/>
      <c r="C446" s="123" t="str">
        <f>IFERROR(IF(B446="No CAS","",INDEX('DEQ Pollutant List'!$C$7:$C$611,MATCH('3. Pollutant Emissions - EF'!B446,'DEQ Pollutant List'!$B$7:$B$611,0))),"")</f>
        <v/>
      </c>
      <c r="D446" s="127" t="str">
        <f>IFERROR(IF(OR($B446="",$B446="No CAS"),INDEX('DEQ Pollutant List'!$A$7:$A$611,MATCH($C446,'DEQ Pollutant List'!$C$7:$C$611,0)),INDEX('DEQ Pollutant List'!$A$7:$A$611,MATCH($B446,'DEQ Pollutant List'!$B$7:$B$611,0))),"")</f>
        <v/>
      </c>
      <c r="E446" s="126"/>
      <c r="F446" s="750"/>
      <c r="G446" s="129"/>
      <c r="H446" s="115"/>
      <c r="I446" s="117"/>
      <c r="J446" s="116"/>
      <c r="K446" s="291"/>
      <c r="L446" s="263"/>
      <c r="M446" s="116"/>
      <c r="N446" s="291"/>
      <c r="O446" s="263"/>
    </row>
    <row r="447" spans="1:15" x14ac:dyDescent="0.25">
      <c r="A447" s="125"/>
      <c r="B447" s="128"/>
      <c r="C447" s="123" t="str">
        <f>IFERROR(IF(B447="No CAS","",INDEX('DEQ Pollutant List'!$C$7:$C$611,MATCH('3. Pollutant Emissions - EF'!B447,'DEQ Pollutant List'!$B$7:$B$611,0))),"")</f>
        <v/>
      </c>
      <c r="D447" s="127" t="str">
        <f>IFERROR(IF(OR($B447="",$B447="No CAS"),INDEX('DEQ Pollutant List'!$A$7:$A$611,MATCH($C447,'DEQ Pollutant List'!$C$7:$C$611,0)),INDEX('DEQ Pollutant List'!$A$7:$A$611,MATCH($B447,'DEQ Pollutant List'!$B$7:$B$611,0))),"")</f>
        <v/>
      </c>
      <c r="E447" s="126"/>
      <c r="F447" s="750"/>
      <c r="G447" s="129"/>
      <c r="H447" s="115"/>
      <c r="I447" s="117"/>
      <c r="J447" s="116"/>
      <c r="K447" s="291"/>
      <c r="L447" s="263"/>
      <c r="M447" s="116"/>
      <c r="N447" s="291"/>
      <c r="O447" s="263"/>
    </row>
    <row r="448" spans="1:15" x14ac:dyDescent="0.25">
      <c r="A448" s="125"/>
      <c r="B448" s="128"/>
      <c r="C448" s="123" t="str">
        <f>IFERROR(IF(B448="No CAS","",INDEX('DEQ Pollutant List'!$C$7:$C$611,MATCH('3. Pollutant Emissions - EF'!B448,'DEQ Pollutant List'!$B$7:$B$611,0))),"")</f>
        <v/>
      </c>
      <c r="D448" s="127" t="str">
        <f>IFERROR(IF(OR($B448="",$B448="No CAS"),INDEX('DEQ Pollutant List'!$A$7:$A$611,MATCH($C448,'DEQ Pollutant List'!$C$7:$C$611,0)),INDEX('DEQ Pollutant List'!$A$7:$A$611,MATCH($B448,'DEQ Pollutant List'!$B$7:$B$611,0))),"")</f>
        <v/>
      </c>
      <c r="E448" s="126"/>
      <c r="F448" s="750"/>
      <c r="G448" s="129"/>
      <c r="H448" s="115"/>
      <c r="I448" s="117"/>
      <c r="J448" s="116"/>
      <c r="K448" s="291"/>
      <c r="L448" s="263"/>
      <c r="M448" s="116"/>
      <c r="N448" s="291"/>
      <c r="O448" s="263"/>
    </row>
    <row r="449" spans="1:15" x14ac:dyDescent="0.25">
      <c r="A449" s="125"/>
      <c r="B449" s="128"/>
      <c r="C449" s="123" t="str">
        <f>IFERROR(IF(B449="No CAS","",INDEX('DEQ Pollutant List'!$C$7:$C$611,MATCH('3. Pollutant Emissions - EF'!B449,'DEQ Pollutant List'!$B$7:$B$611,0))),"")</f>
        <v/>
      </c>
      <c r="D449" s="127" t="str">
        <f>IFERROR(IF(OR($B449="",$B449="No CAS"),INDEX('DEQ Pollutant List'!$A$7:$A$611,MATCH($C449,'DEQ Pollutant List'!$C$7:$C$611,0)),INDEX('DEQ Pollutant List'!$A$7:$A$611,MATCH($B449,'DEQ Pollutant List'!$B$7:$B$611,0))),"")</f>
        <v/>
      </c>
      <c r="E449" s="126"/>
      <c r="F449" s="750"/>
      <c r="G449" s="129"/>
      <c r="H449" s="115"/>
      <c r="I449" s="117"/>
      <c r="J449" s="116"/>
      <c r="K449" s="291"/>
      <c r="L449" s="263"/>
      <c r="M449" s="116"/>
      <c r="N449" s="291"/>
      <c r="O449" s="263"/>
    </row>
    <row r="450" spans="1:15" x14ac:dyDescent="0.25">
      <c r="A450" s="125"/>
      <c r="B450" s="128"/>
      <c r="C450" s="123" t="str">
        <f>IFERROR(IF(B450="No CAS","",INDEX('DEQ Pollutant List'!$C$7:$C$611,MATCH('3. Pollutant Emissions - EF'!B450,'DEQ Pollutant List'!$B$7:$B$611,0))),"")</f>
        <v/>
      </c>
      <c r="D450" s="127" t="str">
        <f>IFERROR(IF(OR($B450="",$B450="No CAS"),INDEX('DEQ Pollutant List'!$A$7:$A$611,MATCH($C450,'DEQ Pollutant List'!$C$7:$C$611,0)),INDEX('DEQ Pollutant List'!$A$7:$A$611,MATCH($B450,'DEQ Pollutant List'!$B$7:$B$611,0))),"")</f>
        <v/>
      </c>
      <c r="E450" s="126"/>
      <c r="F450" s="750"/>
      <c r="G450" s="129"/>
      <c r="H450" s="115"/>
      <c r="I450" s="117"/>
      <c r="J450" s="116"/>
      <c r="K450" s="291"/>
      <c r="L450" s="263"/>
      <c r="M450" s="116"/>
      <c r="N450" s="291"/>
      <c r="O450" s="263"/>
    </row>
    <row r="451" spans="1:15" x14ac:dyDescent="0.25">
      <c r="A451" s="125"/>
      <c r="B451" s="128"/>
      <c r="C451" s="123" t="str">
        <f>IFERROR(IF(B451="No CAS","",INDEX('DEQ Pollutant List'!$C$7:$C$611,MATCH('3. Pollutant Emissions - EF'!B451,'DEQ Pollutant List'!$B$7:$B$611,0))),"")</f>
        <v/>
      </c>
      <c r="D451" s="127" t="str">
        <f>IFERROR(IF(OR($B451="",$B451="No CAS"),INDEX('DEQ Pollutant List'!$A$7:$A$611,MATCH($C451,'DEQ Pollutant List'!$C$7:$C$611,0)),INDEX('DEQ Pollutant List'!$A$7:$A$611,MATCH($B451,'DEQ Pollutant List'!$B$7:$B$611,0))),"")</f>
        <v/>
      </c>
      <c r="E451" s="126"/>
      <c r="F451" s="750"/>
      <c r="G451" s="129"/>
      <c r="H451" s="115"/>
      <c r="I451" s="117"/>
      <c r="J451" s="116"/>
      <c r="K451" s="291"/>
      <c r="L451" s="263"/>
      <c r="M451" s="116"/>
      <c r="N451" s="291"/>
      <c r="O451" s="263"/>
    </row>
    <row r="452" spans="1:15" x14ac:dyDescent="0.25">
      <c r="A452" s="125"/>
      <c r="B452" s="128"/>
      <c r="C452" s="123" t="str">
        <f>IFERROR(IF(B452="No CAS","",INDEX('DEQ Pollutant List'!$C$7:$C$611,MATCH('3. Pollutant Emissions - EF'!B452,'DEQ Pollutant List'!$B$7:$B$611,0))),"")</f>
        <v/>
      </c>
      <c r="D452" s="127" t="str">
        <f>IFERROR(IF(OR($B452="",$B452="No CAS"),INDEX('DEQ Pollutant List'!$A$7:$A$611,MATCH($C452,'DEQ Pollutant List'!$C$7:$C$611,0)),INDEX('DEQ Pollutant List'!$A$7:$A$611,MATCH($B452,'DEQ Pollutant List'!$B$7:$B$611,0))),"")</f>
        <v/>
      </c>
      <c r="E452" s="126"/>
      <c r="F452" s="750"/>
      <c r="G452" s="129"/>
      <c r="H452" s="115"/>
      <c r="I452" s="117"/>
      <c r="J452" s="116"/>
      <c r="K452" s="291"/>
      <c r="L452" s="263"/>
      <c r="M452" s="116"/>
      <c r="N452" s="291"/>
      <c r="O452" s="263"/>
    </row>
    <row r="453" spans="1:15" x14ac:dyDescent="0.25">
      <c r="A453" s="125"/>
      <c r="B453" s="128"/>
      <c r="C453" s="123" t="str">
        <f>IFERROR(IF(B453="No CAS","",INDEX('DEQ Pollutant List'!$C$7:$C$611,MATCH('3. Pollutant Emissions - EF'!B453,'DEQ Pollutant List'!$B$7:$B$611,0))),"")</f>
        <v/>
      </c>
      <c r="D453" s="127" t="str">
        <f>IFERROR(IF(OR($B453="",$B453="No CAS"),INDEX('DEQ Pollutant List'!$A$7:$A$611,MATCH($C453,'DEQ Pollutant List'!$C$7:$C$611,0)),INDEX('DEQ Pollutant List'!$A$7:$A$611,MATCH($B453,'DEQ Pollutant List'!$B$7:$B$611,0))),"")</f>
        <v/>
      </c>
      <c r="E453" s="126"/>
      <c r="F453" s="750"/>
      <c r="G453" s="129"/>
      <c r="H453" s="115"/>
      <c r="I453" s="117"/>
      <c r="J453" s="116"/>
      <c r="K453" s="291"/>
      <c r="L453" s="263"/>
      <c r="M453" s="116"/>
      <c r="N453" s="291"/>
      <c r="O453" s="263"/>
    </row>
    <row r="454" spans="1:15" x14ac:dyDescent="0.25">
      <c r="A454" s="125"/>
      <c r="B454" s="128"/>
      <c r="C454" s="123" t="str">
        <f>IFERROR(IF(B454="No CAS","",INDEX('DEQ Pollutant List'!$C$7:$C$611,MATCH('3. Pollutant Emissions - EF'!B454,'DEQ Pollutant List'!$B$7:$B$611,0))),"")</f>
        <v/>
      </c>
      <c r="D454" s="127" t="str">
        <f>IFERROR(IF(OR($B454="",$B454="No CAS"),INDEX('DEQ Pollutant List'!$A$7:$A$611,MATCH($C454,'DEQ Pollutant List'!$C$7:$C$611,0)),INDEX('DEQ Pollutant List'!$A$7:$A$611,MATCH($B454,'DEQ Pollutant List'!$B$7:$B$611,0))),"")</f>
        <v/>
      </c>
      <c r="E454" s="126"/>
      <c r="F454" s="750"/>
      <c r="G454" s="129"/>
      <c r="H454" s="115"/>
      <c r="I454" s="117"/>
      <c r="J454" s="116"/>
      <c r="K454" s="291"/>
      <c r="L454" s="263"/>
      <c r="M454" s="116"/>
      <c r="N454" s="291"/>
      <c r="O454" s="263"/>
    </row>
    <row r="455" spans="1:15" x14ac:dyDescent="0.25">
      <c r="A455" s="125"/>
      <c r="B455" s="128"/>
      <c r="C455" s="123" t="str">
        <f>IFERROR(IF(B455="No CAS","",INDEX('DEQ Pollutant List'!$C$7:$C$611,MATCH('3. Pollutant Emissions - EF'!B455,'DEQ Pollutant List'!$B$7:$B$611,0))),"")</f>
        <v/>
      </c>
      <c r="D455" s="127" t="str">
        <f>IFERROR(IF(OR($B455="",$B455="No CAS"),INDEX('DEQ Pollutant List'!$A$7:$A$611,MATCH($C455,'DEQ Pollutant List'!$C$7:$C$611,0)),INDEX('DEQ Pollutant List'!$A$7:$A$611,MATCH($B455,'DEQ Pollutant List'!$B$7:$B$611,0))),"")</f>
        <v/>
      </c>
      <c r="E455" s="126"/>
      <c r="F455" s="750"/>
      <c r="G455" s="129"/>
      <c r="H455" s="115"/>
      <c r="I455" s="117"/>
      <c r="J455" s="116"/>
      <c r="K455" s="291"/>
      <c r="L455" s="263"/>
      <c r="M455" s="116"/>
      <c r="N455" s="291"/>
      <c r="O455" s="263"/>
    </row>
    <row r="456" spans="1:15" x14ac:dyDescent="0.25">
      <c r="A456" s="125"/>
      <c r="B456" s="128"/>
      <c r="C456" s="123" t="str">
        <f>IFERROR(IF(B456="No CAS","",INDEX('DEQ Pollutant List'!$C$7:$C$611,MATCH('3. Pollutant Emissions - EF'!B456,'DEQ Pollutant List'!$B$7:$B$611,0))),"")</f>
        <v/>
      </c>
      <c r="D456" s="127" t="str">
        <f>IFERROR(IF(OR($B456="",$B456="No CAS"),INDEX('DEQ Pollutant List'!$A$7:$A$611,MATCH($C456,'DEQ Pollutant List'!$C$7:$C$611,0)),INDEX('DEQ Pollutant List'!$A$7:$A$611,MATCH($B456,'DEQ Pollutant List'!$B$7:$B$611,0))),"")</f>
        <v/>
      </c>
      <c r="E456" s="126"/>
      <c r="F456" s="750"/>
      <c r="G456" s="129"/>
      <c r="H456" s="115"/>
      <c r="I456" s="117"/>
      <c r="J456" s="116"/>
      <c r="K456" s="291"/>
      <c r="L456" s="263"/>
      <c r="M456" s="116"/>
      <c r="N456" s="291"/>
      <c r="O456" s="263"/>
    </row>
    <row r="457" spans="1:15" x14ac:dyDescent="0.25">
      <c r="A457" s="125"/>
      <c r="B457" s="128"/>
      <c r="C457" s="123" t="str">
        <f>IFERROR(IF(B457="No CAS","",INDEX('DEQ Pollutant List'!$C$7:$C$611,MATCH('3. Pollutant Emissions - EF'!B457,'DEQ Pollutant List'!$B$7:$B$611,0))),"")</f>
        <v/>
      </c>
      <c r="D457" s="127" t="str">
        <f>IFERROR(IF(OR($B457="",$B457="No CAS"),INDEX('DEQ Pollutant List'!$A$7:$A$611,MATCH($C457,'DEQ Pollutant List'!$C$7:$C$611,0)),INDEX('DEQ Pollutant List'!$A$7:$A$611,MATCH($B457,'DEQ Pollutant List'!$B$7:$B$611,0))),"")</f>
        <v/>
      </c>
      <c r="E457" s="126"/>
      <c r="F457" s="750"/>
      <c r="G457" s="129"/>
      <c r="H457" s="115"/>
      <c r="I457" s="117"/>
      <c r="J457" s="116"/>
      <c r="K457" s="291"/>
      <c r="L457" s="263"/>
      <c r="M457" s="116"/>
      <c r="N457" s="291"/>
      <c r="O457" s="263"/>
    </row>
    <row r="458" spans="1:15" x14ac:dyDescent="0.25">
      <c r="A458" s="125"/>
      <c r="B458" s="128"/>
      <c r="C458" s="123" t="str">
        <f>IFERROR(IF(B458="No CAS","",INDEX('DEQ Pollutant List'!$C$7:$C$611,MATCH('3. Pollutant Emissions - EF'!B458,'DEQ Pollutant List'!$B$7:$B$611,0))),"")</f>
        <v/>
      </c>
      <c r="D458" s="127" t="str">
        <f>IFERROR(IF(OR($B458="",$B458="No CAS"),INDEX('DEQ Pollutant List'!$A$7:$A$611,MATCH($C458,'DEQ Pollutant List'!$C$7:$C$611,0)),INDEX('DEQ Pollutant List'!$A$7:$A$611,MATCH($B458,'DEQ Pollutant List'!$B$7:$B$611,0))),"")</f>
        <v/>
      </c>
      <c r="E458" s="126"/>
      <c r="F458" s="750"/>
      <c r="G458" s="129"/>
      <c r="H458" s="115"/>
      <c r="I458" s="117"/>
      <c r="J458" s="116"/>
      <c r="K458" s="291"/>
      <c r="L458" s="263"/>
      <c r="M458" s="116"/>
      <c r="N458" s="291"/>
      <c r="O458" s="263"/>
    </row>
    <row r="459" spans="1:15" x14ac:dyDescent="0.25">
      <c r="A459" s="125"/>
      <c r="B459" s="128"/>
      <c r="C459" s="123" t="str">
        <f>IFERROR(IF(B459="No CAS","",INDEX('DEQ Pollutant List'!$C$7:$C$611,MATCH('3. Pollutant Emissions - EF'!B459,'DEQ Pollutant List'!$B$7:$B$611,0))),"")</f>
        <v/>
      </c>
      <c r="D459" s="127" t="str">
        <f>IFERROR(IF(OR($B459="",$B459="No CAS"),INDEX('DEQ Pollutant List'!$A$7:$A$611,MATCH($C459,'DEQ Pollutant List'!$C$7:$C$611,0)),INDEX('DEQ Pollutant List'!$A$7:$A$611,MATCH($B459,'DEQ Pollutant List'!$B$7:$B$611,0))),"")</f>
        <v/>
      </c>
      <c r="E459" s="126"/>
      <c r="F459" s="750"/>
      <c r="G459" s="129"/>
      <c r="H459" s="115"/>
      <c r="I459" s="117"/>
      <c r="J459" s="116"/>
      <c r="K459" s="291"/>
      <c r="L459" s="263"/>
      <c r="M459" s="116"/>
      <c r="N459" s="291"/>
      <c r="O459" s="263"/>
    </row>
    <row r="460" spans="1:15" x14ac:dyDescent="0.25">
      <c r="A460" s="125"/>
      <c r="B460" s="128"/>
      <c r="C460" s="123" t="str">
        <f>IFERROR(IF(B460="No CAS","",INDEX('DEQ Pollutant List'!$C$7:$C$611,MATCH('3. Pollutant Emissions - EF'!B460,'DEQ Pollutant List'!$B$7:$B$611,0))),"")</f>
        <v/>
      </c>
      <c r="D460" s="127" t="str">
        <f>IFERROR(IF(OR($B460="",$B460="No CAS"),INDEX('DEQ Pollutant List'!$A$7:$A$611,MATCH($C460,'DEQ Pollutant List'!$C$7:$C$611,0)),INDEX('DEQ Pollutant List'!$A$7:$A$611,MATCH($B460,'DEQ Pollutant List'!$B$7:$B$611,0))),"")</f>
        <v/>
      </c>
      <c r="E460" s="126"/>
      <c r="F460" s="750"/>
      <c r="G460" s="129"/>
      <c r="H460" s="115"/>
      <c r="I460" s="117"/>
      <c r="J460" s="116"/>
      <c r="K460" s="291"/>
      <c r="L460" s="263"/>
      <c r="M460" s="116"/>
      <c r="N460" s="291"/>
      <c r="O460" s="263"/>
    </row>
    <row r="461" spans="1:15" x14ac:dyDescent="0.25">
      <c r="A461" s="125"/>
      <c r="B461" s="128"/>
      <c r="C461" s="123" t="str">
        <f>IFERROR(IF(B461="No CAS","",INDEX('DEQ Pollutant List'!$C$7:$C$611,MATCH('3. Pollutant Emissions - EF'!B461,'DEQ Pollutant List'!$B$7:$B$611,0))),"")</f>
        <v/>
      </c>
      <c r="D461" s="127" t="str">
        <f>IFERROR(IF(OR($B461="",$B461="No CAS"),INDEX('DEQ Pollutant List'!$A$7:$A$611,MATCH($C461,'DEQ Pollutant List'!$C$7:$C$611,0)),INDEX('DEQ Pollutant List'!$A$7:$A$611,MATCH($B461,'DEQ Pollutant List'!$B$7:$B$611,0))),"")</f>
        <v/>
      </c>
      <c r="E461" s="126"/>
      <c r="F461" s="750"/>
      <c r="G461" s="129"/>
      <c r="H461" s="115"/>
      <c r="I461" s="117"/>
      <c r="J461" s="116"/>
      <c r="K461" s="291"/>
      <c r="L461" s="263"/>
      <c r="M461" s="116"/>
      <c r="N461" s="291"/>
      <c r="O461" s="263"/>
    </row>
    <row r="462" spans="1:15" x14ac:dyDescent="0.25">
      <c r="A462" s="125"/>
      <c r="B462" s="128"/>
      <c r="C462" s="123" t="str">
        <f>IFERROR(IF(B462="No CAS","",INDEX('DEQ Pollutant List'!$C$7:$C$611,MATCH('3. Pollutant Emissions - EF'!B462,'DEQ Pollutant List'!$B$7:$B$611,0))),"")</f>
        <v/>
      </c>
      <c r="D462" s="127" t="str">
        <f>IFERROR(IF(OR($B462="",$B462="No CAS"),INDEX('DEQ Pollutant List'!$A$7:$A$611,MATCH($C462,'DEQ Pollutant List'!$C$7:$C$611,0)),INDEX('DEQ Pollutant List'!$A$7:$A$611,MATCH($B462,'DEQ Pollutant List'!$B$7:$B$611,0))),"")</f>
        <v/>
      </c>
      <c r="E462" s="126"/>
      <c r="F462" s="750"/>
      <c r="G462" s="129"/>
      <c r="H462" s="115"/>
      <c r="I462" s="117"/>
      <c r="J462" s="116"/>
      <c r="K462" s="291"/>
      <c r="L462" s="263"/>
      <c r="M462" s="116"/>
      <c r="N462" s="291"/>
      <c r="O462" s="263"/>
    </row>
    <row r="463" spans="1:15" x14ac:dyDescent="0.25">
      <c r="A463" s="125"/>
      <c r="B463" s="128"/>
      <c r="C463" s="123" t="str">
        <f>IFERROR(IF(B463="No CAS","",INDEX('DEQ Pollutant List'!$C$7:$C$611,MATCH('3. Pollutant Emissions - EF'!B463,'DEQ Pollutant List'!$B$7:$B$611,0))),"")</f>
        <v/>
      </c>
      <c r="D463" s="127" t="str">
        <f>IFERROR(IF(OR($B463="",$B463="No CAS"),INDEX('DEQ Pollutant List'!$A$7:$A$611,MATCH($C463,'DEQ Pollutant List'!$C$7:$C$611,0)),INDEX('DEQ Pollutant List'!$A$7:$A$611,MATCH($B463,'DEQ Pollutant List'!$B$7:$B$611,0))),"")</f>
        <v/>
      </c>
      <c r="E463" s="126"/>
      <c r="F463" s="750"/>
      <c r="G463" s="129"/>
      <c r="H463" s="115"/>
      <c r="I463" s="117"/>
      <c r="J463" s="116"/>
      <c r="K463" s="291"/>
      <c r="L463" s="263"/>
      <c r="M463" s="116"/>
      <c r="N463" s="291"/>
      <c r="O463" s="263"/>
    </row>
    <row r="464" spans="1:15" x14ac:dyDescent="0.25">
      <c r="A464" s="125"/>
      <c r="B464" s="128"/>
      <c r="C464" s="123" t="str">
        <f>IFERROR(IF(B464="No CAS","",INDEX('DEQ Pollutant List'!$C$7:$C$611,MATCH('3. Pollutant Emissions - EF'!B464,'DEQ Pollutant List'!$B$7:$B$611,0))),"")</f>
        <v/>
      </c>
      <c r="D464" s="127" t="str">
        <f>IFERROR(IF(OR($B464="",$B464="No CAS"),INDEX('DEQ Pollutant List'!$A$7:$A$611,MATCH($C464,'DEQ Pollutant List'!$C$7:$C$611,0)),INDEX('DEQ Pollutant List'!$A$7:$A$611,MATCH($B464,'DEQ Pollutant List'!$B$7:$B$611,0))),"")</f>
        <v/>
      </c>
      <c r="E464" s="126"/>
      <c r="F464" s="750"/>
      <c r="G464" s="129"/>
      <c r="H464" s="115"/>
      <c r="I464" s="117"/>
      <c r="J464" s="116"/>
      <c r="K464" s="291"/>
      <c r="L464" s="263"/>
      <c r="M464" s="116"/>
      <c r="N464" s="291"/>
      <c r="O464" s="263"/>
    </row>
    <row r="465" spans="1:15" x14ac:dyDescent="0.25">
      <c r="A465" s="125"/>
      <c r="B465" s="128"/>
      <c r="C465" s="123" t="str">
        <f>IFERROR(IF(B465="No CAS","",INDEX('DEQ Pollutant List'!$C$7:$C$611,MATCH('3. Pollutant Emissions - EF'!B465,'DEQ Pollutant List'!$B$7:$B$611,0))),"")</f>
        <v/>
      </c>
      <c r="D465" s="127" t="str">
        <f>IFERROR(IF(OR($B465="",$B465="No CAS"),INDEX('DEQ Pollutant List'!$A$7:$A$611,MATCH($C465,'DEQ Pollutant List'!$C$7:$C$611,0)),INDEX('DEQ Pollutant List'!$A$7:$A$611,MATCH($B465,'DEQ Pollutant List'!$B$7:$B$611,0))),"")</f>
        <v/>
      </c>
      <c r="E465" s="126"/>
      <c r="F465" s="750"/>
      <c r="G465" s="129"/>
      <c r="H465" s="115"/>
      <c r="I465" s="117"/>
      <c r="J465" s="116"/>
      <c r="K465" s="291"/>
      <c r="L465" s="263"/>
      <c r="M465" s="116"/>
      <c r="N465" s="291"/>
      <c r="O465" s="263"/>
    </row>
    <row r="466" spans="1:15" x14ac:dyDescent="0.25">
      <c r="A466" s="125"/>
      <c r="B466" s="128"/>
      <c r="C466" s="123" t="str">
        <f>IFERROR(IF(B466="No CAS","",INDEX('DEQ Pollutant List'!$C$7:$C$611,MATCH('3. Pollutant Emissions - EF'!B466,'DEQ Pollutant List'!$B$7:$B$611,0))),"")</f>
        <v/>
      </c>
      <c r="D466" s="127" t="str">
        <f>IFERROR(IF(OR($B466="",$B466="No CAS"),INDEX('DEQ Pollutant List'!$A$7:$A$611,MATCH($C466,'DEQ Pollutant List'!$C$7:$C$611,0)),INDEX('DEQ Pollutant List'!$A$7:$A$611,MATCH($B466,'DEQ Pollutant List'!$B$7:$B$611,0))),"")</f>
        <v/>
      </c>
      <c r="E466" s="126"/>
      <c r="F466" s="750"/>
      <c r="G466" s="129"/>
      <c r="H466" s="115"/>
      <c r="I466" s="117"/>
      <c r="J466" s="116"/>
      <c r="K466" s="291"/>
      <c r="L466" s="263"/>
      <c r="M466" s="116"/>
      <c r="N466" s="291"/>
      <c r="O466" s="263"/>
    </row>
    <row r="467" spans="1:15" x14ac:dyDescent="0.25">
      <c r="A467" s="125"/>
      <c r="B467" s="128"/>
      <c r="C467" s="123" t="str">
        <f>IFERROR(IF(B467="No CAS","",INDEX('DEQ Pollutant List'!$C$7:$C$611,MATCH('3. Pollutant Emissions - EF'!B467,'DEQ Pollutant List'!$B$7:$B$611,0))),"")</f>
        <v/>
      </c>
      <c r="D467" s="127" t="str">
        <f>IFERROR(IF(OR($B467="",$B467="No CAS"),INDEX('DEQ Pollutant List'!$A$7:$A$611,MATCH($C467,'DEQ Pollutant List'!$C$7:$C$611,0)),INDEX('DEQ Pollutant List'!$A$7:$A$611,MATCH($B467,'DEQ Pollutant List'!$B$7:$B$611,0))),"")</f>
        <v/>
      </c>
      <c r="E467" s="126"/>
      <c r="F467" s="750"/>
      <c r="G467" s="129"/>
      <c r="H467" s="115"/>
      <c r="I467" s="117"/>
      <c r="J467" s="116"/>
      <c r="K467" s="291"/>
      <c r="L467" s="263"/>
      <c r="M467" s="116"/>
      <c r="N467" s="291"/>
      <c r="O467" s="263"/>
    </row>
    <row r="468" spans="1:15" x14ac:dyDescent="0.25">
      <c r="A468" s="125"/>
      <c r="B468" s="128"/>
      <c r="C468" s="123" t="str">
        <f>IFERROR(IF(B468="No CAS","",INDEX('DEQ Pollutant List'!$C$7:$C$611,MATCH('3. Pollutant Emissions - EF'!B468,'DEQ Pollutant List'!$B$7:$B$611,0))),"")</f>
        <v/>
      </c>
      <c r="D468" s="127" t="str">
        <f>IFERROR(IF(OR($B468="",$B468="No CAS"),INDEX('DEQ Pollutant List'!$A$7:$A$611,MATCH($C468,'DEQ Pollutant List'!$C$7:$C$611,0)),INDEX('DEQ Pollutant List'!$A$7:$A$611,MATCH($B468,'DEQ Pollutant List'!$B$7:$B$611,0))),"")</f>
        <v/>
      </c>
      <c r="E468" s="126"/>
      <c r="F468" s="750"/>
      <c r="G468" s="129"/>
      <c r="H468" s="115"/>
      <c r="I468" s="117"/>
      <c r="J468" s="116"/>
      <c r="K468" s="291"/>
      <c r="L468" s="263"/>
      <c r="M468" s="116"/>
      <c r="N468" s="291"/>
      <c r="O468" s="263"/>
    </row>
    <row r="469" spans="1:15" x14ac:dyDescent="0.25">
      <c r="A469" s="125"/>
      <c r="B469" s="128"/>
      <c r="C469" s="123" t="str">
        <f>IFERROR(IF(B469="No CAS","",INDEX('DEQ Pollutant List'!$C$7:$C$611,MATCH('3. Pollutant Emissions - EF'!B469,'DEQ Pollutant List'!$B$7:$B$611,0))),"")</f>
        <v/>
      </c>
      <c r="D469" s="127" t="str">
        <f>IFERROR(IF(OR($B469="",$B469="No CAS"),INDEX('DEQ Pollutant List'!$A$7:$A$611,MATCH($C469,'DEQ Pollutant List'!$C$7:$C$611,0)),INDEX('DEQ Pollutant List'!$A$7:$A$611,MATCH($B469,'DEQ Pollutant List'!$B$7:$B$611,0))),"")</f>
        <v/>
      </c>
      <c r="E469" s="126"/>
      <c r="F469" s="750"/>
      <c r="G469" s="129"/>
      <c r="H469" s="115"/>
      <c r="I469" s="117"/>
      <c r="J469" s="116"/>
      <c r="K469" s="291"/>
      <c r="L469" s="263"/>
      <c r="M469" s="116"/>
      <c r="N469" s="291"/>
      <c r="O469" s="263"/>
    </row>
    <row r="470" spans="1:15" x14ac:dyDescent="0.25">
      <c r="A470" s="125"/>
      <c r="B470" s="128"/>
      <c r="C470" s="123" t="str">
        <f>IFERROR(IF(B470="No CAS","",INDEX('DEQ Pollutant List'!$C$7:$C$611,MATCH('3. Pollutant Emissions - EF'!B470,'DEQ Pollutant List'!$B$7:$B$611,0))),"")</f>
        <v/>
      </c>
      <c r="D470" s="127" t="str">
        <f>IFERROR(IF(OR($B470="",$B470="No CAS"),INDEX('DEQ Pollutant List'!$A$7:$A$611,MATCH($C470,'DEQ Pollutant List'!$C$7:$C$611,0)),INDEX('DEQ Pollutant List'!$A$7:$A$611,MATCH($B470,'DEQ Pollutant List'!$B$7:$B$611,0))),"")</f>
        <v/>
      </c>
      <c r="E470" s="126"/>
      <c r="F470" s="750"/>
      <c r="G470" s="129"/>
      <c r="H470" s="115"/>
      <c r="I470" s="117"/>
      <c r="J470" s="116"/>
      <c r="K470" s="291"/>
      <c r="L470" s="263"/>
      <c r="M470" s="116"/>
      <c r="N470" s="291"/>
      <c r="O470" s="263"/>
    </row>
    <row r="471" spans="1:15" x14ac:dyDescent="0.25">
      <c r="A471" s="125"/>
      <c r="B471" s="128"/>
      <c r="C471" s="123" t="str">
        <f>IFERROR(IF(B471="No CAS","",INDEX('DEQ Pollutant List'!$C$7:$C$611,MATCH('3. Pollutant Emissions - EF'!B471,'DEQ Pollutant List'!$B$7:$B$611,0))),"")</f>
        <v/>
      </c>
      <c r="D471" s="127" t="str">
        <f>IFERROR(IF(OR($B471="",$B471="No CAS"),INDEX('DEQ Pollutant List'!$A$7:$A$611,MATCH($C471,'DEQ Pollutant List'!$C$7:$C$611,0)),INDEX('DEQ Pollutant List'!$A$7:$A$611,MATCH($B471,'DEQ Pollutant List'!$B$7:$B$611,0))),"")</f>
        <v/>
      </c>
      <c r="E471" s="126"/>
      <c r="F471" s="750"/>
      <c r="G471" s="129"/>
      <c r="H471" s="115"/>
      <c r="I471" s="117"/>
      <c r="J471" s="116"/>
      <c r="K471" s="291"/>
      <c r="L471" s="263"/>
      <c r="M471" s="116"/>
      <c r="N471" s="291"/>
      <c r="O471" s="263"/>
    </row>
    <row r="472" spans="1:15" x14ac:dyDescent="0.25">
      <c r="A472" s="125"/>
      <c r="B472" s="128"/>
      <c r="C472" s="123" t="str">
        <f>IFERROR(IF(B472="No CAS","",INDEX('DEQ Pollutant List'!$C$7:$C$611,MATCH('3. Pollutant Emissions - EF'!B472,'DEQ Pollutant List'!$B$7:$B$611,0))),"")</f>
        <v/>
      </c>
      <c r="D472" s="127" t="str">
        <f>IFERROR(IF(OR($B472="",$B472="No CAS"),INDEX('DEQ Pollutant List'!$A$7:$A$611,MATCH($C472,'DEQ Pollutant List'!$C$7:$C$611,0)),INDEX('DEQ Pollutant List'!$A$7:$A$611,MATCH($B472,'DEQ Pollutant List'!$B$7:$B$611,0))),"")</f>
        <v/>
      </c>
      <c r="E472" s="126"/>
      <c r="F472" s="750"/>
      <c r="G472" s="129"/>
      <c r="H472" s="115"/>
      <c r="I472" s="117"/>
      <c r="J472" s="116"/>
      <c r="K472" s="291"/>
      <c r="L472" s="263"/>
      <c r="M472" s="116"/>
      <c r="N472" s="291"/>
      <c r="O472" s="263"/>
    </row>
    <row r="473" spans="1:15" x14ac:dyDescent="0.25">
      <c r="A473" s="125"/>
      <c r="B473" s="128"/>
      <c r="C473" s="123" t="str">
        <f>IFERROR(IF(B473="No CAS","",INDEX('DEQ Pollutant List'!$C$7:$C$611,MATCH('3. Pollutant Emissions - EF'!B473,'DEQ Pollutant List'!$B$7:$B$611,0))),"")</f>
        <v/>
      </c>
      <c r="D473" s="127" t="str">
        <f>IFERROR(IF(OR($B473="",$B473="No CAS"),INDEX('DEQ Pollutant List'!$A$7:$A$611,MATCH($C473,'DEQ Pollutant List'!$C$7:$C$611,0)),INDEX('DEQ Pollutant List'!$A$7:$A$611,MATCH($B473,'DEQ Pollutant List'!$B$7:$B$611,0))),"")</f>
        <v/>
      </c>
      <c r="E473" s="126"/>
      <c r="F473" s="750"/>
      <c r="G473" s="129"/>
      <c r="H473" s="115"/>
      <c r="I473" s="117"/>
      <c r="J473" s="116"/>
      <c r="K473" s="291"/>
      <c r="L473" s="263"/>
      <c r="M473" s="116"/>
      <c r="N473" s="291"/>
      <c r="O473" s="263"/>
    </row>
    <row r="474" spans="1:15" x14ac:dyDescent="0.25">
      <c r="A474" s="125"/>
      <c r="B474" s="128"/>
      <c r="C474" s="123" t="str">
        <f>IFERROR(IF(B474="No CAS","",INDEX('DEQ Pollutant List'!$C$7:$C$611,MATCH('3. Pollutant Emissions - EF'!B474,'DEQ Pollutant List'!$B$7:$B$611,0))),"")</f>
        <v/>
      </c>
      <c r="D474" s="127" t="str">
        <f>IFERROR(IF(OR($B474="",$B474="No CAS"),INDEX('DEQ Pollutant List'!$A$7:$A$611,MATCH($C474,'DEQ Pollutant List'!$C$7:$C$611,0)),INDEX('DEQ Pollutant List'!$A$7:$A$611,MATCH($B474,'DEQ Pollutant List'!$B$7:$B$611,0))),"")</f>
        <v/>
      </c>
      <c r="E474" s="126"/>
      <c r="F474" s="750"/>
      <c r="G474" s="129"/>
      <c r="H474" s="115"/>
      <c r="I474" s="117"/>
      <c r="J474" s="116"/>
      <c r="K474" s="291"/>
      <c r="L474" s="263"/>
      <c r="M474" s="116"/>
      <c r="N474" s="291"/>
      <c r="O474" s="263"/>
    </row>
    <row r="475" spans="1:15" x14ac:dyDescent="0.25">
      <c r="A475" s="125"/>
      <c r="B475" s="128"/>
      <c r="C475" s="123" t="str">
        <f>IFERROR(IF(B475="No CAS","",INDEX('DEQ Pollutant List'!$C$7:$C$611,MATCH('3. Pollutant Emissions - EF'!B475,'DEQ Pollutant List'!$B$7:$B$611,0))),"")</f>
        <v/>
      </c>
      <c r="D475" s="127" t="str">
        <f>IFERROR(IF(OR($B475="",$B475="No CAS"),INDEX('DEQ Pollutant List'!$A$7:$A$611,MATCH($C475,'DEQ Pollutant List'!$C$7:$C$611,0)),INDEX('DEQ Pollutant List'!$A$7:$A$611,MATCH($B475,'DEQ Pollutant List'!$B$7:$B$611,0))),"")</f>
        <v/>
      </c>
      <c r="E475" s="126"/>
      <c r="F475" s="750"/>
      <c r="G475" s="129"/>
      <c r="H475" s="115"/>
      <c r="I475" s="117"/>
      <c r="J475" s="116"/>
      <c r="K475" s="291"/>
      <c r="L475" s="263"/>
      <c r="M475" s="116"/>
      <c r="N475" s="291"/>
      <c r="O475" s="263"/>
    </row>
    <row r="476" spans="1:15" x14ac:dyDescent="0.25">
      <c r="A476" s="125"/>
      <c r="B476" s="128"/>
      <c r="C476" s="123" t="str">
        <f>IFERROR(IF(B476="No CAS","",INDEX('DEQ Pollutant List'!$C$7:$C$611,MATCH('3. Pollutant Emissions - EF'!B476,'DEQ Pollutant List'!$B$7:$B$611,0))),"")</f>
        <v/>
      </c>
      <c r="D476" s="127" t="str">
        <f>IFERROR(IF(OR($B476="",$B476="No CAS"),INDEX('DEQ Pollutant List'!$A$7:$A$611,MATCH($C476,'DEQ Pollutant List'!$C$7:$C$611,0)),INDEX('DEQ Pollutant List'!$A$7:$A$611,MATCH($B476,'DEQ Pollutant List'!$B$7:$B$611,0))),"")</f>
        <v/>
      </c>
      <c r="E476" s="126"/>
      <c r="F476" s="750"/>
      <c r="G476" s="129"/>
      <c r="H476" s="115"/>
      <c r="I476" s="117"/>
      <c r="J476" s="116"/>
      <c r="K476" s="291"/>
      <c r="L476" s="263"/>
      <c r="M476" s="116"/>
      <c r="N476" s="291"/>
      <c r="O476" s="263"/>
    </row>
    <row r="477" spans="1:15" x14ac:dyDescent="0.25">
      <c r="A477" s="125"/>
      <c r="B477" s="128"/>
      <c r="C477" s="123" t="str">
        <f>IFERROR(IF(B477="No CAS","",INDEX('DEQ Pollutant List'!$C$7:$C$611,MATCH('3. Pollutant Emissions - EF'!B477,'DEQ Pollutant List'!$B$7:$B$611,0))),"")</f>
        <v/>
      </c>
      <c r="D477" s="127" t="str">
        <f>IFERROR(IF(OR($B477="",$B477="No CAS"),INDEX('DEQ Pollutant List'!$A$7:$A$611,MATCH($C477,'DEQ Pollutant List'!$C$7:$C$611,0)),INDEX('DEQ Pollutant List'!$A$7:$A$611,MATCH($B477,'DEQ Pollutant List'!$B$7:$B$611,0))),"")</f>
        <v/>
      </c>
      <c r="E477" s="126"/>
      <c r="F477" s="750"/>
      <c r="G477" s="129"/>
      <c r="H477" s="115"/>
      <c r="I477" s="117"/>
      <c r="J477" s="116"/>
      <c r="K477" s="291"/>
      <c r="L477" s="263"/>
      <c r="M477" s="116"/>
      <c r="N477" s="291"/>
      <c r="O477" s="263"/>
    </row>
    <row r="478" spans="1:15" x14ac:dyDescent="0.25">
      <c r="A478" s="125"/>
      <c r="B478" s="128"/>
      <c r="C478" s="123" t="str">
        <f>IFERROR(IF(B478="No CAS","",INDEX('DEQ Pollutant List'!$C$7:$C$611,MATCH('3. Pollutant Emissions - EF'!B478,'DEQ Pollutant List'!$B$7:$B$611,0))),"")</f>
        <v/>
      </c>
      <c r="D478" s="127" t="str">
        <f>IFERROR(IF(OR($B478="",$B478="No CAS"),INDEX('DEQ Pollutant List'!$A$7:$A$611,MATCH($C478,'DEQ Pollutant List'!$C$7:$C$611,0)),INDEX('DEQ Pollutant List'!$A$7:$A$611,MATCH($B478,'DEQ Pollutant List'!$B$7:$B$611,0))),"")</f>
        <v/>
      </c>
      <c r="E478" s="126"/>
      <c r="F478" s="750"/>
      <c r="G478" s="129"/>
      <c r="H478" s="115"/>
      <c r="I478" s="117"/>
      <c r="J478" s="116"/>
      <c r="K478" s="291"/>
      <c r="L478" s="263"/>
      <c r="M478" s="116"/>
      <c r="N478" s="291"/>
      <c r="O478" s="263"/>
    </row>
    <row r="479" spans="1:15" x14ac:dyDescent="0.25">
      <c r="A479" s="125"/>
      <c r="B479" s="128"/>
      <c r="C479" s="123" t="str">
        <f>IFERROR(IF(B479="No CAS","",INDEX('DEQ Pollutant List'!$C$7:$C$611,MATCH('3. Pollutant Emissions - EF'!B479,'DEQ Pollutant List'!$B$7:$B$611,0))),"")</f>
        <v/>
      </c>
      <c r="D479" s="127" t="str">
        <f>IFERROR(IF(OR($B479="",$B479="No CAS"),INDEX('DEQ Pollutant List'!$A$7:$A$611,MATCH($C479,'DEQ Pollutant List'!$C$7:$C$611,0)),INDEX('DEQ Pollutant List'!$A$7:$A$611,MATCH($B479,'DEQ Pollutant List'!$B$7:$B$611,0))),"")</f>
        <v/>
      </c>
      <c r="E479" s="126"/>
      <c r="F479" s="750"/>
      <c r="G479" s="129"/>
      <c r="H479" s="115"/>
      <c r="I479" s="117"/>
      <c r="J479" s="116"/>
      <c r="K479" s="291"/>
      <c r="L479" s="263"/>
      <c r="M479" s="116"/>
      <c r="N479" s="291"/>
      <c r="O479" s="263"/>
    </row>
    <row r="480" spans="1:15" x14ac:dyDescent="0.25">
      <c r="A480" s="125"/>
      <c r="B480" s="128"/>
      <c r="C480" s="123" t="str">
        <f>IFERROR(IF(B480="No CAS","",INDEX('DEQ Pollutant List'!$C$7:$C$611,MATCH('3. Pollutant Emissions - EF'!B480,'DEQ Pollutant List'!$B$7:$B$611,0))),"")</f>
        <v/>
      </c>
      <c r="D480" s="127" t="str">
        <f>IFERROR(IF(OR($B480="",$B480="No CAS"),INDEX('DEQ Pollutant List'!$A$7:$A$611,MATCH($C480,'DEQ Pollutant List'!$C$7:$C$611,0)),INDEX('DEQ Pollutant List'!$A$7:$A$611,MATCH($B480,'DEQ Pollutant List'!$B$7:$B$611,0))),"")</f>
        <v/>
      </c>
      <c r="E480" s="126"/>
      <c r="F480" s="750"/>
      <c r="G480" s="129"/>
      <c r="H480" s="115"/>
      <c r="I480" s="117"/>
      <c r="J480" s="116"/>
      <c r="K480" s="291"/>
      <c r="L480" s="263"/>
      <c r="M480" s="116"/>
      <c r="N480" s="291"/>
      <c r="O480" s="263"/>
    </row>
    <row r="481" spans="1:15" x14ac:dyDescent="0.25">
      <c r="A481" s="125"/>
      <c r="B481" s="128"/>
      <c r="C481" s="123" t="str">
        <f>IFERROR(IF(B481="No CAS","",INDEX('DEQ Pollutant List'!$C$7:$C$611,MATCH('3. Pollutant Emissions - EF'!B481,'DEQ Pollutant List'!$B$7:$B$611,0))),"")</f>
        <v/>
      </c>
      <c r="D481" s="127" t="str">
        <f>IFERROR(IF(OR($B481="",$B481="No CAS"),INDEX('DEQ Pollutant List'!$A$7:$A$611,MATCH($C481,'DEQ Pollutant List'!$C$7:$C$611,0)),INDEX('DEQ Pollutant List'!$A$7:$A$611,MATCH($B481,'DEQ Pollutant List'!$B$7:$B$611,0))),"")</f>
        <v/>
      </c>
      <c r="E481" s="126"/>
      <c r="F481" s="750"/>
      <c r="G481" s="129"/>
      <c r="H481" s="115"/>
      <c r="I481" s="117"/>
      <c r="J481" s="116"/>
      <c r="K481" s="291"/>
      <c r="L481" s="263"/>
      <c r="M481" s="116"/>
      <c r="N481" s="291"/>
      <c r="O481" s="263"/>
    </row>
    <row r="482" spans="1:15" x14ac:dyDescent="0.25">
      <c r="A482" s="125"/>
      <c r="B482" s="128"/>
      <c r="C482" s="123" t="str">
        <f>IFERROR(IF(B482="No CAS","",INDEX('DEQ Pollutant List'!$C$7:$C$611,MATCH('3. Pollutant Emissions - EF'!B482,'DEQ Pollutant List'!$B$7:$B$611,0))),"")</f>
        <v/>
      </c>
      <c r="D482" s="127" t="str">
        <f>IFERROR(IF(OR($B482="",$B482="No CAS"),INDEX('DEQ Pollutant List'!$A$7:$A$611,MATCH($C482,'DEQ Pollutant List'!$C$7:$C$611,0)),INDEX('DEQ Pollutant List'!$A$7:$A$611,MATCH($B482,'DEQ Pollutant List'!$B$7:$B$611,0))),"")</f>
        <v/>
      </c>
      <c r="E482" s="126"/>
      <c r="F482" s="750"/>
      <c r="G482" s="129"/>
      <c r="H482" s="115"/>
      <c r="I482" s="117"/>
      <c r="J482" s="116"/>
      <c r="K482" s="291"/>
      <c r="L482" s="263"/>
      <c r="M482" s="116"/>
      <c r="N482" s="291"/>
      <c r="O482" s="263"/>
    </row>
    <row r="483" spans="1:15" x14ac:dyDescent="0.25">
      <c r="A483" s="125"/>
      <c r="B483" s="128"/>
      <c r="C483" s="123" t="str">
        <f>IFERROR(IF(B483="No CAS","",INDEX('DEQ Pollutant List'!$C$7:$C$611,MATCH('3. Pollutant Emissions - EF'!B483,'DEQ Pollutant List'!$B$7:$B$611,0))),"")</f>
        <v/>
      </c>
      <c r="D483" s="127" t="str">
        <f>IFERROR(IF(OR($B483="",$B483="No CAS"),INDEX('DEQ Pollutant List'!$A$7:$A$611,MATCH($C483,'DEQ Pollutant List'!$C$7:$C$611,0)),INDEX('DEQ Pollutant List'!$A$7:$A$611,MATCH($B483,'DEQ Pollutant List'!$B$7:$B$611,0))),"")</f>
        <v/>
      </c>
      <c r="E483" s="126"/>
      <c r="F483" s="750"/>
      <c r="G483" s="129"/>
      <c r="H483" s="115"/>
      <c r="I483" s="117"/>
      <c r="J483" s="116"/>
      <c r="K483" s="291"/>
      <c r="L483" s="263"/>
      <c r="M483" s="116"/>
      <c r="N483" s="291"/>
      <c r="O483" s="263"/>
    </row>
    <row r="484" spans="1:15" x14ac:dyDescent="0.25">
      <c r="A484" s="125"/>
      <c r="B484" s="128"/>
      <c r="C484" s="123" t="str">
        <f>IFERROR(IF(B484="No CAS","",INDEX('DEQ Pollutant List'!$C$7:$C$611,MATCH('3. Pollutant Emissions - EF'!B484,'DEQ Pollutant List'!$B$7:$B$611,0))),"")</f>
        <v/>
      </c>
      <c r="D484" s="127" t="str">
        <f>IFERROR(IF(OR($B484="",$B484="No CAS"),INDEX('DEQ Pollutant List'!$A$7:$A$611,MATCH($C484,'DEQ Pollutant List'!$C$7:$C$611,0)),INDEX('DEQ Pollutant List'!$A$7:$A$611,MATCH($B484,'DEQ Pollutant List'!$B$7:$B$611,0))),"")</f>
        <v/>
      </c>
      <c r="E484" s="126"/>
      <c r="F484" s="750"/>
      <c r="G484" s="129"/>
      <c r="H484" s="115"/>
      <c r="I484" s="117"/>
      <c r="J484" s="116"/>
      <c r="K484" s="291"/>
      <c r="L484" s="263"/>
      <c r="M484" s="116"/>
      <c r="N484" s="291"/>
      <c r="O484" s="263"/>
    </row>
    <row r="485" spans="1:15" x14ac:dyDescent="0.25">
      <c r="A485" s="125"/>
      <c r="B485" s="128"/>
      <c r="C485" s="123" t="str">
        <f>IFERROR(IF(B485="No CAS","",INDEX('DEQ Pollutant List'!$C$7:$C$611,MATCH('3. Pollutant Emissions - EF'!B485,'DEQ Pollutant List'!$B$7:$B$611,0))),"")</f>
        <v/>
      </c>
      <c r="D485" s="127" t="str">
        <f>IFERROR(IF(OR($B485="",$B485="No CAS"),INDEX('DEQ Pollutant List'!$A$7:$A$611,MATCH($C485,'DEQ Pollutant List'!$C$7:$C$611,0)),INDEX('DEQ Pollutant List'!$A$7:$A$611,MATCH($B485,'DEQ Pollutant List'!$B$7:$B$611,0))),"")</f>
        <v/>
      </c>
      <c r="E485" s="126"/>
      <c r="F485" s="750"/>
      <c r="G485" s="129"/>
      <c r="H485" s="115"/>
      <c r="I485" s="117"/>
      <c r="J485" s="116"/>
      <c r="K485" s="291"/>
      <c r="L485" s="263"/>
      <c r="M485" s="116"/>
      <c r="N485" s="291"/>
      <c r="O485" s="263"/>
    </row>
    <row r="486" spans="1:15" x14ac:dyDescent="0.25">
      <c r="A486" s="125"/>
      <c r="B486" s="128"/>
      <c r="C486" s="123" t="str">
        <f>IFERROR(IF(B486="No CAS","",INDEX('DEQ Pollutant List'!$C$7:$C$611,MATCH('3. Pollutant Emissions - EF'!B486,'DEQ Pollutant List'!$B$7:$B$611,0))),"")</f>
        <v/>
      </c>
      <c r="D486" s="127" t="str">
        <f>IFERROR(IF(OR($B486="",$B486="No CAS"),INDEX('DEQ Pollutant List'!$A$7:$A$611,MATCH($C486,'DEQ Pollutant List'!$C$7:$C$611,0)),INDEX('DEQ Pollutant List'!$A$7:$A$611,MATCH($B486,'DEQ Pollutant List'!$B$7:$B$611,0))),"")</f>
        <v/>
      </c>
      <c r="E486" s="126"/>
      <c r="F486" s="750"/>
      <c r="G486" s="129"/>
      <c r="H486" s="115"/>
      <c r="I486" s="117"/>
      <c r="J486" s="116"/>
      <c r="K486" s="291"/>
      <c r="L486" s="263"/>
      <c r="M486" s="116"/>
      <c r="N486" s="291"/>
      <c r="O486" s="263"/>
    </row>
    <row r="487" spans="1:15" x14ac:dyDescent="0.25">
      <c r="A487" s="125"/>
      <c r="B487" s="128"/>
      <c r="C487" s="123" t="str">
        <f>IFERROR(IF(B487="No CAS","",INDEX('DEQ Pollutant List'!$C$7:$C$611,MATCH('3. Pollutant Emissions - EF'!B487,'DEQ Pollutant List'!$B$7:$B$611,0))),"")</f>
        <v/>
      </c>
      <c r="D487" s="127" t="str">
        <f>IFERROR(IF(OR($B487="",$B487="No CAS"),INDEX('DEQ Pollutant List'!$A$7:$A$611,MATCH($C487,'DEQ Pollutant List'!$C$7:$C$611,0)),INDEX('DEQ Pollutant List'!$A$7:$A$611,MATCH($B487,'DEQ Pollutant List'!$B$7:$B$611,0))),"")</f>
        <v/>
      </c>
      <c r="E487" s="126"/>
      <c r="F487" s="750"/>
      <c r="G487" s="129"/>
      <c r="H487" s="115"/>
      <c r="I487" s="117"/>
      <c r="J487" s="116"/>
      <c r="K487" s="291"/>
      <c r="L487" s="263"/>
      <c r="M487" s="116"/>
      <c r="N487" s="291"/>
      <c r="O487" s="263"/>
    </row>
    <row r="488" spans="1:15" x14ac:dyDescent="0.25">
      <c r="A488" s="125"/>
      <c r="B488" s="128"/>
      <c r="C488" s="123" t="str">
        <f>IFERROR(IF(B488="No CAS","",INDEX('DEQ Pollutant List'!$C$7:$C$611,MATCH('3. Pollutant Emissions - EF'!B488,'DEQ Pollutant List'!$B$7:$B$611,0))),"")</f>
        <v/>
      </c>
      <c r="D488" s="127" t="str">
        <f>IFERROR(IF(OR($B488="",$B488="No CAS"),INDEX('DEQ Pollutant List'!$A$7:$A$611,MATCH($C488,'DEQ Pollutant List'!$C$7:$C$611,0)),INDEX('DEQ Pollutant List'!$A$7:$A$611,MATCH($B488,'DEQ Pollutant List'!$B$7:$B$611,0))),"")</f>
        <v/>
      </c>
      <c r="E488" s="126"/>
      <c r="F488" s="750"/>
      <c r="G488" s="129"/>
      <c r="H488" s="115"/>
      <c r="I488" s="117"/>
      <c r="J488" s="116"/>
      <c r="K488" s="291"/>
      <c r="L488" s="263"/>
      <c r="M488" s="116"/>
      <c r="N488" s="291"/>
      <c r="O488" s="263"/>
    </row>
    <row r="489" spans="1:15" x14ac:dyDescent="0.25">
      <c r="A489" s="125"/>
      <c r="B489" s="128"/>
      <c r="C489" s="123" t="str">
        <f>IFERROR(IF(B489="No CAS","",INDEX('DEQ Pollutant List'!$C$7:$C$611,MATCH('3. Pollutant Emissions - EF'!B489,'DEQ Pollutant List'!$B$7:$B$611,0))),"")</f>
        <v/>
      </c>
      <c r="D489" s="127" t="str">
        <f>IFERROR(IF(OR($B489="",$B489="No CAS"),INDEX('DEQ Pollutant List'!$A$7:$A$611,MATCH($C489,'DEQ Pollutant List'!$C$7:$C$611,0)),INDEX('DEQ Pollutant List'!$A$7:$A$611,MATCH($B489,'DEQ Pollutant List'!$B$7:$B$611,0))),"")</f>
        <v/>
      </c>
      <c r="E489" s="126"/>
      <c r="F489" s="750"/>
      <c r="G489" s="129"/>
      <c r="H489" s="115"/>
      <c r="I489" s="117"/>
      <c r="J489" s="116"/>
      <c r="K489" s="291"/>
      <c r="L489" s="263"/>
      <c r="M489" s="116"/>
      <c r="N489" s="291"/>
      <c r="O489" s="263"/>
    </row>
    <row r="490" spans="1:15" x14ac:dyDescent="0.25">
      <c r="A490" s="125"/>
      <c r="B490" s="128"/>
      <c r="C490" s="123" t="str">
        <f>IFERROR(IF(B490="No CAS","",INDEX('DEQ Pollutant List'!$C$7:$C$611,MATCH('3. Pollutant Emissions - EF'!B490,'DEQ Pollutant List'!$B$7:$B$611,0))),"")</f>
        <v/>
      </c>
      <c r="D490" s="127" t="str">
        <f>IFERROR(IF(OR($B490="",$B490="No CAS"),INDEX('DEQ Pollutant List'!$A$7:$A$611,MATCH($C490,'DEQ Pollutant List'!$C$7:$C$611,0)),INDEX('DEQ Pollutant List'!$A$7:$A$611,MATCH($B490,'DEQ Pollutant List'!$B$7:$B$611,0))),"")</f>
        <v/>
      </c>
      <c r="E490" s="126"/>
      <c r="F490" s="750"/>
      <c r="G490" s="129"/>
      <c r="H490" s="115"/>
      <c r="I490" s="117"/>
      <c r="J490" s="116"/>
      <c r="K490" s="291"/>
      <c r="L490" s="263"/>
      <c r="M490" s="116"/>
      <c r="N490" s="291"/>
      <c r="O490" s="263"/>
    </row>
    <row r="491" spans="1:15" x14ac:dyDescent="0.25">
      <c r="A491" s="125"/>
      <c r="B491" s="128"/>
      <c r="C491" s="123" t="str">
        <f>IFERROR(IF(B491="No CAS","",INDEX('DEQ Pollutant List'!$C$7:$C$611,MATCH('3. Pollutant Emissions - EF'!B491,'DEQ Pollutant List'!$B$7:$B$611,0))),"")</f>
        <v/>
      </c>
      <c r="D491" s="127" t="str">
        <f>IFERROR(IF(OR($B491="",$B491="No CAS"),INDEX('DEQ Pollutant List'!$A$7:$A$611,MATCH($C491,'DEQ Pollutant List'!$C$7:$C$611,0)),INDEX('DEQ Pollutant List'!$A$7:$A$611,MATCH($B491,'DEQ Pollutant List'!$B$7:$B$611,0))),"")</f>
        <v/>
      </c>
      <c r="E491" s="126"/>
      <c r="F491" s="750"/>
      <c r="G491" s="129"/>
      <c r="H491" s="115"/>
      <c r="I491" s="117"/>
      <c r="J491" s="116"/>
      <c r="K491" s="291"/>
      <c r="L491" s="263"/>
      <c r="M491" s="116"/>
      <c r="N491" s="291"/>
      <c r="O491" s="263"/>
    </row>
    <row r="492" spans="1:15" x14ac:dyDescent="0.25">
      <c r="A492" s="125"/>
      <c r="B492" s="128"/>
      <c r="C492" s="123" t="str">
        <f>IFERROR(IF(B492="No CAS","",INDEX('DEQ Pollutant List'!$C$7:$C$611,MATCH('3. Pollutant Emissions - EF'!B492,'DEQ Pollutant List'!$B$7:$B$611,0))),"")</f>
        <v/>
      </c>
      <c r="D492" s="127" t="str">
        <f>IFERROR(IF(OR($B492="",$B492="No CAS"),INDEX('DEQ Pollutant List'!$A$7:$A$611,MATCH($C492,'DEQ Pollutant List'!$C$7:$C$611,0)),INDEX('DEQ Pollutant List'!$A$7:$A$611,MATCH($B492,'DEQ Pollutant List'!$B$7:$B$611,0))),"")</f>
        <v/>
      </c>
      <c r="E492" s="126"/>
      <c r="F492" s="750"/>
      <c r="G492" s="129"/>
      <c r="H492" s="115"/>
      <c r="I492" s="117"/>
      <c r="J492" s="116"/>
      <c r="K492" s="291"/>
      <c r="L492" s="263"/>
      <c r="M492" s="116"/>
      <c r="N492" s="291"/>
      <c r="O492" s="263"/>
    </row>
    <row r="493" spans="1:15" x14ac:dyDescent="0.25">
      <c r="A493" s="125"/>
      <c r="B493" s="128"/>
      <c r="C493" s="123" t="str">
        <f>IFERROR(IF(B493="No CAS","",INDEX('DEQ Pollutant List'!$C$7:$C$611,MATCH('3. Pollutant Emissions - EF'!B493,'DEQ Pollutant List'!$B$7:$B$611,0))),"")</f>
        <v/>
      </c>
      <c r="D493" s="127" t="str">
        <f>IFERROR(IF(OR($B493="",$B493="No CAS"),INDEX('DEQ Pollutant List'!$A$7:$A$611,MATCH($C493,'DEQ Pollutant List'!$C$7:$C$611,0)),INDEX('DEQ Pollutant List'!$A$7:$A$611,MATCH($B493,'DEQ Pollutant List'!$B$7:$B$611,0))),"")</f>
        <v/>
      </c>
      <c r="E493" s="126"/>
      <c r="F493" s="750"/>
      <c r="G493" s="129"/>
      <c r="H493" s="115"/>
      <c r="I493" s="117"/>
      <c r="J493" s="116"/>
      <c r="K493" s="291"/>
      <c r="L493" s="263"/>
      <c r="M493" s="116"/>
      <c r="N493" s="291"/>
      <c r="O493" s="263"/>
    </row>
    <row r="494" spans="1:15" x14ac:dyDescent="0.25">
      <c r="A494" s="125"/>
      <c r="B494" s="128"/>
      <c r="C494" s="123" t="str">
        <f>IFERROR(IF(B494="No CAS","",INDEX('DEQ Pollutant List'!$C$7:$C$611,MATCH('3. Pollutant Emissions - EF'!B494,'DEQ Pollutant List'!$B$7:$B$611,0))),"")</f>
        <v/>
      </c>
      <c r="D494" s="127" t="str">
        <f>IFERROR(IF(OR($B494="",$B494="No CAS"),INDEX('DEQ Pollutant List'!$A$7:$A$611,MATCH($C494,'DEQ Pollutant List'!$C$7:$C$611,0)),INDEX('DEQ Pollutant List'!$A$7:$A$611,MATCH($B494,'DEQ Pollutant List'!$B$7:$B$611,0))),"")</f>
        <v/>
      </c>
      <c r="E494" s="126"/>
      <c r="F494" s="750"/>
      <c r="G494" s="129"/>
      <c r="H494" s="115"/>
      <c r="I494" s="117"/>
      <c r="J494" s="116"/>
      <c r="K494" s="291"/>
      <c r="L494" s="263"/>
      <c r="M494" s="116"/>
      <c r="N494" s="291"/>
      <c r="O494" s="263"/>
    </row>
    <row r="495" spans="1:15" x14ac:dyDescent="0.25">
      <c r="A495" s="125"/>
      <c r="B495" s="128"/>
      <c r="C495" s="123" t="str">
        <f>IFERROR(IF(B495="No CAS","",INDEX('DEQ Pollutant List'!$C$7:$C$611,MATCH('3. Pollutant Emissions - EF'!B495,'DEQ Pollutant List'!$B$7:$B$611,0))),"")</f>
        <v/>
      </c>
      <c r="D495" s="127" t="str">
        <f>IFERROR(IF(OR($B495="",$B495="No CAS"),INDEX('DEQ Pollutant List'!$A$7:$A$611,MATCH($C495,'DEQ Pollutant List'!$C$7:$C$611,0)),INDEX('DEQ Pollutant List'!$A$7:$A$611,MATCH($B495,'DEQ Pollutant List'!$B$7:$B$611,0))),"")</f>
        <v/>
      </c>
      <c r="E495" s="126"/>
      <c r="F495" s="750"/>
      <c r="G495" s="129"/>
      <c r="H495" s="115"/>
      <c r="I495" s="117"/>
      <c r="J495" s="116"/>
      <c r="K495" s="291"/>
      <c r="L495" s="263"/>
      <c r="M495" s="116"/>
      <c r="N495" s="291"/>
      <c r="O495" s="263"/>
    </row>
    <row r="496" spans="1:15" x14ac:dyDescent="0.25">
      <c r="A496" s="125"/>
      <c r="B496" s="128"/>
      <c r="C496" s="123" t="str">
        <f>IFERROR(IF(B496="No CAS","",INDEX('DEQ Pollutant List'!$C$7:$C$611,MATCH('3. Pollutant Emissions - EF'!B496,'DEQ Pollutant List'!$B$7:$B$611,0))),"")</f>
        <v/>
      </c>
      <c r="D496" s="127" t="str">
        <f>IFERROR(IF(OR($B496="",$B496="No CAS"),INDEX('DEQ Pollutant List'!$A$7:$A$611,MATCH($C496,'DEQ Pollutant List'!$C$7:$C$611,0)),INDEX('DEQ Pollutant List'!$A$7:$A$611,MATCH($B496,'DEQ Pollutant List'!$B$7:$B$611,0))),"")</f>
        <v/>
      </c>
      <c r="E496" s="126"/>
      <c r="F496" s="750"/>
      <c r="G496" s="129"/>
      <c r="H496" s="115"/>
      <c r="I496" s="117"/>
      <c r="J496" s="116"/>
      <c r="K496" s="291"/>
      <c r="L496" s="263"/>
      <c r="M496" s="116"/>
      <c r="N496" s="291"/>
      <c r="O496" s="263"/>
    </row>
    <row r="497" spans="1:15" x14ac:dyDescent="0.25">
      <c r="A497" s="125"/>
      <c r="B497" s="128"/>
      <c r="C497" s="123" t="str">
        <f>IFERROR(IF(B497="No CAS","",INDEX('DEQ Pollutant List'!$C$7:$C$611,MATCH('3. Pollutant Emissions - EF'!B497,'DEQ Pollutant List'!$B$7:$B$611,0))),"")</f>
        <v/>
      </c>
      <c r="D497" s="127" t="str">
        <f>IFERROR(IF(OR($B497="",$B497="No CAS"),INDEX('DEQ Pollutant List'!$A$7:$A$611,MATCH($C497,'DEQ Pollutant List'!$C$7:$C$611,0)),INDEX('DEQ Pollutant List'!$A$7:$A$611,MATCH($B497,'DEQ Pollutant List'!$B$7:$B$611,0))),"")</f>
        <v/>
      </c>
      <c r="E497" s="126"/>
      <c r="F497" s="750"/>
      <c r="G497" s="129"/>
      <c r="H497" s="115"/>
      <c r="I497" s="117"/>
      <c r="J497" s="116"/>
      <c r="K497" s="291"/>
      <c r="L497" s="263"/>
      <c r="M497" s="116"/>
      <c r="N497" s="291"/>
      <c r="O497" s="263"/>
    </row>
    <row r="498" spans="1:15" x14ac:dyDescent="0.25">
      <c r="A498" s="125"/>
      <c r="B498" s="128"/>
      <c r="C498" s="123" t="str">
        <f>IFERROR(IF(B498="No CAS","",INDEX('DEQ Pollutant List'!$C$7:$C$611,MATCH('3. Pollutant Emissions - EF'!B498,'DEQ Pollutant List'!$B$7:$B$611,0))),"")</f>
        <v/>
      </c>
      <c r="D498" s="127" t="str">
        <f>IFERROR(IF(OR($B498="",$B498="No CAS"),INDEX('DEQ Pollutant List'!$A$7:$A$611,MATCH($C498,'DEQ Pollutant List'!$C$7:$C$611,0)),INDEX('DEQ Pollutant List'!$A$7:$A$611,MATCH($B498,'DEQ Pollutant List'!$B$7:$B$611,0))),"")</f>
        <v/>
      </c>
      <c r="E498" s="126"/>
      <c r="F498" s="750"/>
      <c r="G498" s="129"/>
      <c r="H498" s="115"/>
      <c r="I498" s="117"/>
      <c r="J498" s="116"/>
      <c r="K498" s="291"/>
      <c r="L498" s="263"/>
      <c r="M498" s="116"/>
      <c r="N498" s="291"/>
      <c r="O498" s="263"/>
    </row>
    <row r="499" spans="1:15" x14ac:dyDescent="0.25">
      <c r="A499" s="125"/>
      <c r="B499" s="128"/>
      <c r="C499" s="123" t="str">
        <f>IFERROR(IF(B499="No CAS","",INDEX('DEQ Pollutant List'!$C$7:$C$611,MATCH('3. Pollutant Emissions - EF'!B499,'DEQ Pollutant List'!$B$7:$B$611,0))),"")</f>
        <v/>
      </c>
      <c r="D499" s="127" t="str">
        <f>IFERROR(IF(OR($B499="",$B499="No CAS"),INDEX('DEQ Pollutant List'!$A$7:$A$611,MATCH($C499,'DEQ Pollutant List'!$C$7:$C$611,0)),INDEX('DEQ Pollutant List'!$A$7:$A$611,MATCH($B499,'DEQ Pollutant List'!$B$7:$B$611,0))),"")</f>
        <v/>
      </c>
      <c r="E499" s="126"/>
      <c r="F499" s="750"/>
      <c r="G499" s="129"/>
      <c r="H499" s="115"/>
      <c r="I499" s="117"/>
      <c r="J499" s="116"/>
      <c r="K499" s="291"/>
      <c r="L499" s="263"/>
      <c r="M499" s="116"/>
      <c r="N499" s="291"/>
      <c r="O499" s="263"/>
    </row>
    <row r="500" spans="1:15" x14ac:dyDescent="0.25">
      <c r="A500" s="125"/>
      <c r="B500" s="128"/>
      <c r="C500" s="123" t="str">
        <f>IFERROR(IF(B500="No CAS","",INDEX('DEQ Pollutant List'!$C$7:$C$611,MATCH('3. Pollutant Emissions - EF'!B500,'DEQ Pollutant List'!$B$7:$B$611,0))),"")</f>
        <v/>
      </c>
      <c r="D500" s="127" t="str">
        <f>IFERROR(IF(OR($B500="",$B500="No CAS"),INDEX('DEQ Pollutant List'!$A$7:$A$611,MATCH($C500,'DEQ Pollutant List'!$C$7:$C$611,0)),INDEX('DEQ Pollutant List'!$A$7:$A$611,MATCH($B500,'DEQ Pollutant List'!$B$7:$B$611,0))),"")</f>
        <v/>
      </c>
      <c r="E500" s="126"/>
      <c r="F500" s="750"/>
      <c r="G500" s="129"/>
      <c r="H500" s="115"/>
      <c r="I500" s="117"/>
      <c r="J500" s="116"/>
      <c r="K500" s="291"/>
      <c r="L500" s="263"/>
      <c r="M500" s="116"/>
      <c r="N500" s="291"/>
      <c r="O500" s="263"/>
    </row>
    <row r="501" spans="1:15" x14ac:dyDescent="0.25">
      <c r="A501" s="125"/>
      <c r="B501" s="128"/>
      <c r="C501" s="123" t="str">
        <f>IFERROR(IF(B501="No CAS","",INDEX('DEQ Pollutant List'!$C$7:$C$611,MATCH('3. Pollutant Emissions - EF'!B501,'DEQ Pollutant List'!$B$7:$B$611,0))),"")</f>
        <v/>
      </c>
      <c r="D501" s="127" t="str">
        <f>IFERROR(IF(OR($B501="",$B501="No CAS"),INDEX('DEQ Pollutant List'!$A$7:$A$611,MATCH($C501,'DEQ Pollutant List'!$C$7:$C$611,0)),INDEX('DEQ Pollutant List'!$A$7:$A$611,MATCH($B501,'DEQ Pollutant List'!$B$7:$B$611,0))),"")</f>
        <v/>
      </c>
      <c r="E501" s="126"/>
      <c r="F501" s="750"/>
      <c r="G501" s="129"/>
      <c r="H501" s="115"/>
      <c r="I501" s="117"/>
      <c r="J501" s="116"/>
      <c r="K501" s="291"/>
      <c r="L501" s="263"/>
      <c r="M501" s="116"/>
      <c r="N501" s="291"/>
      <c r="O501" s="263"/>
    </row>
    <row r="502" spans="1:15" x14ac:dyDescent="0.25">
      <c r="A502" s="125"/>
      <c r="B502" s="128"/>
      <c r="C502" s="123" t="str">
        <f>IFERROR(IF(B502="No CAS","",INDEX('DEQ Pollutant List'!$C$7:$C$611,MATCH('3. Pollutant Emissions - EF'!B502,'DEQ Pollutant List'!$B$7:$B$611,0))),"")</f>
        <v/>
      </c>
      <c r="D502" s="127" t="str">
        <f>IFERROR(IF(OR($B502="",$B502="No CAS"),INDEX('DEQ Pollutant List'!$A$7:$A$611,MATCH($C502,'DEQ Pollutant List'!$C$7:$C$611,0)),INDEX('DEQ Pollutant List'!$A$7:$A$611,MATCH($B502,'DEQ Pollutant List'!$B$7:$B$611,0))),"")</f>
        <v/>
      </c>
      <c r="E502" s="126"/>
      <c r="F502" s="750"/>
      <c r="G502" s="129"/>
      <c r="H502" s="115"/>
      <c r="I502" s="117"/>
      <c r="J502" s="116"/>
      <c r="K502" s="291"/>
      <c r="L502" s="263"/>
      <c r="M502" s="116"/>
      <c r="N502" s="291"/>
      <c r="O502" s="263"/>
    </row>
    <row r="503" spans="1:15" x14ac:dyDescent="0.25">
      <c r="A503" s="125"/>
      <c r="B503" s="128"/>
      <c r="C503" s="123" t="str">
        <f>IFERROR(IF(B503="No CAS","",INDEX('DEQ Pollutant List'!$C$7:$C$611,MATCH('3. Pollutant Emissions - EF'!B503,'DEQ Pollutant List'!$B$7:$B$611,0))),"")</f>
        <v/>
      </c>
      <c r="D503" s="127" t="str">
        <f>IFERROR(IF(OR($B503="",$B503="No CAS"),INDEX('DEQ Pollutant List'!$A$7:$A$611,MATCH($C503,'DEQ Pollutant List'!$C$7:$C$611,0)),INDEX('DEQ Pollutant List'!$A$7:$A$611,MATCH($B503,'DEQ Pollutant List'!$B$7:$B$611,0))),"")</f>
        <v/>
      </c>
      <c r="E503" s="126"/>
      <c r="F503" s="750"/>
      <c r="G503" s="129"/>
      <c r="H503" s="115"/>
      <c r="I503" s="117"/>
      <c r="J503" s="116"/>
      <c r="K503" s="291"/>
      <c r="L503" s="263"/>
      <c r="M503" s="116"/>
      <c r="N503" s="291"/>
      <c r="O503" s="263"/>
    </row>
    <row r="504" spans="1:15" x14ac:dyDescent="0.25">
      <c r="A504" s="125"/>
      <c r="B504" s="128"/>
      <c r="C504" s="123" t="str">
        <f>IFERROR(IF(B504="No CAS","",INDEX('DEQ Pollutant List'!$C$7:$C$611,MATCH('3. Pollutant Emissions - EF'!B504,'DEQ Pollutant List'!$B$7:$B$611,0))),"")</f>
        <v/>
      </c>
      <c r="D504" s="127" t="str">
        <f>IFERROR(IF(OR($B504="",$B504="No CAS"),INDEX('DEQ Pollutant List'!$A$7:$A$611,MATCH($C504,'DEQ Pollutant List'!$C$7:$C$611,0)),INDEX('DEQ Pollutant List'!$A$7:$A$611,MATCH($B504,'DEQ Pollutant List'!$B$7:$B$611,0))),"")</f>
        <v/>
      </c>
      <c r="E504" s="126"/>
      <c r="F504" s="750"/>
      <c r="G504" s="129"/>
      <c r="H504" s="115"/>
      <c r="I504" s="117"/>
      <c r="J504" s="116"/>
      <c r="K504" s="291"/>
      <c r="L504" s="263"/>
      <c r="M504" s="116"/>
      <c r="N504" s="291"/>
      <c r="O504" s="263"/>
    </row>
    <row r="505" spans="1:15" x14ac:dyDescent="0.25">
      <c r="A505" s="125"/>
      <c r="B505" s="128"/>
      <c r="C505" s="123" t="str">
        <f>IFERROR(IF(B505="No CAS","",INDEX('DEQ Pollutant List'!$C$7:$C$611,MATCH('3. Pollutant Emissions - EF'!B505,'DEQ Pollutant List'!$B$7:$B$611,0))),"")</f>
        <v/>
      </c>
      <c r="D505" s="127" t="str">
        <f>IFERROR(IF(OR($B505="",$B505="No CAS"),INDEX('DEQ Pollutant List'!$A$7:$A$611,MATCH($C505,'DEQ Pollutant List'!$C$7:$C$611,0)),INDEX('DEQ Pollutant List'!$A$7:$A$611,MATCH($B505,'DEQ Pollutant List'!$B$7:$B$611,0))),"")</f>
        <v/>
      </c>
      <c r="E505" s="126"/>
      <c r="F505" s="750"/>
      <c r="G505" s="129"/>
      <c r="H505" s="115"/>
      <c r="I505" s="117"/>
      <c r="J505" s="116"/>
      <c r="K505" s="291"/>
      <c r="L505" s="263"/>
      <c r="M505" s="116"/>
      <c r="N505" s="291"/>
      <c r="O505" s="263"/>
    </row>
    <row r="506" spans="1:15" x14ac:dyDescent="0.25">
      <c r="A506" s="125"/>
      <c r="B506" s="128"/>
      <c r="C506" s="123" t="str">
        <f>IFERROR(IF(B506="No CAS","",INDEX('DEQ Pollutant List'!$C$7:$C$611,MATCH('3. Pollutant Emissions - EF'!B506,'DEQ Pollutant List'!$B$7:$B$611,0))),"")</f>
        <v/>
      </c>
      <c r="D506" s="127" t="str">
        <f>IFERROR(IF(OR($B506="",$B506="No CAS"),INDEX('DEQ Pollutant List'!$A$7:$A$611,MATCH($C506,'DEQ Pollutant List'!$C$7:$C$611,0)),INDEX('DEQ Pollutant List'!$A$7:$A$611,MATCH($B506,'DEQ Pollutant List'!$B$7:$B$611,0))),"")</f>
        <v/>
      </c>
      <c r="E506" s="126"/>
      <c r="F506" s="750"/>
      <c r="G506" s="129"/>
      <c r="H506" s="115"/>
      <c r="I506" s="117"/>
      <c r="J506" s="116"/>
      <c r="K506" s="291"/>
      <c r="L506" s="263"/>
      <c r="M506" s="116"/>
      <c r="N506" s="291"/>
      <c r="O506" s="263"/>
    </row>
    <row r="507" spans="1:15" x14ac:dyDescent="0.25">
      <c r="A507" s="125"/>
      <c r="B507" s="128"/>
      <c r="C507" s="123" t="str">
        <f>IFERROR(IF(B507="No CAS","",INDEX('DEQ Pollutant List'!$C$7:$C$611,MATCH('3. Pollutant Emissions - EF'!B507,'DEQ Pollutant List'!$B$7:$B$611,0))),"")</f>
        <v/>
      </c>
      <c r="D507" s="127" t="str">
        <f>IFERROR(IF(OR($B507="",$B507="No CAS"),INDEX('DEQ Pollutant List'!$A$7:$A$611,MATCH($C507,'DEQ Pollutant List'!$C$7:$C$611,0)),INDEX('DEQ Pollutant List'!$A$7:$A$611,MATCH($B507,'DEQ Pollutant List'!$B$7:$B$611,0))),"")</f>
        <v/>
      </c>
      <c r="E507" s="126"/>
      <c r="F507" s="750"/>
      <c r="G507" s="129"/>
      <c r="H507" s="115"/>
      <c r="I507" s="117"/>
      <c r="J507" s="116"/>
      <c r="K507" s="291"/>
      <c r="L507" s="263"/>
      <c r="M507" s="116"/>
      <c r="N507" s="291"/>
      <c r="O507" s="263"/>
    </row>
    <row r="508" spans="1:15" x14ac:dyDescent="0.25">
      <c r="A508" s="125"/>
      <c r="B508" s="128"/>
      <c r="C508" s="123" t="str">
        <f>IFERROR(IF(B508="No CAS","",INDEX('DEQ Pollutant List'!$C$7:$C$611,MATCH('3. Pollutant Emissions - EF'!B508,'DEQ Pollutant List'!$B$7:$B$611,0))),"")</f>
        <v/>
      </c>
      <c r="D508" s="127" t="str">
        <f>IFERROR(IF(OR($B508="",$B508="No CAS"),INDEX('DEQ Pollutant List'!$A$7:$A$611,MATCH($C508,'DEQ Pollutant List'!$C$7:$C$611,0)),INDEX('DEQ Pollutant List'!$A$7:$A$611,MATCH($B508,'DEQ Pollutant List'!$B$7:$B$611,0))),"")</f>
        <v/>
      </c>
      <c r="E508" s="126"/>
      <c r="F508" s="750"/>
      <c r="G508" s="129"/>
      <c r="H508" s="115"/>
      <c r="I508" s="117"/>
      <c r="J508" s="116"/>
      <c r="K508" s="291"/>
      <c r="L508" s="263"/>
      <c r="M508" s="116"/>
      <c r="N508" s="291"/>
      <c r="O508" s="263"/>
    </row>
    <row r="509" spans="1:15" x14ac:dyDescent="0.25">
      <c r="A509" s="125"/>
      <c r="B509" s="128"/>
      <c r="C509" s="123" t="str">
        <f>IFERROR(IF(B509="No CAS","",INDEX('DEQ Pollutant List'!$C$7:$C$611,MATCH('3. Pollutant Emissions - EF'!B509,'DEQ Pollutant List'!$B$7:$B$611,0))),"")</f>
        <v/>
      </c>
      <c r="D509" s="127" t="str">
        <f>IFERROR(IF(OR($B509="",$B509="No CAS"),INDEX('DEQ Pollutant List'!$A$7:$A$611,MATCH($C509,'DEQ Pollutant List'!$C$7:$C$611,0)),INDEX('DEQ Pollutant List'!$A$7:$A$611,MATCH($B509,'DEQ Pollutant List'!$B$7:$B$611,0))),"")</f>
        <v/>
      </c>
      <c r="E509" s="126"/>
      <c r="F509" s="750"/>
      <c r="G509" s="129"/>
      <c r="H509" s="115"/>
      <c r="I509" s="117"/>
      <c r="J509" s="116"/>
      <c r="K509" s="291"/>
      <c r="L509" s="263"/>
      <c r="M509" s="116"/>
      <c r="N509" s="291"/>
      <c r="O509" s="263"/>
    </row>
    <row r="510" spans="1:15" x14ac:dyDescent="0.25">
      <c r="A510" s="125"/>
      <c r="B510" s="128"/>
      <c r="C510" s="123" t="str">
        <f>IFERROR(IF(B510="No CAS","",INDEX('DEQ Pollutant List'!$C$7:$C$611,MATCH('3. Pollutant Emissions - EF'!B510,'DEQ Pollutant List'!$B$7:$B$611,0))),"")</f>
        <v/>
      </c>
      <c r="D510" s="127" t="str">
        <f>IFERROR(IF(OR($B510="",$B510="No CAS"),INDEX('DEQ Pollutant List'!$A$7:$A$611,MATCH($C510,'DEQ Pollutant List'!$C$7:$C$611,0)),INDEX('DEQ Pollutant List'!$A$7:$A$611,MATCH($B510,'DEQ Pollutant List'!$B$7:$B$611,0))),"")</f>
        <v/>
      </c>
      <c r="E510" s="126"/>
      <c r="F510" s="750"/>
      <c r="G510" s="129"/>
      <c r="H510" s="115"/>
      <c r="I510" s="117"/>
      <c r="J510" s="116"/>
      <c r="K510" s="291"/>
      <c r="L510" s="263"/>
      <c r="M510" s="116"/>
      <c r="N510" s="291"/>
      <c r="O510" s="263"/>
    </row>
    <row r="511" spans="1:15" x14ac:dyDescent="0.25">
      <c r="A511" s="125"/>
      <c r="B511" s="128"/>
      <c r="C511" s="123" t="str">
        <f>IFERROR(IF(B511="No CAS","",INDEX('DEQ Pollutant List'!$C$7:$C$611,MATCH('3. Pollutant Emissions - EF'!B511,'DEQ Pollutant List'!$B$7:$B$611,0))),"")</f>
        <v/>
      </c>
      <c r="D511" s="127" t="str">
        <f>IFERROR(IF(OR($B511="",$B511="No CAS"),INDEX('DEQ Pollutant List'!$A$7:$A$611,MATCH($C511,'DEQ Pollutant List'!$C$7:$C$611,0)),INDEX('DEQ Pollutant List'!$A$7:$A$611,MATCH($B511,'DEQ Pollutant List'!$B$7:$B$611,0))),"")</f>
        <v/>
      </c>
      <c r="E511" s="126"/>
      <c r="F511" s="750"/>
      <c r="G511" s="129"/>
      <c r="H511" s="115"/>
      <c r="I511" s="117"/>
      <c r="J511" s="116"/>
      <c r="K511" s="291"/>
      <c r="L511" s="263"/>
      <c r="M511" s="116"/>
      <c r="N511" s="291"/>
      <c r="O511" s="263"/>
    </row>
    <row r="512" spans="1:15" x14ac:dyDescent="0.25">
      <c r="A512" s="125"/>
      <c r="B512" s="128"/>
      <c r="C512" s="123" t="str">
        <f>IFERROR(IF(B512="No CAS","",INDEX('DEQ Pollutant List'!$C$7:$C$611,MATCH('3. Pollutant Emissions - EF'!B512,'DEQ Pollutant List'!$B$7:$B$611,0))),"")</f>
        <v/>
      </c>
      <c r="D512" s="127" t="str">
        <f>IFERROR(IF(OR($B512="",$B512="No CAS"),INDEX('DEQ Pollutant List'!$A$7:$A$611,MATCH($C512,'DEQ Pollutant List'!$C$7:$C$611,0)),INDEX('DEQ Pollutant List'!$A$7:$A$611,MATCH($B512,'DEQ Pollutant List'!$B$7:$B$611,0))),"")</f>
        <v/>
      </c>
      <c r="E512" s="126"/>
      <c r="F512" s="750"/>
      <c r="G512" s="129"/>
      <c r="H512" s="115"/>
      <c r="I512" s="117"/>
      <c r="J512" s="116"/>
      <c r="K512" s="291"/>
      <c r="L512" s="263"/>
      <c r="M512" s="116"/>
      <c r="N512" s="291"/>
      <c r="O512" s="263"/>
    </row>
    <row r="513" spans="1:15" x14ac:dyDescent="0.25">
      <c r="A513" s="125"/>
      <c r="B513" s="128"/>
      <c r="C513" s="123" t="str">
        <f>IFERROR(IF(B513="No CAS","",INDEX('DEQ Pollutant List'!$C$7:$C$611,MATCH('3. Pollutant Emissions - EF'!B513,'DEQ Pollutant List'!$B$7:$B$611,0))),"")</f>
        <v/>
      </c>
      <c r="D513" s="127" t="str">
        <f>IFERROR(IF(OR($B513="",$B513="No CAS"),INDEX('DEQ Pollutant List'!$A$7:$A$611,MATCH($C513,'DEQ Pollutant List'!$C$7:$C$611,0)),INDEX('DEQ Pollutant List'!$A$7:$A$611,MATCH($B513,'DEQ Pollutant List'!$B$7:$B$611,0))),"")</f>
        <v/>
      </c>
      <c r="E513" s="126"/>
      <c r="F513" s="750"/>
      <c r="G513" s="129"/>
      <c r="H513" s="115"/>
      <c r="I513" s="117"/>
      <c r="J513" s="116"/>
      <c r="K513" s="291"/>
      <c r="L513" s="263"/>
      <c r="M513" s="116"/>
      <c r="N513" s="291"/>
      <c r="O513" s="263"/>
    </row>
    <row r="514" spans="1:15" x14ac:dyDescent="0.25">
      <c r="A514" s="125"/>
      <c r="B514" s="128"/>
      <c r="C514" s="123" t="str">
        <f>IFERROR(IF(B514="No CAS","",INDEX('DEQ Pollutant List'!$C$7:$C$611,MATCH('3. Pollutant Emissions - EF'!B514,'DEQ Pollutant List'!$B$7:$B$611,0))),"")</f>
        <v/>
      </c>
      <c r="D514" s="127" t="str">
        <f>IFERROR(IF(OR($B514="",$B514="No CAS"),INDEX('DEQ Pollutant List'!$A$7:$A$611,MATCH($C514,'DEQ Pollutant List'!$C$7:$C$611,0)),INDEX('DEQ Pollutant List'!$A$7:$A$611,MATCH($B514,'DEQ Pollutant List'!$B$7:$B$611,0))),"")</f>
        <v/>
      </c>
      <c r="E514" s="126"/>
      <c r="F514" s="750"/>
      <c r="G514" s="129"/>
      <c r="H514" s="115"/>
      <c r="I514" s="117"/>
      <c r="J514" s="116"/>
      <c r="K514" s="291"/>
      <c r="L514" s="263"/>
      <c r="M514" s="116"/>
      <c r="N514" s="291"/>
      <c r="O514" s="263"/>
    </row>
    <row r="515" spans="1:15" x14ac:dyDescent="0.25">
      <c r="A515" s="125"/>
      <c r="B515" s="128"/>
      <c r="C515" s="123" t="str">
        <f>IFERROR(IF(B515="No CAS","",INDEX('DEQ Pollutant List'!$C$7:$C$611,MATCH('3. Pollutant Emissions - EF'!B515,'DEQ Pollutant List'!$B$7:$B$611,0))),"")</f>
        <v/>
      </c>
      <c r="D515" s="127" t="str">
        <f>IFERROR(IF(OR($B515="",$B515="No CAS"),INDEX('DEQ Pollutant List'!$A$7:$A$611,MATCH($C515,'DEQ Pollutant List'!$C$7:$C$611,0)),INDEX('DEQ Pollutant List'!$A$7:$A$611,MATCH($B515,'DEQ Pollutant List'!$B$7:$B$611,0))),"")</f>
        <v/>
      </c>
      <c r="E515" s="126"/>
      <c r="F515" s="750"/>
      <c r="G515" s="129"/>
      <c r="H515" s="115"/>
      <c r="I515" s="117"/>
      <c r="J515" s="116"/>
      <c r="K515" s="291"/>
      <c r="L515" s="263"/>
      <c r="M515" s="116"/>
      <c r="N515" s="291"/>
      <c r="O515" s="263"/>
    </row>
    <row r="516" spans="1:15" x14ac:dyDescent="0.25">
      <c r="A516" s="125"/>
      <c r="B516" s="128"/>
      <c r="C516" s="123" t="str">
        <f>IFERROR(IF(B516="No CAS","",INDEX('DEQ Pollutant List'!$C$7:$C$611,MATCH('3. Pollutant Emissions - EF'!B516,'DEQ Pollutant List'!$B$7:$B$611,0))),"")</f>
        <v/>
      </c>
      <c r="D516" s="127" t="str">
        <f>IFERROR(IF(OR($B516="",$B516="No CAS"),INDEX('DEQ Pollutant List'!$A$7:$A$611,MATCH($C516,'DEQ Pollutant List'!$C$7:$C$611,0)),INDEX('DEQ Pollutant List'!$A$7:$A$611,MATCH($B516,'DEQ Pollutant List'!$B$7:$B$611,0))),"")</f>
        <v/>
      </c>
      <c r="E516" s="126"/>
      <c r="F516" s="750"/>
      <c r="G516" s="129"/>
      <c r="H516" s="115"/>
      <c r="I516" s="117"/>
      <c r="J516" s="116"/>
      <c r="K516" s="291"/>
      <c r="L516" s="263"/>
      <c r="M516" s="116"/>
      <c r="N516" s="291"/>
      <c r="O516" s="263"/>
    </row>
    <row r="517" spans="1:15" x14ac:dyDescent="0.25">
      <c r="A517" s="125"/>
      <c r="B517" s="128"/>
      <c r="C517" s="123" t="str">
        <f>IFERROR(IF(B517="No CAS","",INDEX('DEQ Pollutant List'!$C$7:$C$611,MATCH('3. Pollutant Emissions - EF'!B517,'DEQ Pollutant List'!$B$7:$B$611,0))),"")</f>
        <v/>
      </c>
      <c r="D517" s="127" t="str">
        <f>IFERROR(IF(OR($B517="",$B517="No CAS"),INDEX('DEQ Pollutant List'!$A$7:$A$611,MATCH($C517,'DEQ Pollutant List'!$C$7:$C$611,0)),INDEX('DEQ Pollutant List'!$A$7:$A$611,MATCH($B517,'DEQ Pollutant List'!$B$7:$B$611,0))),"")</f>
        <v/>
      </c>
      <c r="E517" s="126"/>
      <c r="F517" s="750"/>
      <c r="G517" s="129"/>
      <c r="H517" s="115"/>
      <c r="I517" s="117"/>
      <c r="J517" s="116"/>
      <c r="K517" s="291"/>
      <c r="L517" s="263"/>
      <c r="M517" s="116"/>
      <c r="N517" s="291"/>
      <c r="O517" s="263"/>
    </row>
    <row r="518" spans="1:15" x14ac:dyDescent="0.25">
      <c r="A518" s="125"/>
      <c r="B518" s="128"/>
      <c r="C518" s="123" t="str">
        <f>IFERROR(IF(B518="No CAS","",INDEX('DEQ Pollutant List'!$C$7:$C$611,MATCH('3. Pollutant Emissions - EF'!B518,'DEQ Pollutant List'!$B$7:$B$611,0))),"")</f>
        <v/>
      </c>
      <c r="D518" s="127" t="str">
        <f>IFERROR(IF(OR($B518="",$B518="No CAS"),INDEX('DEQ Pollutant List'!$A$7:$A$611,MATCH($C518,'DEQ Pollutant List'!$C$7:$C$611,0)),INDEX('DEQ Pollutant List'!$A$7:$A$611,MATCH($B518,'DEQ Pollutant List'!$B$7:$B$611,0))),"")</f>
        <v/>
      </c>
      <c r="E518" s="126"/>
      <c r="F518" s="750"/>
      <c r="G518" s="129"/>
      <c r="H518" s="115"/>
      <c r="I518" s="117"/>
      <c r="J518" s="116"/>
      <c r="K518" s="291"/>
      <c r="L518" s="263"/>
      <c r="M518" s="116"/>
      <c r="N518" s="291"/>
      <c r="O518" s="263"/>
    </row>
    <row r="519" spans="1:15" x14ac:dyDescent="0.25">
      <c r="A519" s="125"/>
      <c r="B519" s="128"/>
      <c r="C519" s="123" t="str">
        <f>IFERROR(IF(B519="No CAS","",INDEX('DEQ Pollutant List'!$C$7:$C$611,MATCH('3. Pollutant Emissions - EF'!B519,'DEQ Pollutant List'!$B$7:$B$611,0))),"")</f>
        <v/>
      </c>
      <c r="D519" s="127" t="str">
        <f>IFERROR(IF(OR($B519="",$B519="No CAS"),INDEX('DEQ Pollutant List'!$A$7:$A$611,MATCH($C519,'DEQ Pollutant List'!$C$7:$C$611,0)),INDEX('DEQ Pollutant List'!$A$7:$A$611,MATCH($B519,'DEQ Pollutant List'!$B$7:$B$611,0))),"")</f>
        <v/>
      </c>
      <c r="E519" s="126"/>
      <c r="F519" s="750"/>
      <c r="G519" s="129"/>
      <c r="H519" s="115"/>
      <c r="I519" s="117"/>
      <c r="J519" s="116"/>
      <c r="K519" s="291"/>
      <c r="L519" s="263"/>
      <c r="M519" s="116"/>
      <c r="N519" s="291"/>
      <c r="O519" s="263"/>
    </row>
    <row r="520" spans="1:15" x14ac:dyDescent="0.25">
      <c r="A520" s="125"/>
      <c r="B520" s="128"/>
      <c r="C520" s="123" t="str">
        <f>IFERROR(IF(B520="No CAS","",INDEX('DEQ Pollutant List'!$C$7:$C$611,MATCH('3. Pollutant Emissions - EF'!B520,'DEQ Pollutant List'!$B$7:$B$611,0))),"")</f>
        <v/>
      </c>
      <c r="D520" s="127" t="str">
        <f>IFERROR(IF(OR($B520="",$B520="No CAS"),INDEX('DEQ Pollutant List'!$A$7:$A$611,MATCH($C520,'DEQ Pollutant List'!$C$7:$C$611,0)),INDEX('DEQ Pollutant List'!$A$7:$A$611,MATCH($B520,'DEQ Pollutant List'!$B$7:$B$611,0))),"")</f>
        <v/>
      </c>
      <c r="E520" s="126"/>
      <c r="F520" s="750"/>
      <c r="G520" s="129"/>
      <c r="H520" s="115"/>
      <c r="I520" s="117"/>
      <c r="J520" s="116"/>
      <c r="K520" s="291"/>
      <c r="L520" s="263"/>
      <c r="M520" s="116"/>
      <c r="N520" s="291"/>
      <c r="O520" s="263"/>
    </row>
    <row r="521" spans="1:15" x14ac:dyDescent="0.25">
      <c r="A521" s="125"/>
      <c r="B521" s="128"/>
      <c r="C521" s="123" t="str">
        <f>IFERROR(IF(B521="No CAS","",INDEX('DEQ Pollutant List'!$C$7:$C$611,MATCH('3. Pollutant Emissions - EF'!B521,'DEQ Pollutant List'!$B$7:$B$611,0))),"")</f>
        <v/>
      </c>
      <c r="D521" s="127" t="str">
        <f>IFERROR(IF(OR($B521="",$B521="No CAS"),INDEX('DEQ Pollutant List'!$A$7:$A$611,MATCH($C521,'DEQ Pollutant List'!$C$7:$C$611,0)),INDEX('DEQ Pollutant List'!$A$7:$A$611,MATCH($B521,'DEQ Pollutant List'!$B$7:$B$611,0))),"")</f>
        <v/>
      </c>
      <c r="E521" s="126"/>
      <c r="F521" s="750"/>
      <c r="G521" s="129"/>
      <c r="H521" s="115"/>
      <c r="I521" s="117"/>
      <c r="J521" s="116"/>
      <c r="K521" s="291"/>
      <c r="L521" s="263"/>
      <c r="M521" s="116"/>
      <c r="N521" s="291"/>
      <c r="O521" s="263"/>
    </row>
    <row r="522" spans="1:15" x14ac:dyDescent="0.25">
      <c r="A522" s="125"/>
      <c r="B522" s="128"/>
      <c r="C522" s="123" t="str">
        <f>IFERROR(IF(B522="No CAS","",INDEX('DEQ Pollutant List'!$C$7:$C$611,MATCH('3. Pollutant Emissions - EF'!B522,'DEQ Pollutant List'!$B$7:$B$611,0))),"")</f>
        <v/>
      </c>
      <c r="D522" s="127" t="str">
        <f>IFERROR(IF(OR($B522="",$B522="No CAS"),INDEX('DEQ Pollutant List'!$A$7:$A$611,MATCH($C522,'DEQ Pollutant List'!$C$7:$C$611,0)),INDEX('DEQ Pollutant List'!$A$7:$A$611,MATCH($B522,'DEQ Pollutant List'!$B$7:$B$611,0))),"")</f>
        <v/>
      </c>
      <c r="E522" s="126"/>
      <c r="F522" s="750"/>
      <c r="G522" s="129"/>
      <c r="H522" s="115"/>
      <c r="I522" s="117"/>
      <c r="J522" s="116"/>
      <c r="K522" s="291"/>
      <c r="L522" s="263"/>
      <c r="M522" s="116"/>
      <c r="N522" s="291"/>
      <c r="O522" s="263"/>
    </row>
    <row r="523" spans="1:15" x14ac:dyDescent="0.25">
      <c r="A523" s="125"/>
      <c r="B523" s="128"/>
      <c r="C523" s="123" t="str">
        <f>IFERROR(IF(B523="No CAS","",INDEX('DEQ Pollutant List'!$C$7:$C$611,MATCH('3. Pollutant Emissions - EF'!B523,'DEQ Pollutant List'!$B$7:$B$611,0))),"")</f>
        <v/>
      </c>
      <c r="D523" s="127" t="str">
        <f>IFERROR(IF(OR($B523="",$B523="No CAS"),INDEX('DEQ Pollutant List'!$A$7:$A$611,MATCH($C523,'DEQ Pollutant List'!$C$7:$C$611,0)),INDEX('DEQ Pollutant List'!$A$7:$A$611,MATCH($B523,'DEQ Pollutant List'!$B$7:$B$611,0))),"")</f>
        <v/>
      </c>
      <c r="E523" s="126"/>
      <c r="F523" s="750"/>
      <c r="G523" s="129"/>
      <c r="H523" s="115"/>
      <c r="I523" s="117"/>
      <c r="J523" s="116"/>
      <c r="K523" s="291"/>
      <c r="L523" s="263"/>
      <c r="M523" s="116"/>
      <c r="N523" s="291"/>
      <c r="O523" s="263"/>
    </row>
    <row r="524" spans="1:15" x14ac:dyDescent="0.25">
      <c r="A524" s="125"/>
      <c r="B524" s="128"/>
      <c r="C524" s="123" t="str">
        <f>IFERROR(IF(B524="No CAS","",INDEX('DEQ Pollutant List'!$C$7:$C$611,MATCH('3. Pollutant Emissions - EF'!B524,'DEQ Pollutant List'!$B$7:$B$611,0))),"")</f>
        <v/>
      </c>
      <c r="D524" s="127" t="str">
        <f>IFERROR(IF(OR($B524="",$B524="No CAS"),INDEX('DEQ Pollutant List'!$A$7:$A$611,MATCH($C524,'DEQ Pollutant List'!$C$7:$C$611,0)),INDEX('DEQ Pollutant List'!$A$7:$A$611,MATCH($B524,'DEQ Pollutant List'!$B$7:$B$611,0))),"")</f>
        <v/>
      </c>
      <c r="E524" s="126"/>
      <c r="F524" s="750"/>
      <c r="G524" s="129"/>
      <c r="H524" s="115"/>
      <c r="I524" s="117"/>
      <c r="J524" s="116"/>
      <c r="K524" s="291"/>
      <c r="L524" s="263"/>
      <c r="M524" s="116"/>
      <c r="N524" s="291"/>
      <c r="O524" s="263"/>
    </row>
    <row r="525" spans="1:15" x14ac:dyDescent="0.25">
      <c r="A525" s="125"/>
      <c r="B525" s="128"/>
      <c r="C525" s="123" t="str">
        <f>IFERROR(IF(B525="No CAS","",INDEX('DEQ Pollutant List'!$C$7:$C$611,MATCH('3. Pollutant Emissions - EF'!B525,'DEQ Pollutant List'!$B$7:$B$611,0))),"")</f>
        <v/>
      </c>
      <c r="D525" s="127" t="str">
        <f>IFERROR(IF(OR($B525="",$B525="No CAS"),INDEX('DEQ Pollutant List'!$A$7:$A$611,MATCH($C525,'DEQ Pollutant List'!$C$7:$C$611,0)),INDEX('DEQ Pollutant List'!$A$7:$A$611,MATCH($B525,'DEQ Pollutant List'!$B$7:$B$611,0))),"")</f>
        <v/>
      </c>
      <c r="E525" s="126"/>
      <c r="F525" s="750"/>
      <c r="G525" s="129"/>
      <c r="H525" s="115"/>
      <c r="I525" s="117"/>
      <c r="J525" s="116"/>
      <c r="K525" s="291"/>
      <c r="L525" s="263"/>
      <c r="M525" s="116"/>
      <c r="N525" s="291"/>
      <c r="O525" s="263"/>
    </row>
    <row r="526" spans="1:15" x14ac:dyDescent="0.25">
      <c r="A526" s="125"/>
      <c r="B526" s="128"/>
      <c r="C526" s="123" t="str">
        <f>IFERROR(IF(B526="No CAS","",INDEX('DEQ Pollutant List'!$C$7:$C$611,MATCH('3. Pollutant Emissions - EF'!B526,'DEQ Pollutant List'!$B$7:$B$611,0))),"")</f>
        <v/>
      </c>
      <c r="D526" s="127" t="str">
        <f>IFERROR(IF(OR($B526="",$B526="No CAS"),INDEX('DEQ Pollutant List'!$A$7:$A$611,MATCH($C526,'DEQ Pollutant List'!$C$7:$C$611,0)),INDEX('DEQ Pollutant List'!$A$7:$A$611,MATCH($B526,'DEQ Pollutant List'!$B$7:$B$611,0))),"")</f>
        <v/>
      </c>
      <c r="E526" s="126"/>
      <c r="F526" s="750"/>
      <c r="G526" s="129"/>
      <c r="H526" s="115"/>
      <c r="I526" s="117"/>
      <c r="J526" s="116"/>
      <c r="K526" s="291"/>
      <c r="L526" s="263"/>
      <c r="M526" s="116"/>
      <c r="N526" s="291"/>
      <c r="O526" s="263"/>
    </row>
    <row r="527" spans="1:15" x14ac:dyDescent="0.25">
      <c r="A527" s="125"/>
      <c r="B527" s="128"/>
      <c r="C527" s="123" t="str">
        <f>IFERROR(IF(B527="No CAS","",INDEX('DEQ Pollutant List'!$C$7:$C$611,MATCH('3. Pollutant Emissions - EF'!B527,'DEQ Pollutant List'!$B$7:$B$611,0))),"")</f>
        <v/>
      </c>
      <c r="D527" s="127" t="str">
        <f>IFERROR(IF(OR($B527="",$B527="No CAS"),INDEX('DEQ Pollutant List'!$A$7:$A$611,MATCH($C527,'DEQ Pollutant List'!$C$7:$C$611,0)),INDEX('DEQ Pollutant List'!$A$7:$A$611,MATCH($B527,'DEQ Pollutant List'!$B$7:$B$611,0))),"")</f>
        <v/>
      </c>
      <c r="E527" s="126"/>
      <c r="F527" s="750"/>
      <c r="G527" s="129"/>
      <c r="H527" s="115"/>
      <c r="I527" s="117"/>
      <c r="J527" s="116"/>
      <c r="K527" s="291"/>
      <c r="L527" s="263"/>
      <c r="M527" s="116"/>
      <c r="N527" s="291"/>
      <c r="O527" s="263"/>
    </row>
    <row r="528" spans="1:15" x14ac:dyDescent="0.25">
      <c r="A528" s="125"/>
      <c r="B528" s="128"/>
      <c r="C528" s="123" t="str">
        <f>IFERROR(IF(B528="No CAS","",INDEX('DEQ Pollutant List'!$C$7:$C$611,MATCH('3. Pollutant Emissions - EF'!B528,'DEQ Pollutant List'!$B$7:$B$611,0))),"")</f>
        <v/>
      </c>
      <c r="D528" s="127" t="str">
        <f>IFERROR(IF(OR($B528="",$B528="No CAS"),INDEX('DEQ Pollutant List'!$A$7:$A$611,MATCH($C528,'DEQ Pollutant List'!$C$7:$C$611,0)),INDEX('DEQ Pollutant List'!$A$7:$A$611,MATCH($B528,'DEQ Pollutant List'!$B$7:$B$611,0))),"")</f>
        <v/>
      </c>
      <c r="E528" s="126"/>
      <c r="F528" s="750"/>
      <c r="G528" s="129"/>
      <c r="H528" s="115"/>
      <c r="I528" s="117"/>
      <c r="J528" s="116"/>
      <c r="K528" s="291"/>
      <c r="L528" s="263"/>
      <c r="M528" s="116"/>
      <c r="N528" s="291"/>
      <c r="O528" s="263"/>
    </row>
    <row r="529" spans="1:15" x14ac:dyDescent="0.25">
      <c r="A529" s="125"/>
      <c r="B529" s="128"/>
      <c r="C529" s="123" t="str">
        <f>IFERROR(IF(B529="No CAS","",INDEX('DEQ Pollutant List'!$C$7:$C$611,MATCH('3. Pollutant Emissions - EF'!B529,'DEQ Pollutant List'!$B$7:$B$611,0))),"")</f>
        <v/>
      </c>
      <c r="D529" s="127" t="str">
        <f>IFERROR(IF(OR($B529="",$B529="No CAS"),INDEX('DEQ Pollutant List'!$A$7:$A$611,MATCH($C529,'DEQ Pollutant List'!$C$7:$C$611,0)),INDEX('DEQ Pollutant List'!$A$7:$A$611,MATCH($B529,'DEQ Pollutant List'!$B$7:$B$611,0))),"")</f>
        <v/>
      </c>
      <c r="E529" s="126"/>
      <c r="F529" s="750"/>
      <c r="G529" s="129"/>
      <c r="H529" s="115"/>
      <c r="I529" s="117"/>
      <c r="J529" s="116"/>
      <c r="K529" s="291"/>
      <c r="L529" s="263"/>
      <c r="M529" s="116"/>
      <c r="N529" s="291"/>
      <c r="O529" s="263"/>
    </row>
    <row r="530" spans="1:15" x14ac:dyDescent="0.25">
      <c r="A530" s="125"/>
      <c r="B530" s="128"/>
      <c r="C530" s="123" t="str">
        <f>IFERROR(IF(B530="No CAS","",INDEX('DEQ Pollutant List'!$C$7:$C$611,MATCH('3. Pollutant Emissions - EF'!B530,'DEQ Pollutant List'!$B$7:$B$611,0))),"")</f>
        <v/>
      </c>
      <c r="D530" s="127" t="str">
        <f>IFERROR(IF(OR($B530="",$B530="No CAS"),INDEX('DEQ Pollutant List'!$A$7:$A$611,MATCH($C530,'DEQ Pollutant List'!$C$7:$C$611,0)),INDEX('DEQ Pollutant List'!$A$7:$A$611,MATCH($B530,'DEQ Pollutant List'!$B$7:$B$611,0))),"")</f>
        <v/>
      </c>
      <c r="E530" s="126"/>
      <c r="F530" s="750"/>
      <c r="G530" s="129"/>
      <c r="H530" s="115"/>
      <c r="I530" s="117"/>
      <c r="J530" s="116"/>
      <c r="K530" s="291"/>
      <c r="L530" s="263"/>
      <c r="M530" s="116"/>
      <c r="N530" s="291"/>
      <c r="O530" s="263"/>
    </row>
    <row r="531" spans="1:15" x14ac:dyDescent="0.25">
      <c r="A531" s="125"/>
      <c r="B531" s="128"/>
      <c r="C531" s="123" t="str">
        <f>IFERROR(IF(B531="No CAS","",INDEX('DEQ Pollutant List'!$C$7:$C$611,MATCH('3. Pollutant Emissions - EF'!B531,'DEQ Pollutant List'!$B$7:$B$611,0))),"")</f>
        <v/>
      </c>
      <c r="D531" s="127" t="str">
        <f>IFERROR(IF(OR($B531="",$B531="No CAS"),INDEX('DEQ Pollutant List'!$A$7:$A$611,MATCH($C531,'DEQ Pollutant List'!$C$7:$C$611,0)),INDEX('DEQ Pollutant List'!$A$7:$A$611,MATCH($B531,'DEQ Pollutant List'!$B$7:$B$611,0))),"")</f>
        <v/>
      </c>
      <c r="E531" s="126"/>
      <c r="F531" s="750"/>
      <c r="G531" s="129"/>
      <c r="H531" s="115"/>
      <c r="I531" s="117"/>
      <c r="J531" s="116"/>
      <c r="K531" s="291"/>
      <c r="L531" s="263"/>
      <c r="M531" s="116"/>
      <c r="N531" s="291"/>
      <c r="O531" s="263"/>
    </row>
    <row r="532" spans="1:15" x14ac:dyDescent="0.25">
      <c r="A532" s="125"/>
      <c r="B532" s="128"/>
      <c r="C532" s="123" t="str">
        <f>IFERROR(IF(B532="No CAS","",INDEX('DEQ Pollutant List'!$C$7:$C$611,MATCH('3. Pollutant Emissions - EF'!B532,'DEQ Pollutant List'!$B$7:$B$611,0))),"")</f>
        <v/>
      </c>
      <c r="D532" s="127" t="str">
        <f>IFERROR(IF(OR($B532="",$B532="No CAS"),INDEX('DEQ Pollutant List'!$A$7:$A$611,MATCH($C532,'DEQ Pollutant List'!$C$7:$C$611,0)),INDEX('DEQ Pollutant List'!$A$7:$A$611,MATCH($B532,'DEQ Pollutant List'!$B$7:$B$611,0))),"")</f>
        <v/>
      </c>
      <c r="E532" s="126"/>
      <c r="F532" s="750"/>
      <c r="G532" s="129"/>
      <c r="H532" s="115"/>
      <c r="I532" s="117"/>
      <c r="J532" s="116"/>
      <c r="K532" s="291"/>
      <c r="L532" s="263"/>
      <c r="M532" s="116"/>
      <c r="N532" s="291"/>
      <c r="O532" s="263"/>
    </row>
    <row r="533" spans="1:15" x14ac:dyDescent="0.25">
      <c r="A533" s="125"/>
      <c r="B533" s="128"/>
      <c r="C533" s="123" t="str">
        <f>IFERROR(IF(B533="No CAS","",INDEX('DEQ Pollutant List'!$C$7:$C$611,MATCH('3. Pollutant Emissions - EF'!B533,'DEQ Pollutant List'!$B$7:$B$611,0))),"")</f>
        <v/>
      </c>
      <c r="D533" s="127" t="str">
        <f>IFERROR(IF(OR($B533="",$B533="No CAS"),INDEX('DEQ Pollutant List'!$A$7:$A$611,MATCH($C533,'DEQ Pollutant List'!$C$7:$C$611,0)),INDEX('DEQ Pollutant List'!$A$7:$A$611,MATCH($B533,'DEQ Pollutant List'!$B$7:$B$611,0))),"")</f>
        <v/>
      </c>
      <c r="E533" s="126"/>
      <c r="F533" s="750"/>
      <c r="G533" s="129"/>
      <c r="H533" s="115"/>
      <c r="I533" s="117"/>
      <c r="J533" s="116"/>
      <c r="K533" s="291"/>
      <c r="L533" s="263"/>
      <c r="M533" s="116"/>
      <c r="N533" s="291"/>
      <c r="O533" s="263"/>
    </row>
    <row r="534" spans="1:15" x14ac:dyDescent="0.25">
      <c r="A534" s="125"/>
      <c r="B534" s="128"/>
      <c r="C534" s="123" t="str">
        <f>IFERROR(IF(B534="No CAS","",INDEX('DEQ Pollutant List'!$C$7:$C$611,MATCH('3. Pollutant Emissions - EF'!B534,'DEQ Pollutant List'!$B$7:$B$611,0))),"")</f>
        <v/>
      </c>
      <c r="D534" s="127" t="str">
        <f>IFERROR(IF(OR($B534="",$B534="No CAS"),INDEX('DEQ Pollutant List'!$A$7:$A$611,MATCH($C534,'DEQ Pollutant List'!$C$7:$C$611,0)),INDEX('DEQ Pollutant List'!$A$7:$A$611,MATCH($B534,'DEQ Pollutant List'!$B$7:$B$611,0))),"")</f>
        <v/>
      </c>
      <c r="E534" s="126"/>
      <c r="F534" s="750"/>
      <c r="G534" s="129"/>
      <c r="H534" s="115"/>
      <c r="I534" s="117"/>
      <c r="J534" s="116"/>
      <c r="K534" s="291"/>
      <c r="L534" s="263"/>
      <c r="M534" s="116"/>
      <c r="N534" s="291"/>
      <c r="O534" s="263"/>
    </row>
    <row r="535" spans="1:15" x14ac:dyDescent="0.25">
      <c r="A535" s="125"/>
      <c r="B535" s="128"/>
      <c r="C535" s="123" t="str">
        <f>IFERROR(IF(B535="No CAS","",INDEX('DEQ Pollutant List'!$C$7:$C$611,MATCH('3. Pollutant Emissions - EF'!B535,'DEQ Pollutant List'!$B$7:$B$611,0))),"")</f>
        <v/>
      </c>
      <c r="D535" s="127" t="str">
        <f>IFERROR(IF(OR($B535="",$B535="No CAS"),INDEX('DEQ Pollutant List'!$A$7:$A$611,MATCH($C535,'DEQ Pollutant List'!$C$7:$C$611,0)),INDEX('DEQ Pollutant List'!$A$7:$A$611,MATCH($B535,'DEQ Pollutant List'!$B$7:$B$611,0))),"")</f>
        <v/>
      </c>
      <c r="E535" s="126"/>
      <c r="F535" s="750"/>
      <c r="G535" s="129"/>
      <c r="H535" s="115"/>
      <c r="I535" s="117"/>
      <c r="J535" s="116"/>
      <c r="K535" s="291"/>
      <c r="L535" s="263"/>
      <c r="M535" s="116"/>
      <c r="N535" s="291"/>
      <c r="O535" s="263"/>
    </row>
    <row r="536" spans="1:15" x14ac:dyDescent="0.25">
      <c r="A536" s="125"/>
      <c r="B536" s="128"/>
      <c r="C536" s="123" t="str">
        <f>IFERROR(IF(B536="No CAS","",INDEX('DEQ Pollutant List'!$C$7:$C$611,MATCH('3. Pollutant Emissions - EF'!B536,'DEQ Pollutant List'!$B$7:$B$611,0))),"")</f>
        <v/>
      </c>
      <c r="D536" s="127" t="str">
        <f>IFERROR(IF(OR($B536="",$B536="No CAS"),INDEX('DEQ Pollutant List'!$A$7:$A$611,MATCH($C536,'DEQ Pollutant List'!$C$7:$C$611,0)),INDEX('DEQ Pollutant List'!$A$7:$A$611,MATCH($B536,'DEQ Pollutant List'!$B$7:$B$611,0))),"")</f>
        <v/>
      </c>
      <c r="E536" s="126"/>
      <c r="F536" s="750"/>
      <c r="G536" s="129"/>
      <c r="H536" s="115"/>
      <c r="I536" s="117"/>
      <c r="J536" s="116"/>
      <c r="K536" s="291"/>
      <c r="L536" s="263"/>
      <c r="M536" s="116"/>
      <c r="N536" s="291"/>
      <c r="O536" s="263"/>
    </row>
    <row r="537" spans="1:15" x14ac:dyDescent="0.25">
      <c r="A537" s="125"/>
      <c r="B537" s="128"/>
      <c r="C537" s="123" t="str">
        <f>IFERROR(IF(B537="No CAS","",INDEX('DEQ Pollutant List'!$C$7:$C$611,MATCH('3. Pollutant Emissions - EF'!B537,'DEQ Pollutant List'!$B$7:$B$611,0))),"")</f>
        <v/>
      </c>
      <c r="D537" s="127" t="str">
        <f>IFERROR(IF(OR($B537="",$B537="No CAS"),INDEX('DEQ Pollutant List'!$A$7:$A$611,MATCH($C537,'DEQ Pollutant List'!$C$7:$C$611,0)),INDEX('DEQ Pollutant List'!$A$7:$A$611,MATCH($B537,'DEQ Pollutant List'!$B$7:$B$611,0))),"")</f>
        <v/>
      </c>
      <c r="E537" s="126"/>
      <c r="F537" s="750"/>
      <c r="G537" s="129"/>
      <c r="H537" s="115"/>
      <c r="I537" s="117"/>
      <c r="J537" s="116"/>
      <c r="K537" s="291"/>
      <c r="L537" s="263"/>
      <c r="M537" s="116"/>
      <c r="N537" s="291"/>
      <c r="O537" s="263"/>
    </row>
    <row r="538" spans="1:15" x14ac:dyDescent="0.25">
      <c r="A538" s="125"/>
      <c r="B538" s="128"/>
      <c r="C538" s="123" t="str">
        <f>IFERROR(IF(B538="No CAS","",INDEX('DEQ Pollutant List'!$C$7:$C$611,MATCH('3. Pollutant Emissions - EF'!B538,'DEQ Pollutant List'!$B$7:$B$611,0))),"")</f>
        <v/>
      </c>
      <c r="D538" s="127" t="str">
        <f>IFERROR(IF(OR($B538="",$B538="No CAS"),INDEX('DEQ Pollutant List'!$A$7:$A$611,MATCH($C538,'DEQ Pollutant List'!$C$7:$C$611,0)),INDEX('DEQ Pollutant List'!$A$7:$A$611,MATCH($B538,'DEQ Pollutant List'!$B$7:$B$611,0))),"")</f>
        <v/>
      </c>
      <c r="E538" s="126"/>
      <c r="F538" s="750"/>
      <c r="G538" s="129"/>
      <c r="H538" s="115"/>
      <c r="I538" s="117"/>
      <c r="J538" s="116"/>
      <c r="K538" s="291"/>
      <c r="L538" s="263"/>
      <c r="M538" s="116"/>
      <c r="N538" s="291"/>
      <c r="O538" s="263"/>
    </row>
    <row r="539" spans="1:15" x14ac:dyDescent="0.25">
      <c r="A539" s="125"/>
      <c r="B539" s="128"/>
      <c r="C539" s="123" t="str">
        <f>IFERROR(IF(B539="No CAS","",INDEX('DEQ Pollutant List'!$C$7:$C$611,MATCH('3. Pollutant Emissions - EF'!B539,'DEQ Pollutant List'!$B$7:$B$611,0))),"")</f>
        <v/>
      </c>
      <c r="D539" s="127" t="str">
        <f>IFERROR(IF(OR($B539="",$B539="No CAS"),INDEX('DEQ Pollutant List'!$A$7:$A$611,MATCH($C539,'DEQ Pollutant List'!$C$7:$C$611,0)),INDEX('DEQ Pollutant List'!$A$7:$A$611,MATCH($B539,'DEQ Pollutant List'!$B$7:$B$611,0))),"")</f>
        <v/>
      </c>
      <c r="E539" s="126"/>
      <c r="F539" s="750"/>
      <c r="G539" s="129"/>
      <c r="H539" s="115"/>
      <c r="I539" s="117"/>
      <c r="J539" s="116"/>
      <c r="K539" s="291"/>
      <c r="L539" s="263"/>
      <c r="M539" s="116"/>
      <c r="N539" s="291"/>
      <c r="O539" s="263"/>
    </row>
    <row r="540" spans="1:15" x14ac:dyDescent="0.25">
      <c r="A540" s="125"/>
      <c r="B540" s="128"/>
      <c r="C540" s="123" t="str">
        <f>IFERROR(IF(B540="No CAS","",INDEX('DEQ Pollutant List'!$C$7:$C$611,MATCH('3. Pollutant Emissions - EF'!B540,'DEQ Pollutant List'!$B$7:$B$611,0))),"")</f>
        <v/>
      </c>
      <c r="D540" s="127" t="str">
        <f>IFERROR(IF(OR($B540="",$B540="No CAS"),INDEX('DEQ Pollutant List'!$A$7:$A$611,MATCH($C540,'DEQ Pollutant List'!$C$7:$C$611,0)),INDEX('DEQ Pollutant List'!$A$7:$A$611,MATCH($B540,'DEQ Pollutant List'!$B$7:$B$611,0))),"")</f>
        <v/>
      </c>
      <c r="E540" s="126"/>
      <c r="F540" s="750"/>
      <c r="G540" s="129"/>
      <c r="H540" s="115"/>
      <c r="I540" s="117"/>
      <c r="J540" s="116"/>
      <c r="K540" s="291"/>
      <c r="L540" s="263"/>
      <c r="M540" s="116"/>
      <c r="N540" s="291"/>
      <c r="O540" s="263"/>
    </row>
    <row r="541" spans="1:15" x14ac:dyDescent="0.25">
      <c r="A541" s="125"/>
      <c r="B541" s="128"/>
      <c r="C541" s="123" t="str">
        <f>IFERROR(IF(B541="No CAS","",INDEX('DEQ Pollutant List'!$C$7:$C$611,MATCH('3. Pollutant Emissions - EF'!B541,'DEQ Pollutant List'!$B$7:$B$611,0))),"")</f>
        <v/>
      </c>
      <c r="D541" s="127" t="str">
        <f>IFERROR(IF(OR($B541="",$B541="No CAS"),INDEX('DEQ Pollutant List'!$A$7:$A$611,MATCH($C541,'DEQ Pollutant List'!$C$7:$C$611,0)),INDEX('DEQ Pollutant List'!$A$7:$A$611,MATCH($B541,'DEQ Pollutant List'!$B$7:$B$611,0))),"")</f>
        <v/>
      </c>
      <c r="E541" s="126"/>
      <c r="F541" s="750"/>
      <c r="G541" s="129"/>
      <c r="H541" s="115"/>
      <c r="I541" s="117"/>
      <c r="J541" s="116"/>
      <c r="K541" s="291"/>
      <c r="L541" s="263"/>
      <c r="M541" s="116"/>
      <c r="N541" s="291"/>
      <c r="O541" s="263"/>
    </row>
    <row r="542" spans="1:15" x14ac:dyDescent="0.25">
      <c r="A542" s="125"/>
      <c r="B542" s="128"/>
      <c r="C542" s="123" t="str">
        <f>IFERROR(IF(B542="No CAS","",INDEX('DEQ Pollutant List'!$C$7:$C$611,MATCH('3. Pollutant Emissions - EF'!B542,'DEQ Pollutant List'!$B$7:$B$611,0))),"")</f>
        <v/>
      </c>
      <c r="D542" s="127" t="str">
        <f>IFERROR(IF(OR($B542="",$B542="No CAS"),INDEX('DEQ Pollutant List'!$A$7:$A$611,MATCH($C542,'DEQ Pollutant List'!$C$7:$C$611,0)),INDEX('DEQ Pollutant List'!$A$7:$A$611,MATCH($B542,'DEQ Pollutant List'!$B$7:$B$611,0))),"")</f>
        <v/>
      </c>
      <c r="E542" s="126"/>
      <c r="F542" s="750"/>
      <c r="G542" s="129"/>
      <c r="H542" s="115"/>
      <c r="I542" s="117"/>
      <c r="J542" s="116"/>
      <c r="K542" s="291"/>
      <c r="L542" s="263"/>
      <c r="M542" s="116"/>
      <c r="N542" s="291"/>
      <c r="O542" s="263"/>
    </row>
    <row r="543" spans="1:15" x14ac:dyDescent="0.25">
      <c r="A543" s="125"/>
      <c r="B543" s="128"/>
      <c r="C543" s="123" t="str">
        <f>IFERROR(IF(B543="No CAS","",INDEX('DEQ Pollutant List'!$C$7:$C$611,MATCH('3. Pollutant Emissions - EF'!B543,'DEQ Pollutant List'!$B$7:$B$611,0))),"")</f>
        <v/>
      </c>
      <c r="D543" s="127" t="str">
        <f>IFERROR(IF(OR($B543="",$B543="No CAS"),INDEX('DEQ Pollutant List'!$A$7:$A$611,MATCH($C543,'DEQ Pollutant List'!$C$7:$C$611,0)),INDEX('DEQ Pollutant List'!$A$7:$A$611,MATCH($B543,'DEQ Pollutant List'!$B$7:$B$611,0))),"")</f>
        <v/>
      </c>
      <c r="E543" s="126"/>
      <c r="F543" s="750"/>
      <c r="G543" s="129"/>
      <c r="H543" s="115"/>
      <c r="I543" s="117"/>
      <c r="J543" s="116"/>
      <c r="K543" s="291"/>
      <c r="L543" s="263"/>
      <c r="M543" s="116"/>
      <c r="N543" s="291"/>
      <c r="O543" s="263"/>
    </row>
    <row r="544" spans="1:15" x14ac:dyDescent="0.25">
      <c r="A544" s="125"/>
      <c r="B544" s="128"/>
      <c r="C544" s="123" t="str">
        <f>IFERROR(IF(B544="No CAS","",INDEX('DEQ Pollutant List'!$C$7:$C$611,MATCH('3. Pollutant Emissions - EF'!B544,'DEQ Pollutant List'!$B$7:$B$611,0))),"")</f>
        <v/>
      </c>
      <c r="D544" s="127" t="str">
        <f>IFERROR(IF(OR($B544="",$B544="No CAS"),INDEX('DEQ Pollutant List'!$A$7:$A$611,MATCH($C544,'DEQ Pollutant List'!$C$7:$C$611,0)),INDEX('DEQ Pollutant List'!$A$7:$A$611,MATCH($B544,'DEQ Pollutant List'!$B$7:$B$611,0))),"")</f>
        <v/>
      </c>
      <c r="E544" s="126"/>
      <c r="F544" s="750"/>
      <c r="G544" s="129"/>
      <c r="H544" s="115"/>
      <c r="I544" s="117"/>
      <c r="J544" s="116"/>
      <c r="K544" s="291"/>
      <c r="L544" s="263"/>
      <c r="M544" s="116"/>
      <c r="N544" s="291"/>
      <c r="O544" s="263"/>
    </row>
    <row r="545" spans="1:15" x14ac:dyDescent="0.25">
      <c r="A545" s="125"/>
      <c r="B545" s="128"/>
      <c r="C545" s="123" t="str">
        <f>IFERROR(IF(B545="No CAS","",INDEX('DEQ Pollutant List'!$C$7:$C$611,MATCH('3. Pollutant Emissions - EF'!B545,'DEQ Pollutant List'!$B$7:$B$611,0))),"")</f>
        <v/>
      </c>
      <c r="D545" s="127" t="str">
        <f>IFERROR(IF(OR($B545="",$B545="No CAS"),INDEX('DEQ Pollutant List'!$A$7:$A$611,MATCH($C545,'DEQ Pollutant List'!$C$7:$C$611,0)),INDEX('DEQ Pollutant List'!$A$7:$A$611,MATCH($B545,'DEQ Pollutant List'!$B$7:$B$611,0))),"")</f>
        <v/>
      </c>
      <c r="E545" s="126"/>
      <c r="F545" s="750"/>
      <c r="G545" s="129"/>
      <c r="H545" s="115"/>
      <c r="I545" s="117"/>
      <c r="J545" s="116"/>
      <c r="K545" s="291"/>
      <c r="L545" s="263"/>
      <c r="M545" s="116"/>
      <c r="N545" s="291"/>
      <c r="O545" s="263"/>
    </row>
    <row r="546" spans="1:15" x14ac:dyDescent="0.25">
      <c r="A546" s="125"/>
      <c r="B546" s="128"/>
      <c r="C546" s="123" t="str">
        <f>IFERROR(IF(B546="No CAS","",INDEX('DEQ Pollutant List'!$C$7:$C$611,MATCH('3. Pollutant Emissions - EF'!B546,'DEQ Pollutant List'!$B$7:$B$611,0))),"")</f>
        <v/>
      </c>
      <c r="D546" s="127" t="str">
        <f>IFERROR(IF(OR($B546="",$B546="No CAS"),INDEX('DEQ Pollutant List'!$A$7:$A$611,MATCH($C546,'DEQ Pollutant List'!$C$7:$C$611,0)),INDEX('DEQ Pollutant List'!$A$7:$A$611,MATCH($B546,'DEQ Pollutant List'!$B$7:$B$611,0))),"")</f>
        <v/>
      </c>
      <c r="E546" s="126"/>
      <c r="F546" s="750"/>
      <c r="G546" s="129"/>
      <c r="H546" s="115"/>
      <c r="I546" s="117"/>
      <c r="J546" s="116"/>
      <c r="K546" s="291"/>
      <c r="L546" s="263"/>
      <c r="M546" s="116"/>
      <c r="N546" s="291"/>
      <c r="O546" s="263"/>
    </row>
    <row r="547" spans="1:15" x14ac:dyDescent="0.25">
      <c r="A547" s="125"/>
      <c r="B547" s="128"/>
      <c r="C547" s="123" t="str">
        <f>IFERROR(IF(B547="No CAS","",INDEX('DEQ Pollutant List'!$C$7:$C$611,MATCH('3. Pollutant Emissions - EF'!B547,'DEQ Pollutant List'!$B$7:$B$611,0))),"")</f>
        <v/>
      </c>
      <c r="D547" s="127" t="str">
        <f>IFERROR(IF(OR($B547="",$B547="No CAS"),INDEX('DEQ Pollutant List'!$A$7:$A$611,MATCH($C547,'DEQ Pollutant List'!$C$7:$C$611,0)),INDEX('DEQ Pollutant List'!$A$7:$A$611,MATCH($B547,'DEQ Pollutant List'!$B$7:$B$611,0))),"")</f>
        <v/>
      </c>
      <c r="E547" s="126"/>
      <c r="F547" s="750"/>
      <c r="G547" s="129"/>
      <c r="H547" s="115"/>
      <c r="I547" s="117"/>
      <c r="J547" s="116"/>
      <c r="K547" s="291"/>
      <c r="L547" s="263"/>
      <c r="M547" s="116"/>
      <c r="N547" s="291"/>
      <c r="O547" s="263"/>
    </row>
    <row r="548" spans="1:15" x14ac:dyDescent="0.25">
      <c r="A548" s="125"/>
      <c r="B548" s="128"/>
      <c r="C548" s="123" t="str">
        <f>IFERROR(IF(B548="No CAS","",INDEX('DEQ Pollutant List'!$C$7:$C$611,MATCH('3. Pollutant Emissions - EF'!B548,'DEQ Pollutant List'!$B$7:$B$611,0))),"")</f>
        <v/>
      </c>
      <c r="D548" s="127" t="str">
        <f>IFERROR(IF(OR($B548="",$B548="No CAS"),INDEX('DEQ Pollutant List'!$A$7:$A$611,MATCH($C548,'DEQ Pollutant List'!$C$7:$C$611,0)),INDEX('DEQ Pollutant List'!$A$7:$A$611,MATCH($B548,'DEQ Pollutant List'!$B$7:$B$611,0))),"")</f>
        <v/>
      </c>
      <c r="E548" s="126"/>
      <c r="F548" s="750"/>
      <c r="G548" s="129"/>
      <c r="H548" s="115"/>
      <c r="I548" s="117"/>
      <c r="J548" s="116"/>
      <c r="K548" s="291"/>
      <c r="L548" s="263"/>
      <c r="M548" s="116"/>
      <c r="N548" s="291"/>
      <c r="O548" s="263"/>
    </row>
    <row r="549" spans="1:15" x14ac:dyDescent="0.25">
      <c r="A549" s="125"/>
      <c r="B549" s="128"/>
      <c r="C549" s="123" t="str">
        <f>IFERROR(IF(B549="No CAS","",INDEX('DEQ Pollutant List'!$C$7:$C$611,MATCH('3. Pollutant Emissions - EF'!B549,'DEQ Pollutant List'!$B$7:$B$611,0))),"")</f>
        <v/>
      </c>
      <c r="D549" s="127" t="str">
        <f>IFERROR(IF(OR($B549="",$B549="No CAS"),INDEX('DEQ Pollutant List'!$A$7:$A$611,MATCH($C549,'DEQ Pollutant List'!$C$7:$C$611,0)),INDEX('DEQ Pollutant List'!$A$7:$A$611,MATCH($B549,'DEQ Pollutant List'!$B$7:$B$611,0))),"")</f>
        <v/>
      </c>
      <c r="E549" s="126"/>
      <c r="F549" s="750"/>
      <c r="G549" s="129"/>
      <c r="H549" s="115"/>
      <c r="I549" s="117"/>
      <c r="J549" s="116"/>
      <c r="K549" s="291"/>
      <c r="L549" s="263"/>
      <c r="M549" s="116"/>
      <c r="N549" s="291"/>
      <c r="O549" s="263"/>
    </row>
    <row r="550" spans="1:15" x14ac:dyDescent="0.25">
      <c r="A550" s="125"/>
      <c r="B550" s="128"/>
      <c r="C550" s="123" t="str">
        <f>IFERROR(IF(B550="No CAS","",INDEX('DEQ Pollutant List'!$C$7:$C$611,MATCH('3. Pollutant Emissions - EF'!B550,'DEQ Pollutant List'!$B$7:$B$611,0))),"")</f>
        <v/>
      </c>
      <c r="D550" s="127" t="str">
        <f>IFERROR(IF(OR($B550="",$B550="No CAS"),INDEX('DEQ Pollutant List'!$A$7:$A$611,MATCH($C550,'DEQ Pollutant List'!$C$7:$C$611,0)),INDEX('DEQ Pollutant List'!$A$7:$A$611,MATCH($B550,'DEQ Pollutant List'!$B$7:$B$611,0))),"")</f>
        <v/>
      </c>
      <c r="E550" s="126"/>
      <c r="F550" s="750"/>
      <c r="G550" s="129"/>
      <c r="H550" s="115"/>
      <c r="I550" s="117"/>
      <c r="J550" s="116"/>
      <c r="K550" s="291"/>
      <c r="L550" s="263"/>
      <c r="M550" s="116"/>
      <c r="N550" s="291"/>
      <c r="O550" s="263"/>
    </row>
    <row r="551" spans="1:15" x14ac:dyDescent="0.25">
      <c r="A551" s="125"/>
      <c r="B551" s="128"/>
      <c r="C551" s="123" t="str">
        <f>IFERROR(IF(B551="No CAS","",INDEX('DEQ Pollutant List'!$C$7:$C$611,MATCH('3. Pollutant Emissions - EF'!B551,'DEQ Pollutant List'!$B$7:$B$611,0))),"")</f>
        <v/>
      </c>
      <c r="D551" s="127" t="str">
        <f>IFERROR(IF(OR($B551="",$B551="No CAS"),INDEX('DEQ Pollutant List'!$A$7:$A$611,MATCH($C551,'DEQ Pollutant List'!$C$7:$C$611,0)),INDEX('DEQ Pollutant List'!$A$7:$A$611,MATCH($B551,'DEQ Pollutant List'!$B$7:$B$611,0))),"")</f>
        <v/>
      </c>
      <c r="E551" s="126"/>
      <c r="F551" s="750"/>
      <c r="G551" s="129"/>
      <c r="H551" s="115"/>
      <c r="I551" s="117"/>
      <c r="J551" s="116"/>
      <c r="K551" s="291"/>
      <c r="L551" s="263"/>
      <c r="M551" s="116"/>
      <c r="N551" s="291"/>
      <c r="O551" s="263"/>
    </row>
    <row r="552" spans="1:15" x14ac:dyDescent="0.25">
      <c r="A552" s="125"/>
      <c r="B552" s="128"/>
      <c r="C552" s="123" t="str">
        <f>IFERROR(IF(B552="No CAS","",INDEX('DEQ Pollutant List'!$C$7:$C$611,MATCH('3. Pollutant Emissions - EF'!B552,'DEQ Pollutant List'!$B$7:$B$611,0))),"")</f>
        <v/>
      </c>
      <c r="D552" s="127" t="str">
        <f>IFERROR(IF(OR($B552="",$B552="No CAS"),INDEX('DEQ Pollutant List'!$A$7:$A$611,MATCH($C552,'DEQ Pollutant List'!$C$7:$C$611,0)),INDEX('DEQ Pollutant List'!$A$7:$A$611,MATCH($B552,'DEQ Pollutant List'!$B$7:$B$611,0))),"")</f>
        <v/>
      </c>
      <c r="E552" s="126"/>
      <c r="F552" s="750"/>
      <c r="G552" s="129"/>
      <c r="H552" s="115"/>
      <c r="I552" s="117"/>
      <c r="J552" s="116"/>
      <c r="K552" s="291"/>
      <c r="L552" s="263"/>
      <c r="M552" s="116"/>
      <c r="N552" s="291"/>
      <c r="O552" s="263"/>
    </row>
    <row r="553" spans="1:15" x14ac:dyDescent="0.25">
      <c r="A553" s="125"/>
      <c r="B553" s="128"/>
      <c r="C553" s="123" t="str">
        <f>IFERROR(IF(B553="No CAS","",INDEX('DEQ Pollutant List'!$C$7:$C$611,MATCH('3. Pollutant Emissions - EF'!B553,'DEQ Pollutant List'!$B$7:$B$611,0))),"")</f>
        <v/>
      </c>
      <c r="D553" s="127" t="str">
        <f>IFERROR(IF(OR($B553="",$B553="No CAS"),INDEX('DEQ Pollutant List'!$A$7:$A$611,MATCH($C553,'DEQ Pollutant List'!$C$7:$C$611,0)),INDEX('DEQ Pollutant List'!$A$7:$A$611,MATCH($B553,'DEQ Pollutant List'!$B$7:$B$611,0))),"")</f>
        <v/>
      </c>
      <c r="E553" s="126"/>
      <c r="F553" s="750"/>
      <c r="G553" s="129"/>
      <c r="H553" s="115"/>
      <c r="I553" s="117"/>
      <c r="J553" s="116"/>
      <c r="K553" s="291"/>
      <c r="L553" s="263"/>
      <c r="M553" s="116"/>
      <c r="N553" s="291"/>
      <c r="O553" s="263"/>
    </row>
    <row r="554" spans="1:15" x14ac:dyDescent="0.25">
      <c r="A554" s="125"/>
      <c r="B554" s="128"/>
      <c r="C554" s="123" t="str">
        <f>IFERROR(IF(B554="No CAS","",INDEX('DEQ Pollutant List'!$C$7:$C$611,MATCH('3. Pollutant Emissions - EF'!B554,'DEQ Pollutant List'!$B$7:$B$611,0))),"")</f>
        <v/>
      </c>
      <c r="D554" s="127" t="str">
        <f>IFERROR(IF(OR($B554="",$B554="No CAS"),INDEX('DEQ Pollutant List'!$A$7:$A$611,MATCH($C554,'DEQ Pollutant List'!$C$7:$C$611,0)),INDEX('DEQ Pollutant List'!$A$7:$A$611,MATCH($B554,'DEQ Pollutant List'!$B$7:$B$611,0))),"")</f>
        <v/>
      </c>
      <c r="E554" s="126"/>
      <c r="F554" s="750"/>
      <c r="G554" s="129"/>
      <c r="H554" s="115"/>
      <c r="I554" s="117"/>
      <c r="J554" s="116"/>
      <c r="K554" s="291"/>
      <c r="L554" s="263"/>
      <c r="M554" s="116"/>
      <c r="N554" s="291"/>
      <c r="O554" s="263"/>
    </row>
    <row r="555" spans="1:15" x14ac:dyDescent="0.25">
      <c r="A555" s="125"/>
      <c r="B555" s="128"/>
      <c r="C555" s="123" t="str">
        <f>IFERROR(IF(B555="No CAS","",INDEX('DEQ Pollutant List'!$C$7:$C$611,MATCH('3. Pollutant Emissions - EF'!B555,'DEQ Pollutant List'!$B$7:$B$611,0))),"")</f>
        <v/>
      </c>
      <c r="D555" s="127" t="str">
        <f>IFERROR(IF(OR($B555="",$B555="No CAS"),INDEX('DEQ Pollutant List'!$A$7:$A$611,MATCH($C555,'DEQ Pollutant List'!$C$7:$C$611,0)),INDEX('DEQ Pollutant List'!$A$7:$A$611,MATCH($B555,'DEQ Pollutant List'!$B$7:$B$611,0))),"")</f>
        <v/>
      </c>
      <c r="E555" s="126"/>
      <c r="F555" s="750"/>
      <c r="G555" s="129"/>
      <c r="H555" s="115"/>
      <c r="I555" s="117"/>
      <c r="J555" s="116"/>
      <c r="K555" s="291"/>
      <c r="L555" s="263"/>
      <c r="M555" s="116"/>
      <c r="N555" s="291"/>
      <c r="O555" s="263"/>
    </row>
    <row r="556" spans="1:15" x14ac:dyDescent="0.25">
      <c r="A556" s="125"/>
      <c r="B556" s="128"/>
      <c r="C556" s="123" t="str">
        <f>IFERROR(IF(B556="No CAS","",INDEX('DEQ Pollutant List'!$C$7:$C$611,MATCH('3. Pollutant Emissions - EF'!B556,'DEQ Pollutant List'!$B$7:$B$611,0))),"")</f>
        <v/>
      </c>
      <c r="D556" s="127" t="str">
        <f>IFERROR(IF(OR($B556="",$B556="No CAS"),INDEX('DEQ Pollutant List'!$A$7:$A$611,MATCH($C556,'DEQ Pollutant List'!$C$7:$C$611,0)),INDEX('DEQ Pollutant List'!$A$7:$A$611,MATCH($B556,'DEQ Pollutant List'!$B$7:$B$611,0))),"")</f>
        <v/>
      </c>
      <c r="E556" s="126"/>
      <c r="F556" s="750"/>
      <c r="G556" s="129"/>
      <c r="H556" s="115"/>
      <c r="I556" s="117"/>
      <c r="J556" s="116"/>
      <c r="K556" s="291"/>
      <c r="L556" s="263"/>
      <c r="M556" s="116"/>
      <c r="N556" s="291"/>
      <c r="O556" s="263"/>
    </row>
    <row r="557" spans="1:15" x14ac:dyDescent="0.25">
      <c r="A557" s="125"/>
      <c r="B557" s="128"/>
      <c r="C557" s="123" t="str">
        <f>IFERROR(IF(B557="No CAS","",INDEX('DEQ Pollutant List'!$C$7:$C$611,MATCH('3. Pollutant Emissions - EF'!B557,'DEQ Pollutant List'!$B$7:$B$611,0))),"")</f>
        <v/>
      </c>
      <c r="D557" s="127" t="str">
        <f>IFERROR(IF(OR($B557="",$B557="No CAS"),INDEX('DEQ Pollutant List'!$A$7:$A$611,MATCH($C557,'DEQ Pollutant List'!$C$7:$C$611,0)),INDEX('DEQ Pollutant List'!$A$7:$A$611,MATCH($B557,'DEQ Pollutant List'!$B$7:$B$611,0))),"")</f>
        <v/>
      </c>
      <c r="E557" s="126"/>
      <c r="F557" s="750"/>
      <c r="G557" s="129"/>
      <c r="H557" s="115"/>
      <c r="I557" s="117"/>
      <c r="J557" s="116"/>
      <c r="K557" s="291"/>
      <c r="L557" s="263"/>
      <c r="M557" s="116"/>
      <c r="N557" s="291"/>
      <c r="O557" s="263"/>
    </row>
    <row r="558" spans="1:15" x14ac:dyDescent="0.25">
      <c r="A558" s="125"/>
      <c r="B558" s="128"/>
      <c r="C558" s="123" t="str">
        <f>IFERROR(IF(B558="No CAS","",INDEX('DEQ Pollutant List'!$C$7:$C$611,MATCH('3. Pollutant Emissions - EF'!B558,'DEQ Pollutant List'!$B$7:$B$611,0))),"")</f>
        <v/>
      </c>
      <c r="D558" s="127" t="str">
        <f>IFERROR(IF(OR($B558="",$B558="No CAS"),INDEX('DEQ Pollutant List'!$A$7:$A$611,MATCH($C558,'DEQ Pollutant List'!$C$7:$C$611,0)),INDEX('DEQ Pollutant List'!$A$7:$A$611,MATCH($B558,'DEQ Pollutant List'!$B$7:$B$611,0))),"")</f>
        <v/>
      </c>
      <c r="E558" s="126"/>
      <c r="F558" s="750"/>
      <c r="G558" s="129"/>
      <c r="H558" s="115"/>
      <c r="I558" s="117"/>
      <c r="J558" s="116"/>
      <c r="K558" s="291"/>
      <c r="L558" s="263"/>
      <c r="M558" s="116"/>
      <c r="N558" s="291"/>
      <c r="O558" s="263"/>
    </row>
    <row r="559" spans="1:15" x14ac:dyDescent="0.25">
      <c r="A559" s="125"/>
      <c r="B559" s="128"/>
      <c r="C559" s="123" t="str">
        <f>IFERROR(IF(B559="No CAS","",INDEX('DEQ Pollutant List'!$C$7:$C$611,MATCH('3. Pollutant Emissions - EF'!B559,'DEQ Pollutant List'!$B$7:$B$611,0))),"")</f>
        <v/>
      </c>
      <c r="D559" s="127" t="str">
        <f>IFERROR(IF(OR($B559="",$B559="No CAS"),INDEX('DEQ Pollutant List'!$A$7:$A$611,MATCH($C559,'DEQ Pollutant List'!$C$7:$C$611,0)),INDEX('DEQ Pollutant List'!$A$7:$A$611,MATCH($B559,'DEQ Pollutant List'!$B$7:$B$611,0))),"")</f>
        <v/>
      </c>
      <c r="E559" s="126"/>
      <c r="F559" s="750"/>
      <c r="G559" s="129"/>
      <c r="H559" s="115"/>
      <c r="I559" s="117"/>
      <c r="J559" s="116"/>
      <c r="K559" s="291"/>
      <c r="L559" s="263"/>
      <c r="M559" s="116"/>
      <c r="N559" s="291"/>
      <c r="O559" s="263"/>
    </row>
    <row r="560" spans="1:15" x14ac:dyDescent="0.25">
      <c r="A560" s="125"/>
      <c r="B560" s="128"/>
      <c r="C560" s="123" t="str">
        <f>IFERROR(IF(B560="No CAS","",INDEX('DEQ Pollutant List'!$C$7:$C$611,MATCH('3. Pollutant Emissions - EF'!B560,'DEQ Pollutant List'!$B$7:$B$611,0))),"")</f>
        <v/>
      </c>
      <c r="D560" s="127" t="str">
        <f>IFERROR(IF(OR($B560="",$B560="No CAS"),INDEX('DEQ Pollutant List'!$A$7:$A$611,MATCH($C560,'DEQ Pollutant List'!$C$7:$C$611,0)),INDEX('DEQ Pollutant List'!$A$7:$A$611,MATCH($B560,'DEQ Pollutant List'!$B$7:$B$611,0))),"")</f>
        <v/>
      </c>
      <c r="E560" s="126"/>
      <c r="F560" s="750"/>
      <c r="G560" s="129"/>
      <c r="H560" s="115"/>
      <c r="I560" s="117"/>
      <c r="J560" s="116"/>
      <c r="K560" s="291"/>
      <c r="L560" s="263"/>
      <c r="M560" s="116"/>
      <c r="N560" s="291"/>
      <c r="O560" s="263"/>
    </row>
    <row r="561" spans="1:15" x14ac:dyDescent="0.25">
      <c r="A561" s="125"/>
      <c r="B561" s="128"/>
      <c r="C561" s="123" t="str">
        <f>IFERROR(IF(B561="No CAS","",INDEX('DEQ Pollutant List'!$C$7:$C$611,MATCH('3. Pollutant Emissions - EF'!B561,'DEQ Pollutant List'!$B$7:$B$611,0))),"")</f>
        <v/>
      </c>
      <c r="D561" s="127" t="str">
        <f>IFERROR(IF(OR($B561="",$B561="No CAS"),INDEX('DEQ Pollutant List'!$A$7:$A$611,MATCH($C561,'DEQ Pollutant List'!$C$7:$C$611,0)),INDEX('DEQ Pollutant List'!$A$7:$A$611,MATCH($B561,'DEQ Pollutant List'!$B$7:$B$611,0))),"")</f>
        <v/>
      </c>
      <c r="E561" s="126"/>
      <c r="F561" s="750"/>
      <c r="G561" s="129"/>
      <c r="H561" s="115"/>
      <c r="I561" s="117"/>
      <c r="J561" s="116"/>
      <c r="K561" s="291"/>
      <c r="L561" s="263"/>
      <c r="M561" s="116"/>
      <c r="N561" s="291"/>
      <c r="O561" s="263"/>
    </row>
    <row r="562" spans="1:15" x14ac:dyDescent="0.25">
      <c r="A562" s="125"/>
      <c r="B562" s="128"/>
      <c r="C562" s="123" t="str">
        <f>IFERROR(IF(B562="No CAS","",INDEX('DEQ Pollutant List'!$C$7:$C$611,MATCH('3. Pollutant Emissions - EF'!B562,'DEQ Pollutant List'!$B$7:$B$611,0))),"")</f>
        <v/>
      </c>
      <c r="D562" s="127" t="str">
        <f>IFERROR(IF(OR($B562="",$B562="No CAS"),INDEX('DEQ Pollutant List'!$A$7:$A$611,MATCH($C562,'DEQ Pollutant List'!$C$7:$C$611,0)),INDEX('DEQ Pollutant List'!$A$7:$A$611,MATCH($B562,'DEQ Pollutant List'!$B$7:$B$611,0))),"")</f>
        <v/>
      </c>
      <c r="E562" s="126"/>
      <c r="F562" s="750"/>
      <c r="G562" s="129"/>
      <c r="H562" s="115"/>
      <c r="I562" s="117"/>
      <c r="J562" s="116"/>
      <c r="K562" s="291"/>
      <c r="L562" s="263"/>
      <c r="M562" s="116"/>
      <c r="N562" s="291"/>
      <c r="O562" s="263"/>
    </row>
    <row r="563" spans="1:15" x14ac:dyDescent="0.25">
      <c r="A563" s="125"/>
      <c r="B563" s="128"/>
      <c r="C563" s="123" t="str">
        <f>IFERROR(IF(B563="No CAS","",INDEX('DEQ Pollutant List'!$C$7:$C$611,MATCH('3. Pollutant Emissions - EF'!B563,'DEQ Pollutant List'!$B$7:$B$611,0))),"")</f>
        <v/>
      </c>
      <c r="D563" s="127" t="str">
        <f>IFERROR(IF(OR($B563="",$B563="No CAS"),INDEX('DEQ Pollutant List'!$A$7:$A$611,MATCH($C563,'DEQ Pollutant List'!$C$7:$C$611,0)),INDEX('DEQ Pollutant List'!$A$7:$A$611,MATCH($B563,'DEQ Pollutant List'!$B$7:$B$611,0))),"")</f>
        <v/>
      </c>
      <c r="E563" s="126"/>
      <c r="F563" s="750"/>
      <c r="G563" s="129"/>
      <c r="H563" s="115"/>
      <c r="I563" s="117"/>
      <c r="J563" s="116"/>
      <c r="K563" s="291"/>
      <c r="L563" s="263"/>
      <c r="M563" s="116"/>
      <c r="N563" s="291"/>
      <c r="O563" s="263"/>
    </row>
    <row r="564" spans="1:15" x14ac:dyDescent="0.25">
      <c r="A564" s="125"/>
      <c r="B564" s="128"/>
      <c r="C564" s="123" t="str">
        <f>IFERROR(IF(B564="No CAS","",INDEX('DEQ Pollutant List'!$C$7:$C$611,MATCH('3. Pollutant Emissions - EF'!B564,'DEQ Pollutant List'!$B$7:$B$611,0))),"")</f>
        <v/>
      </c>
      <c r="D564" s="127" t="str">
        <f>IFERROR(IF(OR($B564="",$B564="No CAS"),INDEX('DEQ Pollutant List'!$A$7:$A$611,MATCH($C564,'DEQ Pollutant List'!$C$7:$C$611,0)),INDEX('DEQ Pollutant List'!$A$7:$A$611,MATCH($B564,'DEQ Pollutant List'!$B$7:$B$611,0))),"")</f>
        <v/>
      </c>
      <c r="E564" s="126"/>
      <c r="F564" s="750"/>
      <c r="G564" s="129"/>
      <c r="H564" s="115"/>
      <c r="I564" s="117"/>
      <c r="J564" s="116"/>
      <c r="K564" s="291"/>
      <c r="L564" s="263"/>
      <c r="M564" s="116"/>
      <c r="N564" s="291"/>
      <c r="O564" s="263"/>
    </row>
    <row r="565" spans="1:15" x14ac:dyDescent="0.25">
      <c r="A565" s="125"/>
      <c r="B565" s="128"/>
      <c r="C565" s="123" t="str">
        <f>IFERROR(IF(B565="No CAS","",INDEX('DEQ Pollutant List'!$C$7:$C$611,MATCH('3. Pollutant Emissions - EF'!B565,'DEQ Pollutant List'!$B$7:$B$611,0))),"")</f>
        <v/>
      </c>
      <c r="D565" s="127" t="str">
        <f>IFERROR(IF(OR($B565="",$B565="No CAS"),INDEX('DEQ Pollutant List'!$A$7:$A$611,MATCH($C565,'DEQ Pollutant List'!$C$7:$C$611,0)),INDEX('DEQ Pollutant List'!$A$7:$A$611,MATCH($B565,'DEQ Pollutant List'!$B$7:$B$611,0))),"")</f>
        <v/>
      </c>
      <c r="E565" s="126"/>
      <c r="F565" s="750"/>
      <c r="G565" s="129"/>
      <c r="H565" s="115"/>
      <c r="I565" s="117"/>
      <c r="J565" s="116"/>
      <c r="K565" s="291"/>
      <c r="L565" s="263"/>
      <c r="M565" s="116"/>
      <c r="N565" s="291"/>
      <c r="O565" s="263"/>
    </row>
    <row r="566" spans="1:15" x14ac:dyDescent="0.25">
      <c r="A566" s="125"/>
      <c r="B566" s="128"/>
      <c r="C566" s="123" t="str">
        <f>IFERROR(IF(B566="No CAS","",INDEX('DEQ Pollutant List'!$C$7:$C$611,MATCH('3. Pollutant Emissions - EF'!B566,'DEQ Pollutant List'!$B$7:$B$611,0))),"")</f>
        <v/>
      </c>
      <c r="D566" s="127" t="str">
        <f>IFERROR(IF(OR($B566="",$B566="No CAS"),INDEX('DEQ Pollutant List'!$A$7:$A$611,MATCH($C566,'DEQ Pollutant List'!$C$7:$C$611,0)),INDEX('DEQ Pollutant List'!$A$7:$A$611,MATCH($B566,'DEQ Pollutant List'!$B$7:$B$611,0))),"")</f>
        <v/>
      </c>
      <c r="E566" s="126"/>
      <c r="F566" s="750"/>
      <c r="G566" s="129"/>
      <c r="H566" s="115"/>
      <c r="I566" s="117"/>
      <c r="J566" s="116"/>
      <c r="K566" s="291"/>
      <c r="L566" s="263"/>
      <c r="M566" s="116"/>
      <c r="N566" s="291"/>
      <c r="O566" s="263"/>
    </row>
    <row r="567" spans="1:15" x14ac:dyDescent="0.25">
      <c r="A567" s="125"/>
      <c r="B567" s="128"/>
      <c r="C567" s="123" t="str">
        <f>IFERROR(IF(B567="No CAS","",INDEX('DEQ Pollutant List'!$C$7:$C$611,MATCH('3. Pollutant Emissions - EF'!B567,'DEQ Pollutant List'!$B$7:$B$611,0))),"")</f>
        <v/>
      </c>
      <c r="D567" s="127" t="str">
        <f>IFERROR(IF(OR($B567="",$B567="No CAS"),INDEX('DEQ Pollutant List'!$A$7:$A$611,MATCH($C567,'DEQ Pollutant List'!$C$7:$C$611,0)),INDEX('DEQ Pollutant List'!$A$7:$A$611,MATCH($B567,'DEQ Pollutant List'!$B$7:$B$611,0))),"")</f>
        <v/>
      </c>
      <c r="E567" s="126"/>
      <c r="F567" s="750"/>
      <c r="G567" s="129"/>
      <c r="H567" s="115"/>
      <c r="I567" s="117"/>
      <c r="J567" s="116"/>
      <c r="K567" s="291"/>
      <c r="L567" s="263"/>
      <c r="M567" s="116"/>
      <c r="N567" s="291"/>
      <c r="O567" s="263"/>
    </row>
    <row r="568" spans="1:15" x14ac:dyDescent="0.25">
      <c r="A568" s="125"/>
      <c r="B568" s="128"/>
      <c r="C568" s="123" t="str">
        <f>IFERROR(IF(B568="No CAS","",INDEX('DEQ Pollutant List'!$C$7:$C$611,MATCH('3. Pollutant Emissions - EF'!B568,'DEQ Pollutant List'!$B$7:$B$611,0))),"")</f>
        <v/>
      </c>
      <c r="D568" s="127" t="str">
        <f>IFERROR(IF(OR($B568="",$B568="No CAS"),INDEX('DEQ Pollutant List'!$A$7:$A$611,MATCH($C568,'DEQ Pollutant List'!$C$7:$C$611,0)),INDEX('DEQ Pollutant List'!$A$7:$A$611,MATCH($B568,'DEQ Pollutant List'!$B$7:$B$611,0))),"")</f>
        <v/>
      </c>
      <c r="E568" s="126"/>
      <c r="F568" s="750"/>
      <c r="G568" s="129"/>
      <c r="H568" s="115"/>
      <c r="I568" s="117"/>
      <c r="J568" s="116"/>
      <c r="K568" s="291"/>
      <c r="L568" s="263"/>
      <c r="M568" s="116"/>
      <c r="N568" s="291"/>
      <c r="O568" s="263"/>
    </row>
    <row r="569" spans="1:15" x14ac:dyDescent="0.25">
      <c r="A569" s="125"/>
      <c r="B569" s="128"/>
      <c r="C569" s="123" t="str">
        <f>IFERROR(IF(B569="No CAS","",INDEX('DEQ Pollutant List'!$C$7:$C$611,MATCH('3. Pollutant Emissions - EF'!B569,'DEQ Pollutant List'!$B$7:$B$611,0))),"")</f>
        <v/>
      </c>
      <c r="D569" s="127" t="str">
        <f>IFERROR(IF(OR($B569="",$B569="No CAS"),INDEX('DEQ Pollutant List'!$A$7:$A$611,MATCH($C569,'DEQ Pollutant List'!$C$7:$C$611,0)),INDEX('DEQ Pollutant List'!$A$7:$A$611,MATCH($B569,'DEQ Pollutant List'!$B$7:$B$611,0))),"")</f>
        <v/>
      </c>
      <c r="E569" s="126"/>
      <c r="F569" s="750"/>
      <c r="G569" s="129"/>
      <c r="H569" s="115"/>
      <c r="I569" s="117"/>
      <c r="J569" s="116"/>
      <c r="K569" s="291"/>
      <c r="L569" s="263"/>
      <c r="M569" s="116"/>
      <c r="N569" s="291"/>
      <c r="O569" s="263"/>
    </row>
    <row r="570" spans="1:15" x14ac:dyDescent="0.25">
      <c r="A570" s="125"/>
      <c r="B570" s="128"/>
      <c r="C570" s="123" t="str">
        <f>IFERROR(IF(B570="No CAS","",INDEX('DEQ Pollutant List'!$C$7:$C$611,MATCH('3. Pollutant Emissions - EF'!B570,'DEQ Pollutant List'!$B$7:$B$611,0))),"")</f>
        <v/>
      </c>
      <c r="D570" s="127" t="str">
        <f>IFERROR(IF(OR($B570="",$B570="No CAS"),INDEX('DEQ Pollutant List'!$A$7:$A$611,MATCH($C570,'DEQ Pollutant List'!$C$7:$C$611,0)),INDEX('DEQ Pollutant List'!$A$7:$A$611,MATCH($B570,'DEQ Pollutant List'!$B$7:$B$611,0))),"")</f>
        <v/>
      </c>
      <c r="E570" s="126"/>
      <c r="F570" s="750"/>
      <c r="G570" s="129"/>
      <c r="H570" s="115"/>
      <c r="I570" s="117"/>
      <c r="J570" s="116"/>
      <c r="K570" s="291"/>
      <c r="L570" s="263"/>
      <c r="M570" s="116"/>
      <c r="N570" s="291"/>
      <c r="O570" s="263"/>
    </row>
    <row r="571" spans="1:15" x14ac:dyDescent="0.25">
      <c r="A571" s="125"/>
      <c r="B571" s="128"/>
      <c r="C571" s="123" t="str">
        <f>IFERROR(IF(B571="No CAS","",INDEX('DEQ Pollutant List'!$C$7:$C$611,MATCH('3. Pollutant Emissions - EF'!B571,'DEQ Pollutant List'!$B$7:$B$611,0))),"")</f>
        <v/>
      </c>
      <c r="D571" s="127" t="str">
        <f>IFERROR(IF(OR($B571="",$B571="No CAS"),INDEX('DEQ Pollutant List'!$A$7:$A$611,MATCH($C571,'DEQ Pollutant List'!$C$7:$C$611,0)),INDEX('DEQ Pollutant List'!$A$7:$A$611,MATCH($B571,'DEQ Pollutant List'!$B$7:$B$611,0))),"")</f>
        <v/>
      </c>
      <c r="E571" s="126"/>
      <c r="F571" s="750"/>
      <c r="G571" s="129"/>
      <c r="H571" s="115"/>
      <c r="I571" s="117"/>
      <c r="J571" s="116"/>
      <c r="K571" s="291"/>
      <c r="L571" s="263"/>
      <c r="M571" s="116"/>
      <c r="N571" s="291"/>
      <c r="O571" s="263"/>
    </row>
    <row r="572" spans="1:15" x14ac:dyDescent="0.25">
      <c r="A572" s="125"/>
      <c r="B572" s="128"/>
      <c r="C572" s="123" t="str">
        <f>IFERROR(IF(B572="No CAS","",INDEX('DEQ Pollutant List'!$C$7:$C$611,MATCH('3. Pollutant Emissions - EF'!B572,'DEQ Pollutant List'!$B$7:$B$611,0))),"")</f>
        <v/>
      </c>
      <c r="D572" s="127" t="str">
        <f>IFERROR(IF(OR($B572="",$B572="No CAS"),INDEX('DEQ Pollutant List'!$A$7:$A$611,MATCH($C572,'DEQ Pollutant List'!$C$7:$C$611,0)),INDEX('DEQ Pollutant List'!$A$7:$A$611,MATCH($B572,'DEQ Pollutant List'!$B$7:$B$611,0))),"")</f>
        <v/>
      </c>
      <c r="E572" s="126"/>
      <c r="F572" s="750"/>
      <c r="G572" s="129"/>
      <c r="H572" s="115"/>
      <c r="I572" s="117"/>
      <c r="J572" s="116"/>
      <c r="K572" s="291"/>
      <c r="L572" s="263"/>
      <c r="M572" s="116"/>
      <c r="N572" s="291"/>
      <c r="O572" s="263"/>
    </row>
    <row r="573" spans="1:15" ht="15.75" thickBot="1" x14ac:dyDescent="0.3">
      <c r="A573" s="198"/>
      <c r="B573" s="276"/>
      <c r="C573" s="123" t="str">
        <f>IFERROR(IF(B573="No CAS","",INDEX('DEQ Pollutant List'!$C$7:$C$611,MATCH('3. Pollutant Emissions - EF'!B573,'DEQ Pollutant List'!$B$7:$B$611,0))),"")</f>
        <v/>
      </c>
      <c r="D573" s="127" t="str">
        <f>IFERROR(IF(OR($B573="",$B573="No CAS"),INDEX('DEQ Pollutant List'!$A$7:$A$611,MATCH($C573,'DEQ Pollutant List'!$C$7:$C$611,0)),INDEX('DEQ Pollutant List'!$A$7:$A$611,MATCH($B573,'DEQ Pollutant List'!$B$7:$B$611,0))),"")</f>
        <v/>
      </c>
      <c r="E573" s="190"/>
      <c r="F573" s="751"/>
      <c r="G573" s="199"/>
      <c r="H573" s="200"/>
      <c r="I573" s="201"/>
      <c r="J573" s="202"/>
      <c r="K573" s="295"/>
      <c r="L573" s="277"/>
      <c r="M573" s="202"/>
      <c r="N573" s="295"/>
      <c r="O573" s="277"/>
    </row>
    <row r="574" spans="1:15" ht="14.25" customHeight="1" x14ac:dyDescent="0.25">
      <c r="A574" s="856" t="s">
        <v>1298</v>
      </c>
      <c r="B574" s="857"/>
      <c r="C574" s="857"/>
      <c r="D574" s="857"/>
      <c r="E574" s="857"/>
      <c r="F574" s="857"/>
      <c r="G574" s="857"/>
      <c r="H574" s="857"/>
      <c r="I574" s="857"/>
      <c r="J574" s="857"/>
      <c r="K574" s="857"/>
      <c r="L574" s="857"/>
      <c r="M574" s="857"/>
      <c r="N574" s="857"/>
      <c r="O574" s="858"/>
    </row>
    <row r="575" spans="1:15" ht="14.25" customHeight="1" x14ac:dyDescent="0.25">
      <c r="A575" s="859"/>
      <c r="B575" s="860"/>
      <c r="C575" s="860"/>
      <c r="D575" s="860"/>
      <c r="E575" s="860"/>
      <c r="F575" s="860"/>
      <c r="G575" s="860"/>
      <c r="H575" s="860"/>
      <c r="I575" s="860"/>
      <c r="J575" s="860"/>
      <c r="K575" s="860"/>
      <c r="L575" s="860"/>
      <c r="M575" s="860"/>
      <c r="N575" s="860"/>
      <c r="O575" s="861"/>
    </row>
    <row r="576" spans="1:15" ht="14.85" customHeight="1" thickBot="1" x14ac:dyDescent="0.3">
      <c r="A576" s="862"/>
      <c r="B576" s="863"/>
      <c r="C576" s="863"/>
      <c r="D576" s="863"/>
      <c r="E576" s="863"/>
      <c r="F576" s="863"/>
      <c r="G576" s="863"/>
      <c r="H576" s="863"/>
      <c r="I576" s="863"/>
      <c r="J576" s="863"/>
      <c r="K576" s="863"/>
      <c r="L576" s="863"/>
      <c r="M576" s="863"/>
      <c r="N576" s="863"/>
      <c r="O576" s="864"/>
    </row>
  </sheetData>
  <sheetProtection insertRows="0"/>
  <mergeCells count="11">
    <mergeCell ref="A574:O576"/>
    <mergeCell ref="J9:O9"/>
    <mergeCell ref="A10:A12"/>
    <mergeCell ref="B10:D11"/>
    <mergeCell ref="E10:E12"/>
    <mergeCell ref="F10:I10"/>
    <mergeCell ref="J10:L11"/>
    <mergeCell ref="M10:O11"/>
    <mergeCell ref="F11:G11"/>
    <mergeCell ref="H11:H12"/>
    <mergeCell ref="I11:I12"/>
  </mergeCells>
  <phoneticPr fontId="25" type="noConversion"/>
  <conditionalFormatting sqref="D13:D15 D17:D38 D40:D297 D305:D358 D360:D573">
    <cfRule type="containsBlanks" dxfId="1" priority="7">
      <formula>LEN(TRIM(D13))=0</formula>
    </cfRule>
  </conditionalFormatting>
  <pageMargins left="0.7" right="0.7" top="0.75" bottom="0.75" header="0.3" footer="0.3"/>
  <pageSetup orientation="portrait"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FD43C-E5D8-45A4-B77B-2B5FB85B7B9C}">
  <dimension ref="A1:R1285"/>
  <sheetViews>
    <sheetView topLeftCell="A7" workbookViewId="0">
      <selection activeCell="G16" sqref="G16:L21"/>
    </sheetView>
  </sheetViews>
  <sheetFormatPr defaultRowHeight="15" x14ac:dyDescent="0.2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ht="20.100000000000001" customHeight="1" thickBot="1" x14ac:dyDescent="0.3"/>
    <row r="10" spans="1:18" ht="50.1" customHeight="1" thickBot="1" x14ac:dyDescent="0.3">
      <c r="A10" s="899" t="s">
        <v>1299</v>
      </c>
      <c r="B10" s="900"/>
      <c r="C10" s="900"/>
      <c r="D10" s="901"/>
      <c r="E10" s="841" t="s">
        <v>1161</v>
      </c>
      <c r="F10" s="842"/>
      <c r="G10" s="902" t="s">
        <v>1300</v>
      </c>
      <c r="H10" s="902"/>
      <c r="I10" s="902"/>
      <c r="J10" s="902"/>
      <c r="K10" s="902"/>
      <c r="L10" s="903"/>
      <c r="M10" s="904" t="s">
        <v>1301</v>
      </c>
      <c r="N10" s="902"/>
      <c r="O10" s="902"/>
      <c r="P10" s="902"/>
      <c r="Q10" s="902"/>
      <c r="R10" s="903"/>
    </row>
    <row r="11" spans="1:18" ht="20.100000000000001" customHeight="1" thickBot="1" x14ac:dyDescent="0.3">
      <c r="A11" s="868" t="s">
        <v>1302</v>
      </c>
      <c r="B11" s="905" t="s">
        <v>1303</v>
      </c>
      <c r="C11" s="907" t="s">
        <v>1304</v>
      </c>
      <c r="D11" s="909" t="s">
        <v>1305</v>
      </c>
      <c r="E11" s="850" t="s">
        <v>1166</v>
      </c>
      <c r="F11" s="852" t="s">
        <v>1167</v>
      </c>
      <c r="G11" s="834" t="s">
        <v>1306</v>
      </c>
      <c r="H11" s="834"/>
      <c r="I11" s="835"/>
      <c r="J11" s="836" t="s">
        <v>1255</v>
      </c>
      <c r="K11" s="837"/>
      <c r="L11" s="838"/>
      <c r="M11" s="833" t="s">
        <v>1306</v>
      </c>
      <c r="N11" s="834"/>
      <c r="O11" s="835"/>
      <c r="P11" s="836" t="s">
        <v>1255</v>
      </c>
      <c r="Q11" s="837"/>
      <c r="R11" s="838"/>
    </row>
    <row r="12" spans="1:18" ht="45" customHeight="1" thickBot="1" x14ac:dyDescent="0.3">
      <c r="A12" s="870"/>
      <c r="B12" s="906"/>
      <c r="C12" s="908"/>
      <c r="D12" s="910"/>
      <c r="E12" s="851"/>
      <c r="F12" s="853"/>
      <c r="G12" s="74" t="s">
        <v>1172</v>
      </c>
      <c r="H12" s="6" t="s">
        <v>1307</v>
      </c>
      <c r="I12" s="75" t="s">
        <v>1174</v>
      </c>
      <c r="J12" s="53" t="s">
        <v>1172</v>
      </c>
      <c r="K12" s="6" t="s">
        <v>1307</v>
      </c>
      <c r="L12" s="76" t="s">
        <v>1174</v>
      </c>
      <c r="M12" s="53" t="s">
        <v>1172</v>
      </c>
      <c r="N12" s="6" t="s">
        <v>1307</v>
      </c>
      <c r="O12" s="76" t="s">
        <v>1174</v>
      </c>
      <c r="P12" s="53" t="s">
        <v>1172</v>
      </c>
      <c r="Q12" s="6" t="s">
        <v>1307</v>
      </c>
      <c r="R12" s="76" t="s">
        <v>1174</v>
      </c>
    </row>
    <row r="13" spans="1:18" x14ac:dyDescent="0.25">
      <c r="A13" s="57" t="s">
        <v>1308</v>
      </c>
      <c r="B13" s="77" t="s">
        <v>1309</v>
      </c>
      <c r="C13" s="11" t="s">
        <v>1310</v>
      </c>
      <c r="D13" s="14" t="s">
        <v>1311</v>
      </c>
      <c r="E13" s="12" t="s">
        <v>1178</v>
      </c>
      <c r="F13" s="13" t="s">
        <v>1312</v>
      </c>
      <c r="G13" s="78">
        <v>12000</v>
      </c>
      <c r="H13" s="79">
        <v>14000</v>
      </c>
      <c r="I13" s="80">
        <v>20000</v>
      </c>
      <c r="J13" s="81">
        <v>36</v>
      </c>
      <c r="K13" s="82">
        <v>40</v>
      </c>
      <c r="L13" s="83">
        <v>52</v>
      </c>
      <c r="M13" s="81">
        <v>2000</v>
      </c>
      <c r="N13" s="82">
        <v>2600</v>
      </c>
      <c r="O13" s="83">
        <v>5000</v>
      </c>
      <c r="P13" s="81">
        <v>5</v>
      </c>
      <c r="Q13" s="82">
        <v>7</v>
      </c>
      <c r="R13" s="83">
        <v>14</v>
      </c>
    </row>
    <row r="14" spans="1:18" x14ac:dyDescent="0.25">
      <c r="A14" s="57" t="s">
        <v>1308</v>
      </c>
      <c r="B14" s="77" t="s">
        <v>1309</v>
      </c>
      <c r="C14" s="11" t="s">
        <v>1313</v>
      </c>
      <c r="D14" s="14" t="s">
        <v>1311</v>
      </c>
      <c r="E14" s="12" t="s">
        <v>1178</v>
      </c>
      <c r="F14" s="13" t="s">
        <v>1312</v>
      </c>
      <c r="G14" s="12">
        <v>950</v>
      </c>
      <c r="H14" s="84">
        <v>1200</v>
      </c>
      <c r="I14" s="13">
        <v>1500</v>
      </c>
      <c r="J14" s="12">
        <v>5</v>
      </c>
      <c r="K14" s="84">
        <v>10</v>
      </c>
      <c r="L14" s="13">
        <v>15</v>
      </c>
      <c r="M14" s="12">
        <v>15</v>
      </c>
      <c r="N14" s="84">
        <v>30</v>
      </c>
      <c r="O14" s="13">
        <v>40</v>
      </c>
      <c r="P14" s="12">
        <v>0.5</v>
      </c>
      <c r="Q14" s="84">
        <v>1</v>
      </c>
      <c r="R14" s="13">
        <v>2</v>
      </c>
    </row>
    <row r="15" spans="1:18" x14ac:dyDescent="0.25">
      <c r="A15" s="17"/>
      <c r="B15" s="85"/>
      <c r="C15" s="19"/>
      <c r="D15" s="22"/>
      <c r="E15" s="20"/>
      <c r="F15" s="21"/>
      <c r="G15" s="20"/>
      <c r="H15" s="86"/>
      <c r="I15" s="21"/>
      <c r="J15" s="20"/>
      <c r="K15" s="86"/>
      <c r="L15" s="21"/>
      <c r="M15" s="20"/>
      <c r="N15" s="86"/>
      <c r="O15" s="21"/>
      <c r="P15" s="20"/>
      <c r="Q15" s="86"/>
      <c r="R15" s="21"/>
    </row>
    <row r="16" spans="1:18" x14ac:dyDescent="0.25">
      <c r="A16" s="25" t="s">
        <v>1314</v>
      </c>
      <c r="B16" s="87" t="s">
        <v>1315</v>
      </c>
      <c r="C16" s="27" t="s">
        <v>1316</v>
      </c>
      <c r="D16" s="113" t="s">
        <v>1317</v>
      </c>
      <c r="E16" s="28" t="s">
        <v>1196</v>
      </c>
      <c r="F16" s="29" t="s">
        <v>1318</v>
      </c>
      <c r="G16" s="28">
        <f>'Maintenance Activities SDS'!$G$4</f>
        <v>11.892201344127546</v>
      </c>
      <c r="H16" s="88">
        <f t="shared" ref="H16:I21" si="0">G16</f>
        <v>11.892201344127546</v>
      </c>
      <c r="I16" s="29">
        <f t="shared" si="0"/>
        <v>11.892201344127546</v>
      </c>
      <c r="J16" s="28">
        <f>G16/48</f>
        <v>0.24775419466932389</v>
      </c>
      <c r="K16" s="88">
        <f>H16/48</f>
        <v>0.24775419466932389</v>
      </c>
      <c r="L16" s="29">
        <f>I16/48</f>
        <v>0.24775419466932389</v>
      </c>
      <c r="M16" s="28">
        <v>0</v>
      </c>
      <c r="N16" s="88">
        <v>0</v>
      </c>
      <c r="O16" s="29">
        <v>0</v>
      </c>
      <c r="P16" s="28">
        <v>0</v>
      </c>
      <c r="Q16" s="88">
        <v>0</v>
      </c>
      <c r="R16" s="29">
        <v>0</v>
      </c>
    </row>
    <row r="17" spans="1:18" x14ac:dyDescent="0.25">
      <c r="A17" s="25" t="s">
        <v>1319</v>
      </c>
      <c r="B17" s="87" t="s">
        <v>1320</v>
      </c>
      <c r="C17" s="27" t="s">
        <v>127</v>
      </c>
      <c r="D17" s="30" t="s">
        <v>1321</v>
      </c>
      <c r="E17" s="28" t="s">
        <v>1196</v>
      </c>
      <c r="F17" s="29" t="s">
        <v>1322</v>
      </c>
      <c r="G17" s="160">
        <f>'Maintenance Activities SDS'!$G$5</f>
        <v>48.163415443716573</v>
      </c>
      <c r="H17" s="88">
        <f t="shared" si="0"/>
        <v>48.163415443716573</v>
      </c>
      <c r="I17" s="29">
        <f t="shared" si="0"/>
        <v>48.163415443716573</v>
      </c>
      <c r="J17" s="28">
        <f t="shared" ref="J17:J21" si="1">G17/48</f>
        <v>1.003404488410762</v>
      </c>
      <c r="K17" s="88">
        <f t="shared" ref="K17:K21" si="2">H17/48</f>
        <v>1.003404488410762</v>
      </c>
      <c r="L17" s="29">
        <f t="shared" ref="L17:L21" si="3">I17/48</f>
        <v>1.003404488410762</v>
      </c>
      <c r="M17" s="28">
        <v>0</v>
      </c>
      <c r="N17" s="88">
        <v>0</v>
      </c>
      <c r="O17" s="29">
        <v>0</v>
      </c>
      <c r="P17" s="28">
        <v>0</v>
      </c>
      <c r="Q17" s="88">
        <v>0</v>
      </c>
      <c r="R17" s="29">
        <v>0</v>
      </c>
    </row>
    <row r="18" spans="1:18" x14ac:dyDescent="0.25">
      <c r="A18" s="25" t="s">
        <v>1323</v>
      </c>
      <c r="B18" s="113" t="s">
        <v>1324</v>
      </c>
      <c r="C18" s="27" t="s">
        <v>133</v>
      </c>
      <c r="D18" s="30" t="s">
        <v>1325</v>
      </c>
      <c r="E18" s="112" t="s">
        <v>1196</v>
      </c>
      <c r="F18" s="112" t="s">
        <v>1326</v>
      </c>
      <c r="G18" s="161">
        <f>'Maintenance Activities SDS'!$G$6</f>
        <v>12.244898999781013</v>
      </c>
      <c r="H18" s="112">
        <f t="shared" si="0"/>
        <v>12.244898999781013</v>
      </c>
      <c r="I18" s="112">
        <f t="shared" si="0"/>
        <v>12.244898999781013</v>
      </c>
      <c r="J18" s="112">
        <f t="shared" si="1"/>
        <v>0.25510206249543776</v>
      </c>
      <c r="K18" s="112">
        <f t="shared" si="2"/>
        <v>0.25510206249543776</v>
      </c>
      <c r="L18" s="112">
        <f t="shared" si="3"/>
        <v>0.25510206249543776</v>
      </c>
      <c r="M18" s="28">
        <v>0</v>
      </c>
      <c r="N18" s="88">
        <v>0</v>
      </c>
      <c r="O18" s="29">
        <v>0</v>
      </c>
      <c r="P18" s="28">
        <v>0</v>
      </c>
      <c r="Q18" s="88">
        <v>0</v>
      </c>
      <c r="R18" s="29">
        <v>0</v>
      </c>
    </row>
    <row r="19" spans="1:18" x14ac:dyDescent="0.25">
      <c r="A19" s="25" t="s">
        <v>1327</v>
      </c>
      <c r="B19" s="113" t="s">
        <v>1328</v>
      </c>
      <c r="C19" s="27" t="s">
        <v>138</v>
      </c>
      <c r="D19" s="30" t="s">
        <v>1329</v>
      </c>
      <c r="E19" s="112" t="s">
        <v>1196</v>
      </c>
      <c r="F19" s="112" t="s">
        <v>1330</v>
      </c>
      <c r="G19" s="161">
        <f>'Maintenance Activities SDS'!$G$7</f>
        <v>14.83395641346436</v>
      </c>
      <c r="H19" s="112">
        <f t="shared" si="0"/>
        <v>14.83395641346436</v>
      </c>
      <c r="I19" s="112">
        <f t="shared" si="0"/>
        <v>14.83395641346436</v>
      </c>
      <c r="J19" s="112">
        <f t="shared" si="1"/>
        <v>0.30904075861384084</v>
      </c>
      <c r="K19" s="112">
        <f t="shared" si="2"/>
        <v>0.30904075861384084</v>
      </c>
      <c r="L19" s="112">
        <f t="shared" si="3"/>
        <v>0.30904075861384084</v>
      </c>
      <c r="M19" s="28">
        <v>0</v>
      </c>
      <c r="N19" s="88">
        <v>0</v>
      </c>
      <c r="O19" s="29">
        <v>0</v>
      </c>
      <c r="P19" s="28">
        <v>0</v>
      </c>
      <c r="Q19" s="88">
        <v>0</v>
      </c>
      <c r="R19" s="29">
        <v>0</v>
      </c>
    </row>
    <row r="20" spans="1:18" x14ac:dyDescent="0.25">
      <c r="A20" s="112" t="s">
        <v>1331</v>
      </c>
      <c r="B20" s="87" t="s">
        <v>1332</v>
      </c>
      <c r="C20" s="113" t="s">
        <v>154</v>
      </c>
      <c r="D20" s="30" t="s">
        <v>1317</v>
      </c>
      <c r="E20" s="28" t="s">
        <v>1196</v>
      </c>
      <c r="F20" s="29" t="s">
        <v>1333</v>
      </c>
      <c r="G20" s="160">
        <f>'Maintenance Activities SDS'!$G$13</f>
        <v>19.570495027763581</v>
      </c>
      <c r="H20" s="162">
        <f t="shared" si="0"/>
        <v>19.570495027763581</v>
      </c>
      <c r="I20" s="163">
        <f t="shared" si="0"/>
        <v>19.570495027763581</v>
      </c>
      <c r="J20" s="28">
        <f t="shared" si="1"/>
        <v>0.40771864641174127</v>
      </c>
      <c r="K20" s="88">
        <f t="shared" si="2"/>
        <v>0.40771864641174127</v>
      </c>
      <c r="L20" s="29">
        <f t="shared" si="3"/>
        <v>0.40771864641174127</v>
      </c>
      <c r="M20" s="112">
        <v>0</v>
      </c>
      <c r="N20" s="112">
        <v>0</v>
      </c>
      <c r="O20" s="112">
        <v>0</v>
      </c>
      <c r="P20" s="112">
        <v>0</v>
      </c>
      <c r="Q20" s="112">
        <v>0</v>
      </c>
      <c r="R20" s="112">
        <v>0</v>
      </c>
    </row>
    <row r="21" spans="1:18" x14ac:dyDescent="0.25">
      <c r="A21" s="112" t="s">
        <v>1334</v>
      </c>
      <c r="B21" s="87" t="s">
        <v>1335</v>
      </c>
      <c r="C21" s="113" t="s">
        <v>157</v>
      </c>
      <c r="D21" s="113" t="s">
        <v>1336</v>
      </c>
      <c r="E21" s="28" t="s">
        <v>1196</v>
      </c>
      <c r="F21" s="29" t="s">
        <v>1337</v>
      </c>
      <c r="G21" s="28">
        <f>'Maintenance Activities SDS'!$G$14</f>
        <v>16.680377148473639</v>
      </c>
      <c r="H21" s="88">
        <f t="shared" si="0"/>
        <v>16.680377148473639</v>
      </c>
      <c r="I21" s="29">
        <f t="shared" si="0"/>
        <v>16.680377148473639</v>
      </c>
      <c r="J21" s="28">
        <f t="shared" si="1"/>
        <v>0.34750785725986749</v>
      </c>
      <c r="K21" s="88">
        <f t="shared" si="2"/>
        <v>0.34750785725986749</v>
      </c>
      <c r="L21" s="29">
        <f t="shared" si="3"/>
        <v>0.34750785725986749</v>
      </c>
      <c r="M21" s="112">
        <v>0</v>
      </c>
      <c r="N21" s="112">
        <v>0</v>
      </c>
      <c r="O21" s="112">
        <v>0</v>
      </c>
      <c r="P21" s="112">
        <v>0</v>
      </c>
      <c r="Q21" s="112">
        <v>0</v>
      </c>
      <c r="R21" s="112">
        <v>0</v>
      </c>
    </row>
    <row r="22" spans="1:18" x14ac:dyDescent="0.25">
      <c r="A22" s="25"/>
      <c r="B22" s="113"/>
      <c r="C22" s="113"/>
      <c r="D22" s="113"/>
      <c r="E22" s="112"/>
      <c r="F22" s="112"/>
      <c r="G22" s="112"/>
      <c r="H22" s="112"/>
      <c r="I22" s="112"/>
      <c r="J22" s="112"/>
      <c r="K22" s="112"/>
      <c r="L22" s="112"/>
      <c r="M22" s="28"/>
      <c r="N22" s="88"/>
      <c r="O22" s="29"/>
      <c r="P22" s="28"/>
      <c r="Q22" s="88"/>
      <c r="R22" s="29"/>
    </row>
    <row r="23" spans="1:18" x14ac:dyDescent="0.25">
      <c r="A23" s="25"/>
      <c r="B23" s="113"/>
      <c r="C23" s="113"/>
      <c r="D23" s="113"/>
      <c r="E23" s="112"/>
      <c r="F23" s="112"/>
      <c r="G23" s="112"/>
      <c r="H23" s="112"/>
      <c r="I23" s="112"/>
      <c r="J23" s="112"/>
      <c r="K23" s="112"/>
      <c r="L23" s="112"/>
      <c r="M23" s="28"/>
      <c r="N23" s="88"/>
      <c r="O23" s="29"/>
      <c r="P23" s="28"/>
      <c r="Q23" s="88"/>
      <c r="R23" s="29"/>
    </row>
    <row r="24" spans="1:18" x14ac:dyDescent="0.25">
      <c r="A24" s="25"/>
      <c r="B24" s="113"/>
      <c r="C24" s="113"/>
      <c r="D24" s="113"/>
      <c r="E24" s="112"/>
      <c r="F24" s="112"/>
      <c r="G24" s="112"/>
      <c r="H24" s="112"/>
      <c r="I24" s="112"/>
      <c r="J24" s="112"/>
      <c r="K24" s="112"/>
      <c r="L24" s="112"/>
      <c r="M24" s="28"/>
      <c r="N24" s="88"/>
      <c r="O24" s="29"/>
      <c r="P24" s="28"/>
      <c r="Q24" s="88"/>
      <c r="R24" s="29"/>
    </row>
    <row r="25" spans="1:18" x14ac:dyDescent="0.25">
      <c r="A25" s="25"/>
      <c r="B25" s="113"/>
      <c r="C25" s="113"/>
      <c r="D25" s="113"/>
      <c r="E25" s="112"/>
      <c r="F25" s="112"/>
      <c r="G25" s="112"/>
      <c r="H25" s="112"/>
      <c r="I25" s="112"/>
      <c r="J25" s="112"/>
      <c r="K25" s="112"/>
      <c r="L25" s="112"/>
      <c r="M25" s="28"/>
      <c r="N25" s="88"/>
      <c r="O25" s="29"/>
      <c r="P25" s="28"/>
      <c r="Q25" s="88"/>
      <c r="R25" s="29"/>
    </row>
    <row r="26" spans="1:18" x14ac:dyDescent="0.25">
      <c r="A26" s="25"/>
      <c r="B26" s="113"/>
      <c r="C26" s="113"/>
      <c r="D26" s="113"/>
      <c r="E26" s="112"/>
      <c r="F26" s="112"/>
      <c r="G26" s="112"/>
      <c r="H26" s="112"/>
      <c r="I26" s="112"/>
      <c r="J26" s="112"/>
      <c r="K26" s="112"/>
      <c r="L26" s="112"/>
      <c r="M26" s="28"/>
      <c r="N26" s="88"/>
      <c r="O26" s="29"/>
      <c r="P26" s="28"/>
      <c r="Q26" s="88"/>
      <c r="R26" s="29"/>
    </row>
    <row r="27" spans="1:18" x14ac:dyDescent="0.25">
      <c r="A27" s="25"/>
      <c r="B27" s="113"/>
      <c r="C27" s="113"/>
      <c r="D27" s="113"/>
      <c r="E27" s="112"/>
      <c r="F27" s="112"/>
      <c r="G27" s="112"/>
      <c r="H27" s="112"/>
      <c r="I27" s="112"/>
      <c r="J27" s="112"/>
      <c r="K27" s="112"/>
      <c r="L27" s="112"/>
      <c r="M27" s="28"/>
      <c r="N27" s="88"/>
      <c r="O27" s="29"/>
      <c r="P27" s="28"/>
      <c r="Q27" s="88"/>
      <c r="R27" s="29"/>
    </row>
    <row r="28" spans="1:18" x14ac:dyDescent="0.25">
      <c r="A28" s="25"/>
      <c r="B28" s="87"/>
      <c r="C28" s="27"/>
      <c r="D28" s="113"/>
      <c r="E28" s="28"/>
      <c r="F28" s="29"/>
      <c r="G28" s="28"/>
      <c r="H28" s="88"/>
      <c r="I28" s="29"/>
      <c r="J28" s="28"/>
      <c r="K28" s="88"/>
      <c r="L28" s="29"/>
      <c r="M28" s="28"/>
      <c r="N28" s="88"/>
      <c r="O28" s="29"/>
      <c r="P28" s="28"/>
      <c r="Q28" s="88"/>
      <c r="R28" s="29"/>
    </row>
    <row r="29" spans="1:18" x14ac:dyDescent="0.25">
      <c r="A29" s="25"/>
      <c r="B29" s="87"/>
      <c r="C29" s="27"/>
      <c r="D29" s="30"/>
      <c r="E29" s="28"/>
      <c r="F29" s="29"/>
      <c r="G29" s="28"/>
      <c r="H29" s="88"/>
      <c r="I29" s="29"/>
      <c r="J29" s="28"/>
      <c r="K29" s="88"/>
      <c r="L29" s="29"/>
      <c r="M29" s="28"/>
      <c r="N29" s="88"/>
      <c r="O29" s="29"/>
      <c r="P29" s="28"/>
      <c r="Q29" s="88"/>
      <c r="R29" s="29"/>
    </row>
    <row r="30" spans="1:18" x14ac:dyDescent="0.25">
      <c r="A30" s="25"/>
      <c r="B30" s="87"/>
      <c r="C30" s="27"/>
      <c r="D30" s="30"/>
      <c r="E30" s="28"/>
      <c r="F30" s="29"/>
      <c r="G30" s="28"/>
      <c r="H30" s="88"/>
      <c r="I30" s="29"/>
      <c r="J30" s="28"/>
      <c r="K30" s="88"/>
      <c r="L30" s="29"/>
      <c r="M30" s="28"/>
      <c r="N30" s="88"/>
      <c r="O30" s="29"/>
      <c r="P30" s="28"/>
      <c r="Q30" s="88"/>
      <c r="R30" s="29"/>
    </row>
    <row r="31" spans="1:18" x14ac:dyDescent="0.25">
      <c r="A31" s="25"/>
      <c r="B31" s="87"/>
      <c r="C31" s="27"/>
      <c r="D31" s="30"/>
      <c r="E31" s="28"/>
      <c r="F31" s="29"/>
      <c r="G31" s="28"/>
      <c r="H31" s="88"/>
      <c r="I31" s="29"/>
      <c r="J31" s="28"/>
      <c r="K31" s="88"/>
      <c r="L31" s="29"/>
      <c r="M31" s="28"/>
      <c r="N31" s="88"/>
      <c r="O31" s="29"/>
      <c r="P31" s="28"/>
      <c r="Q31" s="88"/>
      <c r="R31" s="29"/>
    </row>
    <row r="32" spans="1:18" x14ac:dyDescent="0.25">
      <c r="A32" s="25"/>
      <c r="B32" s="87"/>
      <c r="C32" s="27"/>
      <c r="D32" s="30"/>
      <c r="E32" s="28"/>
      <c r="F32" s="29"/>
      <c r="G32" s="28"/>
      <c r="H32" s="88"/>
      <c r="I32" s="29"/>
      <c r="J32" s="28"/>
      <c r="K32" s="88"/>
      <c r="L32" s="29"/>
      <c r="M32" s="28"/>
      <c r="N32" s="88"/>
      <c r="O32" s="29"/>
      <c r="P32" s="28"/>
      <c r="Q32" s="88"/>
      <c r="R32" s="29"/>
    </row>
    <row r="33" spans="1:18" x14ac:dyDescent="0.25">
      <c r="A33" s="25"/>
      <c r="B33" s="87"/>
      <c r="C33" s="27"/>
      <c r="D33" s="30"/>
      <c r="E33" s="28"/>
      <c r="F33" s="29"/>
      <c r="G33" s="28"/>
      <c r="H33" s="88"/>
      <c r="I33" s="29"/>
      <c r="J33" s="28"/>
      <c r="K33" s="88"/>
      <c r="L33" s="29"/>
      <c r="M33" s="28"/>
      <c r="N33" s="88"/>
      <c r="O33" s="29"/>
      <c r="P33" s="28"/>
      <c r="Q33" s="88"/>
      <c r="R33" s="29"/>
    </row>
    <row r="34" spans="1:18" x14ac:dyDescent="0.25">
      <c r="A34" s="25"/>
      <c r="B34" s="87"/>
      <c r="C34" s="27"/>
      <c r="D34" s="30"/>
      <c r="E34" s="28"/>
      <c r="F34" s="29"/>
      <c r="G34" s="28"/>
      <c r="H34" s="88"/>
      <c r="I34" s="29"/>
      <c r="J34" s="28"/>
      <c r="K34" s="88"/>
      <c r="L34" s="29"/>
      <c r="M34" s="28"/>
      <c r="N34" s="88"/>
      <c r="O34" s="29"/>
      <c r="P34" s="28"/>
      <c r="Q34" s="88"/>
      <c r="R34" s="29"/>
    </row>
    <row r="35" spans="1:18" x14ac:dyDescent="0.25">
      <c r="A35" s="25"/>
      <c r="B35" s="87"/>
      <c r="C35" s="27"/>
      <c r="D35" s="30"/>
      <c r="E35" s="28"/>
      <c r="F35" s="29"/>
      <c r="G35" s="28"/>
      <c r="H35" s="88"/>
      <c r="I35" s="29"/>
      <c r="J35" s="28"/>
      <c r="K35" s="88"/>
      <c r="L35" s="29"/>
      <c r="M35" s="28"/>
      <c r="N35" s="88"/>
      <c r="O35" s="29"/>
      <c r="P35" s="28"/>
      <c r="Q35" s="88"/>
      <c r="R35" s="29"/>
    </row>
    <row r="36" spans="1:18" x14ac:dyDescent="0.25">
      <c r="A36" s="25"/>
      <c r="B36" s="87"/>
      <c r="C36" s="27"/>
      <c r="D36" s="30"/>
      <c r="E36" s="28"/>
      <c r="F36" s="29"/>
      <c r="G36" s="28"/>
      <c r="H36" s="88"/>
      <c r="I36" s="29"/>
      <c r="J36" s="28"/>
      <c r="K36" s="88"/>
      <c r="L36" s="29"/>
      <c r="M36" s="28"/>
      <c r="N36" s="88"/>
      <c r="O36" s="29"/>
      <c r="P36" s="28"/>
      <c r="Q36" s="88"/>
      <c r="R36" s="29"/>
    </row>
    <row r="37" spans="1:18" x14ac:dyDescent="0.25">
      <c r="A37" s="25"/>
      <c r="B37" s="87"/>
      <c r="C37" s="27"/>
      <c r="D37" s="30"/>
      <c r="E37" s="28"/>
      <c r="F37" s="29"/>
      <c r="G37" s="28"/>
      <c r="H37" s="88"/>
      <c r="I37" s="29"/>
      <c r="J37" s="28"/>
      <c r="K37" s="88"/>
      <c r="L37" s="29"/>
      <c r="M37" s="28"/>
      <c r="N37" s="88"/>
      <c r="O37" s="29"/>
      <c r="P37" s="28"/>
      <c r="Q37" s="88"/>
      <c r="R37" s="29"/>
    </row>
    <row r="38" spans="1:18" x14ac:dyDescent="0.25">
      <c r="A38" s="25"/>
      <c r="B38" s="87"/>
      <c r="C38" s="27"/>
      <c r="D38" s="30"/>
      <c r="E38" s="28"/>
      <c r="F38" s="29"/>
      <c r="G38" s="28"/>
      <c r="H38" s="88"/>
      <c r="I38" s="29"/>
      <c r="J38" s="28"/>
      <c r="K38" s="88"/>
      <c r="L38" s="29"/>
      <c r="M38" s="28"/>
      <c r="N38" s="88"/>
      <c r="O38" s="29"/>
      <c r="P38" s="28"/>
      <c r="Q38" s="88"/>
      <c r="R38" s="29"/>
    </row>
    <row r="39" spans="1:18" x14ac:dyDescent="0.25">
      <c r="A39" s="25"/>
      <c r="B39" s="87"/>
      <c r="C39" s="27"/>
      <c r="D39" s="30"/>
      <c r="E39" s="28"/>
      <c r="F39" s="29"/>
      <c r="G39" s="28"/>
      <c r="H39" s="88"/>
      <c r="I39" s="29"/>
      <c r="J39" s="28"/>
      <c r="K39" s="88"/>
      <c r="L39" s="29"/>
      <c r="M39" s="28"/>
      <c r="N39" s="88"/>
      <c r="O39" s="29"/>
      <c r="P39" s="28"/>
      <c r="Q39" s="88"/>
      <c r="R39" s="29"/>
    </row>
    <row r="40" spans="1:18" x14ac:dyDescent="0.25">
      <c r="A40" s="25"/>
      <c r="B40" s="87"/>
      <c r="C40" s="27"/>
      <c r="D40" s="30"/>
      <c r="E40" s="28"/>
      <c r="F40" s="29"/>
      <c r="G40" s="28"/>
      <c r="H40" s="88"/>
      <c r="I40" s="29"/>
      <c r="J40" s="28"/>
      <c r="K40" s="88"/>
      <c r="L40" s="29"/>
      <c r="M40" s="28"/>
      <c r="N40" s="88"/>
      <c r="O40" s="29"/>
      <c r="P40" s="28"/>
      <c r="Q40" s="88"/>
      <c r="R40" s="29"/>
    </row>
    <row r="41" spans="1:18" x14ac:dyDescent="0.25">
      <c r="A41" s="25"/>
      <c r="B41" s="87"/>
      <c r="C41" s="27"/>
      <c r="D41" s="30"/>
      <c r="E41" s="28"/>
      <c r="F41" s="29"/>
      <c r="G41" s="28"/>
      <c r="H41" s="88"/>
      <c r="I41" s="29"/>
      <c r="J41" s="28"/>
      <c r="K41" s="88"/>
      <c r="L41" s="29"/>
      <c r="M41" s="28"/>
      <c r="N41" s="88"/>
      <c r="O41" s="29"/>
      <c r="P41" s="28"/>
      <c r="Q41" s="88"/>
      <c r="R41" s="29"/>
    </row>
    <row r="42" spans="1:18" x14ac:dyDescent="0.25">
      <c r="A42" s="25"/>
      <c r="B42" s="87"/>
      <c r="C42" s="27"/>
      <c r="D42" s="30"/>
      <c r="E42" s="28"/>
      <c r="F42" s="29"/>
      <c r="G42" s="28"/>
      <c r="H42" s="88"/>
      <c r="I42" s="29"/>
      <c r="J42" s="28"/>
      <c r="K42" s="88"/>
      <c r="L42" s="29"/>
      <c r="M42" s="28"/>
      <c r="N42" s="88"/>
      <c r="O42" s="29"/>
      <c r="P42" s="28"/>
      <c r="Q42" s="88"/>
      <c r="R42" s="29"/>
    </row>
    <row r="43" spans="1:18" x14ac:dyDescent="0.25">
      <c r="A43" s="25"/>
      <c r="B43" s="87"/>
      <c r="C43" s="27"/>
      <c r="D43" s="30"/>
      <c r="E43" s="28"/>
      <c r="F43" s="29"/>
      <c r="G43" s="28"/>
      <c r="H43" s="88"/>
      <c r="I43" s="29"/>
      <c r="J43" s="28"/>
      <c r="K43" s="88"/>
      <c r="L43" s="29"/>
      <c r="M43" s="28"/>
      <c r="N43" s="88"/>
      <c r="O43" s="29"/>
      <c r="P43" s="28"/>
      <c r="Q43" s="88"/>
      <c r="R43" s="29"/>
    </row>
    <row r="44" spans="1:18" x14ac:dyDescent="0.25">
      <c r="A44" s="25"/>
      <c r="B44" s="87"/>
      <c r="C44" s="27"/>
      <c r="D44" s="30"/>
      <c r="E44" s="28"/>
      <c r="F44" s="29"/>
      <c r="G44" s="28"/>
      <c r="H44" s="88"/>
      <c r="I44" s="29"/>
      <c r="J44" s="28"/>
      <c r="K44" s="88"/>
      <c r="L44" s="29"/>
      <c r="M44" s="28"/>
      <c r="N44" s="88"/>
      <c r="O44" s="29"/>
      <c r="P44" s="28"/>
      <c r="Q44" s="88"/>
      <c r="R44" s="29"/>
    </row>
    <row r="45" spans="1:18" x14ac:dyDescent="0.25">
      <c r="A45" s="25"/>
      <c r="B45" s="87"/>
      <c r="C45" s="27"/>
      <c r="D45" s="30"/>
      <c r="E45" s="28"/>
      <c r="F45" s="29"/>
      <c r="G45" s="28"/>
      <c r="H45" s="88"/>
      <c r="I45" s="29"/>
      <c r="J45" s="28"/>
      <c r="K45" s="88"/>
      <c r="L45" s="29"/>
      <c r="M45" s="28"/>
      <c r="N45" s="88"/>
      <c r="O45" s="29"/>
      <c r="P45" s="28"/>
      <c r="Q45" s="88"/>
      <c r="R45" s="29"/>
    </row>
    <row r="46" spans="1:18" x14ac:dyDescent="0.25">
      <c r="A46" s="25"/>
      <c r="B46" s="87"/>
      <c r="C46" s="27"/>
      <c r="D46" s="30"/>
      <c r="E46" s="28"/>
      <c r="F46" s="29"/>
      <c r="G46" s="28"/>
      <c r="H46" s="88"/>
      <c r="I46" s="29"/>
      <c r="J46" s="28"/>
      <c r="K46" s="88"/>
      <c r="L46" s="29"/>
      <c r="M46" s="28"/>
      <c r="N46" s="88"/>
      <c r="O46" s="29"/>
      <c r="P46" s="28"/>
      <c r="Q46" s="88"/>
      <c r="R46" s="29"/>
    </row>
    <row r="47" spans="1:18" x14ac:dyDescent="0.25">
      <c r="A47" s="25"/>
      <c r="B47" s="87"/>
      <c r="C47" s="27"/>
      <c r="D47" s="30"/>
      <c r="E47" s="28"/>
      <c r="F47" s="29"/>
      <c r="G47" s="28"/>
      <c r="H47" s="88"/>
      <c r="I47" s="29"/>
      <c r="J47" s="28"/>
      <c r="K47" s="88"/>
      <c r="L47" s="29"/>
      <c r="M47" s="28"/>
      <c r="N47" s="88"/>
      <c r="O47" s="29"/>
      <c r="P47" s="28"/>
      <c r="Q47" s="88"/>
      <c r="R47" s="29"/>
    </row>
    <row r="48" spans="1:18" x14ac:dyDescent="0.25">
      <c r="A48" s="25"/>
      <c r="B48" s="87"/>
      <c r="C48" s="27"/>
      <c r="D48" s="30"/>
      <c r="E48" s="28"/>
      <c r="F48" s="29"/>
      <c r="G48" s="28"/>
      <c r="H48" s="88"/>
      <c r="I48" s="29"/>
      <c r="J48" s="28"/>
      <c r="K48" s="88"/>
      <c r="L48" s="29"/>
      <c r="M48" s="28"/>
      <c r="N48" s="88"/>
      <c r="O48" s="29"/>
      <c r="P48" s="28"/>
      <c r="Q48" s="88"/>
      <c r="R48" s="29"/>
    </row>
    <row r="49" spans="1:18" x14ac:dyDescent="0.25">
      <c r="A49" s="25"/>
      <c r="B49" s="87"/>
      <c r="C49" s="27"/>
      <c r="D49" s="30"/>
      <c r="E49" s="28"/>
      <c r="F49" s="29"/>
      <c r="G49" s="28"/>
      <c r="H49" s="88"/>
      <c r="I49" s="29"/>
      <c r="J49" s="28"/>
      <c r="K49" s="88"/>
      <c r="L49" s="29"/>
      <c r="M49" s="28"/>
      <c r="N49" s="88"/>
      <c r="O49" s="29"/>
      <c r="P49" s="28"/>
      <c r="Q49" s="88"/>
      <c r="R49" s="29"/>
    </row>
    <row r="50" spans="1:18" x14ac:dyDescent="0.25">
      <c r="A50" s="25"/>
      <c r="B50" s="87"/>
      <c r="C50" s="27"/>
      <c r="D50" s="30"/>
      <c r="E50" s="28"/>
      <c r="F50" s="29"/>
      <c r="G50" s="28"/>
      <c r="H50" s="88"/>
      <c r="I50" s="29"/>
      <c r="J50" s="28"/>
      <c r="K50" s="88"/>
      <c r="L50" s="29"/>
      <c r="M50" s="28"/>
      <c r="N50" s="88"/>
      <c r="O50" s="29"/>
      <c r="P50" s="28"/>
      <c r="Q50" s="88"/>
      <c r="R50" s="29"/>
    </row>
    <row r="51" spans="1:18" x14ac:dyDescent="0.25">
      <c r="A51" s="25"/>
      <c r="B51" s="87"/>
      <c r="C51" s="27"/>
      <c r="D51" s="30"/>
      <c r="E51" s="28"/>
      <c r="F51" s="29"/>
      <c r="G51" s="28"/>
      <c r="H51" s="88"/>
      <c r="I51" s="29"/>
      <c r="J51" s="28"/>
      <c r="K51" s="88"/>
      <c r="L51" s="29"/>
      <c r="M51" s="28"/>
      <c r="N51" s="88"/>
      <c r="O51" s="29"/>
      <c r="P51" s="28"/>
      <c r="Q51" s="88"/>
      <c r="R51" s="29"/>
    </row>
    <row r="52" spans="1:18" x14ac:dyDescent="0.25">
      <c r="A52" s="25"/>
      <c r="B52" s="87"/>
      <c r="C52" s="27"/>
      <c r="D52" s="30"/>
      <c r="E52" s="28"/>
      <c r="F52" s="29"/>
      <c r="G52" s="28"/>
      <c r="H52" s="88"/>
      <c r="I52" s="29"/>
      <c r="J52" s="28"/>
      <c r="K52" s="88"/>
      <c r="L52" s="29"/>
      <c r="M52" s="28"/>
      <c r="N52" s="88"/>
      <c r="O52" s="29"/>
      <c r="P52" s="28"/>
      <c r="Q52" s="88"/>
      <c r="R52" s="29"/>
    </row>
    <row r="53" spans="1:18" x14ac:dyDescent="0.25">
      <c r="A53" s="25"/>
      <c r="B53" s="87"/>
      <c r="C53" s="27"/>
      <c r="D53" s="30"/>
      <c r="E53" s="28"/>
      <c r="F53" s="29"/>
      <c r="G53" s="28"/>
      <c r="H53" s="88"/>
      <c r="I53" s="29"/>
      <c r="J53" s="28"/>
      <c r="K53" s="88"/>
      <c r="L53" s="29"/>
      <c r="M53" s="28"/>
      <c r="N53" s="88"/>
      <c r="O53" s="29"/>
      <c r="P53" s="28"/>
      <c r="Q53" s="88"/>
      <c r="R53" s="29"/>
    </row>
    <row r="54" spans="1:18" x14ac:dyDescent="0.25">
      <c r="A54" s="25"/>
      <c r="B54" s="87"/>
      <c r="C54" s="27"/>
      <c r="D54" s="30"/>
      <c r="E54" s="28"/>
      <c r="F54" s="29"/>
      <c r="G54" s="28"/>
      <c r="H54" s="88"/>
      <c r="I54" s="29"/>
      <c r="J54" s="28"/>
      <c r="K54" s="88"/>
      <c r="L54" s="29"/>
      <c r="M54" s="28"/>
      <c r="N54" s="88"/>
      <c r="O54" s="29"/>
      <c r="P54" s="28"/>
      <c r="Q54" s="88"/>
      <c r="R54" s="29"/>
    </row>
    <row r="55" spans="1:18" x14ac:dyDescent="0.25">
      <c r="A55" s="25"/>
      <c r="B55" s="87"/>
      <c r="C55" s="27"/>
      <c r="D55" s="30"/>
      <c r="E55" s="28"/>
      <c r="F55" s="29"/>
      <c r="G55" s="28"/>
      <c r="H55" s="88"/>
      <c r="I55" s="29"/>
      <c r="J55" s="28"/>
      <c r="K55" s="88"/>
      <c r="L55" s="29"/>
      <c r="M55" s="28"/>
      <c r="N55" s="88"/>
      <c r="O55" s="29"/>
      <c r="P55" s="28"/>
      <c r="Q55" s="88"/>
      <c r="R55" s="29"/>
    </row>
    <row r="56" spans="1:18" x14ac:dyDescent="0.25">
      <c r="A56" s="25"/>
      <c r="B56" s="87"/>
      <c r="C56" s="27"/>
      <c r="D56" s="30"/>
      <c r="E56" s="28"/>
      <c r="F56" s="29"/>
      <c r="G56" s="28"/>
      <c r="H56" s="88"/>
      <c r="I56" s="29"/>
      <c r="J56" s="28"/>
      <c r="K56" s="88"/>
      <c r="L56" s="29"/>
      <c r="M56" s="28"/>
      <c r="N56" s="88"/>
      <c r="O56" s="29"/>
      <c r="P56" s="28"/>
      <c r="Q56" s="88"/>
      <c r="R56" s="29"/>
    </row>
    <row r="57" spans="1:18" x14ac:dyDescent="0.25">
      <c r="A57" s="25"/>
      <c r="B57" s="87"/>
      <c r="C57" s="27"/>
      <c r="D57" s="30"/>
      <c r="E57" s="28"/>
      <c r="F57" s="29"/>
      <c r="G57" s="28"/>
      <c r="H57" s="88"/>
      <c r="I57" s="29"/>
      <c r="J57" s="28"/>
      <c r="K57" s="88"/>
      <c r="L57" s="29"/>
      <c r="M57" s="28"/>
      <c r="N57" s="88"/>
      <c r="O57" s="29"/>
      <c r="P57" s="28"/>
      <c r="Q57" s="88"/>
      <c r="R57" s="29"/>
    </row>
    <row r="58" spans="1:18" x14ac:dyDescent="0.25">
      <c r="A58" s="25"/>
      <c r="B58" s="87"/>
      <c r="C58" s="27"/>
      <c r="D58" s="30"/>
      <c r="E58" s="28"/>
      <c r="F58" s="29"/>
      <c r="G58" s="28"/>
      <c r="H58" s="88"/>
      <c r="I58" s="29"/>
      <c r="J58" s="28"/>
      <c r="K58" s="88"/>
      <c r="L58" s="29"/>
      <c r="M58" s="28"/>
      <c r="N58" s="88"/>
      <c r="O58" s="29"/>
      <c r="P58" s="28"/>
      <c r="Q58" s="88"/>
      <c r="R58" s="29"/>
    </row>
    <row r="59" spans="1:18" x14ac:dyDescent="0.25">
      <c r="A59" s="25"/>
      <c r="B59" s="87"/>
      <c r="C59" s="27"/>
      <c r="D59" s="30"/>
      <c r="E59" s="28"/>
      <c r="F59" s="29"/>
      <c r="G59" s="28"/>
      <c r="H59" s="88"/>
      <c r="I59" s="29"/>
      <c r="J59" s="28"/>
      <c r="K59" s="88"/>
      <c r="L59" s="29"/>
      <c r="M59" s="28"/>
      <c r="N59" s="88"/>
      <c r="O59" s="29"/>
      <c r="P59" s="28"/>
      <c r="Q59" s="88"/>
      <c r="R59" s="29"/>
    </row>
    <row r="60" spans="1:18" x14ac:dyDescent="0.25">
      <c r="A60" s="25"/>
      <c r="B60" s="87"/>
      <c r="C60" s="27"/>
      <c r="D60" s="30"/>
      <c r="E60" s="28"/>
      <c r="F60" s="29"/>
      <c r="G60" s="28"/>
      <c r="H60" s="88"/>
      <c r="I60" s="29"/>
      <c r="J60" s="28"/>
      <c r="K60" s="88"/>
      <c r="L60" s="29"/>
      <c r="M60" s="28"/>
      <c r="N60" s="88"/>
      <c r="O60" s="29"/>
      <c r="P60" s="28"/>
      <c r="Q60" s="88"/>
      <c r="R60" s="29"/>
    </row>
    <row r="61" spans="1:18" x14ac:dyDescent="0.25">
      <c r="A61" s="25"/>
      <c r="B61" s="87"/>
      <c r="C61" s="27"/>
      <c r="D61" s="30"/>
      <c r="E61" s="28"/>
      <c r="F61" s="29"/>
      <c r="G61" s="28"/>
      <c r="H61" s="88"/>
      <c r="I61" s="29"/>
      <c r="J61" s="28"/>
      <c r="K61" s="88"/>
      <c r="L61" s="29"/>
      <c r="M61" s="28"/>
      <c r="N61" s="88"/>
      <c r="O61" s="29"/>
      <c r="P61" s="28"/>
      <c r="Q61" s="88"/>
      <c r="R61" s="29"/>
    </row>
    <row r="62" spans="1:18" x14ac:dyDescent="0.25">
      <c r="A62" s="25"/>
      <c r="B62" s="87"/>
      <c r="C62" s="27"/>
      <c r="D62" s="30"/>
      <c r="E62" s="28"/>
      <c r="F62" s="29"/>
      <c r="G62" s="28"/>
      <c r="H62" s="88"/>
      <c r="I62" s="29"/>
      <c r="J62" s="28"/>
      <c r="K62" s="88"/>
      <c r="L62" s="29"/>
      <c r="M62" s="28"/>
      <c r="N62" s="88"/>
      <c r="O62" s="29"/>
      <c r="P62" s="28"/>
      <c r="Q62" s="88"/>
      <c r="R62" s="29"/>
    </row>
    <row r="63" spans="1:18" x14ac:dyDescent="0.25">
      <c r="A63" s="25"/>
      <c r="B63" s="87"/>
      <c r="C63" s="27"/>
      <c r="D63" s="30"/>
      <c r="E63" s="28"/>
      <c r="F63" s="29"/>
      <c r="G63" s="28"/>
      <c r="H63" s="88"/>
      <c r="I63" s="29"/>
      <c r="J63" s="28"/>
      <c r="K63" s="88"/>
      <c r="L63" s="29"/>
      <c r="M63" s="28"/>
      <c r="N63" s="88"/>
      <c r="O63" s="29"/>
      <c r="P63" s="28"/>
      <c r="Q63" s="88"/>
      <c r="R63" s="29"/>
    </row>
    <row r="64" spans="1:18" x14ac:dyDescent="0.25">
      <c r="A64" s="25"/>
      <c r="B64" s="87"/>
      <c r="C64" s="27"/>
      <c r="D64" s="30"/>
      <c r="E64" s="28"/>
      <c r="F64" s="29"/>
      <c r="G64" s="28"/>
      <c r="H64" s="88"/>
      <c r="I64" s="29"/>
      <c r="J64" s="28"/>
      <c r="K64" s="88"/>
      <c r="L64" s="29"/>
      <c r="M64" s="28"/>
      <c r="N64" s="88"/>
      <c r="O64" s="29"/>
      <c r="P64" s="28"/>
      <c r="Q64" s="88"/>
      <c r="R64" s="29"/>
    </row>
    <row r="65" spans="1:18" x14ac:dyDescent="0.25">
      <c r="A65" s="25"/>
      <c r="B65" s="87"/>
      <c r="C65" s="27"/>
      <c r="D65" s="30"/>
      <c r="E65" s="28"/>
      <c r="F65" s="29"/>
      <c r="G65" s="28"/>
      <c r="H65" s="88"/>
      <c r="I65" s="29"/>
      <c r="J65" s="28"/>
      <c r="K65" s="88"/>
      <c r="L65" s="29"/>
      <c r="M65" s="28"/>
      <c r="N65" s="88"/>
      <c r="O65" s="29"/>
      <c r="P65" s="28"/>
      <c r="Q65" s="88"/>
      <c r="R65" s="29"/>
    </row>
    <row r="66" spans="1:18" x14ac:dyDescent="0.25">
      <c r="A66" s="25"/>
      <c r="B66" s="87"/>
      <c r="C66" s="27"/>
      <c r="D66" s="30"/>
      <c r="E66" s="28"/>
      <c r="F66" s="29"/>
      <c r="G66" s="28"/>
      <c r="H66" s="88"/>
      <c r="I66" s="29"/>
      <c r="J66" s="28"/>
      <c r="K66" s="88"/>
      <c r="L66" s="29"/>
      <c r="M66" s="28"/>
      <c r="N66" s="88"/>
      <c r="O66" s="29"/>
      <c r="P66" s="28"/>
      <c r="Q66" s="88"/>
      <c r="R66" s="29"/>
    </row>
    <row r="67" spans="1:18" x14ac:dyDescent="0.25">
      <c r="A67" s="25"/>
      <c r="B67" s="87"/>
      <c r="C67" s="27"/>
      <c r="D67" s="30"/>
      <c r="E67" s="28"/>
      <c r="F67" s="29"/>
      <c r="G67" s="28"/>
      <c r="H67" s="88"/>
      <c r="I67" s="29"/>
      <c r="J67" s="28"/>
      <c r="K67" s="88"/>
      <c r="L67" s="29"/>
      <c r="M67" s="28"/>
      <c r="N67" s="88"/>
      <c r="O67" s="29"/>
      <c r="P67" s="28"/>
      <c r="Q67" s="88"/>
      <c r="R67" s="29"/>
    </row>
    <row r="68" spans="1:18" x14ac:dyDescent="0.25">
      <c r="A68" s="25"/>
      <c r="B68" s="87"/>
      <c r="C68" s="27"/>
      <c r="D68" s="30"/>
      <c r="E68" s="28"/>
      <c r="F68" s="29"/>
      <c r="G68" s="28"/>
      <c r="H68" s="88"/>
      <c r="I68" s="29"/>
      <c r="J68" s="28"/>
      <c r="K68" s="88"/>
      <c r="L68" s="29"/>
      <c r="M68" s="28"/>
      <c r="N68" s="88"/>
      <c r="O68" s="29"/>
      <c r="P68" s="28"/>
      <c r="Q68" s="88"/>
      <c r="R68" s="29"/>
    </row>
    <row r="69" spans="1:18" x14ac:dyDescent="0.25">
      <c r="A69" s="25"/>
      <c r="B69" s="87"/>
      <c r="C69" s="27"/>
      <c r="D69" s="30"/>
      <c r="E69" s="28"/>
      <c r="F69" s="29"/>
      <c r="G69" s="28"/>
      <c r="H69" s="88"/>
      <c r="I69" s="29"/>
      <c r="J69" s="28"/>
      <c r="K69" s="88"/>
      <c r="L69" s="29"/>
      <c r="M69" s="28"/>
      <c r="N69" s="88"/>
      <c r="O69" s="29"/>
      <c r="P69" s="28"/>
      <c r="Q69" s="88"/>
      <c r="R69" s="29"/>
    </row>
    <row r="70" spans="1:18" x14ac:dyDescent="0.25">
      <c r="A70" s="25"/>
      <c r="B70" s="87"/>
      <c r="C70" s="27"/>
      <c r="D70" s="30"/>
      <c r="E70" s="28"/>
      <c r="F70" s="29"/>
      <c r="G70" s="28"/>
      <c r="H70" s="88"/>
      <c r="I70" s="29"/>
      <c r="J70" s="28"/>
      <c r="K70" s="88"/>
      <c r="L70" s="29"/>
      <c r="M70" s="28"/>
      <c r="N70" s="88"/>
      <c r="O70" s="29"/>
      <c r="P70" s="28"/>
      <c r="Q70" s="88"/>
      <c r="R70" s="29"/>
    </row>
    <row r="71" spans="1:18" x14ac:dyDescent="0.25">
      <c r="A71" s="25"/>
      <c r="B71" s="87"/>
      <c r="C71" s="27"/>
      <c r="D71" s="30"/>
      <c r="E71" s="28"/>
      <c r="F71" s="29"/>
      <c r="G71" s="28"/>
      <c r="H71" s="88"/>
      <c r="I71" s="29"/>
      <c r="J71" s="28"/>
      <c r="K71" s="88"/>
      <c r="L71" s="29"/>
      <c r="M71" s="28"/>
      <c r="N71" s="88"/>
      <c r="O71" s="29"/>
      <c r="P71" s="28"/>
      <c r="Q71" s="88"/>
      <c r="R71" s="29"/>
    </row>
    <row r="72" spans="1:18" x14ac:dyDescent="0.25">
      <c r="A72" s="25"/>
      <c r="B72" s="87"/>
      <c r="C72" s="27"/>
      <c r="D72" s="30"/>
      <c r="E72" s="28"/>
      <c r="F72" s="29"/>
      <c r="G72" s="28"/>
      <c r="H72" s="88"/>
      <c r="I72" s="29"/>
      <c r="J72" s="28"/>
      <c r="K72" s="88"/>
      <c r="L72" s="29"/>
      <c r="M72" s="28"/>
      <c r="N72" s="88"/>
      <c r="O72" s="29"/>
      <c r="P72" s="28"/>
      <c r="Q72" s="88"/>
      <c r="R72" s="29"/>
    </row>
    <row r="73" spans="1:18" x14ac:dyDescent="0.25">
      <c r="A73" s="25"/>
      <c r="B73" s="87"/>
      <c r="C73" s="27"/>
      <c r="D73" s="30"/>
      <c r="E73" s="28"/>
      <c r="F73" s="29"/>
      <c r="G73" s="28"/>
      <c r="H73" s="88"/>
      <c r="I73" s="29"/>
      <c r="J73" s="28"/>
      <c r="K73" s="88"/>
      <c r="L73" s="29"/>
      <c r="M73" s="28"/>
      <c r="N73" s="88"/>
      <c r="O73" s="29"/>
      <c r="P73" s="28"/>
      <c r="Q73" s="88"/>
      <c r="R73" s="29"/>
    </row>
    <row r="74" spans="1:18" x14ac:dyDescent="0.25">
      <c r="A74" s="25"/>
      <c r="B74" s="87"/>
      <c r="C74" s="27"/>
      <c r="D74" s="30"/>
      <c r="E74" s="28"/>
      <c r="F74" s="29"/>
      <c r="G74" s="28"/>
      <c r="H74" s="88"/>
      <c r="I74" s="29"/>
      <c r="J74" s="28"/>
      <c r="K74" s="88"/>
      <c r="L74" s="29"/>
      <c r="M74" s="28"/>
      <c r="N74" s="88"/>
      <c r="O74" s="29"/>
      <c r="P74" s="28"/>
      <c r="Q74" s="88"/>
      <c r="R74" s="29"/>
    </row>
    <row r="75" spans="1:18" x14ac:dyDescent="0.25">
      <c r="A75" s="25"/>
      <c r="B75" s="87"/>
      <c r="C75" s="27"/>
      <c r="D75" s="30"/>
      <c r="E75" s="28"/>
      <c r="F75" s="29"/>
      <c r="G75" s="28"/>
      <c r="H75" s="88"/>
      <c r="I75" s="29"/>
      <c r="J75" s="28"/>
      <c r="K75" s="88"/>
      <c r="L75" s="29"/>
      <c r="M75" s="28"/>
      <c r="N75" s="88"/>
      <c r="O75" s="29"/>
      <c r="P75" s="28"/>
      <c r="Q75" s="88"/>
      <c r="R75" s="29"/>
    </row>
    <row r="76" spans="1:18" x14ac:dyDescent="0.25">
      <c r="A76" s="25"/>
      <c r="B76" s="87"/>
      <c r="C76" s="27"/>
      <c r="D76" s="30"/>
      <c r="E76" s="28"/>
      <c r="F76" s="29"/>
      <c r="G76" s="28"/>
      <c r="H76" s="88"/>
      <c r="I76" s="29"/>
      <c r="J76" s="28"/>
      <c r="K76" s="88"/>
      <c r="L76" s="29"/>
      <c r="M76" s="28"/>
      <c r="N76" s="88"/>
      <c r="O76" s="29"/>
      <c r="P76" s="28"/>
      <c r="Q76" s="88"/>
      <c r="R76" s="29"/>
    </row>
    <row r="77" spans="1:18" x14ac:dyDescent="0.25">
      <c r="A77" s="25"/>
      <c r="B77" s="87"/>
      <c r="C77" s="27"/>
      <c r="D77" s="30"/>
      <c r="E77" s="28"/>
      <c r="F77" s="29"/>
      <c r="G77" s="28"/>
      <c r="H77" s="88"/>
      <c r="I77" s="29"/>
      <c r="J77" s="28"/>
      <c r="K77" s="88"/>
      <c r="L77" s="29"/>
      <c r="M77" s="28"/>
      <c r="N77" s="88"/>
      <c r="O77" s="29"/>
      <c r="P77" s="28"/>
      <c r="Q77" s="88"/>
      <c r="R77" s="29"/>
    </row>
    <row r="78" spans="1:18" x14ac:dyDescent="0.25">
      <c r="A78" s="25"/>
      <c r="B78" s="87"/>
      <c r="C78" s="27"/>
      <c r="D78" s="30"/>
      <c r="E78" s="28"/>
      <c r="F78" s="29"/>
      <c r="G78" s="28"/>
      <c r="H78" s="88"/>
      <c r="I78" s="29"/>
      <c r="J78" s="28"/>
      <c r="K78" s="88"/>
      <c r="L78" s="29"/>
      <c r="M78" s="28"/>
      <c r="N78" s="88"/>
      <c r="O78" s="29"/>
      <c r="P78" s="28"/>
      <c r="Q78" s="88"/>
      <c r="R78" s="29"/>
    </row>
    <row r="79" spans="1:18" x14ac:dyDescent="0.25">
      <c r="A79" s="25"/>
      <c r="B79" s="87"/>
      <c r="C79" s="27"/>
      <c r="D79" s="30"/>
      <c r="E79" s="28"/>
      <c r="F79" s="29"/>
      <c r="G79" s="28"/>
      <c r="H79" s="88"/>
      <c r="I79" s="29"/>
      <c r="J79" s="28"/>
      <c r="K79" s="88"/>
      <c r="L79" s="29"/>
      <c r="M79" s="28"/>
      <c r="N79" s="88"/>
      <c r="O79" s="29"/>
      <c r="P79" s="28"/>
      <c r="Q79" s="88"/>
      <c r="R79" s="29"/>
    </row>
    <row r="80" spans="1:18" x14ac:dyDescent="0.25">
      <c r="A80" s="25"/>
      <c r="B80" s="87"/>
      <c r="C80" s="27"/>
      <c r="D80" s="30"/>
      <c r="E80" s="28"/>
      <c r="F80" s="29"/>
      <c r="G80" s="28"/>
      <c r="H80" s="88"/>
      <c r="I80" s="29"/>
      <c r="J80" s="28"/>
      <c r="K80" s="88"/>
      <c r="L80" s="29"/>
      <c r="M80" s="28"/>
      <c r="N80" s="88"/>
      <c r="O80" s="29"/>
      <c r="P80" s="28"/>
      <c r="Q80" s="88"/>
      <c r="R80" s="29"/>
    </row>
    <row r="81" spans="1:18" x14ac:dyDescent="0.25">
      <c r="A81" s="25"/>
      <c r="B81" s="87"/>
      <c r="C81" s="27"/>
      <c r="D81" s="30"/>
      <c r="E81" s="28"/>
      <c r="F81" s="29"/>
      <c r="G81" s="28"/>
      <c r="H81" s="88"/>
      <c r="I81" s="29"/>
      <c r="J81" s="28"/>
      <c r="K81" s="88"/>
      <c r="L81" s="29"/>
      <c r="M81" s="28"/>
      <c r="N81" s="88"/>
      <c r="O81" s="29"/>
      <c r="P81" s="28"/>
      <c r="Q81" s="88"/>
      <c r="R81" s="29"/>
    </row>
    <row r="82" spans="1:18" x14ac:dyDescent="0.25">
      <c r="A82" s="25"/>
      <c r="B82" s="87"/>
      <c r="C82" s="27"/>
      <c r="D82" s="30"/>
      <c r="E82" s="28"/>
      <c r="F82" s="29"/>
      <c r="G82" s="28"/>
      <c r="H82" s="88"/>
      <c r="I82" s="29"/>
      <c r="J82" s="28"/>
      <c r="K82" s="88"/>
      <c r="L82" s="29"/>
      <c r="M82" s="28"/>
      <c r="N82" s="88"/>
      <c r="O82" s="29"/>
      <c r="P82" s="28"/>
      <c r="Q82" s="88"/>
      <c r="R82" s="29"/>
    </row>
    <row r="83" spans="1:18" x14ac:dyDescent="0.25">
      <c r="A83" s="25"/>
      <c r="B83" s="87"/>
      <c r="C83" s="27"/>
      <c r="D83" s="30"/>
      <c r="E83" s="28"/>
      <c r="F83" s="29"/>
      <c r="G83" s="28"/>
      <c r="H83" s="88"/>
      <c r="I83" s="29"/>
      <c r="J83" s="28"/>
      <c r="K83" s="88"/>
      <c r="L83" s="29"/>
      <c r="M83" s="28"/>
      <c r="N83" s="88"/>
      <c r="O83" s="29"/>
      <c r="P83" s="28"/>
      <c r="Q83" s="88"/>
      <c r="R83" s="29"/>
    </row>
    <row r="84" spans="1:18" x14ac:dyDescent="0.25">
      <c r="A84" s="25"/>
      <c r="B84" s="87"/>
      <c r="C84" s="27"/>
      <c r="D84" s="30"/>
      <c r="E84" s="28"/>
      <c r="F84" s="29"/>
      <c r="G84" s="28"/>
      <c r="H84" s="88"/>
      <c r="I84" s="29"/>
      <c r="J84" s="28"/>
      <c r="K84" s="88"/>
      <c r="L84" s="29"/>
      <c r="M84" s="28"/>
      <c r="N84" s="88"/>
      <c r="O84" s="29"/>
      <c r="P84" s="28"/>
      <c r="Q84" s="88"/>
      <c r="R84" s="29"/>
    </row>
    <row r="85" spans="1:18" x14ac:dyDescent="0.25">
      <c r="A85" s="25"/>
      <c r="B85" s="87"/>
      <c r="C85" s="27"/>
      <c r="D85" s="30"/>
      <c r="E85" s="28"/>
      <c r="F85" s="29"/>
      <c r="G85" s="28"/>
      <c r="H85" s="88"/>
      <c r="I85" s="29"/>
      <c r="J85" s="28"/>
      <c r="K85" s="88"/>
      <c r="L85" s="29"/>
      <c r="M85" s="28"/>
      <c r="N85" s="88"/>
      <c r="O85" s="29"/>
      <c r="P85" s="28"/>
      <c r="Q85" s="88"/>
      <c r="R85" s="29"/>
    </row>
    <row r="86" spans="1:18" x14ac:dyDescent="0.25">
      <c r="A86" s="25"/>
      <c r="B86" s="87"/>
      <c r="C86" s="27"/>
      <c r="D86" s="30"/>
      <c r="E86" s="28"/>
      <c r="F86" s="29"/>
      <c r="G86" s="28"/>
      <c r="H86" s="88"/>
      <c r="I86" s="29"/>
      <c r="J86" s="28"/>
      <c r="K86" s="88"/>
      <c r="L86" s="29"/>
      <c r="M86" s="28"/>
      <c r="N86" s="88"/>
      <c r="O86" s="29"/>
      <c r="P86" s="28"/>
      <c r="Q86" s="88"/>
      <c r="R86" s="29"/>
    </row>
    <row r="87" spans="1:18" x14ac:dyDescent="0.25">
      <c r="A87" s="25"/>
      <c r="B87" s="87"/>
      <c r="C87" s="27"/>
      <c r="D87" s="30"/>
      <c r="E87" s="28"/>
      <c r="F87" s="29"/>
      <c r="G87" s="28"/>
      <c r="H87" s="88"/>
      <c r="I87" s="29"/>
      <c r="J87" s="28"/>
      <c r="K87" s="88"/>
      <c r="L87" s="29"/>
      <c r="M87" s="28"/>
      <c r="N87" s="88"/>
      <c r="O87" s="29"/>
      <c r="P87" s="28"/>
      <c r="Q87" s="88"/>
      <c r="R87" s="29"/>
    </row>
    <row r="88" spans="1:18" x14ac:dyDescent="0.25">
      <c r="A88" s="25"/>
      <c r="B88" s="87"/>
      <c r="C88" s="27"/>
      <c r="D88" s="30"/>
      <c r="E88" s="28"/>
      <c r="F88" s="29"/>
      <c r="G88" s="28"/>
      <c r="H88" s="88"/>
      <c r="I88" s="29"/>
      <c r="J88" s="28"/>
      <c r="K88" s="88"/>
      <c r="L88" s="29"/>
      <c r="M88" s="28"/>
      <c r="N88" s="88"/>
      <c r="O88" s="29"/>
      <c r="P88" s="28"/>
      <c r="Q88" s="88"/>
      <c r="R88" s="29"/>
    </row>
    <row r="89" spans="1:18" x14ac:dyDescent="0.25">
      <c r="A89" s="25"/>
      <c r="B89" s="87"/>
      <c r="C89" s="27"/>
      <c r="D89" s="30"/>
      <c r="E89" s="28"/>
      <c r="F89" s="29"/>
      <c r="G89" s="28"/>
      <c r="H89" s="88"/>
      <c r="I89" s="29"/>
      <c r="J89" s="28"/>
      <c r="K89" s="88"/>
      <c r="L89" s="29"/>
      <c r="M89" s="28"/>
      <c r="N89" s="88"/>
      <c r="O89" s="29"/>
      <c r="P89" s="28"/>
      <c r="Q89" s="88"/>
      <c r="R89" s="29"/>
    </row>
    <row r="90" spans="1:18" x14ac:dyDescent="0.25">
      <c r="A90" s="25"/>
      <c r="B90" s="87"/>
      <c r="C90" s="27"/>
      <c r="D90" s="30"/>
      <c r="E90" s="28"/>
      <c r="F90" s="29"/>
      <c r="G90" s="28"/>
      <c r="H90" s="88"/>
      <c r="I90" s="29"/>
      <c r="J90" s="28"/>
      <c r="K90" s="88"/>
      <c r="L90" s="29"/>
      <c r="M90" s="28"/>
      <c r="N90" s="88"/>
      <c r="O90" s="29"/>
      <c r="P90" s="28"/>
      <c r="Q90" s="88"/>
      <c r="R90" s="29"/>
    </row>
    <row r="91" spans="1:18" x14ac:dyDescent="0.25">
      <c r="A91" s="25"/>
      <c r="B91" s="87"/>
      <c r="C91" s="27"/>
      <c r="D91" s="30"/>
      <c r="E91" s="28"/>
      <c r="F91" s="29"/>
      <c r="G91" s="28"/>
      <c r="H91" s="88"/>
      <c r="I91" s="29"/>
      <c r="J91" s="28"/>
      <c r="K91" s="88"/>
      <c r="L91" s="29"/>
      <c r="M91" s="28"/>
      <c r="N91" s="88"/>
      <c r="O91" s="29"/>
      <c r="P91" s="28"/>
      <c r="Q91" s="88"/>
      <c r="R91" s="29"/>
    </row>
    <row r="92" spans="1:18" x14ac:dyDescent="0.25">
      <c r="A92" s="25"/>
      <c r="B92" s="87"/>
      <c r="C92" s="27"/>
      <c r="D92" s="30"/>
      <c r="E92" s="28"/>
      <c r="F92" s="29"/>
      <c r="G92" s="28"/>
      <c r="H92" s="88"/>
      <c r="I92" s="29"/>
      <c r="J92" s="28"/>
      <c r="K92" s="88"/>
      <c r="L92" s="29"/>
      <c r="M92" s="28"/>
      <c r="N92" s="88"/>
      <c r="O92" s="29"/>
      <c r="P92" s="28"/>
      <c r="Q92" s="88"/>
      <c r="R92" s="29"/>
    </row>
    <row r="93" spans="1:18" x14ac:dyDescent="0.25">
      <c r="A93" s="25"/>
      <c r="B93" s="87"/>
      <c r="C93" s="27"/>
      <c r="D93" s="30"/>
      <c r="E93" s="28"/>
      <c r="F93" s="29"/>
      <c r="G93" s="28"/>
      <c r="H93" s="88"/>
      <c r="I93" s="29"/>
      <c r="J93" s="28"/>
      <c r="K93" s="88"/>
      <c r="L93" s="29"/>
      <c r="M93" s="28"/>
      <c r="N93" s="88"/>
      <c r="O93" s="29"/>
      <c r="P93" s="28"/>
      <c r="Q93" s="88"/>
      <c r="R93" s="29"/>
    </row>
    <row r="94" spans="1:18" x14ac:dyDescent="0.25">
      <c r="A94" s="25"/>
      <c r="B94" s="87"/>
      <c r="C94" s="27"/>
      <c r="D94" s="30"/>
      <c r="E94" s="28"/>
      <c r="F94" s="29"/>
      <c r="G94" s="28"/>
      <c r="H94" s="88"/>
      <c r="I94" s="29"/>
      <c r="J94" s="28"/>
      <c r="K94" s="88"/>
      <c r="L94" s="29"/>
      <c r="M94" s="28"/>
      <c r="N94" s="88"/>
      <c r="O94" s="29"/>
      <c r="P94" s="28"/>
      <c r="Q94" s="88"/>
      <c r="R94" s="29"/>
    </row>
    <row r="95" spans="1:18" x14ac:dyDescent="0.25">
      <c r="A95" s="25"/>
      <c r="B95" s="87"/>
      <c r="C95" s="27"/>
      <c r="D95" s="30"/>
      <c r="E95" s="28"/>
      <c r="F95" s="29"/>
      <c r="G95" s="28"/>
      <c r="H95" s="88"/>
      <c r="I95" s="29"/>
      <c r="J95" s="28"/>
      <c r="K95" s="88"/>
      <c r="L95" s="29"/>
      <c r="M95" s="28"/>
      <c r="N95" s="88"/>
      <c r="O95" s="29"/>
      <c r="P95" s="28"/>
      <c r="Q95" s="88"/>
      <c r="R95" s="29"/>
    </row>
    <row r="96" spans="1:18" x14ac:dyDescent="0.25">
      <c r="A96" s="25"/>
      <c r="B96" s="87"/>
      <c r="C96" s="27"/>
      <c r="D96" s="30"/>
      <c r="E96" s="28"/>
      <c r="F96" s="29"/>
      <c r="G96" s="28"/>
      <c r="H96" s="88"/>
      <c r="I96" s="29"/>
      <c r="J96" s="28"/>
      <c r="K96" s="88"/>
      <c r="L96" s="29"/>
      <c r="M96" s="28"/>
      <c r="N96" s="88"/>
      <c r="O96" s="29"/>
      <c r="P96" s="28"/>
      <c r="Q96" s="88"/>
      <c r="R96" s="29"/>
    </row>
    <row r="97" spans="1:18" x14ac:dyDescent="0.25">
      <c r="A97" s="25"/>
      <c r="B97" s="87"/>
      <c r="C97" s="27"/>
      <c r="D97" s="30"/>
      <c r="E97" s="28"/>
      <c r="F97" s="29"/>
      <c r="G97" s="28"/>
      <c r="H97" s="88"/>
      <c r="I97" s="29"/>
      <c r="J97" s="28"/>
      <c r="K97" s="88"/>
      <c r="L97" s="29"/>
      <c r="M97" s="28"/>
      <c r="N97" s="88"/>
      <c r="O97" s="29"/>
      <c r="P97" s="28"/>
      <c r="Q97" s="88"/>
      <c r="R97" s="29"/>
    </row>
    <row r="98" spans="1:18" x14ac:dyDescent="0.25">
      <c r="A98" s="25"/>
      <c r="B98" s="87"/>
      <c r="C98" s="27"/>
      <c r="D98" s="30"/>
      <c r="E98" s="28"/>
      <c r="F98" s="29"/>
      <c r="G98" s="28"/>
      <c r="H98" s="88"/>
      <c r="I98" s="29"/>
      <c r="J98" s="28"/>
      <c r="K98" s="88"/>
      <c r="L98" s="29"/>
      <c r="M98" s="28"/>
      <c r="N98" s="88"/>
      <c r="O98" s="29"/>
      <c r="P98" s="28"/>
      <c r="Q98" s="88"/>
      <c r="R98" s="29"/>
    </row>
    <row r="99" spans="1:18" x14ac:dyDescent="0.25">
      <c r="A99" s="25"/>
      <c r="B99" s="87"/>
      <c r="C99" s="27"/>
      <c r="D99" s="30"/>
      <c r="E99" s="28"/>
      <c r="F99" s="29"/>
      <c r="G99" s="28"/>
      <c r="H99" s="88"/>
      <c r="I99" s="29"/>
      <c r="J99" s="28"/>
      <c r="K99" s="88"/>
      <c r="L99" s="29"/>
      <c r="M99" s="28"/>
      <c r="N99" s="88"/>
      <c r="O99" s="29"/>
      <c r="P99" s="28"/>
      <c r="Q99" s="88"/>
      <c r="R99" s="29"/>
    </row>
    <row r="100" spans="1:18" x14ac:dyDescent="0.25">
      <c r="A100" s="25"/>
      <c r="B100" s="87"/>
      <c r="C100" s="27"/>
      <c r="D100" s="30"/>
      <c r="E100" s="28"/>
      <c r="F100" s="29"/>
      <c r="G100" s="28"/>
      <c r="H100" s="88"/>
      <c r="I100" s="29"/>
      <c r="J100" s="28"/>
      <c r="K100" s="88"/>
      <c r="L100" s="29"/>
      <c r="M100" s="28"/>
      <c r="N100" s="88"/>
      <c r="O100" s="29"/>
      <c r="P100" s="28"/>
      <c r="Q100" s="88"/>
      <c r="R100" s="29"/>
    </row>
    <row r="101" spans="1:18" x14ac:dyDescent="0.25">
      <c r="A101" s="25"/>
      <c r="B101" s="87"/>
      <c r="C101" s="27"/>
      <c r="D101" s="30"/>
      <c r="E101" s="28"/>
      <c r="F101" s="29"/>
      <c r="G101" s="28"/>
      <c r="H101" s="88"/>
      <c r="I101" s="29"/>
      <c r="J101" s="28"/>
      <c r="K101" s="88"/>
      <c r="L101" s="29"/>
      <c r="M101" s="28"/>
      <c r="N101" s="88"/>
      <c r="O101" s="29"/>
      <c r="P101" s="28"/>
      <c r="Q101" s="88"/>
      <c r="R101" s="29"/>
    </row>
    <row r="102" spans="1:18" x14ac:dyDescent="0.25">
      <c r="A102" s="25"/>
      <c r="B102" s="87"/>
      <c r="C102" s="27"/>
      <c r="D102" s="30"/>
      <c r="E102" s="28"/>
      <c r="F102" s="29"/>
      <c r="G102" s="28"/>
      <c r="H102" s="88"/>
      <c r="I102" s="29"/>
      <c r="J102" s="28"/>
      <c r="K102" s="88"/>
      <c r="L102" s="29"/>
      <c r="M102" s="28"/>
      <c r="N102" s="88"/>
      <c r="O102" s="29"/>
      <c r="P102" s="28"/>
      <c r="Q102" s="88"/>
      <c r="R102" s="29"/>
    </row>
    <row r="103" spans="1:18" x14ac:dyDescent="0.25">
      <c r="A103" s="25"/>
      <c r="B103" s="87"/>
      <c r="C103" s="27"/>
      <c r="D103" s="30"/>
      <c r="E103" s="28"/>
      <c r="F103" s="29"/>
      <c r="G103" s="28"/>
      <c r="H103" s="88"/>
      <c r="I103" s="29"/>
      <c r="J103" s="28"/>
      <c r="K103" s="88"/>
      <c r="L103" s="29"/>
      <c r="M103" s="28"/>
      <c r="N103" s="88"/>
      <c r="O103" s="29"/>
      <c r="P103" s="28"/>
      <c r="Q103" s="88"/>
      <c r="R103" s="29"/>
    </row>
    <row r="104" spans="1:18" x14ac:dyDescent="0.25">
      <c r="A104" s="25"/>
      <c r="B104" s="87"/>
      <c r="C104" s="27"/>
      <c r="D104" s="30"/>
      <c r="E104" s="28"/>
      <c r="F104" s="29"/>
      <c r="G104" s="28"/>
      <c r="H104" s="88"/>
      <c r="I104" s="29"/>
      <c r="J104" s="28"/>
      <c r="K104" s="88"/>
      <c r="L104" s="29"/>
      <c r="M104" s="28"/>
      <c r="N104" s="88"/>
      <c r="O104" s="29"/>
      <c r="P104" s="28"/>
      <c r="Q104" s="88"/>
      <c r="R104" s="29"/>
    </row>
    <row r="105" spans="1:18" x14ac:dyDescent="0.25">
      <c r="A105" s="25"/>
      <c r="B105" s="87"/>
      <c r="C105" s="27"/>
      <c r="D105" s="30"/>
      <c r="E105" s="28"/>
      <c r="F105" s="29"/>
      <c r="G105" s="28"/>
      <c r="H105" s="88"/>
      <c r="I105" s="29"/>
      <c r="J105" s="28"/>
      <c r="K105" s="88"/>
      <c r="L105" s="29"/>
      <c r="M105" s="28"/>
      <c r="N105" s="88"/>
      <c r="O105" s="29"/>
      <c r="P105" s="28"/>
      <c r="Q105" s="88"/>
      <c r="R105" s="29"/>
    </row>
    <row r="106" spans="1:18" x14ac:dyDescent="0.25">
      <c r="A106" s="25"/>
      <c r="B106" s="87"/>
      <c r="C106" s="27"/>
      <c r="D106" s="30"/>
      <c r="E106" s="28"/>
      <c r="F106" s="29"/>
      <c r="G106" s="28"/>
      <c r="H106" s="88"/>
      <c r="I106" s="29"/>
      <c r="J106" s="28"/>
      <c r="K106" s="88"/>
      <c r="L106" s="29"/>
      <c r="M106" s="28"/>
      <c r="N106" s="88"/>
      <c r="O106" s="29"/>
      <c r="P106" s="28"/>
      <c r="Q106" s="88"/>
      <c r="R106" s="29"/>
    </row>
    <row r="107" spans="1:18" x14ac:dyDescent="0.25">
      <c r="A107" s="25"/>
      <c r="B107" s="87"/>
      <c r="C107" s="27"/>
      <c r="D107" s="30"/>
      <c r="E107" s="28"/>
      <c r="F107" s="29"/>
      <c r="G107" s="28"/>
      <c r="H107" s="88"/>
      <c r="I107" s="29"/>
      <c r="J107" s="28"/>
      <c r="K107" s="88"/>
      <c r="L107" s="29"/>
      <c r="M107" s="28"/>
      <c r="N107" s="88"/>
      <c r="O107" s="29"/>
      <c r="P107" s="28"/>
      <c r="Q107" s="88"/>
      <c r="R107" s="29"/>
    </row>
    <row r="108" spans="1:18" x14ac:dyDescent="0.25">
      <c r="A108" s="25"/>
      <c r="B108" s="87"/>
      <c r="C108" s="27"/>
      <c r="D108" s="30"/>
      <c r="E108" s="28"/>
      <c r="F108" s="29"/>
      <c r="G108" s="28"/>
      <c r="H108" s="88"/>
      <c r="I108" s="29"/>
      <c r="J108" s="28"/>
      <c r="K108" s="88"/>
      <c r="L108" s="29"/>
      <c r="M108" s="28"/>
      <c r="N108" s="88"/>
      <c r="O108" s="29"/>
      <c r="P108" s="28"/>
      <c r="Q108" s="88"/>
      <c r="R108" s="29"/>
    </row>
    <row r="109" spans="1:18" x14ac:dyDescent="0.25">
      <c r="A109" s="25"/>
      <c r="B109" s="87"/>
      <c r="C109" s="27"/>
      <c r="D109" s="30"/>
      <c r="E109" s="28"/>
      <c r="F109" s="29"/>
      <c r="G109" s="28"/>
      <c r="H109" s="88"/>
      <c r="I109" s="29"/>
      <c r="J109" s="28"/>
      <c r="K109" s="88"/>
      <c r="L109" s="29"/>
      <c r="M109" s="28"/>
      <c r="N109" s="88"/>
      <c r="O109" s="29"/>
      <c r="P109" s="28"/>
      <c r="Q109" s="88"/>
      <c r="R109" s="29"/>
    </row>
    <row r="110" spans="1:18" x14ac:dyDescent="0.25">
      <c r="A110" s="25"/>
      <c r="B110" s="87"/>
      <c r="C110" s="27"/>
      <c r="D110" s="30"/>
      <c r="E110" s="28"/>
      <c r="F110" s="29"/>
      <c r="G110" s="28"/>
      <c r="H110" s="88"/>
      <c r="I110" s="29"/>
      <c r="J110" s="28"/>
      <c r="K110" s="88"/>
      <c r="L110" s="29"/>
      <c r="M110" s="28"/>
      <c r="N110" s="88"/>
      <c r="O110" s="29"/>
      <c r="P110" s="28"/>
      <c r="Q110" s="88"/>
      <c r="R110" s="29"/>
    </row>
    <row r="111" spans="1:18" x14ac:dyDescent="0.25">
      <c r="A111" s="25"/>
      <c r="B111" s="87"/>
      <c r="C111" s="27"/>
      <c r="D111" s="30"/>
      <c r="E111" s="28"/>
      <c r="F111" s="29"/>
      <c r="G111" s="28"/>
      <c r="H111" s="88"/>
      <c r="I111" s="29"/>
      <c r="J111" s="28"/>
      <c r="K111" s="88"/>
      <c r="L111" s="29"/>
      <c r="M111" s="28"/>
      <c r="N111" s="88"/>
      <c r="O111" s="29"/>
      <c r="P111" s="28"/>
      <c r="Q111" s="88"/>
      <c r="R111" s="29"/>
    </row>
    <row r="112" spans="1:18" x14ac:dyDescent="0.25">
      <c r="A112" s="25"/>
      <c r="B112" s="87"/>
      <c r="C112" s="27"/>
      <c r="D112" s="30"/>
      <c r="E112" s="28"/>
      <c r="F112" s="29"/>
      <c r="G112" s="28"/>
      <c r="H112" s="88"/>
      <c r="I112" s="29"/>
      <c r="J112" s="28"/>
      <c r="K112" s="88"/>
      <c r="L112" s="29"/>
      <c r="M112" s="28"/>
      <c r="N112" s="88"/>
      <c r="O112" s="29"/>
      <c r="P112" s="28"/>
      <c r="Q112" s="88"/>
      <c r="R112" s="29"/>
    </row>
    <row r="113" spans="1:18" x14ac:dyDescent="0.25">
      <c r="A113" s="25"/>
      <c r="B113" s="87"/>
      <c r="C113" s="27"/>
      <c r="D113" s="30"/>
      <c r="E113" s="28"/>
      <c r="F113" s="29"/>
      <c r="G113" s="28"/>
      <c r="H113" s="88"/>
      <c r="I113" s="29"/>
      <c r="J113" s="28"/>
      <c r="K113" s="88"/>
      <c r="L113" s="29"/>
      <c r="M113" s="28"/>
      <c r="N113" s="88"/>
      <c r="O113" s="29"/>
      <c r="P113" s="28"/>
      <c r="Q113" s="88"/>
      <c r="R113" s="29"/>
    </row>
    <row r="114" spans="1:18" x14ac:dyDescent="0.25">
      <c r="A114" s="25"/>
      <c r="B114" s="87"/>
      <c r="C114" s="27"/>
      <c r="D114" s="30"/>
      <c r="E114" s="28"/>
      <c r="F114" s="29"/>
      <c r="G114" s="28"/>
      <c r="H114" s="88"/>
      <c r="I114" s="29"/>
      <c r="J114" s="28"/>
      <c r="K114" s="88"/>
      <c r="L114" s="29"/>
      <c r="M114" s="28"/>
      <c r="N114" s="88"/>
      <c r="O114" s="29"/>
      <c r="P114" s="28"/>
      <c r="Q114" s="88"/>
      <c r="R114" s="29"/>
    </row>
    <row r="115" spans="1:18" x14ac:dyDescent="0.25">
      <c r="A115" s="25"/>
      <c r="B115" s="87"/>
      <c r="C115" s="27"/>
      <c r="D115" s="30"/>
      <c r="E115" s="28"/>
      <c r="F115" s="29"/>
      <c r="G115" s="28"/>
      <c r="H115" s="88"/>
      <c r="I115" s="29"/>
      <c r="J115" s="28"/>
      <c r="K115" s="88"/>
      <c r="L115" s="29"/>
      <c r="M115" s="28"/>
      <c r="N115" s="88"/>
      <c r="O115" s="29"/>
      <c r="P115" s="28"/>
      <c r="Q115" s="88"/>
      <c r="R115" s="29"/>
    </row>
    <row r="116" spans="1:18" x14ac:dyDescent="0.25">
      <c r="A116" s="25"/>
      <c r="B116" s="87"/>
      <c r="C116" s="27"/>
      <c r="D116" s="30"/>
      <c r="E116" s="28"/>
      <c r="F116" s="29"/>
      <c r="G116" s="28"/>
      <c r="H116" s="88"/>
      <c r="I116" s="29"/>
      <c r="J116" s="28"/>
      <c r="K116" s="88"/>
      <c r="L116" s="29"/>
      <c r="M116" s="28"/>
      <c r="N116" s="88"/>
      <c r="O116" s="29"/>
      <c r="P116" s="28"/>
      <c r="Q116" s="88"/>
      <c r="R116" s="29"/>
    </row>
    <row r="117" spans="1:18" x14ac:dyDescent="0.25">
      <c r="A117" s="25"/>
      <c r="B117" s="87"/>
      <c r="C117" s="27"/>
      <c r="D117" s="30"/>
      <c r="E117" s="28"/>
      <c r="F117" s="29"/>
      <c r="G117" s="28"/>
      <c r="H117" s="88"/>
      <c r="I117" s="29"/>
      <c r="J117" s="28"/>
      <c r="K117" s="88"/>
      <c r="L117" s="29"/>
      <c r="M117" s="28"/>
      <c r="N117" s="88"/>
      <c r="O117" s="29"/>
      <c r="P117" s="28"/>
      <c r="Q117" s="88"/>
      <c r="R117" s="29"/>
    </row>
    <row r="118" spans="1:18" x14ac:dyDescent="0.25">
      <c r="A118" s="25"/>
      <c r="B118" s="87"/>
      <c r="C118" s="27"/>
      <c r="D118" s="30"/>
      <c r="E118" s="28"/>
      <c r="F118" s="29"/>
      <c r="G118" s="28"/>
      <c r="H118" s="88"/>
      <c r="I118" s="29"/>
      <c r="J118" s="28"/>
      <c r="K118" s="88"/>
      <c r="L118" s="29"/>
      <c r="M118" s="28"/>
      <c r="N118" s="88"/>
      <c r="O118" s="29"/>
      <c r="P118" s="28"/>
      <c r="Q118" s="88"/>
      <c r="R118" s="29"/>
    </row>
    <row r="119" spans="1:18" x14ac:dyDescent="0.25">
      <c r="A119" s="25"/>
      <c r="B119" s="87"/>
      <c r="C119" s="27"/>
      <c r="D119" s="30"/>
      <c r="E119" s="28"/>
      <c r="F119" s="29"/>
      <c r="G119" s="28"/>
      <c r="H119" s="88"/>
      <c r="I119" s="29"/>
      <c r="J119" s="28"/>
      <c r="K119" s="88"/>
      <c r="L119" s="29"/>
      <c r="M119" s="28"/>
      <c r="N119" s="88"/>
      <c r="O119" s="29"/>
      <c r="P119" s="28"/>
      <c r="Q119" s="88"/>
      <c r="R119" s="29"/>
    </row>
    <row r="120" spans="1:18" x14ac:dyDescent="0.25">
      <c r="A120" s="25"/>
      <c r="B120" s="87"/>
      <c r="C120" s="27"/>
      <c r="D120" s="30"/>
      <c r="E120" s="28"/>
      <c r="F120" s="29"/>
      <c r="G120" s="28"/>
      <c r="H120" s="88"/>
      <c r="I120" s="29"/>
      <c r="J120" s="28"/>
      <c r="K120" s="88"/>
      <c r="L120" s="29"/>
      <c r="M120" s="28"/>
      <c r="N120" s="88"/>
      <c r="O120" s="29"/>
      <c r="P120" s="28"/>
      <c r="Q120" s="88"/>
      <c r="R120" s="29"/>
    </row>
    <row r="121" spans="1:18" x14ac:dyDescent="0.25">
      <c r="A121" s="25"/>
      <c r="B121" s="87"/>
      <c r="C121" s="27"/>
      <c r="D121" s="30"/>
      <c r="E121" s="28"/>
      <c r="F121" s="29"/>
      <c r="G121" s="28"/>
      <c r="H121" s="88"/>
      <c r="I121" s="29"/>
      <c r="J121" s="28"/>
      <c r="K121" s="88"/>
      <c r="L121" s="29"/>
      <c r="M121" s="28"/>
      <c r="N121" s="88"/>
      <c r="O121" s="29"/>
      <c r="P121" s="28"/>
      <c r="Q121" s="88"/>
      <c r="R121" s="29"/>
    </row>
    <row r="122" spans="1:18" x14ac:dyDescent="0.25">
      <c r="A122" s="25"/>
      <c r="B122" s="87"/>
      <c r="C122" s="27"/>
      <c r="D122" s="30"/>
      <c r="E122" s="28"/>
      <c r="F122" s="29"/>
      <c r="G122" s="28"/>
      <c r="H122" s="88"/>
      <c r="I122" s="29"/>
      <c r="J122" s="28"/>
      <c r="K122" s="88"/>
      <c r="L122" s="29"/>
      <c r="M122" s="28"/>
      <c r="N122" s="88"/>
      <c r="O122" s="29"/>
      <c r="P122" s="28"/>
      <c r="Q122" s="88"/>
      <c r="R122" s="29"/>
    </row>
    <row r="123" spans="1:18" x14ac:dyDescent="0.25">
      <c r="A123" s="25"/>
      <c r="B123" s="87"/>
      <c r="C123" s="27"/>
      <c r="D123" s="30"/>
      <c r="E123" s="28"/>
      <c r="F123" s="29"/>
      <c r="G123" s="28"/>
      <c r="H123" s="88"/>
      <c r="I123" s="29"/>
      <c r="J123" s="28"/>
      <c r="K123" s="88"/>
      <c r="L123" s="29"/>
      <c r="M123" s="28"/>
      <c r="N123" s="88"/>
      <c r="O123" s="29"/>
      <c r="P123" s="28"/>
      <c r="Q123" s="88"/>
      <c r="R123" s="29"/>
    </row>
    <row r="124" spans="1:18" x14ac:dyDescent="0.25">
      <c r="A124" s="25"/>
      <c r="B124" s="87"/>
      <c r="C124" s="27"/>
      <c r="D124" s="30"/>
      <c r="E124" s="28"/>
      <c r="F124" s="29"/>
      <c r="G124" s="28"/>
      <c r="H124" s="88"/>
      <c r="I124" s="29"/>
      <c r="J124" s="28"/>
      <c r="K124" s="88"/>
      <c r="L124" s="29"/>
      <c r="M124" s="28"/>
      <c r="N124" s="88"/>
      <c r="O124" s="29"/>
      <c r="P124" s="28"/>
      <c r="Q124" s="88"/>
      <c r="R124" s="29"/>
    </row>
    <row r="125" spans="1:18" x14ac:dyDescent="0.25">
      <c r="A125" s="25"/>
      <c r="B125" s="87"/>
      <c r="C125" s="27"/>
      <c r="D125" s="30"/>
      <c r="E125" s="28"/>
      <c r="F125" s="29"/>
      <c r="G125" s="28"/>
      <c r="H125" s="88"/>
      <c r="I125" s="29"/>
      <c r="J125" s="28"/>
      <c r="K125" s="88"/>
      <c r="L125" s="29"/>
      <c r="M125" s="28"/>
      <c r="N125" s="88"/>
      <c r="O125" s="29"/>
      <c r="P125" s="28"/>
      <c r="Q125" s="88"/>
      <c r="R125" s="29"/>
    </row>
    <row r="126" spans="1:18" x14ac:dyDescent="0.25">
      <c r="A126" s="25"/>
      <c r="B126" s="87"/>
      <c r="C126" s="27"/>
      <c r="D126" s="30"/>
      <c r="E126" s="28"/>
      <c r="F126" s="29"/>
      <c r="G126" s="28"/>
      <c r="H126" s="88"/>
      <c r="I126" s="29"/>
      <c r="J126" s="28"/>
      <c r="K126" s="88"/>
      <c r="L126" s="29"/>
      <c r="M126" s="28"/>
      <c r="N126" s="88"/>
      <c r="O126" s="29"/>
      <c r="P126" s="28"/>
      <c r="Q126" s="88"/>
      <c r="R126" s="29"/>
    </row>
    <row r="127" spans="1:18" x14ac:dyDescent="0.25">
      <c r="A127" s="25"/>
      <c r="B127" s="87"/>
      <c r="C127" s="27"/>
      <c r="D127" s="30"/>
      <c r="E127" s="28"/>
      <c r="F127" s="29"/>
      <c r="G127" s="28"/>
      <c r="H127" s="88"/>
      <c r="I127" s="29"/>
      <c r="J127" s="28"/>
      <c r="K127" s="88"/>
      <c r="L127" s="29"/>
      <c r="M127" s="28"/>
      <c r="N127" s="88"/>
      <c r="O127" s="29"/>
      <c r="P127" s="28"/>
      <c r="Q127" s="88"/>
      <c r="R127" s="29"/>
    </row>
    <row r="128" spans="1:18" x14ac:dyDescent="0.25">
      <c r="A128" s="25"/>
      <c r="B128" s="87"/>
      <c r="C128" s="27"/>
      <c r="D128" s="30"/>
      <c r="E128" s="28"/>
      <c r="F128" s="29"/>
      <c r="G128" s="28"/>
      <c r="H128" s="88"/>
      <c r="I128" s="29"/>
      <c r="J128" s="28"/>
      <c r="K128" s="88"/>
      <c r="L128" s="29"/>
      <c r="M128" s="28"/>
      <c r="N128" s="88"/>
      <c r="O128" s="29"/>
      <c r="P128" s="28"/>
      <c r="Q128" s="88"/>
      <c r="R128" s="29"/>
    </row>
    <row r="129" spans="1:18" x14ac:dyDescent="0.25">
      <c r="A129" s="25"/>
      <c r="B129" s="87"/>
      <c r="C129" s="27"/>
      <c r="D129" s="30"/>
      <c r="E129" s="28"/>
      <c r="F129" s="29"/>
      <c r="G129" s="28"/>
      <c r="H129" s="88"/>
      <c r="I129" s="29"/>
      <c r="J129" s="28"/>
      <c r="K129" s="88"/>
      <c r="L129" s="29"/>
      <c r="M129" s="28"/>
      <c r="N129" s="88"/>
      <c r="O129" s="29"/>
      <c r="P129" s="28"/>
      <c r="Q129" s="88"/>
      <c r="R129" s="29"/>
    </row>
    <row r="130" spans="1:18" x14ac:dyDescent="0.25">
      <c r="A130" s="25"/>
      <c r="B130" s="87"/>
      <c r="C130" s="27"/>
      <c r="D130" s="30"/>
      <c r="E130" s="28"/>
      <c r="F130" s="29"/>
      <c r="G130" s="28"/>
      <c r="H130" s="88"/>
      <c r="I130" s="29"/>
      <c r="J130" s="28"/>
      <c r="K130" s="88"/>
      <c r="L130" s="29"/>
      <c r="M130" s="28"/>
      <c r="N130" s="88"/>
      <c r="O130" s="29"/>
      <c r="P130" s="28"/>
      <c r="Q130" s="88"/>
      <c r="R130" s="29"/>
    </row>
    <row r="131" spans="1:18" x14ac:dyDescent="0.25">
      <c r="A131" s="25"/>
      <c r="B131" s="87"/>
      <c r="C131" s="27"/>
      <c r="D131" s="30"/>
      <c r="E131" s="28"/>
      <c r="F131" s="29"/>
      <c r="G131" s="28"/>
      <c r="H131" s="88"/>
      <c r="I131" s="29"/>
      <c r="J131" s="28"/>
      <c r="K131" s="88"/>
      <c r="L131" s="29"/>
      <c r="M131" s="28"/>
      <c r="N131" s="88"/>
      <c r="O131" s="29"/>
      <c r="P131" s="28"/>
      <c r="Q131" s="88"/>
      <c r="R131" s="29"/>
    </row>
    <row r="132" spans="1:18" x14ac:dyDescent="0.25">
      <c r="A132" s="25"/>
      <c r="B132" s="87"/>
      <c r="C132" s="27"/>
      <c r="D132" s="30"/>
      <c r="E132" s="28"/>
      <c r="F132" s="29"/>
      <c r="G132" s="28"/>
      <c r="H132" s="88"/>
      <c r="I132" s="29"/>
      <c r="J132" s="28"/>
      <c r="K132" s="88"/>
      <c r="L132" s="29"/>
      <c r="M132" s="28"/>
      <c r="N132" s="88"/>
      <c r="O132" s="29"/>
      <c r="P132" s="28"/>
      <c r="Q132" s="88"/>
      <c r="R132" s="29"/>
    </row>
    <row r="133" spans="1:18" x14ac:dyDescent="0.25">
      <c r="A133" s="25"/>
      <c r="B133" s="87"/>
      <c r="C133" s="27"/>
      <c r="D133" s="30"/>
      <c r="E133" s="28"/>
      <c r="F133" s="29"/>
      <c r="G133" s="28"/>
      <c r="H133" s="88"/>
      <c r="I133" s="29"/>
      <c r="J133" s="28"/>
      <c r="K133" s="88"/>
      <c r="L133" s="29"/>
      <c r="M133" s="28"/>
      <c r="N133" s="88"/>
      <c r="O133" s="29"/>
      <c r="P133" s="28"/>
      <c r="Q133" s="88"/>
      <c r="R133" s="29"/>
    </row>
    <row r="134" spans="1:18" x14ac:dyDescent="0.25">
      <c r="A134" s="25"/>
      <c r="B134" s="87"/>
      <c r="C134" s="27"/>
      <c r="D134" s="30"/>
      <c r="E134" s="28"/>
      <c r="F134" s="29"/>
      <c r="G134" s="28"/>
      <c r="H134" s="88"/>
      <c r="I134" s="29"/>
      <c r="J134" s="28"/>
      <c r="K134" s="88"/>
      <c r="L134" s="29"/>
      <c r="M134" s="28"/>
      <c r="N134" s="88"/>
      <c r="O134" s="29"/>
      <c r="P134" s="28"/>
      <c r="Q134" s="88"/>
      <c r="R134" s="29"/>
    </row>
    <row r="135" spans="1:18" x14ac:dyDescent="0.25">
      <c r="A135" s="25"/>
      <c r="B135" s="87"/>
      <c r="C135" s="27"/>
      <c r="D135" s="30"/>
      <c r="E135" s="28"/>
      <c r="F135" s="29"/>
      <c r="G135" s="28"/>
      <c r="H135" s="88"/>
      <c r="I135" s="29"/>
      <c r="J135" s="28"/>
      <c r="K135" s="88"/>
      <c r="L135" s="29"/>
      <c r="M135" s="28"/>
      <c r="N135" s="88"/>
      <c r="O135" s="29"/>
      <c r="P135" s="28"/>
      <c r="Q135" s="88"/>
      <c r="R135" s="29"/>
    </row>
    <row r="136" spans="1:18" x14ac:dyDescent="0.25">
      <c r="A136" s="25"/>
      <c r="B136" s="87"/>
      <c r="C136" s="27"/>
      <c r="D136" s="30"/>
      <c r="E136" s="28"/>
      <c r="F136" s="29"/>
      <c r="G136" s="28"/>
      <c r="H136" s="88"/>
      <c r="I136" s="29"/>
      <c r="J136" s="28"/>
      <c r="K136" s="88"/>
      <c r="L136" s="29"/>
      <c r="M136" s="28"/>
      <c r="N136" s="88"/>
      <c r="O136" s="29"/>
      <c r="P136" s="28"/>
      <c r="Q136" s="88"/>
      <c r="R136" s="29"/>
    </row>
    <row r="137" spans="1:18" x14ac:dyDescent="0.25">
      <c r="A137" s="25"/>
      <c r="B137" s="87"/>
      <c r="C137" s="27"/>
      <c r="D137" s="30"/>
      <c r="E137" s="28"/>
      <c r="F137" s="29"/>
      <c r="G137" s="28"/>
      <c r="H137" s="88"/>
      <c r="I137" s="29"/>
      <c r="J137" s="28"/>
      <c r="K137" s="88"/>
      <c r="L137" s="29"/>
      <c r="M137" s="28"/>
      <c r="N137" s="88"/>
      <c r="O137" s="29"/>
      <c r="P137" s="28"/>
      <c r="Q137" s="88"/>
      <c r="R137" s="29"/>
    </row>
    <row r="138" spans="1:18" x14ac:dyDescent="0.25">
      <c r="A138" s="25"/>
      <c r="B138" s="87"/>
      <c r="C138" s="27"/>
      <c r="D138" s="30"/>
      <c r="E138" s="28"/>
      <c r="F138" s="29"/>
      <c r="G138" s="28"/>
      <c r="H138" s="88"/>
      <c r="I138" s="29"/>
      <c r="J138" s="28"/>
      <c r="K138" s="88"/>
      <c r="L138" s="29"/>
      <c r="M138" s="28"/>
      <c r="N138" s="88"/>
      <c r="O138" s="29"/>
      <c r="P138" s="28"/>
      <c r="Q138" s="88"/>
      <c r="R138" s="29"/>
    </row>
    <row r="139" spans="1:18" x14ac:dyDescent="0.25">
      <c r="A139" s="25"/>
      <c r="B139" s="87"/>
      <c r="C139" s="27"/>
      <c r="D139" s="30"/>
      <c r="E139" s="28"/>
      <c r="F139" s="29"/>
      <c r="G139" s="28"/>
      <c r="H139" s="88"/>
      <c r="I139" s="29"/>
      <c r="J139" s="28"/>
      <c r="K139" s="88"/>
      <c r="L139" s="29"/>
      <c r="M139" s="28"/>
      <c r="N139" s="88"/>
      <c r="O139" s="29"/>
      <c r="P139" s="28"/>
      <c r="Q139" s="88"/>
      <c r="R139" s="29"/>
    </row>
    <row r="140" spans="1:18" x14ac:dyDescent="0.25">
      <c r="A140" s="25"/>
      <c r="B140" s="87"/>
      <c r="C140" s="27"/>
      <c r="D140" s="30"/>
      <c r="E140" s="28"/>
      <c r="F140" s="29"/>
      <c r="G140" s="28"/>
      <c r="H140" s="88"/>
      <c r="I140" s="29"/>
      <c r="J140" s="28"/>
      <c r="K140" s="88"/>
      <c r="L140" s="29"/>
      <c r="M140" s="28"/>
      <c r="N140" s="88"/>
      <c r="O140" s="29"/>
      <c r="P140" s="28"/>
      <c r="Q140" s="88"/>
      <c r="R140" s="29"/>
    </row>
    <row r="141" spans="1:18" x14ac:dyDescent="0.25">
      <c r="A141" s="25"/>
      <c r="B141" s="87"/>
      <c r="C141" s="27"/>
      <c r="D141" s="30"/>
      <c r="E141" s="28"/>
      <c r="F141" s="29"/>
      <c r="G141" s="28"/>
      <c r="H141" s="88"/>
      <c r="I141" s="29"/>
      <c r="J141" s="28"/>
      <c r="K141" s="88"/>
      <c r="L141" s="29"/>
      <c r="M141" s="28"/>
      <c r="N141" s="88"/>
      <c r="O141" s="29"/>
      <c r="P141" s="28"/>
      <c r="Q141" s="88"/>
      <c r="R141" s="29"/>
    </row>
    <row r="142" spans="1:18" x14ac:dyDescent="0.25">
      <c r="A142" s="25"/>
      <c r="B142" s="87"/>
      <c r="C142" s="27"/>
      <c r="D142" s="30"/>
      <c r="E142" s="28"/>
      <c r="F142" s="29"/>
      <c r="G142" s="28"/>
      <c r="H142" s="88"/>
      <c r="I142" s="29"/>
      <c r="J142" s="28"/>
      <c r="K142" s="88"/>
      <c r="L142" s="29"/>
      <c r="M142" s="28"/>
      <c r="N142" s="88"/>
      <c r="O142" s="29"/>
      <c r="P142" s="28"/>
      <c r="Q142" s="88"/>
      <c r="R142" s="29"/>
    </row>
    <row r="143" spans="1:18" x14ac:dyDescent="0.25">
      <c r="A143" s="25"/>
      <c r="B143" s="87"/>
      <c r="C143" s="27"/>
      <c r="D143" s="30"/>
      <c r="E143" s="28"/>
      <c r="F143" s="29"/>
      <c r="G143" s="28"/>
      <c r="H143" s="88"/>
      <c r="I143" s="29"/>
      <c r="J143" s="28"/>
      <c r="K143" s="88"/>
      <c r="L143" s="29"/>
      <c r="M143" s="28"/>
      <c r="N143" s="88"/>
      <c r="O143" s="29"/>
      <c r="P143" s="28"/>
      <c r="Q143" s="88"/>
      <c r="R143" s="29"/>
    </row>
    <row r="144" spans="1:18" x14ac:dyDescent="0.25">
      <c r="A144" s="25"/>
      <c r="B144" s="87"/>
      <c r="C144" s="27"/>
      <c r="D144" s="30"/>
      <c r="E144" s="28"/>
      <c r="F144" s="29"/>
      <c r="G144" s="28"/>
      <c r="H144" s="88"/>
      <c r="I144" s="29"/>
      <c r="J144" s="28"/>
      <c r="K144" s="88"/>
      <c r="L144" s="29"/>
      <c r="M144" s="28"/>
      <c r="N144" s="88"/>
      <c r="O144" s="29"/>
      <c r="P144" s="28"/>
      <c r="Q144" s="88"/>
      <c r="R144" s="29"/>
    </row>
    <row r="145" spans="1:18" x14ac:dyDescent="0.25">
      <c r="A145" s="25"/>
      <c r="B145" s="87"/>
      <c r="C145" s="27"/>
      <c r="D145" s="30"/>
      <c r="E145" s="28"/>
      <c r="F145" s="29"/>
      <c r="G145" s="28"/>
      <c r="H145" s="88"/>
      <c r="I145" s="29"/>
      <c r="J145" s="28"/>
      <c r="K145" s="88"/>
      <c r="L145" s="29"/>
      <c r="M145" s="28"/>
      <c r="N145" s="88"/>
      <c r="O145" s="29"/>
      <c r="P145" s="28"/>
      <c r="Q145" s="88"/>
      <c r="R145" s="29"/>
    </row>
    <row r="146" spans="1:18" x14ac:dyDescent="0.25">
      <c r="A146" s="25"/>
      <c r="B146" s="87"/>
      <c r="C146" s="27"/>
      <c r="D146" s="30"/>
      <c r="E146" s="28"/>
      <c r="F146" s="29"/>
      <c r="G146" s="28"/>
      <c r="H146" s="88"/>
      <c r="I146" s="29"/>
      <c r="J146" s="28"/>
      <c r="K146" s="88"/>
      <c r="L146" s="29"/>
      <c r="M146" s="28"/>
      <c r="N146" s="88"/>
      <c r="O146" s="29"/>
      <c r="P146" s="28"/>
      <c r="Q146" s="88"/>
      <c r="R146" s="29"/>
    </row>
    <row r="147" spans="1:18" x14ac:dyDescent="0.25">
      <c r="A147" s="25"/>
      <c r="B147" s="87"/>
      <c r="C147" s="27"/>
      <c r="D147" s="30"/>
      <c r="E147" s="28"/>
      <c r="F147" s="29"/>
      <c r="G147" s="28"/>
      <c r="H147" s="88"/>
      <c r="I147" s="29"/>
      <c r="J147" s="28"/>
      <c r="K147" s="88"/>
      <c r="L147" s="29"/>
      <c r="M147" s="28"/>
      <c r="N147" s="88"/>
      <c r="O147" s="29"/>
      <c r="P147" s="28"/>
      <c r="Q147" s="88"/>
      <c r="R147" s="29"/>
    </row>
    <row r="148" spans="1:18" x14ac:dyDescent="0.25">
      <c r="A148" s="25"/>
      <c r="B148" s="87"/>
      <c r="C148" s="27"/>
      <c r="D148" s="30"/>
      <c r="E148" s="28"/>
      <c r="F148" s="29"/>
      <c r="G148" s="28"/>
      <c r="H148" s="88"/>
      <c r="I148" s="29"/>
      <c r="J148" s="28"/>
      <c r="K148" s="88"/>
      <c r="L148" s="29"/>
      <c r="M148" s="28"/>
      <c r="N148" s="88"/>
      <c r="O148" s="29"/>
      <c r="P148" s="28"/>
      <c r="Q148" s="88"/>
      <c r="R148" s="29"/>
    </row>
    <row r="149" spans="1:18" x14ac:dyDescent="0.25">
      <c r="A149" s="25"/>
      <c r="B149" s="87"/>
      <c r="C149" s="27"/>
      <c r="D149" s="30"/>
      <c r="E149" s="28"/>
      <c r="F149" s="29"/>
      <c r="G149" s="28"/>
      <c r="H149" s="88"/>
      <c r="I149" s="29"/>
      <c r="J149" s="28"/>
      <c r="K149" s="88"/>
      <c r="L149" s="29"/>
      <c r="M149" s="28"/>
      <c r="N149" s="88"/>
      <c r="O149" s="29"/>
      <c r="P149" s="28"/>
      <c r="Q149" s="88"/>
      <c r="R149" s="29"/>
    </row>
    <row r="150" spans="1:18" x14ac:dyDescent="0.25">
      <c r="A150" s="25"/>
      <c r="B150" s="87"/>
      <c r="C150" s="27"/>
      <c r="D150" s="30"/>
      <c r="E150" s="28"/>
      <c r="F150" s="29"/>
      <c r="G150" s="28"/>
      <c r="H150" s="88"/>
      <c r="I150" s="29"/>
      <c r="J150" s="28"/>
      <c r="K150" s="88"/>
      <c r="L150" s="29"/>
      <c r="M150" s="28"/>
      <c r="N150" s="88"/>
      <c r="O150" s="29"/>
      <c r="P150" s="28"/>
      <c r="Q150" s="88"/>
      <c r="R150" s="29"/>
    </row>
    <row r="151" spans="1:18" x14ac:dyDescent="0.25">
      <c r="A151" s="25"/>
      <c r="B151" s="87"/>
      <c r="C151" s="27"/>
      <c r="D151" s="30"/>
      <c r="E151" s="28"/>
      <c r="F151" s="29"/>
      <c r="G151" s="28"/>
      <c r="H151" s="88"/>
      <c r="I151" s="29"/>
      <c r="J151" s="28"/>
      <c r="K151" s="88"/>
      <c r="L151" s="29"/>
      <c r="M151" s="28"/>
      <c r="N151" s="88"/>
      <c r="O151" s="29"/>
      <c r="P151" s="28"/>
      <c r="Q151" s="88"/>
      <c r="R151" s="29"/>
    </row>
    <row r="152" spans="1:18" x14ac:dyDescent="0.25">
      <c r="A152" s="25"/>
      <c r="B152" s="87"/>
      <c r="C152" s="27"/>
      <c r="D152" s="30"/>
      <c r="E152" s="28"/>
      <c r="F152" s="29"/>
      <c r="G152" s="28"/>
      <c r="H152" s="88"/>
      <c r="I152" s="29"/>
      <c r="J152" s="28"/>
      <c r="K152" s="88"/>
      <c r="L152" s="29"/>
      <c r="M152" s="28"/>
      <c r="N152" s="88"/>
      <c r="O152" s="29"/>
      <c r="P152" s="28"/>
      <c r="Q152" s="88"/>
      <c r="R152" s="29"/>
    </row>
    <row r="153" spans="1:18" x14ac:dyDescent="0.25">
      <c r="A153" s="25"/>
      <c r="B153" s="87"/>
      <c r="C153" s="27"/>
      <c r="D153" s="30"/>
      <c r="E153" s="28"/>
      <c r="F153" s="29"/>
      <c r="G153" s="28"/>
      <c r="H153" s="88"/>
      <c r="I153" s="29"/>
      <c r="J153" s="28"/>
      <c r="K153" s="88"/>
      <c r="L153" s="29"/>
      <c r="M153" s="28"/>
      <c r="N153" s="88"/>
      <c r="O153" s="29"/>
      <c r="P153" s="28"/>
      <c r="Q153" s="88"/>
      <c r="R153" s="29"/>
    </row>
    <row r="154" spans="1:18" x14ac:dyDescent="0.25">
      <c r="A154" s="25"/>
      <c r="B154" s="87"/>
      <c r="C154" s="27"/>
      <c r="D154" s="30"/>
      <c r="E154" s="28"/>
      <c r="F154" s="29"/>
      <c r="G154" s="28"/>
      <c r="H154" s="88"/>
      <c r="I154" s="29"/>
      <c r="J154" s="28"/>
      <c r="K154" s="88"/>
      <c r="L154" s="29"/>
      <c r="M154" s="28"/>
      <c r="N154" s="88"/>
      <c r="O154" s="29"/>
      <c r="P154" s="28"/>
      <c r="Q154" s="88"/>
      <c r="R154" s="29"/>
    </row>
    <row r="155" spans="1:18" x14ac:dyDescent="0.25">
      <c r="A155" s="25"/>
      <c r="B155" s="87"/>
      <c r="C155" s="27"/>
      <c r="D155" s="30"/>
      <c r="E155" s="28"/>
      <c r="F155" s="29"/>
      <c r="G155" s="28"/>
      <c r="H155" s="88"/>
      <c r="I155" s="29"/>
      <c r="J155" s="28"/>
      <c r="K155" s="88"/>
      <c r="L155" s="29"/>
      <c r="M155" s="28"/>
      <c r="N155" s="88"/>
      <c r="O155" s="29"/>
      <c r="P155" s="28"/>
      <c r="Q155" s="88"/>
      <c r="R155" s="29"/>
    </row>
    <row r="156" spans="1:18" x14ac:dyDescent="0.25">
      <c r="A156" s="25"/>
      <c r="B156" s="87"/>
      <c r="C156" s="27"/>
      <c r="D156" s="30"/>
      <c r="E156" s="28"/>
      <c r="F156" s="29"/>
      <c r="G156" s="28"/>
      <c r="H156" s="88"/>
      <c r="I156" s="29"/>
      <c r="J156" s="28"/>
      <c r="K156" s="88"/>
      <c r="L156" s="29"/>
      <c r="M156" s="28"/>
      <c r="N156" s="88"/>
      <c r="O156" s="29"/>
      <c r="P156" s="28"/>
      <c r="Q156" s="88"/>
      <c r="R156" s="29"/>
    </row>
    <row r="157" spans="1:18" x14ac:dyDescent="0.25">
      <c r="A157" s="25"/>
      <c r="B157" s="87"/>
      <c r="C157" s="27"/>
      <c r="D157" s="30"/>
      <c r="E157" s="28"/>
      <c r="F157" s="29"/>
      <c r="G157" s="28"/>
      <c r="H157" s="88"/>
      <c r="I157" s="29"/>
      <c r="J157" s="28"/>
      <c r="K157" s="88"/>
      <c r="L157" s="29"/>
      <c r="M157" s="28"/>
      <c r="N157" s="88"/>
      <c r="O157" s="29"/>
      <c r="P157" s="28"/>
      <c r="Q157" s="88"/>
      <c r="R157" s="29"/>
    </row>
    <row r="158" spans="1:18" x14ac:dyDescent="0.25">
      <c r="A158" s="25"/>
      <c r="B158" s="87"/>
      <c r="C158" s="27"/>
      <c r="D158" s="30"/>
      <c r="E158" s="28"/>
      <c r="F158" s="29"/>
      <c r="G158" s="28"/>
      <c r="H158" s="88"/>
      <c r="I158" s="29"/>
      <c r="J158" s="28"/>
      <c r="K158" s="88"/>
      <c r="L158" s="29"/>
      <c r="M158" s="28"/>
      <c r="N158" s="88"/>
      <c r="O158" s="29"/>
      <c r="P158" s="28"/>
      <c r="Q158" s="88"/>
      <c r="R158" s="29"/>
    </row>
    <row r="159" spans="1:18" x14ac:dyDescent="0.25">
      <c r="A159" s="25"/>
      <c r="B159" s="87"/>
      <c r="C159" s="27"/>
      <c r="D159" s="30"/>
      <c r="E159" s="28"/>
      <c r="F159" s="29"/>
      <c r="G159" s="28"/>
      <c r="H159" s="88"/>
      <c r="I159" s="29"/>
      <c r="J159" s="28"/>
      <c r="K159" s="88"/>
      <c r="L159" s="29"/>
      <c r="M159" s="28"/>
      <c r="N159" s="88"/>
      <c r="O159" s="29"/>
      <c r="P159" s="28"/>
      <c r="Q159" s="88"/>
      <c r="R159" s="29"/>
    </row>
    <row r="160" spans="1:18" x14ac:dyDescent="0.25">
      <c r="A160" s="25"/>
      <c r="B160" s="87"/>
      <c r="C160" s="27"/>
      <c r="D160" s="30"/>
      <c r="E160" s="28"/>
      <c r="F160" s="29"/>
      <c r="G160" s="28"/>
      <c r="H160" s="88"/>
      <c r="I160" s="29"/>
      <c r="J160" s="28"/>
      <c r="K160" s="88"/>
      <c r="L160" s="29"/>
      <c r="M160" s="28"/>
      <c r="N160" s="88"/>
      <c r="O160" s="29"/>
      <c r="P160" s="28"/>
      <c r="Q160" s="88"/>
      <c r="R160" s="29"/>
    </row>
    <row r="161" spans="1:18" x14ac:dyDescent="0.25">
      <c r="A161" s="25"/>
      <c r="B161" s="87"/>
      <c r="C161" s="27"/>
      <c r="D161" s="30"/>
      <c r="E161" s="28"/>
      <c r="F161" s="29"/>
      <c r="G161" s="28"/>
      <c r="H161" s="88"/>
      <c r="I161" s="29"/>
      <c r="J161" s="28"/>
      <c r="K161" s="88"/>
      <c r="L161" s="29"/>
      <c r="M161" s="28"/>
      <c r="N161" s="88"/>
      <c r="O161" s="29"/>
      <c r="P161" s="28"/>
      <c r="Q161" s="88"/>
      <c r="R161" s="29"/>
    </row>
    <row r="162" spans="1:18" x14ac:dyDescent="0.25">
      <c r="A162" s="25"/>
      <c r="B162" s="87"/>
      <c r="C162" s="27"/>
      <c r="D162" s="30"/>
      <c r="E162" s="28"/>
      <c r="F162" s="29"/>
      <c r="G162" s="28"/>
      <c r="H162" s="88"/>
      <c r="I162" s="29"/>
      <c r="J162" s="28"/>
      <c r="K162" s="88"/>
      <c r="L162" s="29"/>
      <c r="M162" s="28"/>
      <c r="N162" s="88"/>
      <c r="O162" s="29"/>
      <c r="P162" s="28"/>
      <c r="Q162" s="88"/>
      <c r="R162" s="29"/>
    </row>
    <row r="163" spans="1:18" x14ac:dyDescent="0.25">
      <c r="A163" s="25"/>
      <c r="B163" s="87"/>
      <c r="C163" s="27"/>
      <c r="D163" s="30"/>
      <c r="E163" s="28"/>
      <c r="F163" s="29"/>
      <c r="G163" s="28"/>
      <c r="H163" s="88"/>
      <c r="I163" s="29"/>
      <c r="J163" s="28"/>
      <c r="K163" s="88"/>
      <c r="L163" s="29"/>
      <c r="M163" s="28"/>
      <c r="N163" s="88"/>
      <c r="O163" s="29"/>
      <c r="P163" s="28"/>
      <c r="Q163" s="88"/>
      <c r="R163" s="29"/>
    </row>
    <row r="164" spans="1:18" x14ac:dyDescent="0.25">
      <c r="A164" s="25"/>
      <c r="B164" s="87"/>
      <c r="C164" s="27"/>
      <c r="D164" s="30"/>
      <c r="E164" s="28"/>
      <c r="F164" s="29"/>
      <c r="G164" s="28"/>
      <c r="H164" s="88"/>
      <c r="I164" s="29"/>
      <c r="J164" s="28"/>
      <c r="K164" s="88"/>
      <c r="L164" s="29"/>
      <c r="M164" s="28"/>
      <c r="N164" s="88"/>
      <c r="O164" s="29"/>
      <c r="P164" s="28"/>
      <c r="Q164" s="88"/>
      <c r="R164" s="29"/>
    </row>
    <row r="165" spans="1:18" x14ac:dyDescent="0.25">
      <c r="A165" s="25"/>
      <c r="B165" s="87"/>
      <c r="C165" s="27"/>
      <c r="D165" s="30"/>
      <c r="E165" s="28"/>
      <c r="F165" s="29"/>
      <c r="G165" s="28"/>
      <c r="H165" s="88"/>
      <c r="I165" s="29"/>
      <c r="J165" s="28"/>
      <c r="K165" s="88"/>
      <c r="L165" s="29"/>
      <c r="M165" s="28"/>
      <c r="N165" s="88"/>
      <c r="O165" s="29"/>
      <c r="P165" s="28"/>
      <c r="Q165" s="88"/>
      <c r="R165" s="29"/>
    </row>
    <row r="166" spans="1:18" x14ac:dyDescent="0.25">
      <c r="A166" s="25"/>
      <c r="B166" s="87"/>
      <c r="C166" s="27"/>
      <c r="D166" s="30"/>
      <c r="E166" s="28"/>
      <c r="F166" s="29"/>
      <c r="G166" s="28"/>
      <c r="H166" s="88"/>
      <c r="I166" s="29"/>
      <c r="J166" s="28"/>
      <c r="K166" s="88"/>
      <c r="L166" s="29"/>
      <c r="M166" s="28"/>
      <c r="N166" s="88"/>
      <c r="O166" s="29"/>
      <c r="P166" s="28"/>
      <c r="Q166" s="88"/>
      <c r="R166" s="29"/>
    </row>
    <row r="167" spans="1:18" x14ac:dyDescent="0.25">
      <c r="A167" s="25"/>
      <c r="B167" s="87"/>
      <c r="C167" s="27"/>
      <c r="D167" s="30"/>
      <c r="E167" s="28"/>
      <c r="F167" s="29"/>
      <c r="G167" s="28"/>
      <c r="H167" s="88"/>
      <c r="I167" s="29"/>
      <c r="J167" s="28"/>
      <c r="K167" s="88"/>
      <c r="L167" s="29"/>
      <c r="M167" s="28"/>
      <c r="N167" s="88"/>
      <c r="O167" s="29"/>
      <c r="P167" s="28"/>
      <c r="Q167" s="88"/>
      <c r="R167" s="29"/>
    </row>
    <row r="168" spans="1:18" x14ac:dyDescent="0.25">
      <c r="A168" s="25"/>
      <c r="B168" s="87"/>
      <c r="C168" s="27"/>
      <c r="D168" s="30"/>
      <c r="E168" s="28"/>
      <c r="F168" s="29"/>
      <c r="G168" s="28"/>
      <c r="H168" s="88"/>
      <c r="I168" s="29"/>
      <c r="J168" s="28"/>
      <c r="K168" s="88"/>
      <c r="L168" s="29"/>
      <c r="M168" s="28"/>
      <c r="N168" s="88"/>
      <c r="O168" s="29"/>
      <c r="P168" s="28"/>
      <c r="Q168" s="88"/>
      <c r="R168" s="29"/>
    </row>
    <row r="169" spans="1:18" x14ac:dyDescent="0.25">
      <c r="A169" s="25"/>
      <c r="B169" s="87"/>
      <c r="C169" s="27"/>
      <c r="D169" s="30"/>
      <c r="E169" s="28"/>
      <c r="F169" s="29"/>
      <c r="G169" s="28"/>
      <c r="H169" s="88"/>
      <c r="I169" s="29"/>
      <c r="J169" s="28"/>
      <c r="K169" s="88"/>
      <c r="L169" s="29"/>
      <c r="M169" s="28"/>
      <c r="N169" s="88"/>
      <c r="O169" s="29"/>
      <c r="P169" s="28"/>
      <c r="Q169" s="88"/>
      <c r="R169" s="29"/>
    </row>
    <row r="170" spans="1:18" x14ac:dyDescent="0.25">
      <c r="A170" s="25"/>
      <c r="B170" s="87"/>
      <c r="C170" s="27"/>
      <c r="D170" s="30"/>
      <c r="E170" s="28"/>
      <c r="F170" s="29"/>
      <c r="G170" s="28"/>
      <c r="H170" s="88"/>
      <c r="I170" s="29"/>
      <c r="J170" s="28"/>
      <c r="K170" s="88"/>
      <c r="L170" s="29"/>
      <c r="M170" s="28"/>
      <c r="N170" s="88"/>
      <c r="O170" s="29"/>
      <c r="P170" s="28"/>
      <c r="Q170" s="88"/>
      <c r="R170" s="29"/>
    </row>
    <row r="171" spans="1:18" x14ac:dyDescent="0.25">
      <c r="A171" s="25"/>
      <c r="B171" s="87"/>
      <c r="C171" s="27"/>
      <c r="D171" s="30"/>
      <c r="E171" s="28"/>
      <c r="F171" s="29"/>
      <c r="G171" s="28"/>
      <c r="H171" s="88"/>
      <c r="I171" s="29"/>
      <c r="J171" s="28"/>
      <c r="K171" s="88"/>
      <c r="L171" s="29"/>
      <c r="M171" s="28"/>
      <c r="N171" s="88"/>
      <c r="O171" s="29"/>
      <c r="P171" s="28"/>
      <c r="Q171" s="88"/>
      <c r="R171" s="29"/>
    </row>
    <row r="172" spans="1:18" x14ac:dyDescent="0.25">
      <c r="A172" s="25"/>
      <c r="B172" s="87"/>
      <c r="C172" s="27"/>
      <c r="D172" s="30"/>
      <c r="E172" s="28"/>
      <c r="F172" s="29"/>
      <c r="G172" s="28"/>
      <c r="H172" s="88"/>
      <c r="I172" s="29"/>
      <c r="J172" s="28"/>
      <c r="K172" s="88"/>
      <c r="L172" s="29"/>
      <c r="M172" s="28"/>
      <c r="N172" s="88"/>
      <c r="O172" s="29"/>
      <c r="P172" s="28"/>
      <c r="Q172" s="88"/>
      <c r="R172" s="29"/>
    </row>
    <row r="173" spans="1:18" x14ac:dyDescent="0.25">
      <c r="A173" s="25"/>
      <c r="B173" s="87"/>
      <c r="C173" s="27"/>
      <c r="D173" s="30"/>
      <c r="E173" s="28"/>
      <c r="F173" s="29"/>
      <c r="G173" s="28"/>
      <c r="H173" s="88"/>
      <c r="I173" s="29"/>
      <c r="J173" s="28"/>
      <c r="K173" s="88"/>
      <c r="L173" s="29"/>
      <c r="M173" s="28"/>
      <c r="N173" s="88"/>
      <c r="O173" s="29"/>
      <c r="P173" s="28"/>
      <c r="Q173" s="88"/>
      <c r="R173" s="29"/>
    </row>
    <row r="174" spans="1:18" x14ac:dyDescent="0.25">
      <c r="A174" s="25"/>
      <c r="B174" s="87"/>
      <c r="C174" s="27"/>
      <c r="D174" s="30"/>
      <c r="E174" s="28"/>
      <c r="F174" s="29"/>
      <c r="G174" s="28"/>
      <c r="H174" s="88"/>
      <c r="I174" s="29"/>
      <c r="J174" s="28"/>
      <c r="K174" s="88"/>
      <c r="L174" s="29"/>
      <c r="M174" s="28"/>
      <c r="N174" s="88"/>
      <c r="O174" s="29"/>
      <c r="P174" s="28"/>
      <c r="Q174" s="88"/>
      <c r="R174" s="29"/>
    </row>
    <row r="175" spans="1:18" x14ac:dyDescent="0.25">
      <c r="A175" s="25"/>
      <c r="B175" s="87"/>
      <c r="C175" s="27"/>
      <c r="D175" s="30"/>
      <c r="E175" s="28"/>
      <c r="F175" s="29"/>
      <c r="G175" s="28"/>
      <c r="H175" s="88"/>
      <c r="I175" s="29"/>
      <c r="J175" s="28"/>
      <c r="K175" s="88"/>
      <c r="L175" s="29"/>
      <c r="M175" s="28"/>
      <c r="N175" s="88"/>
      <c r="O175" s="29"/>
      <c r="P175" s="28"/>
      <c r="Q175" s="88"/>
      <c r="R175" s="29"/>
    </row>
    <row r="176" spans="1:18" x14ac:dyDescent="0.25">
      <c r="A176" s="25"/>
      <c r="B176" s="87"/>
      <c r="C176" s="27"/>
      <c r="D176" s="30"/>
      <c r="E176" s="28"/>
      <c r="F176" s="29"/>
      <c r="G176" s="28"/>
      <c r="H176" s="88"/>
      <c r="I176" s="29"/>
      <c r="J176" s="28"/>
      <c r="K176" s="88"/>
      <c r="L176" s="29"/>
      <c r="M176" s="28"/>
      <c r="N176" s="88"/>
      <c r="O176" s="29"/>
      <c r="P176" s="28"/>
      <c r="Q176" s="88"/>
      <c r="R176" s="29"/>
    </row>
    <row r="177" spans="1:18" x14ac:dyDescent="0.25">
      <c r="A177" s="25"/>
      <c r="B177" s="87"/>
      <c r="C177" s="27"/>
      <c r="D177" s="30"/>
      <c r="E177" s="28"/>
      <c r="F177" s="29"/>
      <c r="G177" s="28"/>
      <c r="H177" s="88"/>
      <c r="I177" s="29"/>
      <c r="J177" s="28"/>
      <c r="K177" s="88"/>
      <c r="L177" s="29"/>
      <c r="M177" s="28"/>
      <c r="N177" s="88"/>
      <c r="O177" s="29"/>
      <c r="P177" s="28"/>
      <c r="Q177" s="88"/>
      <c r="R177" s="29"/>
    </row>
    <row r="178" spans="1:18" x14ac:dyDescent="0.25">
      <c r="A178" s="25"/>
      <c r="B178" s="87"/>
      <c r="C178" s="27"/>
      <c r="D178" s="30"/>
      <c r="E178" s="28"/>
      <c r="F178" s="29"/>
      <c r="G178" s="28"/>
      <c r="H178" s="88"/>
      <c r="I178" s="29"/>
      <c r="J178" s="28"/>
      <c r="K178" s="88"/>
      <c r="L178" s="29"/>
      <c r="M178" s="28"/>
      <c r="N178" s="88"/>
      <c r="O178" s="29"/>
      <c r="P178" s="28"/>
      <c r="Q178" s="88"/>
      <c r="R178" s="29"/>
    </row>
    <row r="179" spans="1:18" x14ac:dyDescent="0.25">
      <c r="A179" s="25"/>
      <c r="B179" s="87"/>
      <c r="C179" s="27"/>
      <c r="D179" s="30"/>
      <c r="E179" s="28"/>
      <c r="F179" s="29"/>
      <c r="G179" s="28"/>
      <c r="H179" s="88"/>
      <c r="I179" s="29"/>
      <c r="J179" s="28"/>
      <c r="K179" s="88"/>
      <c r="L179" s="29"/>
      <c r="M179" s="28"/>
      <c r="N179" s="88"/>
      <c r="O179" s="29"/>
      <c r="P179" s="28"/>
      <c r="Q179" s="88"/>
      <c r="R179" s="29"/>
    </row>
    <row r="180" spans="1:18" x14ac:dyDescent="0.25">
      <c r="A180" s="25"/>
      <c r="B180" s="87"/>
      <c r="C180" s="27"/>
      <c r="D180" s="30"/>
      <c r="E180" s="28"/>
      <c r="F180" s="29"/>
      <c r="G180" s="28"/>
      <c r="H180" s="88"/>
      <c r="I180" s="29"/>
      <c r="J180" s="28"/>
      <c r="K180" s="88"/>
      <c r="L180" s="29"/>
      <c r="M180" s="28"/>
      <c r="N180" s="88"/>
      <c r="O180" s="29"/>
      <c r="P180" s="28"/>
      <c r="Q180" s="88"/>
      <c r="R180" s="29"/>
    </row>
    <row r="181" spans="1:18" x14ac:dyDescent="0.25">
      <c r="A181" s="25"/>
      <c r="B181" s="87"/>
      <c r="C181" s="27"/>
      <c r="D181" s="30"/>
      <c r="E181" s="28"/>
      <c r="F181" s="29"/>
      <c r="G181" s="28"/>
      <c r="H181" s="88"/>
      <c r="I181" s="29"/>
      <c r="J181" s="28"/>
      <c r="K181" s="88"/>
      <c r="L181" s="29"/>
      <c r="M181" s="28"/>
      <c r="N181" s="88"/>
      <c r="O181" s="29"/>
      <c r="P181" s="28"/>
      <c r="Q181" s="88"/>
      <c r="R181" s="29"/>
    </row>
    <row r="182" spans="1:18" x14ac:dyDescent="0.25">
      <c r="A182" s="25"/>
      <c r="B182" s="87"/>
      <c r="C182" s="27"/>
      <c r="D182" s="30"/>
      <c r="E182" s="28"/>
      <c r="F182" s="29"/>
      <c r="G182" s="28"/>
      <c r="H182" s="88"/>
      <c r="I182" s="29"/>
      <c r="J182" s="28"/>
      <c r="K182" s="88"/>
      <c r="L182" s="29"/>
      <c r="M182" s="28"/>
      <c r="N182" s="88"/>
      <c r="O182" s="29"/>
      <c r="P182" s="28"/>
      <c r="Q182" s="88"/>
      <c r="R182" s="29"/>
    </row>
    <row r="183" spans="1:18" x14ac:dyDescent="0.25">
      <c r="A183" s="25"/>
      <c r="B183" s="87"/>
      <c r="C183" s="27"/>
      <c r="D183" s="30"/>
      <c r="E183" s="28"/>
      <c r="F183" s="29"/>
      <c r="G183" s="28"/>
      <c r="H183" s="88"/>
      <c r="I183" s="29"/>
      <c r="J183" s="28"/>
      <c r="K183" s="88"/>
      <c r="L183" s="29"/>
      <c r="M183" s="28"/>
      <c r="N183" s="88"/>
      <c r="O183" s="29"/>
      <c r="P183" s="28"/>
      <c r="Q183" s="88"/>
      <c r="R183" s="29"/>
    </row>
    <row r="184" spans="1:18" x14ac:dyDescent="0.25">
      <c r="A184" s="25"/>
      <c r="B184" s="87"/>
      <c r="C184" s="27"/>
      <c r="D184" s="30"/>
      <c r="E184" s="28"/>
      <c r="F184" s="29"/>
      <c r="G184" s="28"/>
      <c r="H184" s="88"/>
      <c r="I184" s="29"/>
      <c r="J184" s="28"/>
      <c r="K184" s="88"/>
      <c r="L184" s="29"/>
      <c r="M184" s="28"/>
      <c r="N184" s="88"/>
      <c r="O184" s="29"/>
      <c r="P184" s="28"/>
      <c r="Q184" s="88"/>
      <c r="R184" s="29"/>
    </row>
    <row r="185" spans="1:18" x14ac:dyDescent="0.25">
      <c r="A185" s="25"/>
      <c r="B185" s="87"/>
      <c r="C185" s="27"/>
      <c r="D185" s="30"/>
      <c r="E185" s="28"/>
      <c r="F185" s="29"/>
      <c r="G185" s="28"/>
      <c r="H185" s="88"/>
      <c r="I185" s="29"/>
      <c r="J185" s="28"/>
      <c r="K185" s="88"/>
      <c r="L185" s="29"/>
      <c r="M185" s="28"/>
      <c r="N185" s="88"/>
      <c r="O185" s="29"/>
      <c r="P185" s="28"/>
      <c r="Q185" s="88"/>
      <c r="R185" s="29"/>
    </row>
    <row r="186" spans="1:18" x14ac:dyDescent="0.25">
      <c r="A186" s="25"/>
      <c r="B186" s="87"/>
      <c r="C186" s="27"/>
      <c r="D186" s="30"/>
      <c r="E186" s="28"/>
      <c r="F186" s="29"/>
      <c r="G186" s="28"/>
      <c r="H186" s="88"/>
      <c r="I186" s="29"/>
      <c r="J186" s="28"/>
      <c r="K186" s="88"/>
      <c r="L186" s="29"/>
      <c r="M186" s="28"/>
      <c r="N186" s="88"/>
      <c r="O186" s="29"/>
      <c r="P186" s="28"/>
      <c r="Q186" s="88"/>
      <c r="R186" s="29"/>
    </row>
    <row r="187" spans="1:18" x14ac:dyDescent="0.25">
      <c r="A187" s="25"/>
      <c r="B187" s="87"/>
      <c r="C187" s="27"/>
      <c r="D187" s="30"/>
      <c r="E187" s="28"/>
      <c r="F187" s="29"/>
      <c r="G187" s="28"/>
      <c r="H187" s="88"/>
      <c r="I187" s="29"/>
      <c r="J187" s="28"/>
      <c r="K187" s="88"/>
      <c r="L187" s="29"/>
      <c r="M187" s="28"/>
      <c r="N187" s="88"/>
      <c r="O187" s="29"/>
      <c r="P187" s="28"/>
      <c r="Q187" s="88"/>
      <c r="R187" s="29"/>
    </row>
    <row r="188" spans="1:18" x14ac:dyDescent="0.25">
      <c r="A188" s="25"/>
      <c r="B188" s="87"/>
      <c r="C188" s="27"/>
      <c r="D188" s="30"/>
      <c r="E188" s="28"/>
      <c r="F188" s="29"/>
      <c r="G188" s="28"/>
      <c r="H188" s="88"/>
      <c r="I188" s="29"/>
      <c r="J188" s="28"/>
      <c r="K188" s="88"/>
      <c r="L188" s="29"/>
      <c r="M188" s="28"/>
      <c r="N188" s="88"/>
      <c r="O188" s="29"/>
      <c r="P188" s="28"/>
      <c r="Q188" s="88"/>
      <c r="R188" s="29"/>
    </row>
    <row r="189" spans="1:18" x14ac:dyDescent="0.25">
      <c r="A189" s="25"/>
      <c r="B189" s="87"/>
      <c r="C189" s="27"/>
      <c r="D189" s="30"/>
      <c r="E189" s="28"/>
      <c r="F189" s="29"/>
      <c r="G189" s="28"/>
      <c r="H189" s="88"/>
      <c r="I189" s="29"/>
      <c r="J189" s="28"/>
      <c r="K189" s="88"/>
      <c r="L189" s="29"/>
      <c r="M189" s="28"/>
      <c r="N189" s="88"/>
      <c r="O189" s="29"/>
      <c r="P189" s="28"/>
      <c r="Q189" s="88"/>
      <c r="R189" s="29"/>
    </row>
    <row r="190" spans="1:18" x14ac:dyDescent="0.25">
      <c r="A190" s="25"/>
      <c r="B190" s="87"/>
      <c r="C190" s="27"/>
      <c r="D190" s="30"/>
      <c r="E190" s="28"/>
      <c r="F190" s="29"/>
      <c r="G190" s="28"/>
      <c r="H190" s="88"/>
      <c r="I190" s="29"/>
      <c r="J190" s="28"/>
      <c r="K190" s="88"/>
      <c r="L190" s="29"/>
      <c r="M190" s="28"/>
      <c r="N190" s="88"/>
      <c r="O190" s="29"/>
      <c r="P190" s="28"/>
      <c r="Q190" s="88"/>
      <c r="R190" s="29"/>
    </row>
    <row r="191" spans="1:18" x14ac:dyDescent="0.25">
      <c r="A191" s="25"/>
      <c r="B191" s="87"/>
      <c r="C191" s="27"/>
      <c r="D191" s="30"/>
      <c r="E191" s="28"/>
      <c r="F191" s="29"/>
      <c r="G191" s="28"/>
      <c r="H191" s="88"/>
      <c r="I191" s="29"/>
      <c r="J191" s="28"/>
      <c r="K191" s="88"/>
      <c r="L191" s="29"/>
      <c r="M191" s="28"/>
      <c r="N191" s="88"/>
      <c r="O191" s="29"/>
      <c r="P191" s="28"/>
      <c r="Q191" s="88"/>
      <c r="R191" s="29"/>
    </row>
    <row r="192" spans="1:18" x14ac:dyDescent="0.25">
      <c r="A192" s="25"/>
      <c r="B192" s="87"/>
      <c r="C192" s="27"/>
      <c r="D192" s="30"/>
      <c r="E192" s="28"/>
      <c r="F192" s="29"/>
      <c r="G192" s="28"/>
      <c r="H192" s="88"/>
      <c r="I192" s="29"/>
      <c r="J192" s="28"/>
      <c r="K192" s="88"/>
      <c r="L192" s="29"/>
      <c r="M192" s="28"/>
      <c r="N192" s="88"/>
      <c r="O192" s="29"/>
      <c r="P192" s="28"/>
      <c r="Q192" s="88"/>
      <c r="R192" s="29"/>
    </row>
    <row r="193" spans="1:18" x14ac:dyDescent="0.25">
      <c r="A193" s="25"/>
      <c r="B193" s="87"/>
      <c r="C193" s="27"/>
      <c r="D193" s="30"/>
      <c r="E193" s="28"/>
      <c r="F193" s="29"/>
      <c r="G193" s="28"/>
      <c r="H193" s="88"/>
      <c r="I193" s="29"/>
      <c r="J193" s="28"/>
      <c r="K193" s="88"/>
      <c r="L193" s="29"/>
      <c r="M193" s="28"/>
      <c r="N193" s="88"/>
      <c r="O193" s="29"/>
      <c r="P193" s="28"/>
      <c r="Q193" s="88"/>
      <c r="R193" s="29"/>
    </row>
    <row r="194" spans="1:18" x14ac:dyDescent="0.25">
      <c r="A194" s="25"/>
      <c r="B194" s="87"/>
      <c r="C194" s="27"/>
      <c r="D194" s="30"/>
      <c r="E194" s="28"/>
      <c r="F194" s="29"/>
      <c r="G194" s="28"/>
      <c r="H194" s="88"/>
      <c r="I194" s="29"/>
      <c r="J194" s="28"/>
      <c r="K194" s="88"/>
      <c r="L194" s="29"/>
      <c r="M194" s="28"/>
      <c r="N194" s="88"/>
      <c r="O194" s="29"/>
      <c r="P194" s="28"/>
      <c r="Q194" s="88"/>
      <c r="R194" s="29"/>
    </row>
    <row r="195" spans="1:18" x14ac:dyDescent="0.25">
      <c r="A195" s="25"/>
      <c r="B195" s="87"/>
      <c r="C195" s="27"/>
      <c r="D195" s="30"/>
      <c r="E195" s="28"/>
      <c r="F195" s="29"/>
      <c r="G195" s="28"/>
      <c r="H195" s="88"/>
      <c r="I195" s="29"/>
      <c r="J195" s="28"/>
      <c r="K195" s="88"/>
      <c r="L195" s="29"/>
      <c r="M195" s="28"/>
      <c r="N195" s="88"/>
      <c r="O195" s="29"/>
      <c r="P195" s="28"/>
      <c r="Q195" s="88"/>
      <c r="R195" s="29"/>
    </row>
    <row r="196" spans="1:18" x14ac:dyDescent="0.25">
      <c r="A196" s="25"/>
      <c r="B196" s="87"/>
      <c r="C196" s="27"/>
      <c r="D196" s="30"/>
      <c r="E196" s="28"/>
      <c r="F196" s="29"/>
      <c r="G196" s="28"/>
      <c r="H196" s="88"/>
      <c r="I196" s="29"/>
      <c r="J196" s="28"/>
      <c r="K196" s="88"/>
      <c r="L196" s="29"/>
      <c r="M196" s="28"/>
      <c r="N196" s="88"/>
      <c r="O196" s="29"/>
      <c r="P196" s="28"/>
      <c r="Q196" s="88"/>
      <c r="R196" s="29"/>
    </row>
    <row r="197" spans="1:18" x14ac:dyDescent="0.25">
      <c r="A197" s="25"/>
      <c r="B197" s="87"/>
      <c r="C197" s="27"/>
      <c r="D197" s="30"/>
      <c r="E197" s="28"/>
      <c r="F197" s="29"/>
      <c r="G197" s="28"/>
      <c r="H197" s="88"/>
      <c r="I197" s="29"/>
      <c r="J197" s="28"/>
      <c r="K197" s="88"/>
      <c r="L197" s="29"/>
      <c r="M197" s="28"/>
      <c r="N197" s="88"/>
      <c r="O197" s="29"/>
      <c r="P197" s="28"/>
      <c r="Q197" s="88"/>
      <c r="R197" s="29"/>
    </row>
    <row r="198" spans="1:18" x14ac:dyDescent="0.25">
      <c r="A198" s="25"/>
      <c r="B198" s="87"/>
      <c r="C198" s="27"/>
      <c r="D198" s="30"/>
      <c r="E198" s="28"/>
      <c r="F198" s="29"/>
      <c r="G198" s="28"/>
      <c r="H198" s="88"/>
      <c r="I198" s="29"/>
      <c r="J198" s="28"/>
      <c r="K198" s="88"/>
      <c r="L198" s="29"/>
      <c r="M198" s="28"/>
      <c r="N198" s="88"/>
      <c r="O198" s="29"/>
      <c r="P198" s="28"/>
      <c r="Q198" s="88"/>
      <c r="R198" s="29"/>
    </row>
    <row r="199" spans="1:18" x14ac:dyDescent="0.25">
      <c r="A199" s="25"/>
      <c r="B199" s="87"/>
      <c r="C199" s="27"/>
      <c r="D199" s="30"/>
      <c r="E199" s="28"/>
      <c r="F199" s="29"/>
      <c r="G199" s="28"/>
      <c r="H199" s="88"/>
      <c r="I199" s="29"/>
      <c r="J199" s="28"/>
      <c r="K199" s="88"/>
      <c r="L199" s="29"/>
      <c r="M199" s="28"/>
      <c r="N199" s="88"/>
      <c r="O199" s="29"/>
      <c r="P199" s="28"/>
      <c r="Q199" s="88"/>
      <c r="R199" s="29"/>
    </row>
    <row r="200" spans="1:18" ht="15.75" thickBot="1" x14ac:dyDescent="0.3">
      <c r="A200" s="33"/>
      <c r="B200" s="89"/>
      <c r="C200" s="35"/>
      <c r="D200" s="38"/>
      <c r="E200" s="36"/>
      <c r="F200" s="37"/>
      <c r="G200" s="36"/>
      <c r="H200" s="90"/>
      <c r="I200" s="37"/>
      <c r="J200" s="36"/>
      <c r="K200" s="90"/>
      <c r="L200" s="37"/>
      <c r="M200" s="36"/>
      <c r="N200" s="90"/>
      <c r="O200" s="37"/>
      <c r="P200" s="36"/>
      <c r="Q200" s="90"/>
      <c r="R200" s="37"/>
    </row>
    <row r="201" spans="1:18" ht="39.950000000000003" customHeight="1" thickBot="1" x14ac:dyDescent="0.3">
      <c r="A201" s="41"/>
      <c r="B201" s="42"/>
      <c r="C201" s="42"/>
      <c r="D201" s="42"/>
      <c r="E201" s="43"/>
      <c r="F201" s="43"/>
      <c r="G201" s="43"/>
      <c r="H201" s="43"/>
      <c r="I201" s="43"/>
      <c r="J201" s="43"/>
      <c r="K201" s="43"/>
      <c r="L201" s="43"/>
      <c r="M201" s="43"/>
      <c r="N201" s="43"/>
      <c r="O201" s="43"/>
      <c r="P201" s="43"/>
      <c r="Q201" s="43"/>
      <c r="R201" s="44"/>
    </row>
    <row r="202" spans="1:18" x14ac:dyDescent="0.25">
      <c r="A202" s="45"/>
      <c r="B202" s="47"/>
      <c r="C202" s="47"/>
      <c r="D202" s="47"/>
      <c r="E202" s="45"/>
      <c r="F202" s="45"/>
      <c r="G202" s="45"/>
      <c r="H202" s="45"/>
      <c r="I202" s="45"/>
      <c r="J202" s="45"/>
      <c r="K202" s="45"/>
      <c r="L202" s="45"/>
      <c r="M202" s="45"/>
      <c r="N202" s="45"/>
      <c r="O202" s="45"/>
      <c r="P202" s="45"/>
      <c r="Q202" s="45"/>
      <c r="R202" s="45"/>
    </row>
    <row r="203" spans="1:18" x14ac:dyDescent="0.25">
      <c r="A203" s="45"/>
      <c r="B203" s="47"/>
      <c r="C203" s="47"/>
      <c r="D203" s="47"/>
      <c r="E203" s="45"/>
      <c r="F203" s="45"/>
      <c r="G203" s="45"/>
      <c r="H203" s="45"/>
      <c r="I203" s="45"/>
      <c r="J203" s="45"/>
      <c r="K203" s="45"/>
      <c r="L203" s="45"/>
      <c r="M203" s="45"/>
      <c r="N203" s="45"/>
      <c r="O203" s="45"/>
      <c r="P203" s="45"/>
      <c r="Q203" s="45"/>
      <c r="R203" s="45"/>
    </row>
    <row r="204" spans="1:18" x14ac:dyDescent="0.25">
      <c r="A204" s="45"/>
      <c r="B204" s="47"/>
      <c r="C204" s="47"/>
      <c r="D204" s="47"/>
      <c r="E204" s="45"/>
      <c r="F204" s="45"/>
      <c r="G204" s="45"/>
      <c r="H204" s="45"/>
      <c r="I204" s="45"/>
      <c r="J204" s="45"/>
      <c r="K204" s="45"/>
      <c r="L204" s="45"/>
      <c r="M204" s="45"/>
      <c r="N204" s="45"/>
      <c r="O204" s="45"/>
      <c r="P204" s="45"/>
      <c r="Q204" s="45"/>
      <c r="R204" s="45"/>
    </row>
    <row r="205" spans="1:18" x14ac:dyDescent="0.25">
      <c r="A205" s="45"/>
      <c r="B205" s="47"/>
      <c r="C205" s="47"/>
      <c r="D205" s="47"/>
      <c r="E205" s="45"/>
      <c r="F205" s="45"/>
      <c r="G205" s="45"/>
      <c r="H205" s="45"/>
      <c r="I205" s="45"/>
      <c r="J205" s="45"/>
      <c r="K205" s="45"/>
      <c r="L205" s="45"/>
      <c r="M205" s="45"/>
      <c r="N205" s="45"/>
      <c r="O205" s="45"/>
      <c r="P205" s="45"/>
      <c r="Q205" s="45"/>
      <c r="R205" s="45"/>
    </row>
    <row r="206" spans="1:18" x14ac:dyDescent="0.25">
      <c r="A206" s="45"/>
      <c r="B206" s="47"/>
      <c r="C206" s="47"/>
      <c r="D206" s="47"/>
      <c r="E206" s="45"/>
      <c r="F206" s="45"/>
      <c r="G206" s="45"/>
      <c r="H206" s="45"/>
      <c r="I206" s="45"/>
      <c r="J206" s="45"/>
      <c r="K206" s="45"/>
      <c r="L206" s="45"/>
      <c r="M206" s="45"/>
      <c r="N206" s="45"/>
      <c r="O206" s="45"/>
      <c r="P206" s="45"/>
      <c r="Q206" s="45"/>
      <c r="R206" s="45"/>
    </row>
    <row r="207" spans="1:18" x14ac:dyDescent="0.25">
      <c r="A207" s="45"/>
      <c r="B207" s="47"/>
      <c r="C207" s="47"/>
      <c r="D207" s="47"/>
      <c r="E207" s="45"/>
      <c r="F207" s="45"/>
      <c r="G207" s="45"/>
      <c r="H207" s="45"/>
      <c r="I207" s="45"/>
      <c r="J207" s="45"/>
      <c r="K207" s="45"/>
      <c r="L207" s="45"/>
      <c r="M207" s="45"/>
      <c r="N207" s="45"/>
      <c r="O207" s="45"/>
      <c r="P207" s="45"/>
      <c r="Q207" s="45"/>
      <c r="R207" s="45"/>
    </row>
    <row r="208" spans="1:18" x14ac:dyDescent="0.25">
      <c r="A208" s="45"/>
      <c r="B208" s="47"/>
      <c r="C208" s="47"/>
      <c r="D208" s="47"/>
      <c r="E208" s="45"/>
      <c r="F208" s="45"/>
      <c r="G208" s="45"/>
      <c r="H208" s="45"/>
      <c r="I208" s="45"/>
      <c r="J208" s="45"/>
      <c r="K208" s="45"/>
      <c r="L208" s="45"/>
      <c r="M208" s="45"/>
      <c r="N208" s="45"/>
      <c r="O208" s="45"/>
      <c r="P208" s="45"/>
      <c r="Q208" s="45"/>
      <c r="R208" s="45"/>
    </row>
    <row r="209" spans="1:18" x14ac:dyDescent="0.25">
      <c r="A209" s="45"/>
      <c r="B209" s="47"/>
      <c r="C209" s="47"/>
      <c r="D209" s="47"/>
      <c r="E209" s="45"/>
      <c r="F209" s="45"/>
      <c r="G209" s="45"/>
      <c r="H209" s="45"/>
      <c r="I209" s="45"/>
      <c r="J209" s="45"/>
      <c r="K209" s="45"/>
      <c r="L209" s="45"/>
      <c r="M209" s="45"/>
      <c r="N209" s="45"/>
      <c r="O209" s="45"/>
      <c r="P209" s="45"/>
      <c r="Q209" s="45"/>
      <c r="R209" s="45"/>
    </row>
    <row r="210" spans="1:18" x14ac:dyDescent="0.25">
      <c r="A210" s="45"/>
      <c r="B210" s="47"/>
      <c r="C210" s="47"/>
      <c r="D210" s="47"/>
      <c r="E210" s="45"/>
      <c r="F210" s="45"/>
      <c r="G210" s="45"/>
      <c r="H210" s="45"/>
      <c r="I210" s="45"/>
      <c r="J210" s="45"/>
      <c r="K210" s="45"/>
      <c r="L210" s="45"/>
      <c r="M210" s="45"/>
      <c r="N210" s="45"/>
      <c r="O210" s="45"/>
      <c r="P210" s="45"/>
      <c r="Q210" s="45"/>
      <c r="R210" s="45"/>
    </row>
    <row r="211" spans="1:18" x14ac:dyDescent="0.25">
      <c r="A211" s="45"/>
      <c r="B211" s="47"/>
      <c r="C211" s="47"/>
      <c r="D211" s="47"/>
      <c r="E211" s="45"/>
      <c r="F211" s="45"/>
      <c r="G211" s="45"/>
      <c r="H211" s="45"/>
      <c r="I211" s="45"/>
      <c r="J211" s="45"/>
      <c r="K211" s="45"/>
      <c r="L211" s="45"/>
      <c r="M211" s="45"/>
      <c r="N211" s="45"/>
      <c r="O211" s="45"/>
      <c r="P211" s="45"/>
      <c r="Q211" s="45"/>
      <c r="R211" s="45"/>
    </row>
    <row r="212" spans="1:18" x14ac:dyDescent="0.25">
      <c r="A212" s="45"/>
      <c r="B212" s="47"/>
      <c r="C212" s="47"/>
      <c r="D212" s="47"/>
      <c r="E212" s="45"/>
      <c r="F212" s="45"/>
      <c r="G212" s="45"/>
      <c r="H212" s="45"/>
      <c r="I212" s="45"/>
      <c r="J212" s="45"/>
      <c r="K212" s="45"/>
      <c r="L212" s="45"/>
      <c r="M212" s="45"/>
      <c r="N212" s="45"/>
      <c r="O212" s="45"/>
      <c r="P212" s="45"/>
      <c r="Q212" s="45"/>
      <c r="R212" s="45"/>
    </row>
    <row r="213" spans="1:18" x14ac:dyDescent="0.25">
      <c r="A213" s="45"/>
      <c r="B213" s="47"/>
      <c r="C213" s="47"/>
      <c r="D213" s="47"/>
      <c r="E213" s="45"/>
      <c r="F213" s="45"/>
      <c r="G213" s="45"/>
      <c r="H213" s="45"/>
      <c r="I213" s="45"/>
      <c r="J213" s="45"/>
      <c r="K213" s="45"/>
      <c r="L213" s="45"/>
      <c r="M213" s="45"/>
      <c r="N213" s="45"/>
      <c r="O213" s="45"/>
      <c r="P213" s="45"/>
      <c r="Q213" s="45"/>
      <c r="R213" s="45"/>
    </row>
    <row r="214" spans="1:18" x14ac:dyDescent="0.25">
      <c r="A214" s="45"/>
      <c r="B214" s="47"/>
      <c r="C214" s="47"/>
      <c r="D214" s="47"/>
      <c r="E214" s="45"/>
      <c r="F214" s="45"/>
      <c r="G214" s="45"/>
      <c r="H214" s="45"/>
      <c r="I214" s="45"/>
      <c r="J214" s="45"/>
      <c r="K214" s="45"/>
      <c r="L214" s="45"/>
      <c r="M214" s="45"/>
      <c r="N214" s="45"/>
      <c r="O214" s="45"/>
      <c r="P214" s="45"/>
      <c r="Q214" s="45"/>
      <c r="R214" s="45"/>
    </row>
    <row r="215" spans="1:18" x14ac:dyDescent="0.25">
      <c r="A215" s="45"/>
      <c r="B215" s="47"/>
      <c r="C215" s="47"/>
      <c r="D215" s="47"/>
      <c r="E215" s="45"/>
      <c r="F215" s="45"/>
      <c r="G215" s="45"/>
      <c r="H215" s="45"/>
      <c r="I215" s="45"/>
      <c r="J215" s="45"/>
      <c r="K215" s="45"/>
      <c r="L215" s="45"/>
      <c r="M215" s="45"/>
      <c r="N215" s="45"/>
      <c r="O215" s="45"/>
      <c r="P215" s="45"/>
      <c r="Q215" s="45"/>
      <c r="R215" s="45"/>
    </row>
    <row r="216" spans="1:18" x14ac:dyDescent="0.25">
      <c r="A216" s="45"/>
      <c r="B216" s="47"/>
      <c r="C216" s="47"/>
      <c r="D216" s="47"/>
      <c r="E216" s="45"/>
      <c r="F216" s="45"/>
      <c r="G216" s="45"/>
      <c r="H216" s="45"/>
      <c r="I216" s="45"/>
      <c r="J216" s="45"/>
      <c r="K216" s="45"/>
      <c r="L216" s="45"/>
      <c r="M216" s="45"/>
      <c r="N216" s="45"/>
      <c r="O216" s="45"/>
      <c r="P216" s="45"/>
      <c r="Q216" s="45"/>
      <c r="R216" s="45"/>
    </row>
    <row r="217" spans="1:18" x14ac:dyDescent="0.25">
      <c r="A217" s="45"/>
      <c r="B217" s="47"/>
      <c r="C217" s="47"/>
      <c r="D217" s="47"/>
      <c r="E217" s="45"/>
      <c r="F217" s="45"/>
      <c r="G217" s="45"/>
      <c r="H217" s="45"/>
      <c r="I217" s="45"/>
      <c r="J217" s="45"/>
      <c r="K217" s="45"/>
      <c r="L217" s="45"/>
      <c r="M217" s="45"/>
      <c r="N217" s="45"/>
      <c r="O217" s="45"/>
      <c r="P217" s="45"/>
      <c r="Q217" s="45"/>
      <c r="R217" s="45"/>
    </row>
    <row r="218" spans="1:18" x14ac:dyDescent="0.25">
      <c r="A218" s="45"/>
      <c r="B218" s="47"/>
      <c r="C218" s="47"/>
      <c r="D218" s="47"/>
      <c r="E218" s="45"/>
      <c r="F218" s="45"/>
      <c r="G218" s="45"/>
      <c r="H218" s="45"/>
      <c r="I218" s="45"/>
      <c r="J218" s="45"/>
      <c r="K218" s="45"/>
      <c r="L218" s="45"/>
      <c r="M218" s="45"/>
      <c r="N218" s="45"/>
      <c r="O218" s="45"/>
      <c r="P218" s="45"/>
      <c r="Q218" s="45"/>
      <c r="R218" s="45"/>
    </row>
    <row r="219" spans="1:18" x14ac:dyDescent="0.25">
      <c r="A219" s="45"/>
      <c r="B219" s="47"/>
      <c r="C219" s="47"/>
      <c r="D219" s="47"/>
      <c r="E219" s="45"/>
      <c r="F219" s="45"/>
      <c r="G219" s="45"/>
      <c r="H219" s="45"/>
      <c r="I219" s="45"/>
      <c r="J219" s="45"/>
      <c r="K219" s="45"/>
      <c r="L219" s="45"/>
      <c r="M219" s="45"/>
      <c r="N219" s="45"/>
      <c r="O219" s="45"/>
      <c r="P219" s="45"/>
      <c r="Q219" s="45"/>
      <c r="R219" s="45"/>
    </row>
    <row r="220" spans="1:18" x14ac:dyDescent="0.25">
      <c r="A220" s="45"/>
      <c r="B220" s="47"/>
      <c r="C220" s="47"/>
      <c r="D220" s="47"/>
      <c r="E220" s="45"/>
      <c r="F220" s="45"/>
      <c r="G220" s="45"/>
      <c r="H220" s="45"/>
      <c r="I220" s="45"/>
      <c r="J220" s="45"/>
      <c r="K220" s="45"/>
      <c r="L220" s="45"/>
      <c r="M220" s="45"/>
      <c r="N220" s="45"/>
      <c r="O220" s="45"/>
      <c r="P220" s="45"/>
      <c r="Q220" s="45"/>
      <c r="R220" s="45"/>
    </row>
    <row r="221" spans="1:18" x14ac:dyDescent="0.25">
      <c r="A221" s="45"/>
      <c r="B221" s="47"/>
      <c r="C221" s="47"/>
      <c r="D221" s="47"/>
      <c r="E221" s="45"/>
      <c r="F221" s="45"/>
      <c r="G221" s="45"/>
      <c r="H221" s="45"/>
      <c r="I221" s="45"/>
      <c r="J221" s="45"/>
      <c r="K221" s="45"/>
      <c r="L221" s="45"/>
      <c r="M221" s="45"/>
      <c r="N221" s="45"/>
      <c r="O221" s="45"/>
      <c r="P221" s="45"/>
      <c r="Q221" s="45"/>
      <c r="R221" s="45"/>
    </row>
    <row r="222" spans="1:18" x14ac:dyDescent="0.25">
      <c r="A222" s="45"/>
      <c r="B222" s="47"/>
      <c r="C222" s="47"/>
      <c r="D222" s="47"/>
      <c r="E222" s="45"/>
      <c r="F222" s="45"/>
      <c r="G222" s="45"/>
      <c r="H222" s="45"/>
      <c r="I222" s="45"/>
      <c r="J222" s="45"/>
      <c r="K222" s="45"/>
      <c r="L222" s="45"/>
      <c r="M222" s="45"/>
      <c r="N222" s="45"/>
      <c r="O222" s="45"/>
      <c r="P222" s="45"/>
      <c r="Q222" s="45"/>
      <c r="R222" s="45"/>
    </row>
    <row r="223" spans="1:18" x14ac:dyDescent="0.25">
      <c r="A223" s="45"/>
      <c r="B223" s="47"/>
      <c r="C223" s="47"/>
      <c r="D223" s="47"/>
      <c r="E223" s="45"/>
      <c r="F223" s="45"/>
      <c r="G223" s="45"/>
      <c r="H223" s="45"/>
      <c r="I223" s="45"/>
      <c r="J223" s="45"/>
      <c r="K223" s="45"/>
      <c r="L223" s="45"/>
      <c r="M223" s="45"/>
      <c r="N223" s="45"/>
      <c r="O223" s="45"/>
      <c r="P223" s="45"/>
      <c r="Q223" s="45"/>
      <c r="R223" s="45"/>
    </row>
    <row r="224" spans="1:18" x14ac:dyDescent="0.25">
      <c r="A224" s="45"/>
      <c r="B224" s="47"/>
      <c r="C224" s="47"/>
      <c r="D224" s="47"/>
      <c r="E224" s="45"/>
      <c r="F224" s="45"/>
      <c r="G224" s="45"/>
      <c r="H224" s="45"/>
      <c r="I224" s="45"/>
      <c r="J224" s="45"/>
      <c r="K224" s="45"/>
      <c r="L224" s="45"/>
      <c r="M224" s="45"/>
      <c r="N224" s="45"/>
      <c r="O224" s="45"/>
      <c r="P224" s="45"/>
      <c r="Q224" s="45"/>
      <c r="R224" s="45"/>
    </row>
    <row r="225" spans="1:18" x14ac:dyDescent="0.25">
      <c r="A225" s="45"/>
      <c r="B225" s="47"/>
      <c r="C225" s="47"/>
      <c r="D225" s="47"/>
      <c r="E225" s="45"/>
      <c r="F225" s="45"/>
      <c r="G225" s="45"/>
      <c r="H225" s="45"/>
      <c r="I225" s="45"/>
      <c r="J225" s="45"/>
      <c r="K225" s="45"/>
      <c r="L225" s="45"/>
      <c r="M225" s="45"/>
      <c r="N225" s="45"/>
      <c r="O225" s="45"/>
      <c r="P225" s="45"/>
      <c r="Q225" s="45"/>
      <c r="R225" s="45"/>
    </row>
    <row r="226" spans="1:18" x14ac:dyDescent="0.25">
      <c r="A226" s="45"/>
      <c r="B226" s="47"/>
      <c r="C226" s="47"/>
      <c r="D226" s="47"/>
      <c r="E226" s="45"/>
      <c r="F226" s="45"/>
      <c r="G226" s="45"/>
      <c r="H226" s="45"/>
      <c r="I226" s="45"/>
      <c r="J226" s="45"/>
      <c r="K226" s="45"/>
      <c r="L226" s="45"/>
      <c r="M226" s="45"/>
      <c r="N226" s="45"/>
      <c r="O226" s="45"/>
      <c r="P226" s="45"/>
      <c r="Q226" s="45"/>
      <c r="R226" s="45"/>
    </row>
    <row r="227" spans="1:18" x14ac:dyDescent="0.25">
      <c r="A227" s="45"/>
      <c r="B227" s="47"/>
      <c r="C227" s="47"/>
      <c r="D227" s="47"/>
      <c r="E227" s="45"/>
      <c r="F227" s="45"/>
      <c r="G227" s="45"/>
      <c r="H227" s="45"/>
      <c r="I227" s="45"/>
      <c r="J227" s="45"/>
      <c r="K227" s="45"/>
      <c r="L227" s="45"/>
      <c r="M227" s="45"/>
      <c r="N227" s="45"/>
      <c r="O227" s="45"/>
      <c r="P227" s="45"/>
      <c r="Q227" s="45"/>
      <c r="R227" s="45"/>
    </row>
    <row r="228" spans="1:18" x14ac:dyDescent="0.25">
      <c r="A228" s="45"/>
      <c r="B228" s="47"/>
      <c r="C228" s="47"/>
      <c r="D228" s="47"/>
      <c r="E228" s="45"/>
      <c r="F228" s="45"/>
      <c r="G228" s="45"/>
      <c r="H228" s="45"/>
      <c r="I228" s="45"/>
      <c r="J228" s="45"/>
      <c r="K228" s="45"/>
      <c r="L228" s="45"/>
      <c r="M228" s="45"/>
      <c r="N228" s="45"/>
      <c r="O228" s="45"/>
      <c r="P228" s="45"/>
      <c r="Q228" s="45"/>
      <c r="R228" s="45"/>
    </row>
    <row r="229" spans="1:18" x14ac:dyDescent="0.25">
      <c r="A229" s="45"/>
      <c r="B229" s="47"/>
      <c r="C229" s="47"/>
      <c r="D229" s="47"/>
      <c r="E229" s="45"/>
      <c r="F229" s="45"/>
      <c r="G229" s="45"/>
      <c r="H229" s="45"/>
      <c r="I229" s="45"/>
      <c r="J229" s="45"/>
      <c r="K229" s="45"/>
      <c r="L229" s="45"/>
      <c r="M229" s="45"/>
      <c r="N229" s="45"/>
      <c r="O229" s="45"/>
      <c r="P229" s="45"/>
      <c r="Q229" s="45"/>
      <c r="R229" s="45"/>
    </row>
    <row r="230" spans="1:18" x14ac:dyDescent="0.25">
      <c r="A230" s="45"/>
      <c r="B230" s="47"/>
      <c r="C230" s="47"/>
      <c r="D230" s="47"/>
      <c r="E230" s="45"/>
      <c r="F230" s="45"/>
      <c r="G230" s="45"/>
      <c r="H230" s="45"/>
      <c r="I230" s="45"/>
      <c r="J230" s="45"/>
      <c r="K230" s="45"/>
      <c r="L230" s="45"/>
      <c r="M230" s="45"/>
      <c r="N230" s="45"/>
      <c r="O230" s="45"/>
      <c r="P230" s="45"/>
      <c r="Q230" s="45"/>
      <c r="R230" s="45"/>
    </row>
    <row r="231" spans="1:18" x14ac:dyDescent="0.25">
      <c r="A231" s="45"/>
      <c r="B231" s="47"/>
      <c r="C231" s="47"/>
      <c r="D231" s="47"/>
      <c r="E231" s="45"/>
      <c r="F231" s="45"/>
      <c r="G231" s="45"/>
      <c r="H231" s="45"/>
      <c r="I231" s="45"/>
      <c r="J231" s="45"/>
      <c r="K231" s="45"/>
      <c r="L231" s="45"/>
      <c r="M231" s="45"/>
      <c r="N231" s="45"/>
      <c r="O231" s="45"/>
      <c r="P231" s="45"/>
      <c r="Q231" s="45"/>
      <c r="R231" s="45"/>
    </row>
    <row r="232" spans="1:18" x14ac:dyDescent="0.25">
      <c r="A232" s="45"/>
      <c r="B232" s="47"/>
      <c r="C232" s="47"/>
      <c r="D232" s="47"/>
      <c r="E232" s="45"/>
      <c r="F232" s="45"/>
      <c r="G232" s="45"/>
      <c r="H232" s="45"/>
      <c r="I232" s="45"/>
      <c r="J232" s="45"/>
      <c r="K232" s="45"/>
      <c r="L232" s="45"/>
      <c r="M232" s="45"/>
      <c r="N232" s="45"/>
      <c r="O232" s="45"/>
      <c r="P232" s="45"/>
      <c r="Q232" s="45"/>
      <c r="R232" s="45"/>
    </row>
    <row r="233" spans="1:18" x14ac:dyDescent="0.25">
      <c r="A233" s="45"/>
      <c r="B233" s="47"/>
      <c r="C233" s="47"/>
      <c r="D233" s="47"/>
      <c r="E233" s="45"/>
      <c r="F233" s="45"/>
      <c r="G233" s="45"/>
      <c r="H233" s="45"/>
      <c r="I233" s="45"/>
      <c r="J233" s="45"/>
      <c r="K233" s="45"/>
      <c r="L233" s="45"/>
      <c r="M233" s="45"/>
      <c r="N233" s="45"/>
      <c r="O233" s="45"/>
      <c r="P233" s="45"/>
      <c r="Q233" s="45"/>
      <c r="R233" s="45"/>
    </row>
    <row r="234" spans="1:18" x14ac:dyDescent="0.25">
      <c r="A234" s="45"/>
      <c r="B234" s="47"/>
      <c r="C234" s="47"/>
      <c r="D234" s="47"/>
      <c r="E234" s="45"/>
      <c r="F234" s="45"/>
      <c r="G234" s="45"/>
      <c r="H234" s="45"/>
      <c r="I234" s="45"/>
      <c r="J234" s="45"/>
      <c r="K234" s="45"/>
      <c r="L234" s="45"/>
      <c r="M234" s="45"/>
      <c r="N234" s="45"/>
      <c r="O234" s="45"/>
      <c r="P234" s="45"/>
      <c r="Q234" s="45"/>
      <c r="R234" s="45"/>
    </row>
    <row r="235" spans="1:18" x14ac:dyDescent="0.25">
      <c r="A235" s="45"/>
      <c r="B235" s="47"/>
      <c r="C235" s="47"/>
      <c r="D235" s="47"/>
      <c r="E235" s="45"/>
      <c r="F235" s="45"/>
      <c r="G235" s="45"/>
      <c r="H235" s="45"/>
      <c r="I235" s="45"/>
      <c r="J235" s="45"/>
      <c r="K235" s="45"/>
      <c r="L235" s="45"/>
      <c r="M235" s="45"/>
      <c r="N235" s="45"/>
      <c r="O235" s="45"/>
      <c r="P235" s="45"/>
      <c r="Q235" s="45"/>
      <c r="R235" s="45"/>
    </row>
    <row r="236" spans="1:18" x14ac:dyDescent="0.25">
      <c r="A236" s="45"/>
      <c r="B236" s="47"/>
      <c r="C236" s="47"/>
      <c r="D236" s="47"/>
      <c r="E236" s="45"/>
      <c r="F236" s="45"/>
      <c r="G236" s="45"/>
      <c r="H236" s="45"/>
      <c r="I236" s="45"/>
      <c r="J236" s="45"/>
      <c r="K236" s="45"/>
      <c r="L236" s="45"/>
      <c r="M236" s="45"/>
      <c r="N236" s="45"/>
      <c r="O236" s="45"/>
      <c r="P236" s="45"/>
      <c r="Q236" s="45"/>
      <c r="R236" s="45"/>
    </row>
    <row r="237" spans="1:18" x14ac:dyDescent="0.25">
      <c r="A237" s="45"/>
      <c r="B237" s="47"/>
      <c r="C237" s="47"/>
      <c r="D237" s="47"/>
      <c r="E237" s="45"/>
      <c r="F237" s="45"/>
      <c r="G237" s="45"/>
      <c r="H237" s="45"/>
      <c r="I237" s="45"/>
      <c r="J237" s="45"/>
      <c r="K237" s="45"/>
      <c r="L237" s="45"/>
      <c r="M237" s="45"/>
      <c r="N237" s="45"/>
      <c r="O237" s="45"/>
      <c r="P237" s="45"/>
      <c r="Q237" s="45"/>
      <c r="R237" s="45"/>
    </row>
    <row r="238" spans="1:18" x14ac:dyDescent="0.25">
      <c r="A238" s="45"/>
      <c r="B238" s="47"/>
      <c r="C238" s="47"/>
      <c r="D238" s="47"/>
      <c r="E238" s="45"/>
      <c r="F238" s="45"/>
      <c r="G238" s="45"/>
      <c r="H238" s="45"/>
      <c r="I238" s="45"/>
      <c r="J238" s="45"/>
      <c r="K238" s="45"/>
      <c r="L238" s="45"/>
      <c r="M238" s="45"/>
      <c r="N238" s="45"/>
      <c r="O238" s="45"/>
      <c r="P238" s="45"/>
      <c r="Q238" s="45"/>
      <c r="R238" s="45"/>
    </row>
    <row r="239" spans="1:18" x14ac:dyDescent="0.25">
      <c r="A239" s="45"/>
      <c r="B239" s="47"/>
      <c r="C239" s="47"/>
      <c r="D239" s="47"/>
      <c r="E239" s="45"/>
      <c r="F239" s="45"/>
      <c r="G239" s="45"/>
      <c r="H239" s="45"/>
      <c r="I239" s="45"/>
      <c r="J239" s="45"/>
      <c r="K239" s="45"/>
      <c r="L239" s="45"/>
      <c r="M239" s="45"/>
      <c r="N239" s="45"/>
      <c r="O239" s="45"/>
      <c r="P239" s="45"/>
      <c r="Q239" s="45"/>
      <c r="R239" s="45"/>
    </row>
    <row r="240" spans="1:18" x14ac:dyDescent="0.25">
      <c r="A240" s="45"/>
      <c r="B240" s="47"/>
      <c r="C240" s="47"/>
      <c r="D240" s="47"/>
      <c r="E240" s="45"/>
      <c r="F240" s="45"/>
      <c r="G240" s="45"/>
      <c r="H240" s="45"/>
      <c r="I240" s="45"/>
      <c r="J240" s="45"/>
      <c r="K240" s="45"/>
      <c r="L240" s="45"/>
      <c r="M240" s="45"/>
      <c r="N240" s="45"/>
      <c r="O240" s="45"/>
      <c r="P240" s="45"/>
      <c r="Q240" s="45"/>
      <c r="R240" s="45"/>
    </row>
    <row r="241" spans="1:18" x14ac:dyDescent="0.25">
      <c r="A241" s="45"/>
      <c r="B241" s="47"/>
      <c r="C241" s="47"/>
      <c r="D241" s="47"/>
      <c r="E241" s="45"/>
      <c r="F241" s="45"/>
      <c r="G241" s="45"/>
      <c r="H241" s="45"/>
      <c r="I241" s="45"/>
      <c r="J241" s="45"/>
      <c r="K241" s="45"/>
      <c r="L241" s="45"/>
      <c r="M241" s="45"/>
      <c r="N241" s="45"/>
      <c r="O241" s="45"/>
      <c r="P241" s="45"/>
      <c r="Q241" s="45"/>
      <c r="R241" s="45"/>
    </row>
    <row r="242" spans="1:18" x14ac:dyDescent="0.25">
      <c r="A242" s="45"/>
      <c r="B242" s="47"/>
      <c r="C242" s="47"/>
      <c r="D242" s="47"/>
      <c r="E242" s="45"/>
      <c r="F242" s="45"/>
      <c r="G242" s="45"/>
      <c r="H242" s="45"/>
      <c r="I242" s="45"/>
      <c r="J242" s="45"/>
      <c r="K242" s="45"/>
      <c r="L242" s="45"/>
      <c r="M242" s="45"/>
      <c r="N242" s="45"/>
      <c r="O242" s="45"/>
      <c r="P242" s="45"/>
      <c r="Q242" s="45"/>
      <c r="R242" s="45"/>
    </row>
    <row r="243" spans="1:18" x14ac:dyDescent="0.25">
      <c r="A243" s="45"/>
      <c r="B243" s="47"/>
      <c r="C243" s="47"/>
      <c r="D243" s="47"/>
      <c r="E243" s="45"/>
      <c r="F243" s="45"/>
      <c r="G243" s="45"/>
      <c r="H243" s="45"/>
      <c r="I243" s="45"/>
      <c r="J243" s="45"/>
      <c r="K243" s="45"/>
      <c r="L243" s="45"/>
      <c r="M243" s="45"/>
      <c r="N243" s="45"/>
      <c r="O243" s="45"/>
      <c r="P243" s="45"/>
      <c r="Q243" s="45"/>
      <c r="R243" s="45"/>
    </row>
    <row r="244" spans="1:18" x14ac:dyDescent="0.25">
      <c r="A244" s="45"/>
      <c r="B244" s="47"/>
      <c r="C244" s="47"/>
      <c r="D244" s="47"/>
      <c r="E244" s="45"/>
      <c r="F244" s="45"/>
      <c r="G244" s="45"/>
      <c r="H244" s="45"/>
      <c r="I244" s="45"/>
      <c r="J244" s="45"/>
      <c r="K244" s="45"/>
      <c r="L244" s="45"/>
      <c r="M244" s="45"/>
      <c r="N244" s="45"/>
      <c r="O244" s="45"/>
      <c r="P244" s="45"/>
      <c r="Q244" s="45"/>
      <c r="R244" s="45"/>
    </row>
    <row r="245" spans="1:18" x14ac:dyDescent="0.25">
      <c r="A245" s="45"/>
      <c r="B245" s="47"/>
      <c r="C245" s="47"/>
      <c r="D245" s="47"/>
      <c r="E245" s="45"/>
      <c r="F245" s="45"/>
      <c r="G245" s="45"/>
      <c r="H245" s="45"/>
      <c r="I245" s="45"/>
      <c r="J245" s="45"/>
      <c r="K245" s="45"/>
      <c r="L245" s="45"/>
      <c r="M245" s="45"/>
      <c r="N245" s="45"/>
      <c r="O245" s="45"/>
      <c r="P245" s="45"/>
      <c r="Q245" s="45"/>
      <c r="R245" s="45"/>
    </row>
    <row r="246" spans="1:18" x14ac:dyDescent="0.25">
      <c r="A246" s="45"/>
      <c r="B246" s="47"/>
      <c r="C246" s="47"/>
      <c r="D246" s="47"/>
      <c r="E246" s="45"/>
      <c r="F246" s="45"/>
      <c r="G246" s="45"/>
      <c r="H246" s="45"/>
      <c r="I246" s="45"/>
      <c r="J246" s="45"/>
      <c r="K246" s="45"/>
      <c r="L246" s="45"/>
      <c r="M246" s="45"/>
      <c r="N246" s="45"/>
      <c r="O246" s="45"/>
      <c r="P246" s="45"/>
      <c r="Q246" s="45"/>
      <c r="R246" s="45"/>
    </row>
    <row r="247" spans="1:18" x14ac:dyDescent="0.25">
      <c r="A247" s="45"/>
      <c r="B247" s="47"/>
      <c r="C247" s="47"/>
      <c r="D247" s="47"/>
      <c r="E247" s="45"/>
      <c r="F247" s="45"/>
      <c r="G247" s="45"/>
      <c r="H247" s="45"/>
      <c r="I247" s="45"/>
      <c r="J247" s="45"/>
      <c r="K247" s="45"/>
      <c r="L247" s="45"/>
      <c r="M247" s="45"/>
      <c r="N247" s="45"/>
      <c r="O247" s="45"/>
      <c r="P247" s="45"/>
      <c r="Q247" s="45"/>
      <c r="R247" s="45"/>
    </row>
    <row r="248" spans="1:18" x14ac:dyDescent="0.25">
      <c r="A248" s="45"/>
      <c r="B248" s="47"/>
      <c r="C248" s="47"/>
      <c r="D248" s="47"/>
      <c r="E248" s="45"/>
      <c r="F248" s="45"/>
      <c r="G248" s="45"/>
      <c r="H248" s="45"/>
      <c r="I248" s="45"/>
      <c r="J248" s="45"/>
      <c r="K248" s="45"/>
      <c r="L248" s="45"/>
      <c r="M248" s="45"/>
      <c r="N248" s="45"/>
      <c r="O248" s="45"/>
      <c r="P248" s="45"/>
      <c r="Q248" s="45"/>
      <c r="R248" s="45"/>
    </row>
    <row r="249" spans="1:18" x14ac:dyDescent="0.25">
      <c r="A249" s="45"/>
      <c r="B249" s="47"/>
      <c r="C249" s="47"/>
      <c r="D249" s="47"/>
      <c r="E249" s="45"/>
      <c r="F249" s="45"/>
      <c r="G249" s="45"/>
      <c r="H249" s="45"/>
      <c r="I249" s="45"/>
      <c r="J249" s="45"/>
      <c r="K249" s="45"/>
      <c r="L249" s="45"/>
      <c r="M249" s="45"/>
      <c r="N249" s="45"/>
      <c r="O249" s="45"/>
      <c r="P249" s="45"/>
      <c r="Q249" s="45"/>
      <c r="R249" s="45"/>
    </row>
    <row r="250" spans="1:18" x14ac:dyDescent="0.25">
      <c r="A250" s="45"/>
      <c r="B250" s="47"/>
      <c r="C250" s="47"/>
      <c r="D250" s="47"/>
      <c r="E250" s="45"/>
      <c r="F250" s="45"/>
      <c r="G250" s="45"/>
      <c r="H250" s="45"/>
      <c r="I250" s="45"/>
      <c r="J250" s="45"/>
      <c r="K250" s="45"/>
      <c r="L250" s="45"/>
      <c r="M250" s="45"/>
      <c r="N250" s="45"/>
      <c r="O250" s="45"/>
      <c r="P250" s="45"/>
      <c r="Q250" s="45"/>
      <c r="R250" s="45"/>
    </row>
    <row r="251" spans="1:18" x14ac:dyDescent="0.25">
      <c r="A251" s="45"/>
      <c r="B251" s="47"/>
      <c r="C251" s="47"/>
      <c r="D251" s="47"/>
      <c r="E251" s="45"/>
      <c r="F251" s="45"/>
      <c r="G251" s="45"/>
      <c r="H251" s="45"/>
      <c r="I251" s="45"/>
      <c r="J251" s="45"/>
      <c r="K251" s="45"/>
      <c r="L251" s="45"/>
      <c r="M251" s="45"/>
      <c r="N251" s="45"/>
      <c r="O251" s="45"/>
      <c r="P251" s="45"/>
      <c r="Q251" s="45"/>
      <c r="R251" s="45"/>
    </row>
    <row r="252" spans="1:18" x14ac:dyDescent="0.25">
      <c r="A252" s="45"/>
      <c r="B252" s="47"/>
      <c r="C252" s="47"/>
      <c r="D252" s="47"/>
      <c r="E252" s="45"/>
      <c r="F252" s="45"/>
      <c r="G252" s="45"/>
      <c r="H252" s="45"/>
      <c r="I252" s="45"/>
      <c r="J252" s="45"/>
      <c r="K252" s="45"/>
      <c r="L252" s="45"/>
      <c r="M252" s="45"/>
      <c r="N252" s="45"/>
      <c r="O252" s="45"/>
      <c r="P252" s="45"/>
      <c r="Q252" s="45"/>
      <c r="R252" s="45"/>
    </row>
    <row r="253" spans="1:18" x14ac:dyDescent="0.25">
      <c r="A253" s="45"/>
      <c r="B253" s="47"/>
      <c r="C253" s="47"/>
      <c r="D253" s="47"/>
      <c r="E253" s="45"/>
      <c r="F253" s="45"/>
      <c r="G253" s="45"/>
      <c r="H253" s="45"/>
      <c r="I253" s="45"/>
      <c r="J253" s="45"/>
      <c r="K253" s="45"/>
      <c r="L253" s="45"/>
      <c r="M253" s="45"/>
      <c r="N253" s="45"/>
      <c r="O253" s="45"/>
      <c r="P253" s="45"/>
      <c r="Q253" s="45"/>
      <c r="R253" s="45"/>
    </row>
    <row r="254" spans="1:18" x14ac:dyDescent="0.25">
      <c r="A254" s="45"/>
      <c r="B254" s="47"/>
      <c r="C254" s="47"/>
      <c r="D254" s="47"/>
      <c r="E254" s="45"/>
      <c r="F254" s="45"/>
      <c r="G254" s="45"/>
      <c r="H254" s="45"/>
      <c r="I254" s="45"/>
      <c r="J254" s="45"/>
      <c r="K254" s="45"/>
      <c r="L254" s="45"/>
      <c r="M254" s="45"/>
      <c r="N254" s="45"/>
      <c r="O254" s="45"/>
      <c r="P254" s="45"/>
      <c r="Q254" s="45"/>
      <c r="R254" s="45"/>
    </row>
    <row r="255" spans="1:18" x14ac:dyDescent="0.25">
      <c r="A255" s="45"/>
      <c r="B255" s="47"/>
      <c r="C255" s="47"/>
      <c r="D255" s="47"/>
      <c r="E255" s="45"/>
      <c r="F255" s="45"/>
      <c r="G255" s="45"/>
      <c r="H255" s="45"/>
      <c r="I255" s="45"/>
      <c r="J255" s="45"/>
      <c r="K255" s="45"/>
      <c r="L255" s="45"/>
      <c r="M255" s="45"/>
      <c r="N255" s="45"/>
      <c r="O255" s="45"/>
      <c r="P255" s="45"/>
      <c r="Q255" s="45"/>
      <c r="R255" s="45"/>
    </row>
    <row r="256" spans="1:18" x14ac:dyDescent="0.25">
      <c r="A256" s="45"/>
      <c r="B256" s="47"/>
      <c r="C256" s="47"/>
      <c r="D256" s="47"/>
      <c r="E256" s="45"/>
      <c r="F256" s="45"/>
      <c r="G256" s="45"/>
      <c r="H256" s="45"/>
      <c r="I256" s="45"/>
      <c r="J256" s="45"/>
      <c r="K256" s="45"/>
      <c r="L256" s="45"/>
      <c r="M256" s="45"/>
      <c r="N256" s="45"/>
      <c r="O256" s="45"/>
      <c r="P256" s="45"/>
      <c r="Q256" s="45"/>
      <c r="R256" s="45"/>
    </row>
    <row r="257" spans="1:18" x14ac:dyDescent="0.25">
      <c r="A257" s="45"/>
      <c r="B257" s="47"/>
      <c r="C257" s="47"/>
      <c r="D257" s="47"/>
      <c r="E257" s="45"/>
      <c r="F257" s="45"/>
      <c r="G257" s="45"/>
      <c r="H257" s="45"/>
      <c r="I257" s="45"/>
      <c r="J257" s="45"/>
      <c r="K257" s="45"/>
      <c r="L257" s="45"/>
      <c r="M257" s="45"/>
      <c r="N257" s="45"/>
      <c r="O257" s="45"/>
      <c r="P257" s="45"/>
      <c r="Q257" s="45"/>
      <c r="R257" s="45"/>
    </row>
    <row r="258" spans="1:18" x14ac:dyDescent="0.25">
      <c r="A258" s="45"/>
      <c r="B258" s="47"/>
      <c r="C258" s="47"/>
      <c r="D258" s="47"/>
      <c r="E258" s="45"/>
      <c r="F258" s="45"/>
      <c r="G258" s="45"/>
      <c r="H258" s="45"/>
      <c r="I258" s="45"/>
      <c r="J258" s="45"/>
      <c r="K258" s="45"/>
      <c r="L258" s="45"/>
      <c r="M258" s="45"/>
      <c r="N258" s="45"/>
      <c r="O258" s="45"/>
      <c r="P258" s="45"/>
      <c r="Q258" s="45"/>
      <c r="R258" s="45"/>
    </row>
    <row r="259" spans="1:18" x14ac:dyDescent="0.25">
      <c r="A259" s="45"/>
      <c r="B259" s="47"/>
      <c r="C259" s="47"/>
      <c r="D259" s="47"/>
      <c r="E259" s="45"/>
      <c r="F259" s="45"/>
      <c r="G259" s="45"/>
      <c r="H259" s="45"/>
      <c r="I259" s="45"/>
      <c r="J259" s="45"/>
      <c r="K259" s="45"/>
      <c r="L259" s="45"/>
      <c r="M259" s="45"/>
      <c r="N259" s="45"/>
      <c r="O259" s="45"/>
      <c r="P259" s="45"/>
      <c r="Q259" s="45"/>
      <c r="R259" s="45"/>
    </row>
    <row r="260" spans="1:18" x14ac:dyDescent="0.25">
      <c r="A260" s="45"/>
      <c r="B260" s="47"/>
      <c r="C260" s="47"/>
      <c r="D260" s="47"/>
      <c r="E260" s="45"/>
      <c r="F260" s="45"/>
      <c r="G260" s="45"/>
      <c r="H260" s="45"/>
      <c r="I260" s="45"/>
      <c r="J260" s="45"/>
      <c r="K260" s="45"/>
      <c r="L260" s="45"/>
      <c r="M260" s="45"/>
      <c r="N260" s="45"/>
      <c r="O260" s="45"/>
      <c r="P260" s="45"/>
      <c r="Q260" s="45"/>
      <c r="R260" s="45"/>
    </row>
    <row r="261" spans="1:18" x14ac:dyDescent="0.25">
      <c r="A261" s="45"/>
      <c r="B261" s="47"/>
      <c r="C261" s="47"/>
      <c r="D261" s="47"/>
      <c r="E261" s="45"/>
      <c r="F261" s="45"/>
      <c r="G261" s="45"/>
      <c r="H261" s="45"/>
      <c r="I261" s="45"/>
      <c r="J261" s="45"/>
      <c r="K261" s="45"/>
      <c r="L261" s="45"/>
      <c r="M261" s="45"/>
      <c r="N261" s="45"/>
      <c r="O261" s="45"/>
      <c r="P261" s="45"/>
      <c r="Q261" s="45"/>
      <c r="R261" s="45"/>
    </row>
    <row r="262" spans="1:18" x14ac:dyDescent="0.25">
      <c r="A262" s="45"/>
      <c r="B262" s="47"/>
      <c r="C262" s="47"/>
      <c r="D262" s="47"/>
      <c r="E262" s="45"/>
      <c r="F262" s="45"/>
      <c r="G262" s="45"/>
      <c r="H262" s="45"/>
      <c r="I262" s="45"/>
      <c r="J262" s="45"/>
      <c r="K262" s="45"/>
      <c r="L262" s="45"/>
      <c r="M262" s="45"/>
      <c r="N262" s="45"/>
      <c r="O262" s="45"/>
      <c r="P262" s="45"/>
      <c r="Q262" s="45"/>
      <c r="R262" s="45"/>
    </row>
    <row r="263" spans="1:18" x14ac:dyDescent="0.25">
      <c r="A263" s="45"/>
      <c r="B263" s="47"/>
      <c r="C263" s="47"/>
      <c r="D263" s="47"/>
      <c r="E263" s="45"/>
      <c r="F263" s="45"/>
      <c r="G263" s="45"/>
      <c r="H263" s="45"/>
      <c r="I263" s="45"/>
      <c r="J263" s="45"/>
      <c r="K263" s="45"/>
      <c r="L263" s="45"/>
      <c r="M263" s="45"/>
      <c r="N263" s="45"/>
      <c r="O263" s="45"/>
      <c r="P263" s="45"/>
      <c r="Q263" s="45"/>
      <c r="R263" s="45"/>
    </row>
    <row r="264" spans="1:18" x14ac:dyDescent="0.25">
      <c r="A264" s="45"/>
      <c r="B264" s="47"/>
      <c r="C264" s="47"/>
      <c r="D264" s="47"/>
      <c r="E264" s="45"/>
      <c r="F264" s="45"/>
      <c r="G264" s="45"/>
      <c r="H264" s="45"/>
      <c r="I264" s="45"/>
      <c r="J264" s="45"/>
      <c r="K264" s="45"/>
      <c r="L264" s="45"/>
      <c r="M264" s="45"/>
      <c r="N264" s="45"/>
      <c r="O264" s="45"/>
      <c r="P264" s="45"/>
      <c r="Q264" s="45"/>
      <c r="R264" s="45"/>
    </row>
    <row r="265" spans="1:18" x14ac:dyDescent="0.25">
      <c r="A265" s="45"/>
      <c r="B265" s="47"/>
      <c r="C265" s="47"/>
      <c r="D265" s="47"/>
      <c r="E265" s="45"/>
      <c r="F265" s="45"/>
      <c r="G265" s="45"/>
      <c r="H265" s="45"/>
      <c r="I265" s="45"/>
      <c r="J265" s="45"/>
      <c r="K265" s="45"/>
      <c r="L265" s="45"/>
      <c r="M265" s="45"/>
      <c r="N265" s="45"/>
      <c r="O265" s="45"/>
      <c r="P265" s="45"/>
      <c r="Q265" s="45"/>
      <c r="R265" s="45"/>
    </row>
    <row r="266" spans="1:18" x14ac:dyDescent="0.25">
      <c r="A266" s="45"/>
      <c r="B266" s="47"/>
      <c r="C266" s="47"/>
      <c r="D266" s="47"/>
      <c r="E266" s="45"/>
      <c r="F266" s="45"/>
      <c r="G266" s="45"/>
      <c r="H266" s="45"/>
      <c r="I266" s="45"/>
      <c r="J266" s="45"/>
      <c r="K266" s="45"/>
      <c r="L266" s="45"/>
      <c r="M266" s="45"/>
      <c r="N266" s="45"/>
      <c r="O266" s="45"/>
      <c r="P266" s="45"/>
      <c r="Q266" s="45"/>
      <c r="R266" s="45"/>
    </row>
    <row r="267" spans="1:18" x14ac:dyDescent="0.25">
      <c r="A267" s="45"/>
      <c r="B267" s="47"/>
      <c r="C267" s="47"/>
      <c r="D267" s="47"/>
      <c r="E267" s="45"/>
      <c r="F267" s="45"/>
      <c r="G267" s="45"/>
      <c r="H267" s="45"/>
      <c r="I267" s="45"/>
      <c r="J267" s="45"/>
      <c r="K267" s="45"/>
      <c r="L267" s="45"/>
      <c r="M267" s="45"/>
      <c r="N267" s="45"/>
      <c r="O267" s="45"/>
      <c r="P267" s="45"/>
      <c r="Q267" s="45"/>
      <c r="R267" s="45"/>
    </row>
    <row r="268" spans="1:18" x14ac:dyDescent="0.25">
      <c r="A268" s="45"/>
      <c r="B268" s="47"/>
      <c r="C268" s="47"/>
      <c r="D268" s="47"/>
      <c r="E268" s="45"/>
      <c r="F268" s="45"/>
      <c r="G268" s="45"/>
      <c r="H268" s="45"/>
      <c r="I268" s="45"/>
      <c r="J268" s="45"/>
      <c r="K268" s="45"/>
      <c r="L268" s="45"/>
      <c r="M268" s="45"/>
      <c r="N268" s="45"/>
      <c r="O268" s="45"/>
      <c r="P268" s="45"/>
      <c r="Q268" s="45"/>
      <c r="R268" s="45"/>
    </row>
    <row r="269" spans="1:18" x14ac:dyDescent="0.25">
      <c r="A269" s="45"/>
      <c r="B269" s="47"/>
      <c r="C269" s="47"/>
      <c r="D269" s="47"/>
      <c r="E269" s="45"/>
      <c r="F269" s="45"/>
      <c r="G269" s="45"/>
      <c r="H269" s="45"/>
      <c r="I269" s="45"/>
      <c r="J269" s="45"/>
      <c r="K269" s="45"/>
      <c r="L269" s="45"/>
      <c r="M269" s="45"/>
      <c r="N269" s="45"/>
      <c r="O269" s="45"/>
      <c r="P269" s="45"/>
      <c r="Q269" s="45"/>
      <c r="R269" s="45"/>
    </row>
    <row r="270" spans="1:18" x14ac:dyDescent="0.25">
      <c r="A270" s="45"/>
      <c r="B270" s="47"/>
      <c r="C270" s="47"/>
      <c r="D270" s="47"/>
      <c r="E270" s="45"/>
      <c r="F270" s="45"/>
      <c r="G270" s="45"/>
      <c r="H270" s="45"/>
      <c r="I270" s="45"/>
      <c r="J270" s="45"/>
      <c r="K270" s="45"/>
      <c r="L270" s="45"/>
      <c r="M270" s="45"/>
      <c r="N270" s="45"/>
      <c r="O270" s="45"/>
      <c r="P270" s="45"/>
      <c r="Q270" s="45"/>
      <c r="R270" s="45"/>
    </row>
    <row r="271" spans="1:18" x14ac:dyDescent="0.25">
      <c r="A271" s="45"/>
      <c r="B271" s="47"/>
      <c r="C271" s="47"/>
      <c r="D271" s="47"/>
      <c r="E271" s="45"/>
      <c r="F271" s="45"/>
      <c r="G271" s="45"/>
      <c r="H271" s="45"/>
      <c r="I271" s="45"/>
      <c r="J271" s="45"/>
      <c r="K271" s="45"/>
      <c r="L271" s="45"/>
      <c r="M271" s="45"/>
      <c r="N271" s="45"/>
      <c r="O271" s="45"/>
      <c r="P271" s="45"/>
      <c r="Q271" s="45"/>
      <c r="R271" s="45"/>
    </row>
    <row r="272" spans="1:18" x14ac:dyDescent="0.25">
      <c r="A272" s="45"/>
      <c r="B272" s="47"/>
      <c r="C272" s="47"/>
      <c r="D272" s="47"/>
      <c r="E272" s="45"/>
      <c r="F272" s="45"/>
      <c r="G272" s="45"/>
      <c r="H272" s="45"/>
      <c r="I272" s="45"/>
      <c r="J272" s="45"/>
      <c r="K272" s="45"/>
      <c r="L272" s="45"/>
      <c r="M272" s="45"/>
      <c r="N272" s="45"/>
      <c r="O272" s="45"/>
      <c r="P272" s="45"/>
      <c r="Q272" s="45"/>
      <c r="R272" s="45"/>
    </row>
    <row r="273" spans="1:18" x14ac:dyDescent="0.25">
      <c r="A273" s="45"/>
      <c r="B273" s="47"/>
      <c r="C273" s="47"/>
      <c r="D273" s="47"/>
      <c r="E273" s="45"/>
      <c r="F273" s="45"/>
      <c r="G273" s="45"/>
      <c r="H273" s="45"/>
      <c r="I273" s="45"/>
      <c r="J273" s="45"/>
      <c r="K273" s="45"/>
      <c r="L273" s="45"/>
      <c r="M273" s="45"/>
      <c r="N273" s="45"/>
      <c r="O273" s="45"/>
      <c r="P273" s="45"/>
      <c r="Q273" s="45"/>
      <c r="R273" s="45"/>
    </row>
    <row r="274" spans="1:18" x14ac:dyDescent="0.25">
      <c r="A274" s="45"/>
      <c r="B274" s="47"/>
      <c r="C274" s="47"/>
      <c r="D274" s="47"/>
      <c r="E274" s="45"/>
      <c r="F274" s="45"/>
      <c r="G274" s="45"/>
      <c r="H274" s="45"/>
      <c r="I274" s="45"/>
      <c r="J274" s="45"/>
      <c r="K274" s="45"/>
      <c r="L274" s="45"/>
      <c r="M274" s="45"/>
      <c r="N274" s="45"/>
      <c r="O274" s="45"/>
      <c r="P274" s="45"/>
      <c r="Q274" s="45"/>
      <c r="R274" s="45"/>
    </row>
    <row r="275" spans="1:18" x14ac:dyDescent="0.25">
      <c r="A275" s="45"/>
      <c r="B275" s="47"/>
      <c r="C275" s="47"/>
      <c r="D275" s="47"/>
      <c r="E275" s="45"/>
      <c r="F275" s="45"/>
      <c r="G275" s="45"/>
      <c r="H275" s="45"/>
      <c r="I275" s="45"/>
      <c r="J275" s="45"/>
      <c r="K275" s="45"/>
      <c r="L275" s="45"/>
      <c r="M275" s="45"/>
      <c r="N275" s="45"/>
      <c r="O275" s="45"/>
      <c r="P275" s="45"/>
      <c r="Q275" s="45"/>
      <c r="R275" s="45"/>
    </row>
    <row r="276" spans="1:18" x14ac:dyDescent="0.25">
      <c r="A276" s="45"/>
      <c r="B276" s="47"/>
      <c r="C276" s="47"/>
      <c r="D276" s="47"/>
      <c r="E276" s="45"/>
      <c r="F276" s="45"/>
      <c r="G276" s="45"/>
      <c r="H276" s="45"/>
      <c r="I276" s="45"/>
      <c r="J276" s="45"/>
      <c r="K276" s="45"/>
      <c r="L276" s="45"/>
      <c r="M276" s="45"/>
      <c r="N276" s="45"/>
      <c r="O276" s="45"/>
      <c r="P276" s="45"/>
      <c r="Q276" s="45"/>
      <c r="R276" s="45"/>
    </row>
    <row r="277" spans="1:18" x14ac:dyDescent="0.25">
      <c r="A277" s="45"/>
      <c r="B277" s="47"/>
      <c r="C277" s="47"/>
      <c r="D277" s="47"/>
      <c r="E277" s="45"/>
      <c r="F277" s="45"/>
      <c r="G277" s="45"/>
      <c r="H277" s="45"/>
      <c r="I277" s="45"/>
      <c r="J277" s="45"/>
      <c r="K277" s="45"/>
      <c r="L277" s="45"/>
      <c r="M277" s="45"/>
      <c r="N277" s="45"/>
      <c r="O277" s="45"/>
      <c r="P277" s="45"/>
      <c r="Q277" s="45"/>
      <c r="R277" s="45"/>
    </row>
    <row r="278" spans="1:18" x14ac:dyDescent="0.25">
      <c r="A278" s="45"/>
      <c r="B278" s="47"/>
      <c r="C278" s="47"/>
      <c r="D278" s="47"/>
      <c r="E278" s="45"/>
      <c r="F278" s="45"/>
      <c r="G278" s="45"/>
      <c r="H278" s="45"/>
      <c r="I278" s="45"/>
      <c r="J278" s="45"/>
      <c r="K278" s="45"/>
      <c r="L278" s="45"/>
      <c r="M278" s="45"/>
      <c r="N278" s="45"/>
      <c r="O278" s="45"/>
      <c r="P278" s="45"/>
      <c r="Q278" s="45"/>
      <c r="R278" s="45"/>
    </row>
    <row r="279" spans="1:18" x14ac:dyDescent="0.25">
      <c r="A279" s="45"/>
      <c r="B279" s="47"/>
      <c r="C279" s="47"/>
      <c r="D279" s="47"/>
      <c r="E279" s="45"/>
      <c r="F279" s="45"/>
      <c r="G279" s="45"/>
      <c r="H279" s="45"/>
      <c r="I279" s="45"/>
      <c r="J279" s="45"/>
      <c r="K279" s="45"/>
      <c r="L279" s="45"/>
      <c r="M279" s="45"/>
      <c r="N279" s="45"/>
      <c r="O279" s="45"/>
      <c r="P279" s="45"/>
      <c r="Q279" s="45"/>
      <c r="R279" s="45"/>
    </row>
    <row r="280" spans="1:18" x14ac:dyDescent="0.25">
      <c r="A280" s="45"/>
      <c r="B280" s="47"/>
      <c r="C280" s="47"/>
      <c r="D280" s="47"/>
      <c r="E280" s="45"/>
      <c r="F280" s="45"/>
      <c r="G280" s="45"/>
      <c r="H280" s="45"/>
      <c r="I280" s="45"/>
      <c r="J280" s="45"/>
      <c r="K280" s="45"/>
      <c r="L280" s="45"/>
      <c r="M280" s="45"/>
      <c r="N280" s="45"/>
      <c r="O280" s="45"/>
      <c r="P280" s="45"/>
      <c r="Q280" s="45"/>
      <c r="R280" s="45"/>
    </row>
    <row r="281" spans="1:18" x14ac:dyDescent="0.25">
      <c r="A281" s="45"/>
      <c r="B281" s="47"/>
      <c r="C281" s="47"/>
      <c r="D281" s="47"/>
      <c r="E281" s="45"/>
      <c r="F281" s="45"/>
      <c r="G281" s="45"/>
      <c r="H281" s="45"/>
      <c r="I281" s="45"/>
      <c r="J281" s="45"/>
      <c r="K281" s="45"/>
      <c r="L281" s="45"/>
      <c r="M281" s="45"/>
      <c r="N281" s="45"/>
      <c r="O281" s="45"/>
      <c r="P281" s="45"/>
      <c r="Q281" s="45"/>
      <c r="R281" s="45"/>
    </row>
    <row r="282" spans="1:18" x14ac:dyDescent="0.25">
      <c r="A282" s="45"/>
      <c r="B282" s="47"/>
      <c r="C282" s="47"/>
      <c r="D282" s="47"/>
      <c r="E282" s="45"/>
      <c r="F282" s="45"/>
      <c r="G282" s="45"/>
      <c r="H282" s="45"/>
      <c r="I282" s="45"/>
      <c r="J282" s="45"/>
      <c r="K282" s="45"/>
      <c r="L282" s="45"/>
      <c r="M282" s="45"/>
      <c r="N282" s="45"/>
      <c r="O282" s="45"/>
      <c r="P282" s="45"/>
      <c r="Q282" s="45"/>
      <c r="R282" s="45"/>
    </row>
    <row r="283" spans="1:18" x14ac:dyDescent="0.25">
      <c r="A283" s="45"/>
      <c r="B283" s="47"/>
      <c r="C283" s="47"/>
      <c r="D283" s="47"/>
      <c r="E283" s="45"/>
      <c r="F283" s="45"/>
      <c r="G283" s="45"/>
      <c r="H283" s="45"/>
      <c r="I283" s="45"/>
      <c r="J283" s="45"/>
      <c r="K283" s="45"/>
      <c r="L283" s="45"/>
      <c r="M283" s="45"/>
      <c r="N283" s="45"/>
      <c r="O283" s="45"/>
      <c r="P283" s="45"/>
      <c r="Q283" s="45"/>
      <c r="R283" s="45"/>
    </row>
    <row r="284" spans="1:18" x14ac:dyDescent="0.25">
      <c r="A284" s="45"/>
      <c r="B284" s="47"/>
      <c r="C284" s="47"/>
      <c r="D284" s="47"/>
      <c r="E284" s="45"/>
      <c r="F284" s="45"/>
      <c r="G284" s="45"/>
      <c r="H284" s="45"/>
      <c r="I284" s="45"/>
      <c r="J284" s="45"/>
      <c r="K284" s="45"/>
      <c r="L284" s="45"/>
      <c r="M284" s="45"/>
      <c r="N284" s="45"/>
      <c r="O284" s="45"/>
      <c r="P284" s="45"/>
      <c r="Q284" s="45"/>
      <c r="R284" s="45"/>
    </row>
    <row r="285" spans="1:18" x14ac:dyDescent="0.25">
      <c r="A285" s="45"/>
      <c r="B285" s="47"/>
      <c r="C285" s="47"/>
      <c r="D285" s="47"/>
      <c r="E285" s="45"/>
      <c r="F285" s="45"/>
      <c r="G285" s="45"/>
      <c r="H285" s="45"/>
      <c r="I285" s="45"/>
      <c r="J285" s="45"/>
      <c r="K285" s="45"/>
      <c r="L285" s="45"/>
      <c r="M285" s="45"/>
      <c r="N285" s="45"/>
      <c r="O285" s="45"/>
      <c r="P285" s="45"/>
      <c r="Q285" s="45"/>
      <c r="R285" s="45"/>
    </row>
    <row r="286" spans="1:18" x14ac:dyDescent="0.25">
      <c r="A286" s="45"/>
      <c r="B286" s="47"/>
      <c r="C286" s="47"/>
      <c r="D286" s="47"/>
      <c r="E286" s="45"/>
      <c r="F286" s="45"/>
      <c r="G286" s="45"/>
      <c r="H286" s="45"/>
      <c r="I286" s="45"/>
      <c r="J286" s="45"/>
      <c r="K286" s="45"/>
      <c r="L286" s="45"/>
      <c r="M286" s="45"/>
      <c r="N286" s="45"/>
      <c r="O286" s="45"/>
      <c r="P286" s="45"/>
      <c r="Q286" s="45"/>
      <c r="R286" s="45"/>
    </row>
    <row r="287" spans="1:18" x14ac:dyDescent="0.25">
      <c r="A287" s="45"/>
      <c r="B287" s="47"/>
      <c r="C287" s="47"/>
      <c r="D287" s="47"/>
      <c r="E287" s="45"/>
      <c r="F287" s="45"/>
      <c r="G287" s="45"/>
      <c r="H287" s="45"/>
      <c r="I287" s="45"/>
      <c r="J287" s="45"/>
      <c r="K287" s="45"/>
      <c r="L287" s="45"/>
      <c r="M287" s="45"/>
      <c r="N287" s="45"/>
      <c r="O287" s="45"/>
      <c r="P287" s="45"/>
      <c r="Q287" s="45"/>
      <c r="R287" s="45"/>
    </row>
    <row r="288" spans="1:18" x14ac:dyDescent="0.25">
      <c r="A288" s="45"/>
      <c r="B288" s="47"/>
      <c r="C288" s="47"/>
      <c r="D288" s="47"/>
      <c r="E288" s="45"/>
      <c r="F288" s="45"/>
      <c r="G288" s="45"/>
      <c r="H288" s="45"/>
      <c r="I288" s="45"/>
      <c r="J288" s="45"/>
      <c r="K288" s="45"/>
      <c r="L288" s="45"/>
      <c r="M288" s="45"/>
      <c r="N288" s="45"/>
      <c r="O288" s="45"/>
      <c r="P288" s="45"/>
      <c r="Q288" s="45"/>
      <c r="R288" s="45"/>
    </row>
    <row r="289" spans="1:18" x14ac:dyDescent="0.25">
      <c r="A289" s="45"/>
      <c r="B289" s="47"/>
      <c r="C289" s="47"/>
      <c r="D289" s="47"/>
      <c r="E289" s="45"/>
      <c r="F289" s="45"/>
      <c r="G289" s="45"/>
      <c r="H289" s="45"/>
      <c r="I289" s="45"/>
      <c r="J289" s="45"/>
      <c r="K289" s="45"/>
      <c r="L289" s="45"/>
      <c r="M289" s="45"/>
      <c r="N289" s="45"/>
      <c r="O289" s="45"/>
      <c r="P289" s="45"/>
      <c r="Q289" s="45"/>
      <c r="R289" s="45"/>
    </row>
    <row r="290" spans="1:18" x14ac:dyDescent="0.25">
      <c r="A290" s="45"/>
      <c r="B290" s="47"/>
      <c r="C290" s="47"/>
      <c r="D290" s="47"/>
      <c r="E290" s="45"/>
      <c r="F290" s="45"/>
      <c r="G290" s="45"/>
      <c r="H290" s="45"/>
      <c r="I290" s="45"/>
      <c r="J290" s="45"/>
      <c r="K290" s="45"/>
      <c r="L290" s="45"/>
      <c r="M290" s="45"/>
      <c r="N290" s="45"/>
      <c r="O290" s="45"/>
      <c r="P290" s="45"/>
      <c r="Q290" s="45"/>
      <c r="R290" s="45"/>
    </row>
    <row r="291" spans="1:18" x14ac:dyDescent="0.25">
      <c r="A291" s="45"/>
      <c r="B291" s="47"/>
      <c r="C291" s="47"/>
      <c r="D291" s="47"/>
      <c r="E291" s="45"/>
      <c r="F291" s="45"/>
      <c r="G291" s="45"/>
      <c r="H291" s="45"/>
      <c r="I291" s="45"/>
      <c r="J291" s="45"/>
      <c r="K291" s="45"/>
      <c r="L291" s="45"/>
      <c r="M291" s="45"/>
      <c r="N291" s="45"/>
      <c r="O291" s="45"/>
      <c r="P291" s="45"/>
      <c r="Q291" s="45"/>
      <c r="R291" s="45"/>
    </row>
    <row r="292" spans="1:18" x14ac:dyDescent="0.25">
      <c r="A292" s="45"/>
      <c r="B292" s="47"/>
      <c r="C292" s="47"/>
      <c r="D292" s="47"/>
      <c r="E292" s="45"/>
      <c r="F292" s="45"/>
      <c r="G292" s="45"/>
      <c r="H292" s="45"/>
      <c r="I292" s="45"/>
      <c r="J292" s="45"/>
      <c r="K292" s="45"/>
      <c r="L292" s="45"/>
      <c r="M292" s="45"/>
      <c r="N292" s="45"/>
      <c r="O292" s="45"/>
      <c r="P292" s="45"/>
      <c r="Q292" s="45"/>
      <c r="R292" s="45"/>
    </row>
    <row r="293" spans="1:18" x14ac:dyDescent="0.25">
      <c r="A293" s="45"/>
      <c r="B293" s="47"/>
      <c r="C293" s="47"/>
      <c r="D293" s="47"/>
      <c r="E293" s="45"/>
      <c r="F293" s="45"/>
      <c r="G293" s="45"/>
      <c r="H293" s="45"/>
      <c r="I293" s="45"/>
      <c r="J293" s="45"/>
      <c r="K293" s="45"/>
      <c r="L293" s="45"/>
      <c r="M293" s="45"/>
      <c r="N293" s="45"/>
      <c r="O293" s="45"/>
      <c r="P293" s="45"/>
      <c r="Q293" s="45"/>
      <c r="R293" s="45"/>
    </row>
    <row r="294" spans="1:18" x14ac:dyDescent="0.25">
      <c r="A294" s="45"/>
      <c r="B294" s="47"/>
      <c r="C294" s="47"/>
      <c r="D294" s="47"/>
      <c r="E294" s="45"/>
      <c r="F294" s="45"/>
      <c r="G294" s="45"/>
      <c r="H294" s="45"/>
      <c r="I294" s="45"/>
      <c r="J294" s="45"/>
      <c r="K294" s="45"/>
      <c r="L294" s="45"/>
      <c r="M294" s="45"/>
      <c r="N294" s="45"/>
      <c r="O294" s="45"/>
      <c r="P294" s="45"/>
      <c r="Q294" s="45"/>
      <c r="R294" s="45"/>
    </row>
    <row r="295" spans="1:18" x14ac:dyDescent="0.25">
      <c r="A295" s="45"/>
      <c r="B295" s="47"/>
      <c r="C295" s="47"/>
      <c r="D295" s="47"/>
      <c r="E295" s="45"/>
      <c r="F295" s="45"/>
      <c r="G295" s="45"/>
      <c r="H295" s="45"/>
      <c r="I295" s="45"/>
      <c r="J295" s="45"/>
      <c r="K295" s="45"/>
      <c r="L295" s="45"/>
      <c r="M295" s="45"/>
      <c r="N295" s="45"/>
      <c r="O295" s="45"/>
      <c r="P295" s="45"/>
      <c r="Q295" s="45"/>
      <c r="R295" s="45"/>
    </row>
    <row r="296" spans="1:18" x14ac:dyDescent="0.25">
      <c r="A296" s="45"/>
      <c r="B296" s="47"/>
      <c r="C296" s="47"/>
      <c r="D296" s="47"/>
      <c r="E296" s="45"/>
      <c r="F296" s="45"/>
      <c r="G296" s="45"/>
      <c r="H296" s="45"/>
      <c r="I296" s="45"/>
      <c r="J296" s="45"/>
      <c r="K296" s="45"/>
      <c r="L296" s="45"/>
      <c r="M296" s="45"/>
      <c r="N296" s="45"/>
      <c r="O296" s="45"/>
      <c r="P296" s="45"/>
      <c r="Q296" s="45"/>
      <c r="R296" s="45"/>
    </row>
    <row r="297" spans="1:18" x14ac:dyDescent="0.25">
      <c r="A297" s="45"/>
      <c r="B297" s="47"/>
      <c r="C297" s="47"/>
      <c r="D297" s="47"/>
      <c r="E297" s="45"/>
      <c r="F297" s="45"/>
      <c r="G297" s="45"/>
      <c r="H297" s="45"/>
      <c r="I297" s="45"/>
      <c r="J297" s="45"/>
      <c r="K297" s="45"/>
      <c r="L297" s="45"/>
      <c r="M297" s="45"/>
      <c r="N297" s="45"/>
      <c r="O297" s="45"/>
      <c r="P297" s="45"/>
      <c r="Q297" s="45"/>
      <c r="R297" s="45"/>
    </row>
    <row r="298" spans="1:18" x14ac:dyDescent="0.25">
      <c r="A298" s="45"/>
      <c r="B298" s="47"/>
      <c r="C298" s="47"/>
      <c r="D298" s="47"/>
      <c r="E298" s="45"/>
      <c r="F298" s="45"/>
      <c r="G298" s="45"/>
      <c r="H298" s="45"/>
      <c r="I298" s="45"/>
      <c r="J298" s="45"/>
      <c r="K298" s="45"/>
      <c r="L298" s="45"/>
      <c r="M298" s="45"/>
      <c r="N298" s="45"/>
      <c r="O298" s="45"/>
      <c r="P298" s="45"/>
      <c r="Q298" s="45"/>
      <c r="R298" s="45"/>
    </row>
    <row r="299" spans="1:18" x14ac:dyDescent="0.25">
      <c r="A299" s="45"/>
      <c r="B299" s="47"/>
      <c r="C299" s="47"/>
      <c r="D299" s="47"/>
      <c r="E299" s="45"/>
      <c r="F299" s="45"/>
      <c r="G299" s="45"/>
      <c r="H299" s="45"/>
      <c r="I299" s="45"/>
      <c r="J299" s="45"/>
      <c r="K299" s="45"/>
      <c r="L299" s="45"/>
      <c r="M299" s="45"/>
      <c r="N299" s="45"/>
      <c r="O299" s="45"/>
      <c r="P299" s="45"/>
      <c r="Q299" s="45"/>
      <c r="R299" s="45"/>
    </row>
    <row r="300" spans="1:18" x14ac:dyDescent="0.25">
      <c r="A300" s="45"/>
      <c r="B300" s="47"/>
      <c r="C300" s="47"/>
      <c r="D300" s="47"/>
      <c r="E300" s="45"/>
      <c r="F300" s="45"/>
      <c r="G300" s="45"/>
      <c r="H300" s="45"/>
      <c r="I300" s="45"/>
      <c r="J300" s="45"/>
      <c r="K300" s="45"/>
      <c r="L300" s="45"/>
      <c r="M300" s="45"/>
      <c r="N300" s="45"/>
      <c r="O300" s="45"/>
      <c r="P300" s="45"/>
      <c r="Q300" s="45"/>
      <c r="R300" s="45"/>
    </row>
    <row r="301" spans="1:18" x14ac:dyDescent="0.25">
      <c r="A301" s="45"/>
      <c r="B301" s="47"/>
      <c r="C301" s="47"/>
      <c r="D301" s="47"/>
      <c r="E301" s="45"/>
      <c r="F301" s="45"/>
      <c r="G301" s="45"/>
      <c r="H301" s="45"/>
      <c r="I301" s="45"/>
      <c r="J301" s="45"/>
      <c r="K301" s="45"/>
      <c r="L301" s="45"/>
      <c r="M301" s="45"/>
      <c r="N301" s="45"/>
      <c r="O301" s="45"/>
      <c r="P301" s="45"/>
      <c r="Q301" s="45"/>
      <c r="R301" s="45"/>
    </row>
    <row r="302" spans="1:18" x14ac:dyDescent="0.25">
      <c r="A302" s="45"/>
      <c r="B302" s="47"/>
      <c r="C302" s="47"/>
      <c r="D302" s="47"/>
      <c r="E302" s="45"/>
      <c r="F302" s="45"/>
      <c r="G302" s="45"/>
      <c r="H302" s="45"/>
      <c r="I302" s="45"/>
      <c r="J302" s="45"/>
      <c r="K302" s="45"/>
      <c r="L302" s="45"/>
      <c r="M302" s="45"/>
      <c r="N302" s="45"/>
      <c r="O302" s="45"/>
      <c r="P302" s="45"/>
      <c r="Q302" s="45"/>
      <c r="R302" s="45"/>
    </row>
    <row r="303" spans="1:18" x14ac:dyDescent="0.25">
      <c r="A303" s="45"/>
      <c r="B303" s="47"/>
      <c r="C303" s="47"/>
      <c r="D303" s="47"/>
      <c r="E303" s="45"/>
      <c r="F303" s="45"/>
      <c r="G303" s="45"/>
      <c r="H303" s="45"/>
      <c r="I303" s="45"/>
      <c r="J303" s="45"/>
      <c r="K303" s="45"/>
      <c r="L303" s="45"/>
      <c r="M303" s="45"/>
      <c r="N303" s="45"/>
      <c r="O303" s="45"/>
      <c r="P303" s="45"/>
      <c r="Q303" s="45"/>
      <c r="R303" s="45"/>
    </row>
    <row r="304" spans="1:18" x14ac:dyDescent="0.25">
      <c r="A304" s="45"/>
      <c r="B304" s="47"/>
      <c r="C304" s="47"/>
      <c r="D304" s="47"/>
      <c r="E304" s="45"/>
      <c r="F304" s="45"/>
      <c r="G304" s="45"/>
      <c r="H304" s="45"/>
      <c r="I304" s="45"/>
      <c r="J304" s="45"/>
      <c r="K304" s="45"/>
      <c r="L304" s="45"/>
      <c r="M304" s="45"/>
      <c r="N304" s="45"/>
      <c r="O304" s="45"/>
      <c r="P304" s="45"/>
      <c r="Q304" s="45"/>
      <c r="R304" s="45"/>
    </row>
    <row r="305" spans="1:18" x14ac:dyDescent="0.25">
      <c r="A305" s="45"/>
      <c r="B305" s="47"/>
      <c r="C305" s="47"/>
      <c r="D305" s="47"/>
      <c r="E305" s="45"/>
      <c r="F305" s="45"/>
      <c r="G305" s="45"/>
      <c r="H305" s="45"/>
      <c r="I305" s="45"/>
      <c r="J305" s="45"/>
      <c r="K305" s="45"/>
      <c r="L305" s="45"/>
      <c r="M305" s="45"/>
      <c r="N305" s="45"/>
      <c r="O305" s="45"/>
      <c r="P305" s="45"/>
      <c r="Q305" s="45"/>
      <c r="R305" s="45"/>
    </row>
    <row r="306" spans="1:18" x14ac:dyDescent="0.25">
      <c r="A306" s="45"/>
      <c r="B306" s="47"/>
      <c r="C306" s="47"/>
      <c r="D306" s="47"/>
      <c r="E306" s="45"/>
      <c r="F306" s="45"/>
      <c r="G306" s="45"/>
      <c r="H306" s="45"/>
      <c r="I306" s="45"/>
      <c r="J306" s="45"/>
      <c r="K306" s="45"/>
      <c r="L306" s="45"/>
      <c r="M306" s="45"/>
      <c r="N306" s="45"/>
      <c r="O306" s="45"/>
      <c r="P306" s="45"/>
      <c r="Q306" s="45"/>
      <c r="R306" s="45"/>
    </row>
    <row r="307" spans="1:18" x14ac:dyDescent="0.25">
      <c r="A307" s="45"/>
      <c r="B307" s="47"/>
      <c r="C307" s="47"/>
      <c r="D307" s="47"/>
      <c r="E307" s="45"/>
      <c r="F307" s="45"/>
      <c r="G307" s="45"/>
      <c r="H307" s="45"/>
      <c r="I307" s="45"/>
      <c r="J307" s="45"/>
      <c r="K307" s="45"/>
      <c r="L307" s="45"/>
      <c r="M307" s="45"/>
      <c r="N307" s="45"/>
      <c r="O307" s="45"/>
      <c r="P307" s="45"/>
      <c r="Q307" s="45"/>
      <c r="R307" s="45"/>
    </row>
    <row r="308" spans="1:18" x14ac:dyDescent="0.25">
      <c r="A308" s="45"/>
      <c r="B308" s="47"/>
      <c r="C308" s="47"/>
      <c r="D308" s="47"/>
      <c r="E308" s="45"/>
      <c r="F308" s="45"/>
      <c r="G308" s="45"/>
      <c r="H308" s="45"/>
      <c r="I308" s="45"/>
      <c r="J308" s="45"/>
      <c r="K308" s="45"/>
      <c r="L308" s="45"/>
      <c r="M308" s="45"/>
      <c r="N308" s="45"/>
      <c r="O308" s="45"/>
      <c r="P308" s="45"/>
      <c r="Q308" s="45"/>
      <c r="R308" s="45"/>
    </row>
    <row r="309" spans="1:18" x14ac:dyDescent="0.25">
      <c r="A309" s="45"/>
      <c r="B309" s="47"/>
      <c r="C309" s="47"/>
      <c r="D309" s="47"/>
      <c r="E309" s="45"/>
      <c r="F309" s="45"/>
      <c r="G309" s="45"/>
      <c r="H309" s="45"/>
      <c r="I309" s="45"/>
      <c r="J309" s="45"/>
      <c r="K309" s="45"/>
      <c r="L309" s="45"/>
      <c r="M309" s="45"/>
      <c r="N309" s="45"/>
      <c r="O309" s="45"/>
      <c r="P309" s="45"/>
      <c r="Q309" s="45"/>
      <c r="R309" s="45"/>
    </row>
    <row r="310" spans="1:18" x14ac:dyDescent="0.25">
      <c r="A310" s="45"/>
      <c r="B310" s="47"/>
      <c r="C310" s="47"/>
      <c r="D310" s="47"/>
      <c r="E310" s="45"/>
      <c r="F310" s="45"/>
      <c r="G310" s="45"/>
      <c r="H310" s="45"/>
      <c r="I310" s="45"/>
      <c r="J310" s="45"/>
      <c r="K310" s="45"/>
      <c r="L310" s="45"/>
      <c r="M310" s="45"/>
      <c r="N310" s="45"/>
      <c r="O310" s="45"/>
      <c r="P310" s="45"/>
      <c r="Q310" s="45"/>
      <c r="R310" s="45"/>
    </row>
    <row r="311" spans="1:18" x14ac:dyDescent="0.25">
      <c r="A311" s="45"/>
      <c r="B311" s="47"/>
      <c r="C311" s="47"/>
      <c r="D311" s="47"/>
      <c r="E311" s="45"/>
      <c r="F311" s="45"/>
      <c r="G311" s="45"/>
      <c r="H311" s="45"/>
      <c r="I311" s="45"/>
      <c r="J311" s="45"/>
      <c r="K311" s="45"/>
      <c r="L311" s="45"/>
      <c r="M311" s="45"/>
      <c r="N311" s="45"/>
      <c r="O311" s="45"/>
      <c r="P311" s="45"/>
      <c r="Q311" s="45"/>
      <c r="R311" s="45"/>
    </row>
    <row r="312" spans="1:18" x14ac:dyDescent="0.25">
      <c r="A312" s="45"/>
      <c r="B312" s="47"/>
      <c r="C312" s="47"/>
      <c r="D312" s="47"/>
      <c r="E312" s="45"/>
      <c r="F312" s="45"/>
      <c r="G312" s="45"/>
      <c r="H312" s="45"/>
      <c r="I312" s="45"/>
      <c r="J312" s="45"/>
      <c r="K312" s="45"/>
      <c r="L312" s="45"/>
      <c r="M312" s="45"/>
      <c r="N312" s="45"/>
      <c r="O312" s="45"/>
      <c r="P312" s="45"/>
      <c r="Q312" s="45"/>
      <c r="R312" s="45"/>
    </row>
    <row r="313" spans="1:18" x14ac:dyDescent="0.25">
      <c r="A313" s="45"/>
      <c r="B313" s="47"/>
      <c r="C313" s="47"/>
      <c r="D313" s="47"/>
      <c r="E313" s="45"/>
      <c r="F313" s="45"/>
      <c r="G313" s="45"/>
      <c r="H313" s="45"/>
      <c r="I313" s="45"/>
      <c r="J313" s="45"/>
      <c r="K313" s="45"/>
      <c r="L313" s="45"/>
      <c r="M313" s="45"/>
      <c r="N313" s="45"/>
      <c r="O313" s="45"/>
      <c r="P313" s="45"/>
      <c r="Q313" s="45"/>
      <c r="R313" s="45"/>
    </row>
    <row r="314" spans="1:18" x14ac:dyDescent="0.25">
      <c r="A314" s="45"/>
      <c r="B314" s="47"/>
      <c r="C314" s="47"/>
      <c r="D314" s="47"/>
      <c r="E314" s="45"/>
      <c r="F314" s="45"/>
      <c r="G314" s="45"/>
      <c r="H314" s="45"/>
      <c r="I314" s="45"/>
      <c r="J314" s="45"/>
      <c r="K314" s="45"/>
      <c r="L314" s="45"/>
      <c r="M314" s="45"/>
      <c r="N314" s="45"/>
      <c r="O314" s="45"/>
      <c r="P314" s="45"/>
      <c r="Q314" s="45"/>
      <c r="R314" s="45"/>
    </row>
    <row r="315" spans="1:18" x14ac:dyDescent="0.25">
      <c r="A315" s="45"/>
      <c r="B315" s="47"/>
      <c r="C315" s="47"/>
      <c r="D315" s="47"/>
      <c r="E315" s="45"/>
      <c r="F315" s="45"/>
      <c r="G315" s="45"/>
      <c r="H315" s="45"/>
      <c r="I315" s="45"/>
      <c r="J315" s="45"/>
      <c r="K315" s="45"/>
      <c r="L315" s="45"/>
      <c r="M315" s="45"/>
      <c r="N315" s="45"/>
      <c r="O315" s="45"/>
      <c r="P315" s="45"/>
      <c r="Q315" s="45"/>
      <c r="R315" s="45"/>
    </row>
    <row r="316" spans="1:18" x14ac:dyDescent="0.25">
      <c r="A316" s="45"/>
      <c r="B316" s="47"/>
      <c r="C316" s="47"/>
      <c r="D316" s="47"/>
      <c r="E316" s="45"/>
      <c r="F316" s="45"/>
      <c r="G316" s="45"/>
      <c r="H316" s="45"/>
      <c r="I316" s="45"/>
      <c r="J316" s="45"/>
      <c r="K316" s="45"/>
      <c r="L316" s="45"/>
      <c r="M316" s="45"/>
      <c r="N316" s="45"/>
      <c r="O316" s="45"/>
      <c r="P316" s="45"/>
      <c r="Q316" s="45"/>
      <c r="R316" s="45"/>
    </row>
    <row r="317" spans="1:18" x14ac:dyDescent="0.25">
      <c r="A317" s="45"/>
      <c r="B317" s="47"/>
      <c r="C317" s="47"/>
      <c r="D317" s="47"/>
      <c r="E317" s="45"/>
      <c r="F317" s="45"/>
      <c r="G317" s="45"/>
      <c r="H317" s="45"/>
      <c r="I317" s="45"/>
      <c r="J317" s="45"/>
      <c r="K317" s="45"/>
      <c r="L317" s="45"/>
      <c r="M317" s="45"/>
      <c r="N317" s="45"/>
      <c r="O317" s="45"/>
      <c r="P317" s="45"/>
      <c r="Q317" s="45"/>
      <c r="R317" s="45"/>
    </row>
    <row r="318" spans="1:18" x14ac:dyDescent="0.25">
      <c r="A318" s="45"/>
      <c r="B318" s="47"/>
      <c r="C318" s="47"/>
      <c r="D318" s="47"/>
      <c r="E318" s="45"/>
      <c r="F318" s="45"/>
      <c r="G318" s="45"/>
      <c r="H318" s="45"/>
      <c r="I318" s="45"/>
      <c r="J318" s="45"/>
      <c r="K318" s="45"/>
      <c r="L318" s="45"/>
      <c r="M318" s="45"/>
      <c r="N318" s="45"/>
      <c r="O318" s="45"/>
      <c r="P318" s="45"/>
      <c r="Q318" s="45"/>
      <c r="R318" s="45"/>
    </row>
    <row r="319" spans="1:18" x14ac:dyDescent="0.25">
      <c r="A319" s="45"/>
      <c r="B319" s="47"/>
      <c r="C319" s="47"/>
      <c r="D319" s="47"/>
      <c r="E319" s="45"/>
      <c r="F319" s="45"/>
      <c r="G319" s="45"/>
      <c r="H319" s="45"/>
      <c r="I319" s="45"/>
      <c r="J319" s="45"/>
      <c r="K319" s="45"/>
      <c r="L319" s="45"/>
      <c r="M319" s="45"/>
      <c r="N319" s="45"/>
      <c r="O319" s="45"/>
      <c r="P319" s="45"/>
      <c r="Q319" s="45"/>
      <c r="R319" s="45"/>
    </row>
    <row r="320" spans="1:18" x14ac:dyDescent="0.25">
      <c r="A320" s="45"/>
      <c r="B320" s="47"/>
      <c r="C320" s="47"/>
      <c r="D320" s="47"/>
      <c r="E320" s="45"/>
      <c r="F320" s="45"/>
      <c r="G320" s="45"/>
      <c r="H320" s="45"/>
      <c r="I320" s="45"/>
      <c r="J320" s="45"/>
      <c r="K320" s="45"/>
      <c r="L320" s="45"/>
      <c r="M320" s="45"/>
      <c r="N320" s="45"/>
      <c r="O320" s="45"/>
      <c r="P320" s="45"/>
      <c r="Q320" s="45"/>
      <c r="R320" s="45"/>
    </row>
    <row r="321" spans="1:18" x14ac:dyDescent="0.25">
      <c r="A321" s="45"/>
      <c r="B321" s="47"/>
      <c r="C321" s="47"/>
      <c r="D321" s="47"/>
      <c r="E321" s="45"/>
      <c r="F321" s="45"/>
      <c r="G321" s="45"/>
      <c r="H321" s="45"/>
      <c r="I321" s="45"/>
      <c r="J321" s="45"/>
      <c r="K321" s="45"/>
      <c r="L321" s="45"/>
      <c r="M321" s="45"/>
      <c r="N321" s="45"/>
      <c r="O321" s="45"/>
      <c r="P321" s="45"/>
      <c r="Q321" s="45"/>
      <c r="R321" s="45"/>
    </row>
    <row r="322" spans="1:18" x14ac:dyDescent="0.25">
      <c r="A322" s="45"/>
      <c r="B322" s="47"/>
      <c r="C322" s="47"/>
      <c r="D322" s="47"/>
      <c r="E322" s="45"/>
      <c r="F322" s="45"/>
      <c r="G322" s="45"/>
      <c r="H322" s="45"/>
      <c r="I322" s="45"/>
      <c r="J322" s="45"/>
      <c r="K322" s="45"/>
      <c r="L322" s="45"/>
      <c r="M322" s="45"/>
      <c r="N322" s="45"/>
      <c r="O322" s="45"/>
      <c r="P322" s="45"/>
      <c r="Q322" s="45"/>
      <c r="R322" s="45"/>
    </row>
    <row r="323" spans="1:18" x14ac:dyDescent="0.25">
      <c r="A323" s="45"/>
      <c r="B323" s="47"/>
      <c r="C323" s="47"/>
      <c r="D323" s="47"/>
      <c r="E323" s="45"/>
      <c r="F323" s="45"/>
      <c r="G323" s="45"/>
      <c r="H323" s="45"/>
      <c r="I323" s="45"/>
      <c r="J323" s="45"/>
      <c r="K323" s="45"/>
      <c r="L323" s="45"/>
      <c r="M323" s="45"/>
      <c r="N323" s="45"/>
      <c r="O323" s="45"/>
      <c r="P323" s="45"/>
      <c r="Q323" s="45"/>
      <c r="R323" s="45"/>
    </row>
    <row r="324" spans="1:18" x14ac:dyDescent="0.25">
      <c r="A324" s="45"/>
      <c r="B324" s="47"/>
      <c r="C324" s="47"/>
      <c r="D324" s="47"/>
      <c r="E324" s="45"/>
      <c r="F324" s="45"/>
      <c r="G324" s="45"/>
      <c r="H324" s="45"/>
      <c r="I324" s="45"/>
      <c r="J324" s="45"/>
      <c r="K324" s="45"/>
      <c r="L324" s="45"/>
      <c r="M324" s="45"/>
      <c r="N324" s="45"/>
      <c r="O324" s="45"/>
      <c r="P324" s="45"/>
      <c r="Q324" s="45"/>
      <c r="R324" s="45"/>
    </row>
    <row r="325" spans="1:18" x14ac:dyDescent="0.25">
      <c r="A325" s="45"/>
      <c r="B325" s="47"/>
      <c r="C325" s="47"/>
      <c r="D325" s="47"/>
      <c r="E325" s="45"/>
      <c r="F325" s="45"/>
      <c r="G325" s="45"/>
      <c r="H325" s="45"/>
      <c r="I325" s="45"/>
      <c r="J325" s="45"/>
      <c r="K325" s="45"/>
      <c r="L325" s="45"/>
      <c r="M325" s="45"/>
      <c r="N325" s="45"/>
      <c r="O325" s="45"/>
      <c r="P325" s="45"/>
      <c r="Q325" s="45"/>
      <c r="R325" s="45"/>
    </row>
    <row r="326" spans="1:18" x14ac:dyDescent="0.25">
      <c r="A326" s="45"/>
      <c r="B326" s="47"/>
      <c r="C326" s="47"/>
      <c r="D326" s="47"/>
      <c r="E326" s="45"/>
      <c r="F326" s="45"/>
      <c r="G326" s="45"/>
      <c r="H326" s="45"/>
      <c r="I326" s="45"/>
      <c r="J326" s="45"/>
      <c r="K326" s="45"/>
      <c r="L326" s="45"/>
      <c r="M326" s="45"/>
      <c r="N326" s="45"/>
      <c r="O326" s="45"/>
      <c r="P326" s="45"/>
      <c r="Q326" s="45"/>
      <c r="R326" s="45"/>
    </row>
    <row r="327" spans="1:18" x14ac:dyDescent="0.25">
      <c r="A327" s="45"/>
      <c r="B327" s="47"/>
      <c r="C327" s="47"/>
      <c r="D327" s="47"/>
      <c r="E327" s="45"/>
      <c r="F327" s="45"/>
      <c r="G327" s="45"/>
      <c r="H327" s="45"/>
      <c r="I327" s="45"/>
      <c r="J327" s="45"/>
      <c r="K327" s="45"/>
      <c r="L327" s="45"/>
      <c r="M327" s="45"/>
      <c r="N327" s="45"/>
      <c r="O327" s="45"/>
      <c r="P327" s="45"/>
      <c r="Q327" s="45"/>
      <c r="R327" s="45"/>
    </row>
    <row r="328" spans="1:18" x14ac:dyDescent="0.25">
      <c r="A328" s="45"/>
      <c r="B328" s="47"/>
      <c r="C328" s="47"/>
      <c r="D328" s="47"/>
      <c r="E328" s="45"/>
      <c r="F328" s="45"/>
      <c r="G328" s="45"/>
      <c r="H328" s="45"/>
      <c r="I328" s="45"/>
      <c r="J328" s="45"/>
      <c r="K328" s="45"/>
      <c r="L328" s="45"/>
      <c r="M328" s="45"/>
      <c r="N328" s="45"/>
      <c r="O328" s="45"/>
      <c r="P328" s="45"/>
      <c r="Q328" s="45"/>
      <c r="R328" s="45"/>
    </row>
    <row r="329" spans="1:18" x14ac:dyDescent="0.25">
      <c r="A329" s="45"/>
      <c r="B329" s="47"/>
      <c r="C329" s="47"/>
      <c r="D329" s="47"/>
      <c r="E329" s="45"/>
      <c r="F329" s="45"/>
      <c r="G329" s="45"/>
      <c r="H329" s="45"/>
      <c r="I329" s="45"/>
      <c r="J329" s="45"/>
      <c r="K329" s="45"/>
      <c r="L329" s="45"/>
      <c r="M329" s="45"/>
      <c r="N329" s="45"/>
      <c r="O329" s="45"/>
      <c r="P329" s="45"/>
      <c r="Q329" s="45"/>
      <c r="R329" s="45"/>
    </row>
    <row r="330" spans="1:18" x14ac:dyDescent="0.25">
      <c r="A330" s="45"/>
      <c r="B330" s="47"/>
      <c r="C330" s="47"/>
      <c r="D330" s="47"/>
      <c r="E330" s="45"/>
      <c r="F330" s="45"/>
      <c r="G330" s="45"/>
      <c r="H330" s="45"/>
      <c r="I330" s="45"/>
      <c r="J330" s="45"/>
      <c r="K330" s="45"/>
      <c r="L330" s="45"/>
      <c r="M330" s="45"/>
      <c r="N330" s="45"/>
      <c r="O330" s="45"/>
      <c r="P330" s="45"/>
      <c r="Q330" s="45"/>
      <c r="R330" s="45"/>
    </row>
    <row r="331" spans="1:18" x14ac:dyDescent="0.25">
      <c r="A331" s="45"/>
      <c r="B331" s="47"/>
      <c r="C331" s="47"/>
      <c r="D331" s="47"/>
      <c r="E331" s="45"/>
      <c r="F331" s="45"/>
      <c r="G331" s="45"/>
      <c r="H331" s="45"/>
      <c r="I331" s="45"/>
      <c r="J331" s="45"/>
      <c r="K331" s="45"/>
      <c r="L331" s="45"/>
      <c r="M331" s="45"/>
      <c r="N331" s="45"/>
      <c r="O331" s="45"/>
      <c r="P331" s="45"/>
      <c r="Q331" s="45"/>
      <c r="R331" s="45"/>
    </row>
    <row r="332" spans="1:18" x14ac:dyDescent="0.25">
      <c r="A332" s="45"/>
      <c r="B332" s="47"/>
      <c r="C332" s="47"/>
      <c r="D332" s="47"/>
      <c r="E332" s="45"/>
      <c r="F332" s="45"/>
      <c r="G332" s="45"/>
      <c r="H332" s="45"/>
      <c r="I332" s="45"/>
      <c r="J332" s="45"/>
      <c r="K332" s="45"/>
      <c r="L332" s="45"/>
      <c r="M332" s="45"/>
      <c r="N332" s="45"/>
      <c r="O332" s="45"/>
      <c r="P332" s="45"/>
      <c r="Q332" s="45"/>
      <c r="R332" s="45"/>
    </row>
    <row r="333" spans="1:18" x14ac:dyDescent="0.25">
      <c r="A333" s="45"/>
      <c r="B333" s="47"/>
      <c r="C333" s="47"/>
      <c r="D333" s="47"/>
      <c r="E333" s="45"/>
      <c r="F333" s="45"/>
      <c r="G333" s="45"/>
      <c r="H333" s="45"/>
      <c r="I333" s="45"/>
      <c r="J333" s="45"/>
      <c r="K333" s="45"/>
      <c r="L333" s="45"/>
      <c r="M333" s="45"/>
      <c r="N333" s="45"/>
      <c r="O333" s="45"/>
      <c r="P333" s="45"/>
      <c r="Q333" s="45"/>
      <c r="R333" s="45"/>
    </row>
    <row r="334" spans="1:18" x14ac:dyDescent="0.25">
      <c r="A334" s="45"/>
      <c r="B334" s="47"/>
      <c r="C334" s="47"/>
      <c r="D334" s="47"/>
      <c r="E334" s="45"/>
      <c r="F334" s="45"/>
      <c r="G334" s="45"/>
      <c r="H334" s="45"/>
      <c r="I334" s="45"/>
      <c r="J334" s="45"/>
      <c r="K334" s="45"/>
      <c r="L334" s="45"/>
      <c r="M334" s="45"/>
      <c r="N334" s="45"/>
      <c r="O334" s="45"/>
      <c r="P334" s="45"/>
      <c r="Q334" s="45"/>
      <c r="R334" s="45"/>
    </row>
    <row r="335" spans="1:18" x14ac:dyDescent="0.25">
      <c r="A335" s="45"/>
      <c r="B335" s="47"/>
      <c r="C335" s="47"/>
      <c r="D335" s="47"/>
      <c r="E335" s="45"/>
      <c r="F335" s="45"/>
      <c r="G335" s="45"/>
      <c r="H335" s="45"/>
      <c r="I335" s="45"/>
      <c r="J335" s="45"/>
      <c r="K335" s="45"/>
      <c r="L335" s="45"/>
      <c r="M335" s="45"/>
      <c r="N335" s="45"/>
      <c r="O335" s="45"/>
      <c r="P335" s="45"/>
      <c r="Q335" s="45"/>
      <c r="R335" s="45"/>
    </row>
    <row r="336" spans="1:18" x14ac:dyDescent="0.25">
      <c r="A336" s="45"/>
      <c r="B336" s="47"/>
      <c r="C336" s="47"/>
      <c r="D336" s="47"/>
      <c r="E336" s="45"/>
      <c r="F336" s="45"/>
      <c r="G336" s="45"/>
      <c r="H336" s="45"/>
      <c r="I336" s="45"/>
      <c r="J336" s="45"/>
      <c r="K336" s="45"/>
      <c r="L336" s="45"/>
      <c r="M336" s="45"/>
      <c r="N336" s="45"/>
      <c r="O336" s="45"/>
      <c r="P336" s="45"/>
      <c r="Q336" s="45"/>
      <c r="R336" s="45"/>
    </row>
    <row r="337" spans="1:18" x14ac:dyDescent="0.25">
      <c r="A337" s="45"/>
      <c r="B337" s="47"/>
      <c r="C337" s="47"/>
      <c r="D337" s="47"/>
      <c r="E337" s="45"/>
      <c r="F337" s="45"/>
      <c r="G337" s="45"/>
      <c r="H337" s="45"/>
      <c r="I337" s="45"/>
      <c r="J337" s="45"/>
      <c r="K337" s="45"/>
      <c r="L337" s="45"/>
      <c r="M337" s="45"/>
      <c r="N337" s="45"/>
      <c r="O337" s="45"/>
      <c r="P337" s="45"/>
      <c r="Q337" s="45"/>
      <c r="R337" s="45"/>
    </row>
    <row r="338" spans="1:18" x14ac:dyDescent="0.25">
      <c r="A338" s="45"/>
      <c r="B338" s="47"/>
      <c r="C338" s="47"/>
      <c r="D338" s="47"/>
      <c r="E338" s="45"/>
      <c r="F338" s="45"/>
      <c r="G338" s="45"/>
      <c r="H338" s="45"/>
      <c r="I338" s="45"/>
      <c r="J338" s="45"/>
      <c r="K338" s="45"/>
      <c r="L338" s="45"/>
      <c r="M338" s="45"/>
      <c r="N338" s="45"/>
      <c r="O338" s="45"/>
      <c r="P338" s="45"/>
      <c r="Q338" s="45"/>
      <c r="R338" s="45"/>
    </row>
    <row r="339" spans="1:18" x14ac:dyDescent="0.25">
      <c r="A339" s="45"/>
      <c r="B339" s="47"/>
      <c r="C339" s="47"/>
      <c r="D339" s="47"/>
      <c r="E339" s="45"/>
      <c r="F339" s="45"/>
      <c r="G339" s="45"/>
      <c r="H339" s="45"/>
      <c r="I339" s="45"/>
      <c r="J339" s="45"/>
      <c r="K339" s="45"/>
      <c r="L339" s="45"/>
      <c r="M339" s="45"/>
      <c r="N339" s="45"/>
      <c r="O339" s="45"/>
      <c r="P339" s="45"/>
      <c r="Q339" s="45"/>
      <c r="R339" s="45"/>
    </row>
    <row r="340" spans="1:18" x14ac:dyDescent="0.25">
      <c r="A340" s="45"/>
      <c r="B340" s="47"/>
      <c r="C340" s="47"/>
      <c r="D340" s="47"/>
      <c r="E340" s="45"/>
      <c r="F340" s="45"/>
      <c r="G340" s="45"/>
      <c r="H340" s="45"/>
      <c r="I340" s="45"/>
      <c r="J340" s="45"/>
      <c r="K340" s="45"/>
      <c r="L340" s="45"/>
      <c r="M340" s="45"/>
      <c r="N340" s="45"/>
      <c r="O340" s="45"/>
      <c r="P340" s="45"/>
      <c r="Q340" s="45"/>
      <c r="R340" s="45"/>
    </row>
    <row r="341" spans="1:18" x14ac:dyDescent="0.25">
      <c r="A341" s="45"/>
      <c r="B341" s="47"/>
      <c r="C341" s="47"/>
      <c r="D341" s="47"/>
      <c r="E341" s="45"/>
      <c r="F341" s="45"/>
      <c r="G341" s="45"/>
      <c r="H341" s="45"/>
      <c r="I341" s="45"/>
      <c r="J341" s="45"/>
      <c r="K341" s="45"/>
      <c r="L341" s="45"/>
      <c r="M341" s="45"/>
      <c r="N341" s="45"/>
      <c r="O341" s="45"/>
      <c r="P341" s="45"/>
      <c r="Q341" s="45"/>
      <c r="R341" s="45"/>
    </row>
    <row r="342" spans="1:18" x14ac:dyDescent="0.25">
      <c r="A342" s="45"/>
      <c r="B342" s="47"/>
      <c r="C342" s="47"/>
      <c r="D342" s="47"/>
      <c r="E342" s="45"/>
      <c r="F342" s="45"/>
      <c r="G342" s="45"/>
      <c r="H342" s="45"/>
      <c r="I342" s="45"/>
      <c r="J342" s="45"/>
      <c r="K342" s="45"/>
      <c r="L342" s="45"/>
      <c r="M342" s="45"/>
      <c r="N342" s="45"/>
      <c r="O342" s="45"/>
      <c r="P342" s="45"/>
      <c r="Q342" s="45"/>
      <c r="R342" s="45"/>
    </row>
    <row r="343" spans="1:18" x14ac:dyDescent="0.25">
      <c r="A343" s="45"/>
      <c r="B343" s="47"/>
      <c r="C343" s="47"/>
      <c r="D343" s="47"/>
      <c r="E343" s="45"/>
      <c r="F343" s="45"/>
      <c r="G343" s="45"/>
      <c r="H343" s="45"/>
      <c r="I343" s="45"/>
      <c r="J343" s="45"/>
      <c r="K343" s="45"/>
      <c r="L343" s="45"/>
      <c r="M343" s="45"/>
      <c r="N343" s="45"/>
      <c r="O343" s="45"/>
      <c r="P343" s="45"/>
      <c r="Q343" s="45"/>
      <c r="R343" s="45"/>
    </row>
    <row r="344" spans="1:18" x14ac:dyDescent="0.25">
      <c r="A344" s="45"/>
      <c r="B344" s="47"/>
      <c r="C344" s="47"/>
      <c r="D344" s="47"/>
      <c r="E344" s="45"/>
      <c r="F344" s="45"/>
      <c r="G344" s="45"/>
      <c r="H344" s="45"/>
      <c r="I344" s="45"/>
      <c r="J344" s="45"/>
      <c r="K344" s="45"/>
      <c r="L344" s="45"/>
      <c r="M344" s="45"/>
      <c r="N344" s="45"/>
      <c r="O344" s="45"/>
      <c r="P344" s="45"/>
      <c r="Q344" s="45"/>
      <c r="R344" s="45"/>
    </row>
    <row r="345" spans="1:18" x14ac:dyDescent="0.25">
      <c r="A345" s="45"/>
      <c r="B345" s="47"/>
      <c r="C345" s="47"/>
      <c r="D345" s="47"/>
      <c r="E345" s="45"/>
      <c r="F345" s="45"/>
      <c r="G345" s="45"/>
      <c r="H345" s="45"/>
      <c r="I345" s="45"/>
      <c r="J345" s="45"/>
      <c r="K345" s="45"/>
      <c r="L345" s="45"/>
      <c r="M345" s="45"/>
      <c r="N345" s="45"/>
      <c r="O345" s="45"/>
      <c r="P345" s="45"/>
      <c r="Q345" s="45"/>
      <c r="R345" s="45"/>
    </row>
    <row r="346" spans="1:18" x14ac:dyDescent="0.25">
      <c r="A346" s="45"/>
      <c r="B346" s="47"/>
      <c r="C346" s="47"/>
      <c r="D346" s="47"/>
      <c r="E346" s="45"/>
      <c r="F346" s="45"/>
      <c r="G346" s="45"/>
      <c r="H346" s="45"/>
      <c r="I346" s="45"/>
      <c r="J346" s="45"/>
      <c r="K346" s="45"/>
      <c r="L346" s="45"/>
      <c r="M346" s="45"/>
      <c r="N346" s="45"/>
      <c r="O346" s="45"/>
      <c r="P346" s="45"/>
      <c r="Q346" s="45"/>
      <c r="R346" s="45"/>
    </row>
    <row r="347" spans="1:18" x14ac:dyDescent="0.25">
      <c r="A347" s="45"/>
      <c r="B347" s="47"/>
      <c r="C347" s="47"/>
      <c r="D347" s="47"/>
      <c r="E347" s="45"/>
      <c r="F347" s="45"/>
      <c r="G347" s="45"/>
      <c r="H347" s="45"/>
      <c r="I347" s="45"/>
      <c r="J347" s="45"/>
      <c r="K347" s="45"/>
      <c r="L347" s="45"/>
      <c r="M347" s="45"/>
      <c r="N347" s="45"/>
      <c r="O347" s="45"/>
      <c r="P347" s="45"/>
      <c r="Q347" s="45"/>
      <c r="R347" s="45"/>
    </row>
    <row r="348" spans="1:18" x14ac:dyDescent="0.25">
      <c r="A348" s="45"/>
      <c r="B348" s="47"/>
      <c r="C348" s="47"/>
      <c r="D348" s="47"/>
      <c r="E348" s="45"/>
      <c r="F348" s="45"/>
      <c r="G348" s="45"/>
      <c r="H348" s="45"/>
      <c r="I348" s="45"/>
      <c r="J348" s="45"/>
      <c r="K348" s="45"/>
      <c r="L348" s="45"/>
      <c r="M348" s="45"/>
      <c r="N348" s="45"/>
      <c r="O348" s="45"/>
      <c r="P348" s="45"/>
      <c r="Q348" s="45"/>
      <c r="R348" s="45"/>
    </row>
    <row r="349" spans="1:18" x14ac:dyDescent="0.25">
      <c r="A349" s="45"/>
      <c r="B349" s="47"/>
      <c r="C349" s="47"/>
      <c r="D349" s="47"/>
      <c r="E349" s="45"/>
      <c r="F349" s="45"/>
      <c r="G349" s="45"/>
      <c r="H349" s="45"/>
      <c r="I349" s="45"/>
      <c r="J349" s="45"/>
      <c r="K349" s="45"/>
      <c r="L349" s="45"/>
      <c r="M349" s="45"/>
      <c r="N349" s="45"/>
      <c r="O349" s="45"/>
      <c r="P349" s="45"/>
      <c r="Q349" s="45"/>
      <c r="R349" s="45"/>
    </row>
    <row r="350" spans="1:18" x14ac:dyDescent="0.25">
      <c r="A350" s="45"/>
      <c r="B350" s="47"/>
      <c r="C350" s="47"/>
      <c r="D350" s="47"/>
      <c r="E350" s="45"/>
      <c r="F350" s="45"/>
      <c r="G350" s="45"/>
      <c r="H350" s="45"/>
      <c r="I350" s="45"/>
      <c r="J350" s="45"/>
      <c r="K350" s="45"/>
      <c r="L350" s="45"/>
      <c r="M350" s="45"/>
      <c r="N350" s="45"/>
      <c r="O350" s="45"/>
      <c r="P350" s="45"/>
      <c r="Q350" s="45"/>
      <c r="R350" s="45"/>
    </row>
    <row r="351" spans="1:18" x14ac:dyDescent="0.25">
      <c r="A351" s="45"/>
      <c r="B351" s="47"/>
      <c r="C351" s="47"/>
      <c r="D351" s="47"/>
      <c r="E351" s="45"/>
      <c r="F351" s="45"/>
      <c r="G351" s="45"/>
      <c r="H351" s="45"/>
      <c r="I351" s="45"/>
      <c r="J351" s="45"/>
      <c r="K351" s="45"/>
      <c r="L351" s="45"/>
      <c r="M351" s="45"/>
      <c r="N351" s="45"/>
      <c r="O351" s="45"/>
      <c r="P351" s="45"/>
      <c r="Q351" s="45"/>
      <c r="R351" s="45"/>
    </row>
    <row r="352" spans="1:18" x14ac:dyDescent="0.25">
      <c r="A352" s="45"/>
      <c r="B352" s="47"/>
      <c r="C352" s="47"/>
      <c r="D352" s="47"/>
      <c r="E352" s="45"/>
      <c r="F352" s="45"/>
      <c r="G352" s="45"/>
      <c r="H352" s="45"/>
      <c r="I352" s="45"/>
      <c r="J352" s="45"/>
      <c r="K352" s="45"/>
      <c r="L352" s="45"/>
      <c r="M352" s="45"/>
      <c r="N352" s="45"/>
      <c r="O352" s="45"/>
      <c r="P352" s="45"/>
      <c r="Q352" s="45"/>
      <c r="R352" s="45"/>
    </row>
    <row r="353" spans="1:18" x14ac:dyDescent="0.25">
      <c r="A353" s="45"/>
      <c r="B353" s="47"/>
      <c r="C353" s="47"/>
      <c r="D353" s="47"/>
      <c r="E353" s="45"/>
      <c r="F353" s="45"/>
      <c r="G353" s="45"/>
      <c r="H353" s="45"/>
      <c r="I353" s="45"/>
      <c r="J353" s="45"/>
      <c r="K353" s="45"/>
      <c r="L353" s="45"/>
      <c r="M353" s="45"/>
      <c r="N353" s="45"/>
      <c r="O353" s="45"/>
      <c r="P353" s="45"/>
      <c r="Q353" s="45"/>
      <c r="R353" s="45"/>
    </row>
    <row r="354" spans="1:18" x14ac:dyDescent="0.25">
      <c r="A354" s="45"/>
      <c r="B354" s="47"/>
      <c r="C354" s="47"/>
      <c r="D354" s="47"/>
      <c r="E354" s="45"/>
      <c r="F354" s="45"/>
      <c r="G354" s="45"/>
      <c r="H354" s="45"/>
      <c r="I354" s="45"/>
      <c r="J354" s="45"/>
      <c r="K354" s="45"/>
      <c r="L354" s="45"/>
      <c r="M354" s="45"/>
      <c r="N354" s="45"/>
      <c r="O354" s="45"/>
      <c r="P354" s="45"/>
      <c r="Q354" s="45"/>
      <c r="R354" s="45"/>
    </row>
    <row r="355" spans="1:18" x14ac:dyDescent="0.25">
      <c r="A355" s="45"/>
      <c r="B355" s="47"/>
      <c r="C355" s="47"/>
      <c r="D355" s="47"/>
      <c r="E355" s="45"/>
      <c r="F355" s="45"/>
      <c r="G355" s="45"/>
      <c r="H355" s="45"/>
      <c r="I355" s="45"/>
      <c r="J355" s="45"/>
      <c r="K355" s="45"/>
      <c r="L355" s="45"/>
      <c r="M355" s="45"/>
      <c r="N355" s="45"/>
      <c r="O355" s="45"/>
      <c r="P355" s="45"/>
      <c r="Q355" s="45"/>
      <c r="R355" s="45"/>
    </row>
    <row r="356" spans="1:18" x14ac:dyDescent="0.25">
      <c r="A356" s="45"/>
      <c r="B356" s="47"/>
      <c r="C356" s="47"/>
      <c r="D356" s="47"/>
      <c r="E356" s="45"/>
      <c r="F356" s="45"/>
      <c r="G356" s="45"/>
      <c r="H356" s="45"/>
      <c r="I356" s="45"/>
      <c r="J356" s="45"/>
      <c r="K356" s="45"/>
      <c r="L356" s="45"/>
      <c r="M356" s="45"/>
      <c r="N356" s="45"/>
      <c r="O356" s="45"/>
      <c r="P356" s="45"/>
      <c r="Q356" s="45"/>
      <c r="R356" s="45"/>
    </row>
    <row r="357" spans="1:18" x14ac:dyDescent="0.25">
      <c r="A357" s="45"/>
      <c r="B357" s="47"/>
      <c r="C357" s="47"/>
      <c r="D357" s="47"/>
      <c r="E357" s="45"/>
      <c r="F357" s="45"/>
      <c r="G357" s="45"/>
      <c r="H357" s="45"/>
      <c r="I357" s="45"/>
      <c r="J357" s="45"/>
      <c r="K357" s="45"/>
      <c r="L357" s="45"/>
      <c r="M357" s="45"/>
      <c r="N357" s="45"/>
      <c r="O357" s="45"/>
      <c r="P357" s="45"/>
      <c r="Q357" s="45"/>
      <c r="R357" s="45"/>
    </row>
    <row r="358" spans="1:18" x14ac:dyDescent="0.25">
      <c r="A358" s="45"/>
      <c r="B358" s="47"/>
      <c r="C358" s="47"/>
      <c r="D358" s="47"/>
      <c r="E358" s="45"/>
      <c r="F358" s="45"/>
      <c r="G358" s="45"/>
      <c r="H358" s="45"/>
      <c r="I358" s="45"/>
      <c r="J358" s="45"/>
      <c r="K358" s="45"/>
      <c r="L358" s="45"/>
      <c r="M358" s="45"/>
      <c r="N358" s="45"/>
      <c r="O358" s="45"/>
      <c r="P358" s="45"/>
      <c r="Q358" s="45"/>
      <c r="R358" s="45"/>
    </row>
    <row r="359" spans="1:18" x14ac:dyDescent="0.25">
      <c r="A359" s="45"/>
      <c r="B359" s="47"/>
      <c r="C359" s="47"/>
      <c r="D359" s="47"/>
      <c r="E359" s="45"/>
      <c r="F359" s="45"/>
      <c r="G359" s="45"/>
      <c r="H359" s="45"/>
      <c r="I359" s="45"/>
      <c r="J359" s="45"/>
      <c r="K359" s="45"/>
      <c r="L359" s="45"/>
      <c r="M359" s="45"/>
      <c r="N359" s="45"/>
      <c r="O359" s="45"/>
      <c r="P359" s="45"/>
      <c r="Q359" s="45"/>
      <c r="R359" s="45"/>
    </row>
    <row r="360" spans="1:18" x14ac:dyDescent="0.25">
      <c r="A360" s="45"/>
      <c r="B360" s="47"/>
      <c r="C360" s="47"/>
      <c r="D360" s="47"/>
      <c r="E360" s="45"/>
      <c r="F360" s="45"/>
      <c r="G360" s="45"/>
      <c r="H360" s="45"/>
      <c r="I360" s="45"/>
      <c r="J360" s="45"/>
      <c r="K360" s="45"/>
      <c r="L360" s="45"/>
      <c r="M360" s="45"/>
      <c r="N360" s="45"/>
      <c r="O360" s="45"/>
      <c r="P360" s="45"/>
      <c r="Q360" s="45"/>
      <c r="R360" s="45"/>
    </row>
    <row r="361" spans="1:18" x14ac:dyDescent="0.25">
      <c r="A361" s="45"/>
      <c r="B361" s="47"/>
      <c r="C361" s="47"/>
      <c r="D361" s="47"/>
      <c r="E361" s="45"/>
      <c r="F361" s="45"/>
      <c r="G361" s="45"/>
      <c r="H361" s="45"/>
      <c r="I361" s="45"/>
      <c r="J361" s="45"/>
      <c r="K361" s="45"/>
      <c r="L361" s="45"/>
      <c r="M361" s="45"/>
      <c r="N361" s="45"/>
      <c r="O361" s="45"/>
      <c r="P361" s="45"/>
      <c r="Q361" s="45"/>
      <c r="R361" s="45"/>
    </row>
    <row r="362" spans="1:18" x14ac:dyDescent="0.25">
      <c r="A362" s="45"/>
      <c r="B362" s="47"/>
      <c r="C362" s="47"/>
      <c r="D362" s="47"/>
      <c r="E362" s="45"/>
      <c r="F362" s="45"/>
      <c r="G362" s="45"/>
      <c r="H362" s="45"/>
      <c r="I362" s="45"/>
      <c r="J362" s="45"/>
      <c r="K362" s="45"/>
      <c r="L362" s="45"/>
      <c r="M362" s="45"/>
      <c r="N362" s="45"/>
      <c r="O362" s="45"/>
      <c r="P362" s="45"/>
      <c r="Q362" s="45"/>
      <c r="R362" s="45"/>
    </row>
    <row r="363" spans="1:18" x14ac:dyDescent="0.25">
      <c r="A363" s="45"/>
      <c r="B363" s="47"/>
      <c r="C363" s="47"/>
      <c r="D363" s="47"/>
      <c r="E363" s="45"/>
      <c r="F363" s="45"/>
      <c r="G363" s="45"/>
      <c r="H363" s="45"/>
      <c r="I363" s="45"/>
      <c r="J363" s="45"/>
      <c r="K363" s="45"/>
      <c r="L363" s="45"/>
      <c r="M363" s="45"/>
      <c r="N363" s="45"/>
      <c r="O363" s="45"/>
      <c r="P363" s="45"/>
      <c r="Q363" s="45"/>
      <c r="R363" s="45"/>
    </row>
    <row r="364" spans="1:18" x14ac:dyDescent="0.25">
      <c r="A364" s="45"/>
      <c r="B364" s="47"/>
      <c r="C364" s="47"/>
      <c r="D364" s="47"/>
      <c r="E364" s="45"/>
      <c r="F364" s="45"/>
      <c r="G364" s="45"/>
      <c r="H364" s="45"/>
      <c r="I364" s="45"/>
      <c r="J364" s="45"/>
      <c r="K364" s="45"/>
      <c r="L364" s="45"/>
      <c r="M364" s="45"/>
      <c r="N364" s="45"/>
      <c r="O364" s="45"/>
      <c r="P364" s="45"/>
      <c r="Q364" s="45"/>
      <c r="R364" s="45"/>
    </row>
    <row r="365" spans="1:18" x14ac:dyDescent="0.25">
      <c r="A365" s="45"/>
      <c r="B365" s="47"/>
      <c r="C365" s="47"/>
      <c r="D365" s="47"/>
      <c r="E365" s="45"/>
      <c r="F365" s="45"/>
      <c r="G365" s="45"/>
      <c r="H365" s="45"/>
      <c r="I365" s="45"/>
      <c r="J365" s="45"/>
      <c r="K365" s="45"/>
      <c r="L365" s="45"/>
      <c r="M365" s="45"/>
      <c r="N365" s="45"/>
      <c r="O365" s="45"/>
      <c r="P365" s="45"/>
      <c r="Q365" s="45"/>
      <c r="R365" s="45"/>
    </row>
    <row r="366" spans="1:18" x14ac:dyDescent="0.25">
      <c r="A366" s="45"/>
      <c r="B366" s="47"/>
      <c r="C366" s="47"/>
      <c r="D366" s="47"/>
      <c r="E366" s="45"/>
      <c r="F366" s="45"/>
      <c r="G366" s="45"/>
      <c r="H366" s="45"/>
      <c r="I366" s="45"/>
      <c r="J366" s="45"/>
      <c r="K366" s="45"/>
      <c r="L366" s="45"/>
      <c r="M366" s="45"/>
      <c r="N366" s="45"/>
      <c r="O366" s="45"/>
      <c r="P366" s="45"/>
      <c r="Q366" s="45"/>
      <c r="R366" s="45"/>
    </row>
    <row r="367" spans="1:18" x14ac:dyDescent="0.25">
      <c r="A367" s="45"/>
      <c r="B367" s="47"/>
      <c r="C367" s="47"/>
      <c r="D367" s="47"/>
      <c r="E367" s="45"/>
      <c r="F367" s="45"/>
      <c r="G367" s="45"/>
      <c r="H367" s="45"/>
      <c r="I367" s="45"/>
      <c r="J367" s="45"/>
      <c r="K367" s="45"/>
      <c r="L367" s="45"/>
      <c r="M367" s="45"/>
      <c r="N367" s="45"/>
      <c r="O367" s="45"/>
      <c r="P367" s="45"/>
      <c r="Q367" s="45"/>
      <c r="R367" s="45"/>
    </row>
    <row r="368" spans="1:18" x14ac:dyDescent="0.25">
      <c r="A368" s="45"/>
      <c r="B368" s="47"/>
      <c r="C368" s="47"/>
      <c r="D368" s="47"/>
      <c r="E368" s="45"/>
      <c r="F368" s="45"/>
      <c r="G368" s="45"/>
      <c r="H368" s="45"/>
      <c r="I368" s="45"/>
      <c r="J368" s="45"/>
      <c r="K368" s="45"/>
      <c r="L368" s="45"/>
      <c r="M368" s="45"/>
      <c r="N368" s="45"/>
      <c r="O368" s="45"/>
      <c r="P368" s="45"/>
      <c r="Q368" s="45"/>
      <c r="R368" s="45"/>
    </row>
    <row r="369" spans="1:18" x14ac:dyDescent="0.25">
      <c r="A369" s="45"/>
      <c r="B369" s="47"/>
      <c r="C369" s="47"/>
      <c r="D369" s="47"/>
      <c r="E369" s="45"/>
      <c r="F369" s="45"/>
      <c r="G369" s="45"/>
      <c r="H369" s="45"/>
      <c r="I369" s="45"/>
      <c r="J369" s="45"/>
      <c r="K369" s="45"/>
      <c r="L369" s="45"/>
      <c r="M369" s="45"/>
      <c r="N369" s="45"/>
      <c r="O369" s="45"/>
      <c r="P369" s="45"/>
      <c r="Q369" s="45"/>
      <c r="R369" s="45"/>
    </row>
    <row r="370" spans="1:18" x14ac:dyDescent="0.25">
      <c r="A370" s="45"/>
      <c r="B370" s="47"/>
      <c r="C370" s="47"/>
      <c r="D370" s="47"/>
      <c r="E370" s="45"/>
      <c r="F370" s="45"/>
      <c r="G370" s="45"/>
      <c r="H370" s="45"/>
      <c r="I370" s="45"/>
      <c r="J370" s="45"/>
      <c r="K370" s="45"/>
      <c r="L370" s="45"/>
      <c r="M370" s="45"/>
      <c r="N370" s="45"/>
      <c r="O370" s="45"/>
      <c r="P370" s="45"/>
      <c r="Q370" s="45"/>
      <c r="R370" s="45"/>
    </row>
    <row r="371" spans="1:18" x14ac:dyDescent="0.25">
      <c r="A371" s="45"/>
      <c r="B371" s="47"/>
      <c r="C371" s="47"/>
      <c r="D371" s="47"/>
      <c r="E371" s="45"/>
      <c r="F371" s="45"/>
      <c r="G371" s="45"/>
      <c r="H371" s="45"/>
      <c r="I371" s="45"/>
      <c r="J371" s="45"/>
      <c r="K371" s="45"/>
      <c r="L371" s="45"/>
      <c r="M371" s="45"/>
      <c r="N371" s="45"/>
      <c r="O371" s="45"/>
      <c r="P371" s="45"/>
      <c r="Q371" s="45"/>
      <c r="R371" s="45"/>
    </row>
    <row r="372" spans="1:18" x14ac:dyDescent="0.25">
      <c r="A372" s="45"/>
      <c r="B372" s="47"/>
      <c r="C372" s="47"/>
      <c r="D372" s="47"/>
      <c r="E372" s="45"/>
      <c r="F372" s="45"/>
      <c r="G372" s="45"/>
      <c r="H372" s="45"/>
      <c r="I372" s="45"/>
      <c r="J372" s="45"/>
      <c r="K372" s="45"/>
      <c r="L372" s="45"/>
      <c r="M372" s="45"/>
      <c r="N372" s="45"/>
      <c r="O372" s="45"/>
      <c r="P372" s="45"/>
      <c r="Q372" s="45"/>
      <c r="R372" s="45"/>
    </row>
    <row r="373" spans="1:18" x14ac:dyDescent="0.25">
      <c r="A373" s="45"/>
      <c r="B373" s="47"/>
      <c r="C373" s="47"/>
      <c r="D373" s="47"/>
      <c r="E373" s="45"/>
      <c r="F373" s="45"/>
      <c r="G373" s="45"/>
      <c r="H373" s="45"/>
      <c r="I373" s="45"/>
      <c r="J373" s="45"/>
      <c r="K373" s="45"/>
      <c r="L373" s="45"/>
      <c r="M373" s="45"/>
      <c r="N373" s="45"/>
      <c r="O373" s="45"/>
      <c r="P373" s="45"/>
      <c r="Q373" s="45"/>
      <c r="R373" s="45"/>
    </row>
    <row r="374" spans="1:18" x14ac:dyDescent="0.25">
      <c r="A374" s="45"/>
      <c r="B374" s="47"/>
      <c r="C374" s="47"/>
      <c r="D374" s="47"/>
      <c r="E374" s="45"/>
      <c r="F374" s="45"/>
      <c r="G374" s="45"/>
      <c r="H374" s="45"/>
      <c r="I374" s="45"/>
      <c r="J374" s="45"/>
      <c r="K374" s="45"/>
      <c r="L374" s="45"/>
      <c r="M374" s="45"/>
      <c r="N374" s="45"/>
      <c r="O374" s="45"/>
      <c r="P374" s="45"/>
      <c r="Q374" s="45"/>
      <c r="R374" s="45"/>
    </row>
    <row r="375" spans="1:18" x14ac:dyDescent="0.25">
      <c r="A375" s="45"/>
      <c r="B375" s="47"/>
      <c r="C375" s="47"/>
      <c r="D375" s="47"/>
      <c r="E375" s="45"/>
      <c r="F375" s="45"/>
      <c r="G375" s="45"/>
      <c r="H375" s="45"/>
      <c r="I375" s="45"/>
      <c r="J375" s="45"/>
      <c r="K375" s="45"/>
      <c r="L375" s="45"/>
      <c r="M375" s="45"/>
      <c r="N375" s="45"/>
      <c r="O375" s="45"/>
      <c r="P375" s="45"/>
      <c r="Q375" s="45"/>
      <c r="R375" s="45"/>
    </row>
    <row r="376" spans="1:18" x14ac:dyDescent="0.25">
      <c r="A376" s="45"/>
      <c r="B376" s="47"/>
      <c r="C376" s="47"/>
      <c r="D376" s="47"/>
      <c r="E376" s="45"/>
      <c r="F376" s="45"/>
      <c r="G376" s="45"/>
      <c r="H376" s="45"/>
      <c r="I376" s="45"/>
      <c r="J376" s="45"/>
      <c r="K376" s="45"/>
      <c r="L376" s="45"/>
      <c r="M376" s="45"/>
      <c r="N376" s="45"/>
      <c r="O376" s="45"/>
      <c r="P376" s="45"/>
      <c r="Q376" s="45"/>
      <c r="R376" s="45"/>
    </row>
    <row r="377" spans="1:18" x14ac:dyDescent="0.25">
      <c r="A377" s="45"/>
      <c r="B377" s="47"/>
      <c r="C377" s="47"/>
      <c r="D377" s="47"/>
      <c r="E377" s="45"/>
      <c r="F377" s="45"/>
      <c r="G377" s="45"/>
      <c r="H377" s="45"/>
      <c r="I377" s="45"/>
      <c r="J377" s="45"/>
      <c r="K377" s="45"/>
      <c r="L377" s="45"/>
      <c r="M377" s="45"/>
      <c r="N377" s="45"/>
      <c r="O377" s="45"/>
      <c r="P377" s="45"/>
      <c r="Q377" s="45"/>
      <c r="R377" s="45"/>
    </row>
    <row r="378" spans="1:18" x14ac:dyDescent="0.25">
      <c r="A378" s="45"/>
      <c r="B378" s="47"/>
      <c r="C378" s="47"/>
      <c r="D378" s="47"/>
      <c r="E378" s="45"/>
      <c r="F378" s="45"/>
      <c r="G378" s="45"/>
      <c r="H378" s="45"/>
      <c r="I378" s="45"/>
      <c r="J378" s="45"/>
      <c r="K378" s="45"/>
      <c r="L378" s="45"/>
      <c r="M378" s="45"/>
      <c r="N378" s="45"/>
      <c r="O378" s="45"/>
      <c r="P378" s="45"/>
      <c r="Q378" s="45"/>
      <c r="R378" s="45"/>
    </row>
    <row r="379" spans="1:18" x14ac:dyDescent="0.25">
      <c r="A379" s="45"/>
      <c r="B379" s="47"/>
      <c r="C379" s="47"/>
      <c r="D379" s="47"/>
      <c r="E379" s="45"/>
      <c r="F379" s="45"/>
      <c r="G379" s="45"/>
      <c r="H379" s="45"/>
      <c r="I379" s="45"/>
      <c r="J379" s="45"/>
      <c r="K379" s="45"/>
      <c r="L379" s="45"/>
      <c r="M379" s="45"/>
      <c r="N379" s="45"/>
      <c r="O379" s="45"/>
      <c r="P379" s="45"/>
      <c r="Q379" s="45"/>
      <c r="R379" s="45"/>
    </row>
    <row r="380" spans="1:18" x14ac:dyDescent="0.25">
      <c r="A380" s="45"/>
      <c r="B380" s="47"/>
      <c r="C380" s="47"/>
      <c r="D380" s="47"/>
      <c r="E380" s="45"/>
      <c r="F380" s="45"/>
      <c r="G380" s="45"/>
      <c r="H380" s="45"/>
      <c r="I380" s="45"/>
      <c r="J380" s="45"/>
      <c r="K380" s="45"/>
      <c r="L380" s="45"/>
      <c r="M380" s="45"/>
      <c r="N380" s="45"/>
      <c r="O380" s="45"/>
      <c r="P380" s="45"/>
      <c r="Q380" s="45"/>
      <c r="R380" s="45"/>
    </row>
    <row r="381" spans="1:18" x14ac:dyDescent="0.25">
      <c r="A381" s="45"/>
      <c r="B381" s="47"/>
      <c r="C381" s="47"/>
      <c r="D381" s="47"/>
      <c r="E381" s="45"/>
      <c r="F381" s="45"/>
      <c r="G381" s="45"/>
      <c r="H381" s="45"/>
      <c r="I381" s="45"/>
      <c r="J381" s="45"/>
      <c r="K381" s="45"/>
      <c r="L381" s="45"/>
      <c r="M381" s="45"/>
      <c r="N381" s="45"/>
      <c r="O381" s="45"/>
      <c r="P381" s="45"/>
      <c r="Q381" s="45"/>
      <c r="R381" s="45"/>
    </row>
    <row r="382" spans="1:18" x14ac:dyDescent="0.25">
      <c r="A382" s="45"/>
      <c r="B382" s="47"/>
      <c r="C382" s="47"/>
      <c r="D382" s="47"/>
      <c r="E382" s="45"/>
      <c r="F382" s="45"/>
      <c r="G382" s="45"/>
      <c r="H382" s="45"/>
      <c r="I382" s="45"/>
      <c r="J382" s="45"/>
      <c r="K382" s="45"/>
      <c r="L382" s="45"/>
      <c r="M382" s="45"/>
      <c r="N382" s="45"/>
      <c r="O382" s="45"/>
      <c r="P382" s="45"/>
      <c r="Q382" s="45"/>
      <c r="R382" s="45"/>
    </row>
    <row r="383" spans="1:18" x14ac:dyDescent="0.25">
      <c r="A383" s="45"/>
      <c r="B383" s="47"/>
      <c r="C383" s="47"/>
      <c r="D383" s="47"/>
      <c r="E383" s="45"/>
      <c r="F383" s="45"/>
      <c r="G383" s="45"/>
      <c r="H383" s="45"/>
      <c r="I383" s="45"/>
      <c r="J383" s="45"/>
      <c r="K383" s="45"/>
      <c r="L383" s="45"/>
      <c r="M383" s="45"/>
      <c r="N383" s="45"/>
      <c r="O383" s="45"/>
      <c r="P383" s="45"/>
      <c r="Q383" s="45"/>
      <c r="R383" s="45"/>
    </row>
    <row r="384" spans="1:18" x14ac:dyDescent="0.25">
      <c r="A384" s="45"/>
      <c r="B384" s="47"/>
      <c r="C384" s="47"/>
      <c r="D384" s="47"/>
      <c r="E384" s="45"/>
      <c r="F384" s="45"/>
      <c r="G384" s="45"/>
      <c r="H384" s="45"/>
      <c r="I384" s="45"/>
      <c r="J384" s="45"/>
      <c r="K384" s="45"/>
      <c r="L384" s="45"/>
      <c r="M384" s="45"/>
      <c r="N384" s="45"/>
      <c r="O384" s="45"/>
      <c r="P384" s="45"/>
      <c r="Q384" s="45"/>
      <c r="R384" s="45"/>
    </row>
    <row r="385" spans="1:18" x14ac:dyDescent="0.25">
      <c r="A385" s="45"/>
      <c r="B385" s="47"/>
      <c r="C385" s="47"/>
      <c r="D385" s="47"/>
      <c r="E385" s="45"/>
      <c r="F385" s="45"/>
      <c r="G385" s="45"/>
      <c r="H385" s="45"/>
      <c r="I385" s="45"/>
      <c r="J385" s="45"/>
      <c r="K385" s="45"/>
      <c r="L385" s="45"/>
      <c r="M385" s="45"/>
      <c r="N385" s="45"/>
      <c r="O385" s="45"/>
      <c r="P385" s="45"/>
      <c r="Q385" s="45"/>
      <c r="R385" s="45"/>
    </row>
    <row r="386" spans="1:18" x14ac:dyDescent="0.25">
      <c r="A386" s="45"/>
      <c r="B386" s="47"/>
      <c r="C386" s="47"/>
      <c r="D386" s="47"/>
      <c r="E386" s="45"/>
      <c r="F386" s="45"/>
      <c r="G386" s="45"/>
      <c r="H386" s="45"/>
      <c r="I386" s="45"/>
      <c r="J386" s="45"/>
      <c r="K386" s="45"/>
      <c r="L386" s="45"/>
      <c r="M386" s="45"/>
      <c r="N386" s="45"/>
      <c r="O386" s="45"/>
      <c r="P386" s="45"/>
      <c r="Q386" s="45"/>
      <c r="R386" s="45"/>
    </row>
    <row r="387" spans="1:18" x14ac:dyDescent="0.25">
      <c r="A387" s="45"/>
      <c r="B387" s="47"/>
      <c r="C387" s="47"/>
      <c r="D387" s="47"/>
      <c r="E387" s="45"/>
      <c r="F387" s="45"/>
      <c r="G387" s="45"/>
      <c r="H387" s="45"/>
      <c r="I387" s="45"/>
      <c r="J387" s="45"/>
      <c r="K387" s="45"/>
      <c r="L387" s="45"/>
      <c r="M387" s="45"/>
      <c r="N387" s="45"/>
      <c r="O387" s="45"/>
      <c r="P387" s="45"/>
      <c r="Q387" s="45"/>
      <c r="R387" s="45"/>
    </row>
    <row r="388" spans="1:18" x14ac:dyDescent="0.25">
      <c r="A388" s="45"/>
      <c r="B388" s="47"/>
      <c r="C388" s="47"/>
      <c r="D388" s="47"/>
      <c r="E388" s="45"/>
      <c r="F388" s="45"/>
      <c r="G388" s="45"/>
      <c r="H388" s="45"/>
      <c r="I388" s="45"/>
      <c r="J388" s="45"/>
      <c r="K388" s="45"/>
      <c r="L388" s="45"/>
      <c r="M388" s="45"/>
      <c r="N388" s="45"/>
      <c r="O388" s="45"/>
      <c r="P388" s="45"/>
      <c r="Q388" s="45"/>
      <c r="R388" s="45"/>
    </row>
    <row r="389" spans="1:18" x14ac:dyDescent="0.25">
      <c r="A389" s="45"/>
      <c r="B389" s="47"/>
      <c r="C389" s="47"/>
      <c r="D389" s="47"/>
      <c r="E389" s="45"/>
      <c r="F389" s="45"/>
      <c r="G389" s="45"/>
      <c r="H389" s="45"/>
      <c r="I389" s="45"/>
      <c r="J389" s="45"/>
      <c r="K389" s="45"/>
      <c r="L389" s="45"/>
      <c r="M389" s="45"/>
      <c r="N389" s="45"/>
      <c r="O389" s="45"/>
      <c r="P389" s="45"/>
      <c r="Q389" s="45"/>
      <c r="R389" s="45"/>
    </row>
    <row r="390" spans="1:18" x14ac:dyDescent="0.25">
      <c r="A390" s="45"/>
      <c r="B390" s="47"/>
      <c r="C390" s="47"/>
      <c r="D390" s="47"/>
      <c r="E390" s="45"/>
      <c r="F390" s="45"/>
      <c r="G390" s="45"/>
      <c r="H390" s="45"/>
      <c r="I390" s="45"/>
      <c r="J390" s="45"/>
      <c r="K390" s="45"/>
      <c r="L390" s="45"/>
      <c r="M390" s="45"/>
      <c r="N390" s="45"/>
      <c r="O390" s="45"/>
      <c r="P390" s="45"/>
      <c r="Q390" s="45"/>
      <c r="R390" s="45"/>
    </row>
    <row r="391" spans="1:18" x14ac:dyDescent="0.25">
      <c r="A391" s="45"/>
      <c r="B391" s="47"/>
      <c r="C391" s="47"/>
      <c r="D391" s="47"/>
      <c r="E391" s="45"/>
      <c r="F391" s="45"/>
      <c r="G391" s="45"/>
      <c r="H391" s="45"/>
      <c r="I391" s="45"/>
      <c r="J391" s="45"/>
      <c r="K391" s="45"/>
      <c r="L391" s="45"/>
      <c r="M391" s="45"/>
      <c r="N391" s="45"/>
      <c r="O391" s="45"/>
      <c r="P391" s="45"/>
      <c r="Q391" s="45"/>
      <c r="R391" s="45"/>
    </row>
    <row r="392" spans="1:18" x14ac:dyDescent="0.25">
      <c r="A392" s="45"/>
      <c r="B392" s="47"/>
      <c r="C392" s="47"/>
      <c r="D392" s="47"/>
      <c r="E392" s="45"/>
      <c r="F392" s="45"/>
      <c r="G392" s="45"/>
      <c r="H392" s="45"/>
      <c r="I392" s="45"/>
      <c r="J392" s="45"/>
      <c r="K392" s="45"/>
      <c r="L392" s="45"/>
      <c r="M392" s="45"/>
      <c r="N392" s="45"/>
      <c r="O392" s="45"/>
      <c r="P392" s="45"/>
      <c r="Q392" s="45"/>
      <c r="R392" s="45"/>
    </row>
    <row r="393" spans="1:18" x14ac:dyDescent="0.25">
      <c r="A393" s="45"/>
      <c r="B393" s="47"/>
      <c r="C393" s="47"/>
      <c r="D393" s="47"/>
      <c r="E393" s="45"/>
      <c r="F393" s="45"/>
      <c r="G393" s="45"/>
      <c r="H393" s="45"/>
      <c r="I393" s="45"/>
      <c r="J393" s="45"/>
      <c r="K393" s="45"/>
      <c r="L393" s="45"/>
      <c r="M393" s="45"/>
      <c r="N393" s="45"/>
      <c r="O393" s="45"/>
      <c r="P393" s="45"/>
      <c r="Q393" s="45"/>
      <c r="R393" s="45"/>
    </row>
    <row r="394" spans="1:18" x14ac:dyDescent="0.25">
      <c r="A394" s="45"/>
      <c r="B394" s="47"/>
      <c r="C394" s="47"/>
      <c r="D394" s="47"/>
      <c r="E394" s="45"/>
      <c r="F394" s="45"/>
      <c r="G394" s="45"/>
      <c r="H394" s="45"/>
      <c r="I394" s="45"/>
      <c r="J394" s="45"/>
      <c r="K394" s="45"/>
      <c r="L394" s="45"/>
      <c r="M394" s="45"/>
      <c r="N394" s="45"/>
      <c r="O394" s="45"/>
      <c r="P394" s="45"/>
      <c r="Q394" s="45"/>
      <c r="R394" s="45"/>
    </row>
    <row r="395" spans="1:18" x14ac:dyDescent="0.25">
      <c r="A395" s="45"/>
      <c r="B395" s="47"/>
      <c r="C395" s="47"/>
      <c r="D395" s="47"/>
      <c r="E395" s="45"/>
      <c r="F395" s="45"/>
      <c r="G395" s="45"/>
      <c r="H395" s="45"/>
      <c r="I395" s="45"/>
      <c r="J395" s="45"/>
      <c r="K395" s="45"/>
      <c r="L395" s="45"/>
      <c r="M395" s="45"/>
      <c r="N395" s="45"/>
      <c r="O395" s="45"/>
      <c r="P395" s="45"/>
      <c r="Q395" s="45"/>
      <c r="R395" s="45"/>
    </row>
    <row r="396" spans="1:18" x14ac:dyDescent="0.25">
      <c r="A396" s="45"/>
      <c r="B396" s="47"/>
      <c r="C396" s="47"/>
      <c r="D396" s="47"/>
      <c r="E396" s="45"/>
      <c r="F396" s="45"/>
      <c r="G396" s="45"/>
      <c r="H396" s="45"/>
      <c r="I396" s="45"/>
      <c r="J396" s="45"/>
      <c r="K396" s="45"/>
      <c r="L396" s="45"/>
      <c r="M396" s="45"/>
      <c r="N396" s="45"/>
      <c r="O396" s="45"/>
      <c r="P396" s="45"/>
      <c r="Q396" s="45"/>
      <c r="R396" s="45"/>
    </row>
    <row r="397" spans="1:18" x14ac:dyDescent="0.25">
      <c r="A397" s="45"/>
      <c r="B397" s="47"/>
      <c r="C397" s="47"/>
      <c r="D397" s="47"/>
      <c r="E397" s="45"/>
      <c r="F397" s="45"/>
      <c r="G397" s="45"/>
      <c r="H397" s="45"/>
      <c r="I397" s="45"/>
      <c r="J397" s="45"/>
      <c r="K397" s="45"/>
      <c r="L397" s="45"/>
      <c r="M397" s="45"/>
      <c r="N397" s="45"/>
      <c r="O397" s="45"/>
      <c r="P397" s="45"/>
      <c r="Q397" s="45"/>
      <c r="R397" s="45"/>
    </row>
    <row r="398" spans="1:18" x14ac:dyDescent="0.25">
      <c r="A398" s="45"/>
      <c r="B398" s="47"/>
      <c r="C398" s="47"/>
      <c r="D398" s="47"/>
      <c r="E398" s="45"/>
      <c r="F398" s="45"/>
      <c r="G398" s="45"/>
      <c r="H398" s="45"/>
      <c r="I398" s="45"/>
      <c r="J398" s="45"/>
      <c r="K398" s="45"/>
      <c r="L398" s="45"/>
      <c r="M398" s="45"/>
      <c r="N398" s="45"/>
      <c r="O398" s="45"/>
      <c r="P398" s="45"/>
      <c r="Q398" s="45"/>
      <c r="R398" s="45"/>
    </row>
    <row r="399" spans="1:18" x14ac:dyDescent="0.25">
      <c r="A399" s="45"/>
      <c r="B399" s="47"/>
      <c r="C399" s="47"/>
      <c r="D399" s="47"/>
      <c r="E399" s="45"/>
      <c r="F399" s="45"/>
      <c r="G399" s="45"/>
      <c r="H399" s="45"/>
      <c r="I399" s="45"/>
      <c r="J399" s="45"/>
      <c r="K399" s="45"/>
      <c r="L399" s="45"/>
      <c r="M399" s="45"/>
      <c r="N399" s="45"/>
      <c r="O399" s="45"/>
      <c r="P399" s="45"/>
      <c r="Q399" s="45"/>
      <c r="R399" s="45"/>
    </row>
    <row r="400" spans="1:18" x14ac:dyDescent="0.25">
      <c r="A400" s="45"/>
      <c r="B400" s="47"/>
      <c r="C400" s="47"/>
      <c r="D400" s="47"/>
      <c r="E400" s="45"/>
      <c r="F400" s="45"/>
      <c r="G400" s="45"/>
      <c r="H400" s="45"/>
      <c r="I400" s="45"/>
      <c r="J400" s="45"/>
      <c r="K400" s="45"/>
      <c r="L400" s="45"/>
      <c r="M400" s="45"/>
      <c r="N400" s="45"/>
      <c r="O400" s="45"/>
      <c r="P400" s="45"/>
      <c r="Q400" s="45"/>
      <c r="R400" s="45"/>
    </row>
    <row r="401" spans="1:18" x14ac:dyDescent="0.25">
      <c r="A401" s="45"/>
      <c r="B401" s="47"/>
      <c r="C401" s="47"/>
      <c r="D401" s="47"/>
      <c r="E401" s="45"/>
      <c r="F401" s="45"/>
      <c r="G401" s="45"/>
      <c r="H401" s="45"/>
      <c r="I401" s="45"/>
      <c r="J401" s="45"/>
      <c r="K401" s="45"/>
      <c r="L401" s="45"/>
      <c r="M401" s="45"/>
      <c r="N401" s="45"/>
      <c r="O401" s="45"/>
      <c r="P401" s="45"/>
      <c r="Q401" s="45"/>
      <c r="R401" s="45"/>
    </row>
    <row r="402" spans="1:18" x14ac:dyDescent="0.25">
      <c r="A402" s="45"/>
      <c r="B402" s="47"/>
      <c r="C402" s="47"/>
      <c r="D402" s="47"/>
      <c r="E402" s="45"/>
      <c r="F402" s="45"/>
      <c r="G402" s="45"/>
      <c r="H402" s="45"/>
      <c r="I402" s="45"/>
      <c r="J402" s="45"/>
      <c r="K402" s="45"/>
      <c r="L402" s="45"/>
      <c r="M402" s="45"/>
      <c r="N402" s="45"/>
      <c r="O402" s="45"/>
      <c r="P402" s="45"/>
      <c r="Q402" s="45"/>
      <c r="R402" s="45"/>
    </row>
    <row r="403" spans="1:18" x14ac:dyDescent="0.25">
      <c r="A403" s="45"/>
      <c r="B403" s="47"/>
      <c r="C403" s="47"/>
      <c r="D403" s="47"/>
      <c r="E403" s="45"/>
      <c r="F403" s="45"/>
      <c r="G403" s="45"/>
      <c r="H403" s="45"/>
      <c r="I403" s="45"/>
      <c r="J403" s="45"/>
      <c r="K403" s="45"/>
      <c r="L403" s="45"/>
      <c r="M403" s="45"/>
      <c r="N403" s="45"/>
      <c r="O403" s="45"/>
      <c r="P403" s="45"/>
      <c r="Q403" s="45"/>
      <c r="R403" s="45"/>
    </row>
    <row r="404" spans="1:18" x14ac:dyDescent="0.25">
      <c r="A404" s="45"/>
      <c r="B404" s="47"/>
      <c r="C404" s="47"/>
      <c r="D404" s="47"/>
      <c r="E404" s="45"/>
      <c r="F404" s="45"/>
      <c r="G404" s="45"/>
      <c r="H404" s="45"/>
      <c r="I404" s="45"/>
      <c r="J404" s="45"/>
      <c r="K404" s="45"/>
      <c r="L404" s="45"/>
      <c r="M404" s="45"/>
      <c r="N404" s="45"/>
      <c r="O404" s="45"/>
      <c r="P404" s="45"/>
      <c r="Q404" s="45"/>
      <c r="R404" s="45"/>
    </row>
    <row r="405" spans="1:18" x14ac:dyDescent="0.25">
      <c r="A405" s="45"/>
      <c r="B405" s="47"/>
      <c r="C405" s="47"/>
      <c r="D405" s="47"/>
      <c r="E405" s="45"/>
      <c r="F405" s="45"/>
      <c r="G405" s="45"/>
      <c r="H405" s="45"/>
      <c r="I405" s="45"/>
      <c r="J405" s="45"/>
      <c r="K405" s="45"/>
      <c r="L405" s="45"/>
      <c r="M405" s="45"/>
      <c r="N405" s="45"/>
      <c r="O405" s="45"/>
      <c r="P405" s="45"/>
      <c r="Q405" s="45"/>
      <c r="R405" s="45"/>
    </row>
    <row r="406" spans="1:18" x14ac:dyDescent="0.25">
      <c r="A406" s="45"/>
      <c r="B406" s="47"/>
      <c r="C406" s="47"/>
      <c r="D406" s="47"/>
      <c r="E406" s="45"/>
      <c r="F406" s="45"/>
      <c r="G406" s="45"/>
      <c r="H406" s="45"/>
      <c r="I406" s="45"/>
      <c r="J406" s="45"/>
      <c r="K406" s="45"/>
      <c r="L406" s="45"/>
      <c r="M406" s="45"/>
      <c r="N406" s="45"/>
      <c r="O406" s="45"/>
      <c r="P406" s="45"/>
      <c r="Q406" s="45"/>
      <c r="R406" s="45"/>
    </row>
    <row r="407" spans="1:18" x14ac:dyDescent="0.25">
      <c r="A407" s="45"/>
      <c r="B407" s="47"/>
      <c r="C407" s="47"/>
      <c r="D407" s="47"/>
      <c r="E407" s="45"/>
      <c r="F407" s="45"/>
      <c r="G407" s="45"/>
      <c r="H407" s="45"/>
      <c r="I407" s="45"/>
      <c r="J407" s="45"/>
      <c r="K407" s="45"/>
      <c r="L407" s="45"/>
      <c r="M407" s="45"/>
      <c r="N407" s="45"/>
      <c r="O407" s="45"/>
      <c r="P407" s="45"/>
      <c r="Q407" s="45"/>
      <c r="R407" s="45"/>
    </row>
    <row r="408" spans="1:18" x14ac:dyDescent="0.25">
      <c r="A408" s="45"/>
      <c r="B408" s="47"/>
      <c r="C408" s="47"/>
      <c r="D408" s="47"/>
      <c r="E408" s="45"/>
      <c r="F408" s="45"/>
      <c r="G408" s="45"/>
      <c r="H408" s="45"/>
      <c r="I408" s="45"/>
      <c r="J408" s="45"/>
      <c r="K408" s="45"/>
      <c r="L408" s="45"/>
      <c r="M408" s="45"/>
      <c r="N408" s="45"/>
      <c r="O408" s="45"/>
      <c r="P408" s="45"/>
      <c r="Q408" s="45"/>
      <c r="R408" s="45"/>
    </row>
    <row r="409" spans="1:18" x14ac:dyDescent="0.25">
      <c r="A409" s="45"/>
      <c r="B409" s="47"/>
      <c r="C409" s="47"/>
      <c r="D409" s="47"/>
      <c r="E409" s="45"/>
      <c r="F409" s="45"/>
      <c r="G409" s="45"/>
      <c r="H409" s="45"/>
      <c r="I409" s="45"/>
      <c r="J409" s="45"/>
      <c r="K409" s="45"/>
      <c r="L409" s="45"/>
      <c r="M409" s="45"/>
      <c r="N409" s="45"/>
      <c r="O409" s="45"/>
      <c r="P409" s="45"/>
      <c r="Q409" s="45"/>
      <c r="R409" s="45"/>
    </row>
    <row r="410" spans="1:18" x14ac:dyDescent="0.25">
      <c r="A410" s="45"/>
      <c r="B410" s="47"/>
      <c r="C410" s="47"/>
      <c r="D410" s="47"/>
      <c r="E410" s="45"/>
      <c r="F410" s="45"/>
      <c r="G410" s="45"/>
      <c r="H410" s="45"/>
      <c r="I410" s="45"/>
      <c r="J410" s="45"/>
      <c r="K410" s="45"/>
      <c r="L410" s="45"/>
      <c r="M410" s="45"/>
      <c r="N410" s="45"/>
      <c r="O410" s="45"/>
      <c r="P410" s="45"/>
      <c r="Q410" s="45"/>
      <c r="R410" s="45"/>
    </row>
    <row r="411" spans="1:18" x14ac:dyDescent="0.25">
      <c r="A411" s="45"/>
      <c r="B411" s="47"/>
      <c r="C411" s="47"/>
      <c r="D411" s="47"/>
      <c r="E411" s="45"/>
      <c r="F411" s="45"/>
      <c r="G411" s="45"/>
      <c r="H411" s="45"/>
      <c r="I411" s="45"/>
      <c r="J411" s="45"/>
      <c r="K411" s="45"/>
      <c r="L411" s="45"/>
      <c r="M411" s="45"/>
      <c r="N411" s="45"/>
      <c r="O411" s="45"/>
      <c r="P411" s="45"/>
      <c r="Q411" s="45"/>
      <c r="R411" s="45"/>
    </row>
    <row r="412" spans="1:18" x14ac:dyDescent="0.25">
      <c r="A412" s="45"/>
      <c r="B412" s="47"/>
      <c r="C412" s="47"/>
      <c r="D412" s="47"/>
      <c r="E412" s="45"/>
      <c r="F412" s="45"/>
      <c r="G412" s="45"/>
      <c r="H412" s="45"/>
      <c r="I412" s="45"/>
      <c r="J412" s="45"/>
      <c r="K412" s="45"/>
      <c r="L412" s="45"/>
      <c r="M412" s="45"/>
      <c r="N412" s="45"/>
      <c r="O412" s="45"/>
      <c r="P412" s="45"/>
      <c r="Q412" s="45"/>
      <c r="R412" s="45"/>
    </row>
    <row r="413" spans="1:18" x14ac:dyDescent="0.25">
      <c r="A413" s="45"/>
      <c r="B413" s="47"/>
      <c r="C413" s="47"/>
      <c r="D413" s="47"/>
      <c r="E413" s="45"/>
      <c r="F413" s="45"/>
      <c r="G413" s="45"/>
      <c r="H413" s="45"/>
      <c r="I413" s="45"/>
      <c r="J413" s="45"/>
      <c r="K413" s="45"/>
      <c r="L413" s="45"/>
      <c r="M413" s="45"/>
      <c r="N413" s="45"/>
      <c r="O413" s="45"/>
      <c r="P413" s="45"/>
      <c r="Q413" s="45"/>
      <c r="R413" s="45"/>
    </row>
    <row r="414" spans="1:18" x14ac:dyDescent="0.25">
      <c r="A414" s="45"/>
      <c r="B414" s="47"/>
      <c r="C414" s="47"/>
      <c r="D414" s="47"/>
      <c r="E414" s="45"/>
      <c r="F414" s="45"/>
      <c r="G414" s="45"/>
      <c r="H414" s="45"/>
      <c r="I414" s="45"/>
      <c r="J414" s="45"/>
      <c r="K414" s="45"/>
      <c r="L414" s="45"/>
      <c r="M414" s="45"/>
      <c r="N414" s="45"/>
      <c r="O414" s="45"/>
      <c r="P414" s="45"/>
      <c r="Q414" s="45"/>
      <c r="R414" s="45"/>
    </row>
    <row r="415" spans="1:18" x14ac:dyDescent="0.25">
      <c r="A415" s="45"/>
      <c r="B415" s="47"/>
      <c r="C415" s="47"/>
      <c r="D415" s="47"/>
      <c r="E415" s="45"/>
      <c r="F415" s="45"/>
      <c r="G415" s="45"/>
      <c r="H415" s="45"/>
      <c r="I415" s="45"/>
      <c r="J415" s="45"/>
      <c r="K415" s="45"/>
      <c r="L415" s="45"/>
      <c r="M415" s="45"/>
      <c r="N415" s="45"/>
      <c r="O415" s="45"/>
      <c r="P415" s="45"/>
      <c r="Q415" s="45"/>
      <c r="R415" s="45"/>
    </row>
    <row r="416" spans="1:18" x14ac:dyDescent="0.25">
      <c r="A416" s="45"/>
      <c r="B416" s="47"/>
      <c r="C416" s="47"/>
      <c r="D416" s="47"/>
      <c r="E416" s="45"/>
      <c r="F416" s="45"/>
      <c r="G416" s="45"/>
      <c r="H416" s="45"/>
      <c r="I416" s="45"/>
      <c r="J416" s="45"/>
      <c r="K416" s="45"/>
      <c r="L416" s="45"/>
      <c r="M416" s="45"/>
      <c r="N416" s="45"/>
      <c r="O416" s="45"/>
      <c r="P416" s="45"/>
      <c r="Q416" s="45"/>
      <c r="R416" s="45"/>
    </row>
    <row r="417" spans="1:18" x14ac:dyDescent="0.25">
      <c r="A417" s="45"/>
      <c r="B417" s="47"/>
      <c r="C417" s="47"/>
      <c r="D417" s="47"/>
      <c r="E417" s="45"/>
      <c r="F417" s="45"/>
      <c r="G417" s="45"/>
      <c r="H417" s="45"/>
      <c r="I417" s="45"/>
      <c r="J417" s="45"/>
      <c r="K417" s="45"/>
      <c r="L417" s="45"/>
      <c r="M417" s="45"/>
      <c r="N417" s="45"/>
      <c r="O417" s="45"/>
      <c r="P417" s="45"/>
      <c r="Q417" s="45"/>
      <c r="R417" s="45"/>
    </row>
    <row r="418" spans="1:18" x14ac:dyDescent="0.25">
      <c r="A418" s="45"/>
      <c r="B418" s="47"/>
      <c r="C418" s="47"/>
      <c r="D418" s="47"/>
      <c r="E418" s="45"/>
      <c r="F418" s="45"/>
      <c r="G418" s="45"/>
      <c r="H418" s="45"/>
      <c r="I418" s="45"/>
      <c r="J418" s="45"/>
      <c r="K418" s="45"/>
      <c r="L418" s="45"/>
      <c r="M418" s="45"/>
      <c r="N418" s="45"/>
      <c r="O418" s="45"/>
      <c r="P418" s="45"/>
      <c r="Q418" s="45"/>
      <c r="R418" s="45"/>
    </row>
    <row r="419" spans="1:18" x14ac:dyDescent="0.25">
      <c r="A419" s="45"/>
      <c r="B419" s="47"/>
      <c r="C419" s="47"/>
      <c r="D419" s="47"/>
      <c r="E419" s="45"/>
      <c r="F419" s="45"/>
      <c r="G419" s="45"/>
      <c r="H419" s="45"/>
      <c r="I419" s="45"/>
      <c r="J419" s="45"/>
      <c r="K419" s="45"/>
      <c r="L419" s="45"/>
      <c r="M419" s="45"/>
      <c r="N419" s="45"/>
      <c r="O419" s="45"/>
      <c r="P419" s="45"/>
      <c r="Q419" s="45"/>
      <c r="R419" s="45"/>
    </row>
    <row r="420" spans="1:18" x14ac:dyDescent="0.25">
      <c r="A420" s="45"/>
      <c r="B420" s="47"/>
      <c r="C420" s="47"/>
      <c r="D420" s="47"/>
      <c r="E420" s="45"/>
      <c r="F420" s="45"/>
      <c r="G420" s="45"/>
      <c r="H420" s="45"/>
      <c r="I420" s="45"/>
      <c r="J420" s="45"/>
      <c r="K420" s="45"/>
      <c r="L420" s="45"/>
      <c r="M420" s="45"/>
      <c r="N420" s="45"/>
      <c r="O420" s="45"/>
      <c r="P420" s="45"/>
      <c r="Q420" s="45"/>
      <c r="R420" s="45"/>
    </row>
    <row r="421" spans="1:18" x14ac:dyDescent="0.25">
      <c r="A421" s="45"/>
      <c r="B421" s="47"/>
      <c r="C421" s="47"/>
      <c r="D421" s="47"/>
      <c r="E421" s="45"/>
      <c r="F421" s="45"/>
      <c r="G421" s="45"/>
      <c r="H421" s="45"/>
      <c r="I421" s="45"/>
      <c r="J421" s="45"/>
      <c r="K421" s="45"/>
      <c r="L421" s="45"/>
      <c r="M421" s="45"/>
      <c r="N421" s="45"/>
      <c r="O421" s="45"/>
      <c r="P421" s="45"/>
      <c r="Q421" s="45"/>
      <c r="R421" s="45"/>
    </row>
    <row r="422" spans="1:18" x14ac:dyDescent="0.25">
      <c r="A422" s="45"/>
      <c r="B422" s="47"/>
      <c r="C422" s="47"/>
      <c r="D422" s="47"/>
      <c r="E422" s="45"/>
      <c r="F422" s="45"/>
      <c r="G422" s="45"/>
      <c r="H422" s="45"/>
      <c r="I422" s="45"/>
      <c r="J422" s="45"/>
      <c r="K422" s="45"/>
      <c r="L422" s="45"/>
      <c r="M422" s="45"/>
      <c r="N422" s="45"/>
      <c r="O422" s="45"/>
      <c r="P422" s="45"/>
      <c r="Q422" s="45"/>
      <c r="R422" s="45"/>
    </row>
    <row r="423" spans="1:18" x14ac:dyDescent="0.25">
      <c r="A423" s="45"/>
      <c r="B423" s="47"/>
      <c r="C423" s="47"/>
      <c r="D423" s="47"/>
      <c r="E423" s="45"/>
      <c r="F423" s="45"/>
      <c r="G423" s="45"/>
      <c r="H423" s="45"/>
      <c r="I423" s="45"/>
      <c r="J423" s="45"/>
      <c r="K423" s="45"/>
      <c r="L423" s="45"/>
      <c r="M423" s="45"/>
      <c r="N423" s="45"/>
      <c r="O423" s="45"/>
      <c r="P423" s="45"/>
      <c r="Q423" s="45"/>
      <c r="R423" s="45"/>
    </row>
    <row r="424" spans="1:18" x14ac:dyDescent="0.25">
      <c r="A424" s="45"/>
      <c r="B424" s="47"/>
      <c r="C424" s="47"/>
      <c r="D424" s="47"/>
      <c r="E424" s="45"/>
      <c r="F424" s="45"/>
      <c r="G424" s="45"/>
      <c r="H424" s="45"/>
      <c r="I424" s="45"/>
      <c r="J424" s="45"/>
      <c r="K424" s="45"/>
      <c r="L424" s="45"/>
      <c r="M424" s="45"/>
      <c r="N424" s="45"/>
      <c r="O424" s="45"/>
      <c r="P424" s="45"/>
      <c r="Q424" s="45"/>
      <c r="R424" s="45"/>
    </row>
    <row r="425" spans="1:18" x14ac:dyDescent="0.25">
      <c r="A425" s="45"/>
      <c r="B425" s="47"/>
      <c r="C425" s="47"/>
      <c r="D425" s="47"/>
      <c r="E425" s="45"/>
      <c r="F425" s="45"/>
      <c r="G425" s="45"/>
      <c r="H425" s="45"/>
      <c r="I425" s="45"/>
      <c r="J425" s="45"/>
      <c r="K425" s="45"/>
      <c r="L425" s="45"/>
      <c r="M425" s="45"/>
      <c r="N425" s="45"/>
      <c r="O425" s="45"/>
      <c r="P425" s="45"/>
      <c r="Q425" s="45"/>
      <c r="R425" s="45"/>
    </row>
    <row r="426" spans="1:18" x14ac:dyDescent="0.25">
      <c r="A426" s="45"/>
      <c r="B426" s="47"/>
      <c r="C426" s="47"/>
      <c r="D426" s="47"/>
      <c r="E426" s="45"/>
      <c r="F426" s="45"/>
      <c r="G426" s="45"/>
      <c r="H426" s="45"/>
      <c r="I426" s="45"/>
      <c r="J426" s="45"/>
      <c r="K426" s="45"/>
      <c r="L426" s="45"/>
      <c r="M426" s="45"/>
      <c r="N426" s="45"/>
      <c r="O426" s="45"/>
      <c r="P426" s="45"/>
      <c r="Q426" s="45"/>
      <c r="R426" s="45"/>
    </row>
    <row r="427" spans="1:18" x14ac:dyDescent="0.25">
      <c r="A427" s="45"/>
      <c r="B427" s="47"/>
      <c r="C427" s="47"/>
      <c r="D427" s="47"/>
      <c r="E427" s="45"/>
      <c r="F427" s="45"/>
      <c r="G427" s="45"/>
      <c r="H427" s="45"/>
      <c r="I427" s="45"/>
      <c r="J427" s="45"/>
      <c r="K427" s="45"/>
      <c r="L427" s="45"/>
      <c r="M427" s="45"/>
      <c r="N427" s="45"/>
      <c r="O427" s="45"/>
      <c r="P427" s="45"/>
      <c r="Q427" s="45"/>
      <c r="R427" s="45"/>
    </row>
    <row r="428" spans="1:18" x14ac:dyDescent="0.25">
      <c r="A428" s="45"/>
      <c r="B428" s="47"/>
      <c r="C428" s="47"/>
      <c r="D428" s="47"/>
      <c r="E428" s="45"/>
      <c r="F428" s="45"/>
      <c r="G428" s="45"/>
      <c r="H428" s="45"/>
      <c r="I428" s="45"/>
      <c r="J428" s="45"/>
      <c r="K428" s="45"/>
      <c r="L428" s="45"/>
      <c r="M428" s="45"/>
      <c r="N428" s="45"/>
      <c r="O428" s="45"/>
      <c r="P428" s="45"/>
      <c r="Q428" s="45"/>
      <c r="R428" s="45"/>
    </row>
    <row r="429" spans="1:18" x14ac:dyDescent="0.25">
      <c r="A429" s="45"/>
      <c r="B429" s="47"/>
      <c r="C429" s="47"/>
      <c r="D429" s="47"/>
      <c r="E429" s="45"/>
      <c r="F429" s="45"/>
      <c r="G429" s="45"/>
      <c r="H429" s="45"/>
      <c r="I429" s="45"/>
      <c r="J429" s="45"/>
      <c r="K429" s="45"/>
      <c r="L429" s="45"/>
      <c r="M429" s="45"/>
      <c r="N429" s="45"/>
      <c r="O429" s="45"/>
      <c r="P429" s="45"/>
      <c r="Q429" s="45"/>
      <c r="R429" s="45"/>
    </row>
    <row r="430" spans="1:18" x14ac:dyDescent="0.25">
      <c r="A430" s="45"/>
      <c r="B430" s="47"/>
      <c r="C430" s="47"/>
      <c r="D430" s="47"/>
      <c r="E430" s="45"/>
      <c r="F430" s="45"/>
      <c r="G430" s="45"/>
      <c r="H430" s="45"/>
      <c r="I430" s="45"/>
      <c r="J430" s="45"/>
      <c r="K430" s="45"/>
      <c r="L430" s="45"/>
      <c r="M430" s="45"/>
      <c r="N430" s="45"/>
      <c r="O430" s="45"/>
      <c r="P430" s="45"/>
      <c r="Q430" s="45"/>
      <c r="R430" s="45"/>
    </row>
    <row r="431" spans="1:18" x14ac:dyDescent="0.25">
      <c r="A431" s="45"/>
      <c r="B431" s="47"/>
      <c r="C431" s="47"/>
      <c r="D431" s="47"/>
      <c r="E431" s="45"/>
      <c r="F431" s="45"/>
      <c r="G431" s="45"/>
      <c r="H431" s="45"/>
      <c r="I431" s="45"/>
      <c r="J431" s="45"/>
      <c r="K431" s="45"/>
      <c r="L431" s="45"/>
      <c r="M431" s="45"/>
      <c r="N431" s="45"/>
      <c r="O431" s="45"/>
      <c r="P431" s="45"/>
      <c r="Q431" s="45"/>
      <c r="R431" s="45"/>
    </row>
    <row r="432" spans="1:18" x14ac:dyDescent="0.25">
      <c r="A432" s="45"/>
      <c r="B432" s="47"/>
      <c r="C432" s="47"/>
      <c r="D432" s="47"/>
      <c r="E432" s="45"/>
      <c r="F432" s="45"/>
      <c r="G432" s="45"/>
      <c r="H432" s="45"/>
      <c r="I432" s="45"/>
      <c r="J432" s="45"/>
      <c r="K432" s="45"/>
      <c r="L432" s="45"/>
      <c r="M432" s="45"/>
      <c r="N432" s="45"/>
      <c r="O432" s="45"/>
      <c r="P432" s="45"/>
      <c r="Q432" s="45"/>
      <c r="R432" s="45"/>
    </row>
    <row r="433" spans="1:18" x14ac:dyDescent="0.25">
      <c r="A433" s="45"/>
      <c r="B433" s="47"/>
      <c r="C433" s="47"/>
      <c r="D433" s="47"/>
      <c r="E433" s="45"/>
      <c r="F433" s="45"/>
      <c r="G433" s="45"/>
      <c r="H433" s="45"/>
      <c r="I433" s="45"/>
      <c r="J433" s="45"/>
      <c r="K433" s="45"/>
      <c r="L433" s="45"/>
      <c r="M433" s="45"/>
      <c r="N433" s="45"/>
      <c r="O433" s="45"/>
      <c r="P433" s="45"/>
      <c r="Q433" s="45"/>
      <c r="R433" s="45"/>
    </row>
    <row r="434" spans="1:18" x14ac:dyDescent="0.25">
      <c r="A434" s="45"/>
      <c r="B434" s="47"/>
      <c r="C434" s="47"/>
      <c r="D434" s="47"/>
      <c r="E434" s="45"/>
      <c r="F434" s="45"/>
      <c r="G434" s="45"/>
      <c r="H434" s="45"/>
      <c r="I434" s="45"/>
      <c r="J434" s="45"/>
      <c r="K434" s="45"/>
      <c r="L434" s="45"/>
      <c r="M434" s="45"/>
      <c r="N434" s="45"/>
      <c r="O434" s="45"/>
      <c r="P434" s="45"/>
      <c r="Q434" s="45"/>
      <c r="R434" s="45"/>
    </row>
    <row r="435" spans="1:18" x14ac:dyDescent="0.25">
      <c r="A435" s="45"/>
      <c r="B435" s="47"/>
      <c r="C435" s="47"/>
      <c r="D435" s="47"/>
      <c r="E435" s="45"/>
      <c r="F435" s="45"/>
      <c r="G435" s="45"/>
      <c r="H435" s="45"/>
      <c r="I435" s="45"/>
      <c r="J435" s="45"/>
      <c r="K435" s="45"/>
      <c r="L435" s="45"/>
      <c r="M435" s="45"/>
      <c r="N435" s="45"/>
      <c r="O435" s="45"/>
      <c r="P435" s="45"/>
      <c r="Q435" s="45"/>
      <c r="R435" s="45"/>
    </row>
    <row r="436" spans="1:18" x14ac:dyDescent="0.25">
      <c r="A436" s="45"/>
      <c r="B436" s="47"/>
      <c r="C436" s="47"/>
      <c r="D436" s="47"/>
      <c r="E436" s="45"/>
      <c r="F436" s="45"/>
      <c r="G436" s="45"/>
      <c r="H436" s="45"/>
      <c r="I436" s="45"/>
      <c r="J436" s="45"/>
      <c r="K436" s="45"/>
      <c r="L436" s="45"/>
      <c r="M436" s="45"/>
      <c r="N436" s="45"/>
      <c r="O436" s="45"/>
      <c r="P436" s="45"/>
      <c r="Q436" s="45"/>
      <c r="R436" s="45"/>
    </row>
    <row r="437" spans="1:18" x14ac:dyDescent="0.25">
      <c r="A437" s="45"/>
      <c r="B437" s="47"/>
      <c r="C437" s="47"/>
      <c r="D437" s="47"/>
      <c r="E437" s="45"/>
      <c r="F437" s="45"/>
      <c r="G437" s="45"/>
      <c r="H437" s="45"/>
      <c r="I437" s="45"/>
      <c r="J437" s="45"/>
      <c r="K437" s="45"/>
      <c r="L437" s="45"/>
      <c r="M437" s="45"/>
      <c r="N437" s="45"/>
      <c r="O437" s="45"/>
      <c r="P437" s="45"/>
      <c r="Q437" s="45"/>
      <c r="R437" s="45"/>
    </row>
    <row r="438" spans="1:18" x14ac:dyDescent="0.25">
      <c r="A438" s="45"/>
      <c r="B438" s="47"/>
      <c r="C438" s="47"/>
      <c r="D438" s="47"/>
      <c r="E438" s="45"/>
      <c r="F438" s="45"/>
      <c r="G438" s="45"/>
      <c r="H438" s="45"/>
      <c r="I438" s="45"/>
      <c r="J438" s="45"/>
      <c r="K438" s="45"/>
      <c r="L438" s="45"/>
      <c r="M438" s="45"/>
      <c r="N438" s="45"/>
      <c r="O438" s="45"/>
      <c r="P438" s="45"/>
      <c r="Q438" s="45"/>
      <c r="R438" s="45"/>
    </row>
    <row r="439" spans="1:18" x14ac:dyDescent="0.25">
      <c r="A439" s="45"/>
      <c r="B439" s="47"/>
      <c r="C439" s="47"/>
      <c r="D439" s="47"/>
      <c r="E439" s="45"/>
      <c r="F439" s="45"/>
      <c r="G439" s="45"/>
      <c r="H439" s="45"/>
      <c r="I439" s="45"/>
      <c r="J439" s="45"/>
      <c r="K439" s="45"/>
      <c r="L439" s="45"/>
      <c r="M439" s="45"/>
      <c r="N439" s="45"/>
      <c r="O439" s="45"/>
      <c r="P439" s="45"/>
      <c r="Q439" s="45"/>
      <c r="R439" s="45"/>
    </row>
    <row r="440" spans="1:18" x14ac:dyDescent="0.25">
      <c r="A440" s="45"/>
      <c r="B440" s="47"/>
      <c r="C440" s="47"/>
      <c r="D440" s="47"/>
      <c r="E440" s="45"/>
      <c r="F440" s="45"/>
      <c r="G440" s="45"/>
      <c r="H440" s="45"/>
      <c r="I440" s="45"/>
      <c r="J440" s="45"/>
      <c r="K440" s="45"/>
      <c r="L440" s="45"/>
      <c r="M440" s="45"/>
      <c r="N440" s="45"/>
      <c r="O440" s="45"/>
      <c r="P440" s="45"/>
      <c r="Q440" s="45"/>
      <c r="R440" s="45"/>
    </row>
    <row r="441" spans="1:18" x14ac:dyDescent="0.25">
      <c r="A441" s="45"/>
      <c r="B441" s="47"/>
      <c r="C441" s="47"/>
      <c r="D441" s="47"/>
      <c r="E441" s="45"/>
      <c r="F441" s="45"/>
      <c r="G441" s="45"/>
      <c r="H441" s="45"/>
      <c r="I441" s="45"/>
      <c r="J441" s="45"/>
      <c r="K441" s="45"/>
      <c r="L441" s="45"/>
      <c r="M441" s="45"/>
      <c r="N441" s="45"/>
      <c r="O441" s="45"/>
      <c r="P441" s="45"/>
      <c r="Q441" s="45"/>
      <c r="R441" s="45"/>
    </row>
    <row r="442" spans="1:18" x14ac:dyDescent="0.25">
      <c r="A442" s="45"/>
      <c r="B442" s="47"/>
      <c r="C442" s="47"/>
      <c r="D442" s="47"/>
      <c r="E442" s="45"/>
      <c r="F442" s="45"/>
      <c r="G442" s="45"/>
      <c r="H442" s="45"/>
      <c r="I442" s="45"/>
      <c r="J442" s="45"/>
      <c r="K442" s="45"/>
      <c r="L442" s="45"/>
      <c r="M442" s="45"/>
      <c r="N442" s="45"/>
      <c r="O442" s="45"/>
      <c r="P442" s="45"/>
      <c r="Q442" s="45"/>
      <c r="R442" s="45"/>
    </row>
    <row r="443" spans="1:18" x14ac:dyDescent="0.25">
      <c r="A443" s="45"/>
      <c r="B443" s="47"/>
      <c r="C443" s="47"/>
      <c r="D443" s="47"/>
      <c r="E443" s="45"/>
      <c r="F443" s="45"/>
      <c r="G443" s="45"/>
      <c r="H443" s="45"/>
      <c r="I443" s="45"/>
      <c r="J443" s="45"/>
      <c r="K443" s="45"/>
      <c r="L443" s="45"/>
      <c r="M443" s="45"/>
      <c r="N443" s="45"/>
      <c r="O443" s="45"/>
      <c r="P443" s="45"/>
      <c r="Q443" s="45"/>
      <c r="R443" s="45"/>
    </row>
    <row r="444" spans="1:18" x14ac:dyDescent="0.25">
      <c r="A444" s="45"/>
      <c r="B444" s="47"/>
      <c r="C444" s="47"/>
      <c r="D444" s="47"/>
      <c r="E444" s="45"/>
      <c r="F444" s="45"/>
      <c r="G444" s="45"/>
      <c r="H444" s="45"/>
      <c r="I444" s="45"/>
      <c r="J444" s="45"/>
      <c r="K444" s="45"/>
      <c r="L444" s="45"/>
      <c r="M444" s="45"/>
      <c r="N444" s="45"/>
      <c r="O444" s="45"/>
      <c r="P444" s="45"/>
      <c r="Q444" s="45"/>
      <c r="R444" s="45"/>
    </row>
    <row r="445" spans="1:18" x14ac:dyDescent="0.25">
      <c r="A445" s="45"/>
      <c r="B445" s="47"/>
      <c r="C445" s="47"/>
      <c r="D445" s="47"/>
      <c r="E445" s="45"/>
      <c r="F445" s="45"/>
      <c r="G445" s="45"/>
      <c r="H445" s="45"/>
      <c r="I445" s="45"/>
      <c r="J445" s="45"/>
      <c r="K445" s="45"/>
      <c r="L445" s="45"/>
      <c r="M445" s="45"/>
      <c r="N445" s="45"/>
      <c r="O445" s="45"/>
      <c r="P445" s="45"/>
      <c r="Q445" s="45"/>
      <c r="R445" s="45"/>
    </row>
    <row r="446" spans="1:18" x14ac:dyDescent="0.25">
      <c r="A446" s="45"/>
      <c r="B446" s="47"/>
      <c r="C446" s="47"/>
      <c r="D446" s="47"/>
      <c r="E446" s="45"/>
      <c r="F446" s="45"/>
      <c r="G446" s="45"/>
      <c r="H446" s="45"/>
      <c r="I446" s="45"/>
      <c r="J446" s="45"/>
      <c r="K446" s="45"/>
      <c r="L446" s="45"/>
      <c r="M446" s="45"/>
      <c r="N446" s="45"/>
      <c r="O446" s="45"/>
      <c r="P446" s="45"/>
      <c r="Q446" s="45"/>
      <c r="R446" s="45"/>
    </row>
    <row r="447" spans="1:18" x14ac:dyDescent="0.25">
      <c r="A447" s="45"/>
      <c r="B447" s="47"/>
      <c r="C447" s="47"/>
      <c r="D447" s="47"/>
      <c r="E447" s="45"/>
      <c r="F447" s="45"/>
      <c r="G447" s="45"/>
      <c r="H447" s="45"/>
      <c r="I447" s="45"/>
      <c r="J447" s="45"/>
      <c r="K447" s="45"/>
      <c r="L447" s="45"/>
      <c r="M447" s="45"/>
      <c r="N447" s="45"/>
      <c r="O447" s="45"/>
      <c r="P447" s="45"/>
      <c r="Q447" s="45"/>
      <c r="R447" s="45"/>
    </row>
    <row r="448" spans="1:18" x14ac:dyDescent="0.25">
      <c r="A448" s="45"/>
      <c r="B448" s="47"/>
      <c r="C448" s="47"/>
      <c r="D448" s="47"/>
      <c r="E448" s="45"/>
      <c r="F448" s="45"/>
      <c r="G448" s="45"/>
      <c r="H448" s="45"/>
      <c r="I448" s="45"/>
      <c r="J448" s="45"/>
      <c r="K448" s="45"/>
      <c r="L448" s="45"/>
      <c r="M448" s="45"/>
      <c r="N448" s="45"/>
      <c r="O448" s="45"/>
      <c r="P448" s="45"/>
      <c r="Q448" s="45"/>
      <c r="R448" s="45"/>
    </row>
    <row r="449" spans="1:18" x14ac:dyDescent="0.25">
      <c r="A449" s="45"/>
      <c r="B449" s="47"/>
      <c r="C449" s="47"/>
      <c r="D449" s="47"/>
      <c r="E449" s="45"/>
      <c r="F449" s="45"/>
      <c r="G449" s="45"/>
      <c r="H449" s="45"/>
      <c r="I449" s="45"/>
      <c r="J449" s="45"/>
      <c r="K449" s="45"/>
      <c r="L449" s="45"/>
      <c r="M449" s="45"/>
      <c r="N449" s="45"/>
      <c r="O449" s="45"/>
      <c r="P449" s="45"/>
      <c r="Q449" s="45"/>
      <c r="R449" s="45"/>
    </row>
    <row r="450" spans="1:18" x14ac:dyDescent="0.25">
      <c r="A450" s="45"/>
      <c r="B450" s="47"/>
      <c r="C450" s="47"/>
      <c r="D450" s="47"/>
      <c r="E450" s="45"/>
      <c r="F450" s="45"/>
      <c r="G450" s="45"/>
      <c r="H450" s="45"/>
      <c r="I450" s="45"/>
      <c r="J450" s="45"/>
      <c r="K450" s="45"/>
      <c r="L450" s="45"/>
      <c r="M450" s="45"/>
      <c r="N450" s="45"/>
      <c r="O450" s="45"/>
      <c r="P450" s="45"/>
      <c r="Q450" s="45"/>
      <c r="R450" s="45"/>
    </row>
    <row r="451" spans="1:18" x14ac:dyDescent="0.25">
      <c r="A451" s="45"/>
      <c r="B451" s="47"/>
      <c r="C451" s="47"/>
      <c r="D451" s="47"/>
      <c r="E451" s="45"/>
      <c r="F451" s="45"/>
      <c r="G451" s="45"/>
      <c r="H451" s="45"/>
      <c r="I451" s="45"/>
      <c r="J451" s="45"/>
      <c r="K451" s="45"/>
      <c r="L451" s="45"/>
      <c r="M451" s="45"/>
      <c r="N451" s="45"/>
      <c r="O451" s="45"/>
      <c r="P451" s="45"/>
      <c r="Q451" s="45"/>
      <c r="R451" s="45"/>
    </row>
    <row r="452" spans="1:18" x14ac:dyDescent="0.25">
      <c r="A452" s="45"/>
      <c r="B452" s="47"/>
      <c r="C452" s="47"/>
      <c r="D452" s="47"/>
      <c r="E452" s="45"/>
      <c r="F452" s="45"/>
      <c r="G452" s="45"/>
      <c r="H452" s="45"/>
      <c r="I452" s="45"/>
      <c r="J452" s="45"/>
      <c r="K452" s="45"/>
      <c r="L452" s="45"/>
      <c r="M452" s="45"/>
      <c r="N452" s="45"/>
      <c r="O452" s="45"/>
      <c r="P452" s="45"/>
      <c r="Q452" s="45"/>
      <c r="R452" s="45"/>
    </row>
    <row r="453" spans="1:18" x14ac:dyDescent="0.25">
      <c r="A453" s="45"/>
      <c r="B453" s="47"/>
      <c r="C453" s="47"/>
      <c r="D453" s="47"/>
      <c r="E453" s="45"/>
      <c r="F453" s="45"/>
      <c r="G453" s="45"/>
      <c r="H453" s="45"/>
      <c r="I453" s="45"/>
      <c r="J453" s="45"/>
      <c r="K453" s="45"/>
      <c r="L453" s="45"/>
      <c r="M453" s="45"/>
      <c r="N453" s="45"/>
      <c r="O453" s="45"/>
      <c r="P453" s="45"/>
      <c r="Q453" s="45"/>
      <c r="R453" s="45"/>
    </row>
    <row r="454" spans="1:18" x14ac:dyDescent="0.25">
      <c r="A454" s="45"/>
      <c r="B454" s="47"/>
      <c r="C454" s="47"/>
      <c r="D454" s="47"/>
      <c r="E454" s="45"/>
      <c r="F454" s="45"/>
      <c r="G454" s="45"/>
      <c r="H454" s="45"/>
      <c r="I454" s="45"/>
      <c r="J454" s="45"/>
      <c r="K454" s="45"/>
      <c r="L454" s="45"/>
      <c r="M454" s="45"/>
      <c r="N454" s="45"/>
      <c r="O454" s="45"/>
      <c r="P454" s="45"/>
      <c r="Q454" s="45"/>
      <c r="R454" s="45"/>
    </row>
    <row r="455" spans="1:18" x14ac:dyDescent="0.25">
      <c r="A455" s="45"/>
      <c r="B455" s="47"/>
      <c r="C455" s="47"/>
      <c r="D455" s="47"/>
      <c r="E455" s="45"/>
      <c r="F455" s="45"/>
      <c r="G455" s="45"/>
      <c r="H455" s="45"/>
      <c r="I455" s="45"/>
      <c r="J455" s="45"/>
      <c r="K455" s="45"/>
      <c r="L455" s="45"/>
      <c r="M455" s="45"/>
      <c r="N455" s="45"/>
      <c r="O455" s="45"/>
      <c r="P455" s="45"/>
      <c r="Q455" s="45"/>
      <c r="R455" s="45"/>
    </row>
    <row r="456" spans="1:18" x14ac:dyDescent="0.25">
      <c r="A456" s="45"/>
      <c r="B456" s="47"/>
      <c r="C456" s="47"/>
      <c r="D456" s="47"/>
      <c r="E456" s="45"/>
      <c r="F456" s="45"/>
      <c r="G456" s="45"/>
      <c r="H456" s="45"/>
      <c r="I456" s="45"/>
      <c r="J456" s="45"/>
      <c r="K456" s="45"/>
      <c r="L456" s="45"/>
      <c r="M456" s="45"/>
      <c r="N456" s="45"/>
      <c r="O456" s="45"/>
      <c r="P456" s="45"/>
      <c r="Q456" s="45"/>
      <c r="R456" s="45"/>
    </row>
    <row r="457" spans="1:18" x14ac:dyDescent="0.25">
      <c r="A457" s="45"/>
      <c r="B457" s="47"/>
      <c r="C457" s="47"/>
      <c r="D457" s="47"/>
      <c r="E457" s="45"/>
      <c r="F457" s="45"/>
      <c r="G457" s="45"/>
      <c r="H457" s="45"/>
      <c r="I457" s="45"/>
      <c r="J457" s="45"/>
      <c r="K457" s="45"/>
      <c r="L457" s="45"/>
      <c r="M457" s="45"/>
      <c r="N457" s="45"/>
      <c r="O457" s="45"/>
      <c r="P457" s="45"/>
      <c r="Q457" s="45"/>
      <c r="R457" s="45"/>
    </row>
    <row r="458" spans="1:18" x14ac:dyDescent="0.25">
      <c r="A458" s="45"/>
      <c r="B458" s="47"/>
      <c r="C458" s="47"/>
      <c r="D458" s="47"/>
      <c r="E458" s="45"/>
      <c r="F458" s="45"/>
      <c r="G458" s="45"/>
      <c r="H458" s="45"/>
      <c r="I458" s="45"/>
      <c r="J458" s="45"/>
      <c r="K458" s="45"/>
      <c r="L458" s="45"/>
      <c r="M458" s="45"/>
      <c r="N458" s="45"/>
      <c r="O458" s="45"/>
      <c r="P458" s="45"/>
      <c r="Q458" s="45"/>
      <c r="R458" s="45"/>
    </row>
    <row r="459" spans="1:18" x14ac:dyDescent="0.25">
      <c r="A459" s="45"/>
      <c r="B459" s="47"/>
      <c r="C459" s="47"/>
      <c r="D459" s="47"/>
      <c r="E459" s="45"/>
      <c r="F459" s="45"/>
      <c r="G459" s="45"/>
      <c r="H459" s="45"/>
      <c r="I459" s="45"/>
      <c r="J459" s="45"/>
      <c r="K459" s="45"/>
      <c r="L459" s="45"/>
      <c r="M459" s="45"/>
      <c r="N459" s="45"/>
      <c r="O459" s="45"/>
      <c r="P459" s="45"/>
      <c r="Q459" s="45"/>
      <c r="R459" s="45"/>
    </row>
    <row r="460" spans="1:18" x14ac:dyDescent="0.25">
      <c r="A460" s="45"/>
      <c r="B460" s="47"/>
      <c r="C460" s="47"/>
      <c r="D460" s="47"/>
      <c r="E460" s="45"/>
      <c r="F460" s="45"/>
      <c r="G460" s="45"/>
      <c r="H460" s="45"/>
      <c r="I460" s="45"/>
      <c r="J460" s="45"/>
      <c r="K460" s="45"/>
      <c r="L460" s="45"/>
      <c r="M460" s="45"/>
      <c r="N460" s="45"/>
      <c r="O460" s="45"/>
      <c r="P460" s="45"/>
      <c r="Q460" s="45"/>
      <c r="R460" s="45"/>
    </row>
    <row r="461" spans="1:18" x14ac:dyDescent="0.25">
      <c r="A461" s="45"/>
      <c r="B461" s="47"/>
      <c r="C461" s="47"/>
      <c r="D461" s="47"/>
      <c r="E461" s="45"/>
      <c r="F461" s="45"/>
      <c r="G461" s="45"/>
      <c r="H461" s="45"/>
      <c r="I461" s="45"/>
      <c r="J461" s="45"/>
      <c r="K461" s="45"/>
      <c r="L461" s="45"/>
      <c r="M461" s="45"/>
      <c r="N461" s="45"/>
      <c r="O461" s="45"/>
      <c r="P461" s="45"/>
      <c r="Q461" s="45"/>
      <c r="R461" s="45"/>
    </row>
    <row r="462" spans="1:18" x14ac:dyDescent="0.25">
      <c r="A462" s="45"/>
      <c r="B462" s="47"/>
      <c r="C462" s="47"/>
      <c r="D462" s="47"/>
      <c r="E462" s="45"/>
      <c r="F462" s="45"/>
      <c r="G462" s="45"/>
      <c r="H462" s="45"/>
      <c r="I462" s="45"/>
      <c r="J462" s="45"/>
      <c r="K462" s="45"/>
      <c r="L462" s="45"/>
      <c r="M462" s="45"/>
      <c r="N462" s="45"/>
      <c r="O462" s="45"/>
      <c r="P462" s="45"/>
      <c r="Q462" s="45"/>
      <c r="R462" s="45"/>
    </row>
    <row r="463" spans="1:18" x14ac:dyDescent="0.25">
      <c r="A463" s="45"/>
      <c r="B463" s="47"/>
      <c r="C463" s="47"/>
      <c r="D463" s="47"/>
      <c r="E463" s="45"/>
      <c r="F463" s="45"/>
      <c r="G463" s="45"/>
      <c r="H463" s="45"/>
      <c r="I463" s="45"/>
      <c r="J463" s="45"/>
      <c r="K463" s="45"/>
      <c r="L463" s="45"/>
      <c r="M463" s="45"/>
      <c r="N463" s="45"/>
      <c r="O463" s="45"/>
      <c r="P463" s="45"/>
      <c r="Q463" s="45"/>
      <c r="R463" s="45"/>
    </row>
    <row r="464" spans="1:18" x14ac:dyDescent="0.25">
      <c r="A464" s="45"/>
      <c r="B464" s="47"/>
      <c r="C464" s="47"/>
      <c r="D464" s="47"/>
      <c r="E464" s="45"/>
      <c r="F464" s="45"/>
      <c r="G464" s="45"/>
      <c r="H464" s="45"/>
      <c r="I464" s="45"/>
      <c r="J464" s="45"/>
      <c r="K464" s="45"/>
      <c r="L464" s="45"/>
      <c r="M464" s="45"/>
      <c r="N464" s="45"/>
      <c r="O464" s="45"/>
      <c r="P464" s="45"/>
      <c r="Q464" s="45"/>
      <c r="R464" s="45"/>
    </row>
    <row r="465" spans="1:18" x14ac:dyDescent="0.25">
      <c r="A465" s="45"/>
      <c r="B465" s="47"/>
      <c r="C465" s="47"/>
      <c r="D465" s="47"/>
      <c r="E465" s="45"/>
      <c r="F465" s="45"/>
      <c r="G465" s="45"/>
      <c r="H465" s="45"/>
      <c r="I465" s="45"/>
      <c r="J465" s="45"/>
      <c r="K465" s="45"/>
      <c r="L465" s="45"/>
      <c r="M465" s="45"/>
      <c r="N465" s="45"/>
      <c r="O465" s="45"/>
      <c r="P465" s="45"/>
      <c r="Q465" s="45"/>
      <c r="R465" s="45"/>
    </row>
    <row r="466" spans="1:18" x14ac:dyDescent="0.25">
      <c r="A466" s="45"/>
      <c r="B466" s="47"/>
      <c r="C466" s="47"/>
      <c r="D466" s="47"/>
      <c r="E466" s="45"/>
      <c r="F466" s="45"/>
      <c r="G466" s="45"/>
      <c r="H466" s="45"/>
      <c r="I466" s="45"/>
      <c r="J466" s="45"/>
      <c r="K466" s="45"/>
      <c r="L466" s="45"/>
      <c r="M466" s="45"/>
      <c r="N466" s="45"/>
      <c r="O466" s="45"/>
      <c r="P466" s="45"/>
      <c r="Q466" s="45"/>
      <c r="R466" s="45"/>
    </row>
    <row r="467" spans="1:18" x14ac:dyDescent="0.25">
      <c r="A467" s="45"/>
      <c r="B467" s="47"/>
      <c r="C467" s="47"/>
      <c r="D467" s="47"/>
      <c r="E467" s="45"/>
      <c r="F467" s="45"/>
      <c r="G467" s="45"/>
      <c r="H467" s="45"/>
      <c r="I467" s="45"/>
      <c r="J467" s="45"/>
      <c r="K467" s="45"/>
      <c r="L467" s="45"/>
      <c r="M467" s="45"/>
      <c r="N467" s="45"/>
      <c r="O467" s="45"/>
      <c r="P467" s="45"/>
      <c r="Q467" s="45"/>
      <c r="R467" s="45"/>
    </row>
    <row r="468" spans="1:18" x14ac:dyDescent="0.25">
      <c r="A468" s="45"/>
      <c r="B468" s="47"/>
      <c r="C468" s="47"/>
      <c r="D468" s="47"/>
      <c r="E468" s="45"/>
      <c r="F468" s="45"/>
      <c r="G468" s="45"/>
      <c r="H468" s="45"/>
      <c r="I468" s="45"/>
      <c r="J468" s="45"/>
      <c r="K468" s="45"/>
      <c r="L468" s="45"/>
      <c r="M468" s="45"/>
      <c r="N468" s="45"/>
      <c r="O468" s="45"/>
      <c r="P468" s="45"/>
      <c r="Q468" s="45"/>
      <c r="R468" s="45"/>
    </row>
    <row r="469" spans="1:18" x14ac:dyDescent="0.25">
      <c r="A469" s="45"/>
      <c r="B469" s="47"/>
      <c r="C469" s="47"/>
      <c r="D469" s="47"/>
      <c r="E469" s="45"/>
      <c r="F469" s="45"/>
      <c r="G469" s="45"/>
      <c r="H469" s="45"/>
      <c r="I469" s="45"/>
      <c r="J469" s="45"/>
      <c r="K469" s="45"/>
      <c r="L469" s="45"/>
      <c r="M469" s="45"/>
      <c r="N469" s="45"/>
      <c r="O469" s="45"/>
      <c r="P469" s="45"/>
      <c r="Q469" s="45"/>
      <c r="R469" s="45"/>
    </row>
    <row r="470" spans="1:18" x14ac:dyDescent="0.25">
      <c r="A470" s="45"/>
      <c r="B470" s="47"/>
      <c r="C470" s="47"/>
      <c r="D470" s="47"/>
      <c r="E470" s="45"/>
      <c r="F470" s="45"/>
      <c r="G470" s="45"/>
      <c r="H470" s="45"/>
      <c r="I470" s="45"/>
      <c r="J470" s="45"/>
      <c r="K470" s="45"/>
      <c r="L470" s="45"/>
      <c r="M470" s="45"/>
      <c r="N470" s="45"/>
      <c r="O470" s="45"/>
      <c r="P470" s="45"/>
      <c r="Q470" s="45"/>
      <c r="R470" s="45"/>
    </row>
    <row r="471" spans="1:18" x14ac:dyDescent="0.25">
      <c r="A471" s="45"/>
      <c r="B471" s="47"/>
      <c r="C471" s="47"/>
      <c r="D471" s="47"/>
      <c r="E471" s="45"/>
      <c r="F471" s="45"/>
      <c r="G471" s="45"/>
      <c r="H471" s="45"/>
      <c r="I471" s="45"/>
      <c r="J471" s="45"/>
      <c r="K471" s="45"/>
      <c r="L471" s="45"/>
      <c r="M471" s="45"/>
      <c r="N471" s="45"/>
      <c r="O471" s="45"/>
      <c r="P471" s="45"/>
      <c r="Q471" s="45"/>
      <c r="R471" s="45"/>
    </row>
    <row r="472" spans="1:18" x14ac:dyDescent="0.25">
      <c r="A472" s="45"/>
      <c r="B472" s="47"/>
      <c r="C472" s="47"/>
      <c r="D472" s="47"/>
      <c r="E472" s="45"/>
      <c r="F472" s="45"/>
      <c r="G472" s="45"/>
      <c r="H472" s="45"/>
      <c r="I472" s="45"/>
      <c r="J472" s="45"/>
      <c r="K472" s="45"/>
      <c r="L472" s="45"/>
      <c r="M472" s="45"/>
      <c r="N472" s="45"/>
      <c r="O472" s="45"/>
      <c r="P472" s="45"/>
      <c r="Q472" s="45"/>
      <c r="R472" s="45"/>
    </row>
    <row r="473" spans="1:18" x14ac:dyDescent="0.25">
      <c r="A473" s="45"/>
      <c r="B473" s="47"/>
      <c r="C473" s="47"/>
      <c r="D473" s="47"/>
      <c r="E473" s="45"/>
      <c r="F473" s="45"/>
      <c r="G473" s="45"/>
      <c r="H473" s="45"/>
      <c r="I473" s="45"/>
      <c r="J473" s="45"/>
      <c r="K473" s="45"/>
      <c r="L473" s="45"/>
      <c r="M473" s="45"/>
      <c r="N473" s="45"/>
      <c r="O473" s="45"/>
      <c r="P473" s="45"/>
      <c r="Q473" s="45"/>
      <c r="R473" s="45"/>
    </row>
    <row r="474" spans="1:18" x14ac:dyDescent="0.25">
      <c r="A474" s="45"/>
      <c r="B474" s="47"/>
      <c r="C474" s="47"/>
      <c r="D474" s="47"/>
      <c r="E474" s="45"/>
      <c r="F474" s="45"/>
      <c r="G474" s="45"/>
      <c r="H474" s="45"/>
      <c r="I474" s="45"/>
      <c r="J474" s="45"/>
      <c r="K474" s="45"/>
      <c r="L474" s="45"/>
      <c r="M474" s="45"/>
      <c r="N474" s="45"/>
      <c r="O474" s="45"/>
      <c r="P474" s="45"/>
      <c r="Q474" s="45"/>
      <c r="R474" s="45"/>
    </row>
    <row r="475" spans="1:18" x14ac:dyDescent="0.25">
      <c r="A475" s="45"/>
      <c r="B475" s="47"/>
      <c r="C475" s="47"/>
      <c r="D475" s="47"/>
      <c r="E475" s="45"/>
      <c r="F475" s="45"/>
      <c r="G475" s="45"/>
      <c r="H475" s="45"/>
      <c r="I475" s="45"/>
      <c r="J475" s="45"/>
      <c r="K475" s="45"/>
      <c r="L475" s="45"/>
      <c r="M475" s="45"/>
      <c r="N475" s="45"/>
      <c r="O475" s="45"/>
      <c r="P475" s="45"/>
      <c r="Q475" s="45"/>
      <c r="R475" s="45"/>
    </row>
    <row r="476" spans="1:18" x14ac:dyDescent="0.25">
      <c r="A476" s="45"/>
      <c r="B476" s="47"/>
      <c r="C476" s="47"/>
      <c r="D476" s="47"/>
      <c r="E476" s="45"/>
      <c r="F476" s="45"/>
      <c r="G476" s="45"/>
      <c r="H476" s="45"/>
      <c r="I476" s="45"/>
      <c r="J476" s="45"/>
      <c r="K476" s="45"/>
      <c r="L476" s="45"/>
      <c r="M476" s="45"/>
      <c r="N476" s="45"/>
      <c r="O476" s="45"/>
      <c r="P476" s="45"/>
      <c r="Q476" s="45"/>
      <c r="R476" s="45"/>
    </row>
    <row r="477" spans="1:18" x14ac:dyDescent="0.25">
      <c r="A477" s="45"/>
      <c r="B477" s="47"/>
      <c r="C477" s="47"/>
      <c r="D477" s="47"/>
      <c r="E477" s="45"/>
      <c r="F477" s="45"/>
      <c r="G477" s="45"/>
      <c r="H477" s="45"/>
      <c r="I477" s="45"/>
      <c r="J477" s="45"/>
      <c r="K477" s="45"/>
      <c r="L477" s="45"/>
      <c r="M477" s="45"/>
      <c r="N477" s="45"/>
      <c r="O477" s="45"/>
      <c r="P477" s="45"/>
      <c r="Q477" s="45"/>
      <c r="R477" s="45"/>
    </row>
    <row r="478" spans="1:18" x14ac:dyDescent="0.25">
      <c r="A478" s="45"/>
      <c r="B478" s="47"/>
      <c r="C478" s="47"/>
      <c r="D478" s="47"/>
      <c r="E478" s="45"/>
      <c r="F478" s="45"/>
      <c r="G478" s="45"/>
      <c r="H478" s="45"/>
      <c r="I478" s="45"/>
      <c r="J478" s="45"/>
      <c r="K478" s="45"/>
      <c r="L478" s="45"/>
      <c r="M478" s="45"/>
      <c r="N478" s="45"/>
      <c r="O478" s="45"/>
      <c r="P478" s="45"/>
      <c r="Q478" s="45"/>
      <c r="R478" s="45"/>
    </row>
    <row r="479" spans="1:18" x14ac:dyDescent="0.25">
      <c r="A479" s="45"/>
      <c r="B479" s="47"/>
      <c r="C479" s="47"/>
      <c r="D479" s="47"/>
      <c r="E479" s="45"/>
      <c r="F479" s="45"/>
      <c r="G479" s="45"/>
      <c r="H479" s="45"/>
      <c r="I479" s="45"/>
      <c r="J479" s="45"/>
      <c r="K479" s="45"/>
      <c r="L479" s="45"/>
      <c r="M479" s="45"/>
      <c r="N479" s="45"/>
      <c r="O479" s="45"/>
      <c r="P479" s="45"/>
      <c r="Q479" s="45"/>
      <c r="R479" s="45"/>
    </row>
    <row r="480" spans="1:18" x14ac:dyDescent="0.25">
      <c r="A480" s="45"/>
      <c r="B480" s="47"/>
      <c r="C480" s="47"/>
      <c r="D480" s="47"/>
      <c r="E480" s="45"/>
      <c r="F480" s="45"/>
      <c r="G480" s="45"/>
      <c r="H480" s="45"/>
      <c r="I480" s="45"/>
      <c r="J480" s="45"/>
      <c r="K480" s="45"/>
      <c r="L480" s="45"/>
      <c r="M480" s="45"/>
      <c r="N480" s="45"/>
      <c r="O480" s="45"/>
      <c r="P480" s="45"/>
      <c r="Q480" s="45"/>
      <c r="R480" s="45"/>
    </row>
    <row r="481" spans="1:18" x14ac:dyDescent="0.25">
      <c r="A481" s="45"/>
      <c r="B481" s="47"/>
      <c r="C481" s="47"/>
      <c r="D481" s="47"/>
      <c r="E481" s="45"/>
      <c r="F481" s="45"/>
      <c r="G481" s="45"/>
      <c r="H481" s="45"/>
      <c r="I481" s="45"/>
      <c r="J481" s="45"/>
      <c r="K481" s="45"/>
      <c r="L481" s="45"/>
      <c r="M481" s="45"/>
      <c r="N481" s="45"/>
      <c r="O481" s="45"/>
      <c r="P481" s="45"/>
      <c r="Q481" s="45"/>
      <c r="R481" s="45"/>
    </row>
    <row r="482" spans="1:18" x14ac:dyDescent="0.25">
      <c r="A482" s="45"/>
      <c r="B482" s="47"/>
      <c r="C482" s="47"/>
      <c r="D482" s="47"/>
      <c r="E482" s="45"/>
      <c r="F482" s="45"/>
      <c r="G482" s="45"/>
      <c r="H482" s="45"/>
      <c r="I482" s="45"/>
      <c r="J482" s="45"/>
      <c r="K482" s="45"/>
      <c r="L482" s="45"/>
      <c r="M482" s="45"/>
      <c r="N482" s="45"/>
      <c r="O482" s="45"/>
      <c r="P482" s="45"/>
      <c r="Q482" s="45"/>
      <c r="R482" s="45"/>
    </row>
    <row r="483" spans="1:18" x14ac:dyDescent="0.25">
      <c r="A483" s="45"/>
      <c r="B483" s="47"/>
      <c r="C483" s="47"/>
      <c r="D483" s="47"/>
      <c r="E483" s="45"/>
      <c r="F483" s="45"/>
      <c r="G483" s="45"/>
      <c r="H483" s="45"/>
      <c r="I483" s="45"/>
      <c r="J483" s="45"/>
      <c r="K483" s="45"/>
      <c r="L483" s="45"/>
      <c r="M483" s="45"/>
      <c r="N483" s="45"/>
      <c r="O483" s="45"/>
      <c r="P483" s="45"/>
      <c r="Q483" s="45"/>
      <c r="R483" s="45"/>
    </row>
    <row r="484" spans="1:18" x14ac:dyDescent="0.25">
      <c r="A484" s="45"/>
      <c r="B484" s="47"/>
      <c r="C484" s="47"/>
      <c r="D484" s="47"/>
      <c r="E484" s="45"/>
      <c r="F484" s="45"/>
      <c r="G484" s="45"/>
      <c r="H484" s="45"/>
      <c r="I484" s="45"/>
      <c r="J484" s="45"/>
      <c r="K484" s="45"/>
      <c r="L484" s="45"/>
      <c r="M484" s="45"/>
      <c r="N484" s="45"/>
      <c r="O484" s="45"/>
      <c r="P484" s="45"/>
      <c r="Q484" s="45"/>
      <c r="R484" s="45"/>
    </row>
    <row r="485" spans="1:18" x14ac:dyDescent="0.25">
      <c r="A485" s="45"/>
      <c r="B485" s="47"/>
      <c r="C485" s="47"/>
      <c r="D485" s="47"/>
      <c r="E485" s="45"/>
      <c r="F485" s="45"/>
      <c r="G485" s="45"/>
      <c r="H485" s="45"/>
      <c r="I485" s="45"/>
      <c r="J485" s="45"/>
      <c r="K485" s="45"/>
      <c r="L485" s="45"/>
      <c r="M485" s="45"/>
      <c r="N485" s="45"/>
      <c r="O485" s="45"/>
      <c r="P485" s="45"/>
      <c r="Q485" s="45"/>
      <c r="R485" s="45"/>
    </row>
    <row r="486" spans="1:18" x14ac:dyDescent="0.25">
      <c r="A486" s="45"/>
      <c r="B486" s="47"/>
      <c r="C486" s="47"/>
      <c r="D486" s="47"/>
      <c r="E486" s="45"/>
      <c r="F486" s="45"/>
      <c r="G486" s="45"/>
      <c r="H486" s="45"/>
      <c r="I486" s="45"/>
      <c r="J486" s="45"/>
      <c r="K486" s="45"/>
      <c r="L486" s="45"/>
      <c r="M486" s="45"/>
      <c r="N486" s="45"/>
      <c r="O486" s="45"/>
      <c r="P486" s="45"/>
      <c r="Q486" s="45"/>
      <c r="R486" s="45"/>
    </row>
    <row r="487" spans="1:18" x14ac:dyDescent="0.25">
      <c r="A487" s="45"/>
      <c r="B487" s="47"/>
      <c r="C487" s="47"/>
      <c r="D487" s="47"/>
      <c r="E487" s="45"/>
      <c r="F487" s="45"/>
      <c r="G487" s="45"/>
      <c r="H487" s="45"/>
      <c r="I487" s="45"/>
      <c r="J487" s="45"/>
      <c r="K487" s="45"/>
      <c r="L487" s="45"/>
      <c r="M487" s="45"/>
      <c r="N487" s="45"/>
      <c r="O487" s="45"/>
      <c r="P487" s="45"/>
      <c r="Q487" s="45"/>
      <c r="R487" s="45"/>
    </row>
    <row r="488" spans="1:18" x14ac:dyDescent="0.25">
      <c r="A488" s="45"/>
      <c r="B488" s="47"/>
      <c r="C488" s="47"/>
      <c r="D488" s="47"/>
      <c r="E488" s="45"/>
      <c r="F488" s="45"/>
      <c r="G488" s="45"/>
      <c r="H488" s="45"/>
      <c r="I488" s="45"/>
      <c r="J488" s="45"/>
      <c r="K488" s="45"/>
      <c r="L488" s="45"/>
      <c r="M488" s="45"/>
      <c r="N488" s="45"/>
      <c r="O488" s="45"/>
      <c r="P488" s="45"/>
      <c r="Q488" s="45"/>
      <c r="R488" s="45"/>
    </row>
    <row r="489" spans="1:18" x14ac:dyDescent="0.25">
      <c r="A489" s="45"/>
      <c r="B489" s="47"/>
      <c r="C489" s="47"/>
      <c r="D489" s="47"/>
      <c r="E489" s="45"/>
      <c r="F489" s="45"/>
      <c r="G489" s="45"/>
      <c r="H489" s="45"/>
      <c r="I489" s="45"/>
      <c r="J489" s="45"/>
      <c r="K489" s="45"/>
      <c r="L489" s="45"/>
      <c r="M489" s="45"/>
      <c r="N489" s="45"/>
      <c r="O489" s="45"/>
      <c r="P489" s="45"/>
      <c r="Q489" s="45"/>
      <c r="R489" s="45"/>
    </row>
    <row r="490" spans="1:18" x14ac:dyDescent="0.25">
      <c r="A490" s="45"/>
      <c r="B490" s="47"/>
      <c r="C490" s="47"/>
      <c r="D490" s="47"/>
      <c r="E490" s="45"/>
      <c r="F490" s="45"/>
      <c r="G490" s="45"/>
      <c r="H490" s="45"/>
      <c r="I490" s="45"/>
      <c r="J490" s="45"/>
      <c r="K490" s="45"/>
      <c r="L490" s="45"/>
      <c r="M490" s="45"/>
      <c r="N490" s="45"/>
      <c r="O490" s="45"/>
      <c r="P490" s="45"/>
      <c r="Q490" s="45"/>
      <c r="R490" s="45"/>
    </row>
    <row r="491" spans="1:18" x14ac:dyDescent="0.25">
      <c r="A491" s="45"/>
      <c r="B491" s="47"/>
      <c r="C491" s="47"/>
      <c r="D491" s="47"/>
      <c r="E491" s="45"/>
      <c r="F491" s="45"/>
      <c r="G491" s="45"/>
      <c r="H491" s="45"/>
      <c r="I491" s="45"/>
      <c r="J491" s="45"/>
      <c r="K491" s="45"/>
      <c r="L491" s="45"/>
      <c r="M491" s="45"/>
      <c r="N491" s="45"/>
      <c r="O491" s="45"/>
      <c r="P491" s="45"/>
      <c r="Q491" s="45"/>
      <c r="R491" s="45"/>
    </row>
    <row r="492" spans="1:18" x14ac:dyDescent="0.25">
      <c r="A492" s="45"/>
      <c r="B492" s="47"/>
      <c r="C492" s="47"/>
      <c r="D492" s="47"/>
      <c r="E492" s="45"/>
      <c r="F492" s="45"/>
      <c r="G492" s="45"/>
      <c r="H492" s="45"/>
      <c r="I492" s="45"/>
      <c r="J492" s="45"/>
      <c r="K492" s="45"/>
      <c r="L492" s="45"/>
      <c r="M492" s="45"/>
      <c r="N492" s="45"/>
      <c r="O492" s="45"/>
      <c r="P492" s="45"/>
      <c r="Q492" s="45"/>
      <c r="R492" s="45"/>
    </row>
    <row r="493" spans="1:18" x14ac:dyDescent="0.25">
      <c r="A493" s="45"/>
      <c r="B493" s="47"/>
      <c r="C493" s="47"/>
      <c r="D493" s="47"/>
      <c r="E493" s="45"/>
      <c r="F493" s="45"/>
      <c r="G493" s="45"/>
      <c r="H493" s="45"/>
      <c r="I493" s="45"/>
      <c r="J493" s="45"/>
      <c r="K493" s="45"/>
      <c r="L493" s="45"/>
      <c r="M493" s="45"/>
      <c r="N493" s="45"/>
      <c r="O493" s="45"/>
      <c r="P493" s="45"/>
      <c r="Q493" s="45"/>
      <c r="R493" s="45"/>
    </row>
    <row r="494" spans="1:18" x14ac:dyDescent="0.25">
      <c r="A494" s="45"/>
      <c r="B494" s="47"/>
      <c r="C494" s="47"/>
      <c r="D494" s="47"/>
      <c r="E494" s="45"/>
      <c r="F494" s="45"/>
      <c r="G494" s="45"/>
      <c r="H494" s="45"/>
      <c r="I494" s="45"/>
      <c r="J494" s="45"/>
      <c r="K494" s="45"/>
      <c r="L494" s="45"/>
      <c r="M494" s="45"/>
      <c r="N494" s="45"/>
      <c r="O494" s="45"/>
      <c r="P494" s="45"/>
      <c r="Q494" s="45"/>
      <c r="R494" s="45"/>
    </row>
    <row r="495" spans="1:18" x14ac:dyDescent="0.25">
      <c r="A495" s="45"/>
      <c r="B495" s="47"/>
      <c r="C495" s="47"/>
      <c r="D495" s="47"/>
      <c r="E495" s="45"/>
      <c r="F495" s="45"/>
      <c r="G495" s="45"/>
      <c r="H495" s="45"/>
      <c r="I495" s="45"/>
      <c r="J495" s="45"/>
      <c r="K495" s="45"/>
      <c r="L495" s="45"/>
      <c r="M495" s="45"/>
      <c r="N495" s="45"/>
      <c r="O495" s="45"/>
      <c r="P495" s="45"/>
      <c r="Q495" s="45"/>
      <c r="R495" s="45"/>
    </row>
    <row r="496" spans="1:18" x14ac:dyDescent="0.25">
      <c r="A496" s="45"/>
      <c r="B496" s="47"/>
      <c r="C496" s="47"/>
      <c r="D496" s="47"/>
      <c r="E496" s="45"/>
      <c r="F496" s="45"/>
      <c r="G496" s="45"/>
      <c r="H496" s="45"/>
      <c r="I496" s="45"/>
      <c r="J496" s="45"/>
      <c r="K496" s="45"/>
      <c r="L496" s="45"/>
      <c r="M496" s="45"/>
      <c r="N496" s="45"/>
      <c r="O496" s="45"/>
      <c r="P496" s="45"/>
      <c r="Q496" s="45"/>
      <c r="R496" s="45"/>
    </row>
    <row r="497" spans="1:18" x14ac:dyDescent="0.25">
      <c r="A497" s="45"/>
      <c r="B497" s="47"/>
      <c r="C497" s="47"/>
      <c r="D497" s="47"/>
      <c r="E497" s="45"/>
      <c r="F497" s="45"/>
      <c r="G497" s="45"/>
      <c r="H497" s="45"/>
      <c r="I497" s="45"/>
      <c r="J497" s="45"/>
      <c r="K497" s="45"/>
      <c r="L497" s="45"/>
      <c r="M497" s="45"/>
      <c r="N497" s="45"/>
      <c r="O497" s="45"/>
      <c r="P497" s="45"/>
      <c r="Q497" s="45"/>
      <c r="R497" s="45"/>
    </row>
    <row r="498" spans="1:18" x14ac:dyDescent="0.25">
      <c r="A498" s="45"/>
      <c r="B498" s="47"/>
      <c r="C498" s="47"/>
      <c r="D498" s="47"/>
      <c r="E498" s="45"/>
      <c r="F498" s="45"/>
      <c r="G498" s="45"/>
      <c r="H498" s="45"/>
      <c r="I498" s="45"/>
      <c r="J498" s="45"/>
      <c r="K498" s="45"/>
      <c r="L498" s="45"/>
      <c r="M498" s="45"/>
      <c r="N498" s="45"/>
      <c r="O498" s="45"/>
      <c r="P498" s="45"/>
      <c r="Q498" s="45"/>
      <c r="R498" s="45"/>
    </row>
    <row r="499" spans="1:18" x14ac:dyDescent="0.25">
      <c r="A499" s="45"/>
      <c r="B499" s="47"/>
      <c r="C499" s="47"/>
      <c r="D499" s="47"/>
      <c r="E499" s="45"/>
      <c r="F499" s="45"/>
      <c r="G499" s="45"/>
      <c r="H499" s="45"/>
      <c r="I499" s="45"/>
      <c r="J499" s="45"/>
      <c r="K499" s="45"/>
      <c r="L499" s="45"/>
      <c r="M499" s="45"/>
      <c r="N499" s="45"/>
      <c r="O499" s="45"/>
      <c r="P499" s="45"/>
      <c r="Q499" s="45"/>
      <c r="R499" s="45"/>
    </row>
    <row r="500" spans="1:18" x14ac:dyDescent="0.25">
      <c r="A500" s="45"/>
      <c r="B500" s="47"/>
      <c r="C500" s="47"/>
      <c r="D500" s="47"/>
      <c r="E500" s="45"/>
      <c r="F500" s="45"/>
      <c r="G500" s="45"/>
      <c r="H500" s="45"/>
      <c r="I500" s="45"/>
      <c r="J500" s="45"/>
      <c r="K500" s="45"/>
      <c r="L500" s="45"/>
      <c r="M500" s="45"/>
      <c r="N500" s="45"/>
      <c r="O500" s="45"/>
      <c r="P500" s="45"/>
      <c r="Q500" s="45"/>
      <c r="R500" s="45"/>
    </row>
    <row r="501" spans="1:18" x14ac:dyDescent="0.25">
      <c r="A501" s="45"/>
      <c r="B501" s="47"/>
      <c r="C501" s="47"/>
      <c r="D501" s="47"/>
      <c r="E501" s="45"/>
      <c r="F501" s="45"/>
      <c r="G501" s="45"/>
      <c r="H501" s="45"/>
      <c r="I501" s="45"/>
      <c r="J501" s="45"/>
      <c r="K501" s="45"/>
      <c r="L501" s="45"/>
      <c r="M501" s="45"/>
      <c r="N501" s="45"/>
      <c r="O501" s="45"/>
      <c r="P501" s="45"/>
      <c r="Q501" s="45"/>
      <c r="R501" s="45"/>
    </row>
    <row r="502" spans="1:18" x14ac:dyDescent="0.25">
      <c r="A502" s="45"/>
      <c r="B502" s="47"/>
      <c r="C502" s="47"/>
      <c r="D502" s="47"/>
      <c r="E502" s="45"/>
      <c r="F502" s="45"/>
      <c r="G502" s="45"/>
      <c r="H502" s="45"/>
      <c r="I502" s="45"/>
      <c r="J502" s="45"/>
      <c r="K502" s="45"/>
      <c r="L502" s="45"/>
      <c r="M502" s="45"/>
      <c r="N502" s="45"/>
      <c r="O502" s="45"/>
      <c r="P502" s="45"/>
      <c r="Q502" s="45"/>
      <c r="R502" s="45"/>
    </row>
    <row r="503" spans="1:18" x14ac:dyDescent="0.25">
      <c r="A503" s="45"/>
      <c r="B503" s="47"/>
      <c r="C503" s="47"/>
      <c r="D503" s="47"/>
      <c r="E503" s="45"/>
      <c r="F503" s="45"/>
      <c r="G503" s="45"/>
      <c r="H503" s="45"/>
      <c r="I503" s="45"/>
      <c r="J503" s="45"/>
      <c r="K503" s="45"/>
      <c r="L503" s="45"/>
      <c r="M503" s="45"/>
      <c r="N503" s="45"/>
      <c r="O503" s="45"/>
      <c r="P503" s="45"/>
      <c r="Q503" s="45"/>
      <c r="R503" s="45"/>
    </row>
    <row r="504" spans="1:18" x14ac:dyDescent="0.25">
      <c r="A504" s="45"/>
      <c r="B504" s="47"/>
      <c r="C504" s="47"/>
      <c r="D504" s="47"/>
      <c r="E504" s="45"/>
      <c r="F504" s="45"/>
      <c r="G504" s="45"/>
      <c r="H504" s="45"/>
      <c r="I504" s="45"/>
      <c r="J504" s="45"/>
      <c r="K504" s="45"/>
      <c r="L504" s="45"/>
      <c r="M504" s="45"/>
      <c r="N504" s="45"/>
      <c r="O504" s="45"/>
      <c r="P504" s="45"/>
      <c r="Q504" s="45"/>
      <c r="R504" s="45"/>
    </row>
    <row r="505" spans="1:18" x14ac:dyDescent="0.25">
      <c r="A505" s="45"/>
      <c r="B505" s="47"/>
      <c r="C505" s="47"/>
      <c r="D505" s="47"/>
      <c r="E505" s="45"/>
      <c r="F505" s="45"/>
      <c r="G505" s="45"/>
      <c r="H505" s="45"/>
      <c r="I505" s="45"/>
      <c r="J505" s="45"/>
      <c r="K505" s="45"/>
      <c r="L505" s="45"/>
      <c r="M505" s="45"/>
      <c r="N505" s="45"/>
      <c r="O505" s="45"/>
      <c r="P505" s="45"/>
      <c r="Q505" s="45"/>
      <c r="R505" s="45"/>
    </row>
    <row r="506" spans="1:18" x14ac:dyDescent="0.25">
      <c r="A506" s="45"/>
      <c r="B506" s="47"/>
      <c r="C506" s="47"/>
      <c r="D506" s="47"/>
      <c r="E506" s="45"/>
      <c r="F506" s="45"/>
      <c r="G506" s="45"/>
      <c r="H506" s="45"/>
      <c r="I506" s="45"/>
      <c r="J506" s="45"/>
      <c r="K506" s="45"/>
      <c r="L506" s="45"/>
      <c r="M506" s="45"/>
      <c r="N506" s="45"/>
      <c r="O506" s="45"/>
      <c r="P506" s="45"/>
      <c r="Q506" s="45"/>
      <c r="R506" s="45"/>
    </row>
    <row r="507" spans="1:18" x14ac:dyDescent="0.25">
      <c r="A507" s="45"/>
      <c r="B507" s="47"/>
      <c r="C507" s="47"/>
      <c r="D507" s="47"/>
      <c r="E507" s="45"/>
      <c r="F507" s="45"/>
      <c r="G507" s="45"/>
      <c r="H507" s="45"/>
      <c r="I507" s="45"/>
      <c r="J507" s="45"/>
      <c r="K507" s="45"/>
      <c r="L507" s="45"/>
      <c r="M507" s="45"/>
      <c r="N507" s="45"/>
      <c r="O507" s="45"/>
      <c r="P507" s="45"/>
      <c r="Q507" s="45"/>
      <c r="R507" s="45"/>
    </row>
    <row r="508" spans="1:18" x14ac:dyDescent="0.25">
      <c r="A508" s="45"/>
      <c r="B508" s="47"/>
      <c r="C508" s="47"/>
      <c r="D508" s="47"/>
      <c r="E508" s="45"/>
      <c r="F508" s="45"/>
      <c r="G508" s="45"/>
      <c r="H508" s="45"/>
      <c r="I508" s="45"/>
      <c r="J508" s="45"/>
      <c r="K508" s="45"/>
      <c r="L508" s="45"/>
      <c r="M508" s="45"/>
      <c r="N508" s="45"/>
      <c r="O508" s="45"/>
      <c r="P508" s="45"/>
      <c r="Q508" s="45"/>
      <c r="R508" s="45"/>
    </row>
    <row r="509" spans="1:18" x14ac:dyDescent="0.25">
      <c r="A509" s="45"/>
      <c r="B509" s="47"/>
      <c r="C509" s="47"/>
      <c r="D509" s="47"/>
      <c r="E509" s="45"/>
      <c r="F509" s="45"/>
      <c r="G509" s="45"/>
      <c r="H509" s="45"/>
      <c r="I509" s="45"/>
      <c r="J509" s="45"/>
      <c r="K509" s="45"/>
      <c r="L509" s="45"/>
      <c r="M509" s="45"/>
      <c r="N509" s="45"/>
      <c r="O509" s="45"/>
      <c r="P509" s="45"/>
      <c r="Q509" s="45"/>
      <c r="R509" s="45"/>
    </row>
    <row r="510" spans="1:18" x14ac:dyDescent="0.25">
      <c r="A510" s="45"/>
      <c r="B510" s="47"/>
      <c r="C510" s="47"/>
      <c r="D510" s="47"/>
      <c r="E510" s="45"/>
      <c r="F510" s="45"/>
      <c r="G510" s="45"/>
      <c r="H510" s="45"/>
      <c r="I510" s="45"/>
      <c r="J510" s="45"/>
      <c r="K510" s="45"/>
      <c r="L510" s="45"/>
      <c r="M510" s="45"/>
      <c r="N510" s="45"/>
      <c r="O510" s="45"/>
      <c r="P510" s="45"/>
      <c r="Q510" s="45"/>
      <c r="R510" s="45"/>
    </row>
    <row r="511" spans="1:18" x14ac:dyDescent="0.25">
      <c r="A511" s="45"/>
      <c r="B511" s="47"/>
      <c r="C511" s="47"/>
      <c r="D511" s="47"/>
      <c r="E511" s="45"/>
      <c r="F511" s="45"/>
      <c r="G511" s="45"/>
      <c r="H511" s="45"/>
      <c r="I511" s="45"/>
      <c r="J511" s="45"/>
      <c r="K511" s="45"/>
      <c r="L511" s="45"/>
      <c r="M511" s="45"/>
      <c r="N511" s="45"/>
      <c r="O511" s="45"/>
      <c r="P511" s="45"/>
      <c r="Q511" s="45"/>
      <c r="R511" s="45"/>
    </row>
    <row r="512" spans="1:18" x14ac:dyDescent="0.25">
      <c r="A512" s="45"/>
      <c r="B512" s="47"/>
      <c r="C512" s="47"/>
      <c r="D512" s="47"/>
      <c r="E512" s="45"/>
      <c r="F512" s="45"/>
      <c r="G512" s="45"/>
      <c r="H512" s="45"/>
      <c r="I512" s="45"/>
      <c r="J512" s="45"/>
      <c r="K512" s="45"/>
      <c r="L512" s="45"/>
      <c r="M512" s="45"/>
      <c r="N512" s="45"/>
      <c r="O512" s="45"/>
      <c r="P512" s="45"/>
      <c r="Q512" s="45"/>
      <c r="R512" s="45"/>
    </row>
    <row r="513" spans="1:18" x14ac:dyDescent="0.25">
      <c r="A513" s="45"/>
      <c r="B513" s="47"/>
      <c r="C513" s="47"/>
      <c r="D513" s="47"/>
      <c r="E513" s="45"/>
      <c r="F513" s="45"/>
      <c r="G513" s="45"/>
      <c r="H513" s="45"/>
      <c r="I513" s="45"/>
      <c r="J513" s="45"/>
      <c r="K513" s="45"/>
      <c r="L513" s="45"/>
      <c r="M513" s="45"/>
      <c r="N513" s="45"/>
      <c r="O513" s="45"/>
      <c r="P513" s="45"/>
      <c r="Q513" s="45"/>
      <c r="R513" s="45"/>
    </row>
    <row r="514" spans="1:18" x14ac:dyDescent="0.25">
      <c r="A514" s="45"/>
      <c r="B514" s="47"/>
      <c r="C514" s="47"/>
      <c r="D514" s="47"/>
      <c r="E514" s="45"/>
      <c r="F514" s="45"/>
      <c r="G514" s="45"/>
      <c r="H514" s="45"/>
      <c r="I514" s="45"/>
      <c r="J514" s="45"/>
      <c r="K514" s="45"/>
      <c r="L514" s="45"/>
      <c r="M514" s="45"/>
      <c r="N514" s="45"/>
      <c r="O514" s="45"/>
      <c r="P514" s="45"/>
      <c r="Q514" s="45"/>
      <c r="R514" s="45"/>
    </row>
    <row r="515" spans="1:18" x14ac:dyDescent="0.25">
      <c r="A515" s="45"/>
      <c r="B515" s="47"/>
      <c r="C515" s="47"/>
      <c r="D515" s="47"/>
      <c r="E515" s="45"/>
      <c r="F515" s="45"/>
      <c r="G515" s="45"/>
      <c r="H515" s="45"/>
      <c r="I515" s="45"/>
      <c r="J515" s="45"/>
      <c r="K515" s="45"/>
      <c r="L515" s="45"/>
      <c r="M515" s="45"/>
      <c r="N515" s="45"/>
      <c r="O515" s="45"/>
      <c r="P515" s="45"/>
      <c r="Q515" s="45"/>
      <c r="R515" s="45"/>
    </row>
    <row r="516" spans="1:18" x14ac:dyDescent="0.25">
      <c r="A516" s="45"/>
      <c r="B516" s="47"/>
      <c r="C516" s="47"/>
      <c r="D516" s="47"/>
      <c r="E516" s="45"/>
      <c r="F516" s="45"/>
      <c r="G516" s="45"/>
      <c r="H516" s="45"/>
      <c r="I516" s="45"/>
      <c r="J516" s="45"/>
      <c r="K516" s="45"/>
      <c r="L516" s="45"/>
      <c r="M516" s="45"/>
      <c r="N516" s="45"/>
      <c r="O516" s="45"/>
      <c r="P516" s="45"/>
      <c r="Q516" s="45"/>
      <c r="R516" s="45"/>
    </row>
    <row r="517" spans="1:18" x14ac:dyDescent="0.25">
      <c r="A517" s="45"/>
      <c r="B517" s="47"/>
      <c r="C517" s="47"/>
      <c r="D517" s="47"/>
      <c r="E517" s="45"/>
      <c r="F517" s="45"/>
      <c r="G517" s="45"/>
      <c r="H517" s="45"/>
      <c r="I517" s="45"/>
      <c r="J517" s="45"/>
      <c r="K517" s="45"/>
      <c r="L517" s="45"/>
      <c r="M517" s="45"/>
      <c r="N517" s="45"/>
      <c r="O517" s="45"/>
      <c r="P517" s="45"/>
      <c r="Q517" s="45"/>
      <c r="R517" s="45"/>
    </row>
    <row r="518" spans="1:18" x14ac:dyDescent="0.25">
      <c r="A518" s="45"/>
      <c r="B518" s="47"/>
      <c r="C518" s="47"/>
      <c r="D518" s="47"/>
      <c r="E518" s="45"/>
      <c r="F518" s="45"/>
      <c r="G518" s="45"/>
      <c r="H518" s="45"/>
      <c r="I518" s="45"/>
      <c r="J518" s="45"/>
      <c r="K518" s="45"/>
      <c r="L518" s="45"/>
      <c r="M518" s="45"/>
      <c r="N518" s="45"/>
      <c r="O518" s="45"/>
      <c r="P518" s="45"/>
      <c r="Q518" s="45"/>
      <c r="R518" s="45"/>
    </row>
    <row r="519" spans="1:18" x14ac:dyDescent="0.25">
      <c r="A519" s="45"/>
      <c r="B519" s="47"/>
      <c r="C519" s="47"/>
      <c r="D519" s="47"/>
      <c r="E519" s="45"/>
      <c r="F519" s="45"/>
      <c r="G519" s="45"/>
      <c r="H519" s="45"/>
      <c r="I519" s="45"/>
      <c r="J519" s="45"/>
      <c r="K519" s="45"/>
      <c r="L519" s="45"/>
      <c r="M519" s="45"/>
      <c r="N519" s="45"/>
      <c r="O519" s="45"/>
      <c r="P519" s="45"/>
      <c r="Q519" s="45"/>
      <c r="R519" s="45"/>
    </row>
    <row r="520" spans="1:18" x14ac:dyDescent="0.25">
      <c r="A520" s="45"/>
      <c r="B520" s="47"/>
      <c r="C520" s="47"/>
      <c r="D520" s="47"/>
      <c r="E520" s="45"/>
      <c r="F520" s="45"/>
      <c r="G520" s="45"/>
      <c r="H520" s="45"/>
      <c r="I520" s="45"/>
      <c r="J520" s="45"/>
      <c r="K520" s="45"/>
      <c r="L520" s="45"/>
      <c r="M520" s="45"/>
      <c r="N520" s="45"/>
      <c r="O520" s="45"/>
      <c r="P520" s="45"/>
      <c r="Q520" s="45"/>
      <c r="R520" s="45"/>
    </row>
    <row r="521" spans="1:18" x14ac:dyDescent="0.25">
      <c r="A521" s="45"/>
      <c r="B521" s="47"/>
      <c r="C521" s="47"/>
      <c r="D521" s="47"/>
      <c r="E521" s="45"/>
      <c r="F521" s="45"/>
      <c r="G521" s="45"/>
      <c r="H521" s="45"/>
      <c r="I521" s="45"/>
      <c r="J521" s="45"/>
      <c r="K521" s="45"/>
      <c r="L521" s="45"/>
      <c r="M521" s="45"/>
      <c r="N521" s="45"/>
      <c r="O521" s="45"/>
      <c r="P521" s="45"/>
      <c r="Q521" s="45"/>
      <c r="R521" s="45"/>
    </row>
    <row r="522" spans="1:18" x14ac:dyDescent="0.25">
      <c r="A522" s="45"/>
      <c r="B522" s="47"/>
      <c r="C522" s="47"/>
      <c r="D522" s="47"/>
      <c r="E522" s="45"/>
      <c r="F522" s="45"/>
      <c r="G522" s="45"/>
      <c r="H522" s="45"/>
      <c r="I522" s="45"/>
      <c r="J522" s="45"/>
      <c r="K522" s="45"/>
      <c r="L522" s="45"/>
      <c r="M522" s="45"/>
      <c r="N522" s="45"/>
      <c r="O522" s="45"/>
      <c r="P522" s="45"/>
      <c r="Q522" s="45"/>
      <c r="R522" s="45"/>
    </row>
    <row r="523" spans="1:18" x14ac:dyDescent="0.25">
      <c r="A523" s="45"/>
      <c r="B523" s="47"/>
      <c r="C523" s="47"/>
      <c r="D523" s="47"/>
      <c r="E523" s="45"/>
      <c r="F523" s="45"/>
      <c r="G523" s="45"/>
      <c r="H523" s="45"/>
      <c r="I523" s="45"/>
      <c r="J523" s="45"/>
      <c r="K523" s="45"/>
      <c r="L523" s="45"/>
      <c r="M523" s="45"/>
      <c r="N523" s="45"/>
      <c r="O523" s="45"/>
      <c r="P523" s="45"/>
      <c r="Q523" s="45"/>
      <c r="R523" s="45"/>
    </row>
    <row r="524" spans="1:18" x14ac:dyDescent="0.25">
      <c r="A524" s="45"/>
      <c r="B524" s="47"/>
      <c r="C524" s="47"/>
      <c r="D524" s="47"/>
      <c r="E524" s="45"/>
      <c r="F524" s="45"/>
      <c r="G524" s="45"/>
      <c r="H524" s="45"/>
      <c r="I524" s="45"/>
      <c r="J524" s="45"/>
      <c r="K524" s="45"/>
      <c r="L524" s="45"/>
      <c r="M524" s="45"/>
      <c r="N524" s="45"/>
      <c r="O524" s="45"/>
      <c r="P524" s="45"/>
      <c r="Q524" s="45"/>
      <c r="R524" s="45"/>
    </row>
    <row r="525" spans="1:18" x14ac:dyDescent="0.25">
      <c r="A525" s="45"/>
      <c r="B525" s="47"/>
      <c r="C525" s="47"/>
      <c r="D525" s="47"/>
      <c r="E525" s="45"/>
      <c r="F525" s="45"/>
      <c r="G525" s="45"/>
      <c r="H525" s="45"/>
      <c r="I525" s="45"/>
      <c r="J525" s="45"/>
      <c r="K525" s="45"/>
      <c r="L525" s="45"/>
      <c r="M525" s="45"/>
      <c r="N525" s="45"/>
      <c r="O525" s="45"/>
      <c r="P525" s="45"/>
      <c r="Q525" s="45"/>
      <c r="R525" s="45"/>
    </row>
    <row r="526" spans="1:18" x14ac:dyDescent="0.25">
      <c r="A526" s="45"/>
      <c r="B526" s="47"/>
      <c r="C526" s="47"/>
      <c r="D526" s="47"/>
      <c r="E526" s="45"/>
      <c r="F526" s="45"/>
      <c r="G526" s="45"/>
      <c r="H526" s="45"/>
      <c r="I526" s="45"/>
      <c r="J526" s="45"/>
      <c r="K526" s="45"/>
      <c r="L526" s="45"/>
      <c r="M526" s="45"/>
      <c r="N526" s="45"/>
      <c r="O526" s="45"/>
      <c r="P526" s="45"/>
      <c r="Q526" s="45"/>
      <c r="R526" s="45"/>
    </row>
    <row r="527" spans="1:18" x14ac:dyDescent="0.25">
      <c r="A527" s="45"/>
      <c r="B527" s="47"/>
      <c r="C527" s="47"/>
      <c r="D527" s="47"/>
      <c r="E527" s="45"/>
      <c r="F527" s="45"/>
      <c r="G527" s="45"/>
      <c r="H527" s="45"/>
      <c r="I527" s="45"/>
      <c r="J527" s="45"/>
      <c r="K527" s="45"/>
      <c r="L527" s="45"/>
      <c r="M527" s="45"/>
      <c r="N527" s="45"/>
      <c r="O527" s="45"/>
      <c r="P527" s="45"/>
      <c r="Q527" s="45"/>
      <c r="R527" s="45"/>
    </row>
    <row r="528" spans="1:18" x14ac:dyDescent="0.25">
      <c r="A528" s="45"/>
      <c r="B528" s="47"/>
      <c r="C528" s="47"/>
      <c r="D528" s="47"/>
      <c r="E528" s="45"/>
      <c r="F528" s="45"/>
      <c r="G528" s="45"/>
      <c r="H528" s="45"/>
      <c r="I528" s="45"/>
      <c r="J528" s="45"/>
      <c r="K528" s="45"/>
      <c r="L528" s="45"/>
      <c r="M528" s="45"/>
      <c r="N528" s="45"/>
      <c r="O528" s="45"/>
      <c r="P528" s="45"/>
      <c r="Q528" s="45"/>
      <c r="R528" s="45"/>
    </row>
    <row r="529" spans="1:18" x14ac:dyDescent="0.25">
      <c r="A529" s="45"/>
      <c r="B529" s="47"/>
      <c r="C529" s="47"/>
      <c r="D529" s="47"/>
      <c r="E529" s="45"/>
      <c r="F529" s="45"/>
      <c r="G529" s="45"/>
      <c r="H529" s="45"/>
      <c r="I529" s="45"/>
      <c r="J529" s="45"/>
      <c r="K529" s="45"/>
      <c r="L529" s="45"/>
      <c r="M529" s="45"/>
      <c r="N529" s="45"/>
      <c r="O529" s="45"/>
      <c r="P529" s="45"/>
      <c r="Q529" s="45"/>
      <c r="R529" s="45"/>
    </row>
    <row r="530" spans="1:18" x14ac:dyDescent="0.25">
      <c r="A530" s="45"/>
      <c r="B530" s="47"/>
      <c r="C530" s="47"/>
      <c r="D530" s="47"/>
      <c r="E530" s="45"/>
      <c r="F530" s="45"/>
      <c r="G530" s="45"/>
      <c r="H530" s="45"/>
      <c r="I530" s="45"/>
      <c r="J530" s="45"/>
      <c r="K530" s="45"/>
      <c r="L530" s="45"/>
      <c r="M530" s="45"/>
      <c r="N530" s="45"/>
      <c r="O530" s="45"/>
      <c r="P530" s="45"/>
      <c r="Q530" s="45"/>
      <c r="R530" s="45"/>
    </row>
    <row r="531" spans="1:18" x14ac:dyDescent="0.25">
      <c r="A531" s="45"/>
      <c r="B531" s="47"/>
      <c r="C531" s="47"/>
      <c r="D531" s="47"/>
      <c r="E531" s="45"/>
      <c r="F531" s="45"/>
      <c r="G531" s="45"/>
      <c r="H531" s="45"/>
      <c r="I531" s="45"/>
      <c r="J531" s="45"/>
      <c r="K531" s="45"/>
      <c r="L531" s="45"/>
      <c r="M531" s="45"/>
      <c r="N531" s="45"/>
      <c r="O531" s="45"/>
      <c r="P531" s="45"/>
      <c r="Q531" s="45"/>
      <c r="R531" s="45"/>
    </row>
    <row r="532" spans="1:18" x14ac:dyDescent="0.25">
      <c r="A532" s="45"/>
      <c r="B532" s="47"/>
      <c r="C532" s="47"/>
      <c r="D532" s="47"/>
      <c r="E532" s="45"/>
      <c r="F532" s="45"/>
      <c r="G532" s="45"/>
      <c r="H532" s="45"/>
      <c r="I532" s="45"/>
      <c r="J532" s="45"/>
      <c r="K532" s="45"/>
      <c r="L532" s="45"/>
      <c r="M532" s="45"/>
      <c r="N532" s="45"/>
      <c r="O532" s="45"/>
      <c r="P532" s="45"/>
      <c r="Q532" s="45"/>
      <c r="R532" s="45"/>
    </row>
    <row r="533" spans="1:18" x14ac:dyDescent="0.25">
      <c r="A533" s="45"/>
      <c r="B533" s="47"/>
      <c r="C533" s="47"/>
      <c r="D533" s="47"/>
      <c r="E533" s="45"/>
      <c r="F533" s="45"/>
      <c r="G533" s="45"/>
      <c r="H533" s="45"/>
      <c r="I533" s="45"/>
      <c r="J533" s="45"/>
      <c r="K533" s="45"/>
      <c r="L533" s="45"/>
      <c r="M533" s="45"/>
      <c r="N533" s="45"/>
      <c r="O533" s="45"/>
      <c r="P533" s="45"/>
      <c r="Q533" s="45"/>
      <c r="R533" s="45"/>
    </row>
    <row r="534" spans="1:18" x14ac:dyDescent="0.25">
      <c r="A534" s="45"/>
      <c r="B534" s="47"/>
      <c r="C534" s="47"/>
      <c r="D534" s="47"/>
      <c r="E534" s="45"/>
      <c r="F534" s="45"/>
      <c r="G534" s="45"/>
      <c r="H534" s="45"/>
      <c r="I534" s="45"/>
      <c r="J534" s="45"/>
      <c r="K534" s="45"/>
      <c r="L534" s="45"/>
      <c r="M534" s="45"/>
      <c r="N534" s="45"/>
      <c r="O534" s="45"/>
      <c r="P534" s="45"/>
      <c r="Q534" s="45"/>
      <c r="R534" s="45"/>
    </row>
    <row r="535" spans="1:18" x14ac:dyDescent="0.25">
      <c r="A535" s="45"/>
      <c r="B535" s="47"/>
      <c r="C535" s="47"/>
      <c r="D535" s="47"/>
      <c r="E535" s="45"/>
      <c r="F535" s="45"/>
      <c r="G535" s="45"/>
      <c r="H535" s="45"/>
      <c r="I535" s="45"/>
      <c r="J535" s="45"/>
      <c r="K535" s="45"/>
      <c r="L535" s="45"/>
      <c r="M535" s="45"/>
      <c r="N535" s="45"/>
      <c r="O535" s="45"/>
      <c r="P535" s="45"/>
      <c r="Q535" s="45"/>
      <c r="R535" s="45"/>
    </row>
    <row r="536" spans="1:18" x14ac:dyDescent="0.25">
      <c r="A536" s="45"/>
      <c r="B536" s="47"/>
      <c r="C536" s="47"/>
      <c r="D536" s="47"/>
      <c r="E536" s="45"/>
      <c r="F536" s="45"/>
      <c r="G536" s="45"/>
      <c r="H536" s="45"/>
      <c r="I536" s="45"/>
      <c r="J536" s="45"/>
      <c r="K536" s="45"/>
      <c r="L536" s="45"/>
      <c r="M536" s="45"/>
      <c r="N536" s="45"/>
      <c r="O536" s="45"/>
      <c r="P536" s="45"/>
      <c r="Q536" s="45"/>
      <c r="R536" s="45"/>
    </row>
    <row r="537" spans="1:18" x14ac:dyDescent="0.25">
      <c r="A537" s="45"/>
      <c r="B537" s="47"/>
      <c r="C537" s="47"/>
      <c r="D537" s="47"/>
      <c r="E537" s="45"/>
      <c r="F537" s="45"/>
      <c r="G537" s="45"/>
      <c r="H537" s="45"/>
      <c r="I537" s="45"/>
      <c r="J537" s="45"/>
      <c r="K537" s="45"/>
      <c r="L537" s="45"/>
      <c r="M537" s="45"/>
      <c r="N537" s="45"/>
      <c r="O537" s="45"/>
      <c r="P537" s="45"/>
      <c r="Q537" s="45"/>
      <c r="R537" s="45"/>
    </row>
    <row r="538" spans="1:18" x14ac:dyDescent="0.25">
      <c r="A538" s="45"/>
      <c r="B538" s="47"/>
      <c r="C538" s="47"/>
      <c r="D538" s="47"/>
      <c r="E538" s="45"/>
      <c r="F538" s="45"/>
      <c r="G538" s="45"/>
      <c r="H538" s="45"/>
      <c r="I538" s="45"/>
      <c r="J538" s="45"/>
      <c r="K538" s="45"/>
      <c r="L538" s="45"/>
      <c r="M538" s="45"/>
      <c r="N538" s="45"/>
      <c r="O538" s="45"/>
      <c r="P538" s="45"/>
      <c r="Q538" s="45"/>
      <c r="R538" s="45"/>
    </row>
    <row r="539" spans="1:18" x14ac:dyDescent="0.25">
      <c r="A539" s="45"/>
      <c r="B539" s="47"/>
      <c r="C539" s="47"/>
      <c r="D539" s="47"/>
      <c r="E539" s="45"/>
      <c r="F539" s="45"/>
      <c r="G539" s="45"/>
      <c r="H539" s="45"/>
      <c r="I539" s="45"/>
      <c r="J539" s="45"/>
      <c r="K539" s="45"/>
      <c r="L539" s="45"/>
      <c r="M539" s="45"/>
      <c r="N539" s="45"/>
      <c r="O539" s="45"/>
      <c r="P539" s="45"/>
      <c r="Q539" s="45"/>
      <c r="R539" s="45"/>
    </row>
    <row r="540" spans="1:18" x14ac:dyDescent="0.25">
      <c r="A540" s="45"/>
      <c r="B540" s="47"/>
      <c r="C540" s="47"/>
      <c r="D540" s="47"/>
      <c r="E540" s="45"/>
      <c r="F540" s="45"/>
      <c r="G540" s="45"/>
      <c r="H540" s="45"/>
      <c r="I540" s="45"/>
      <c r="J540" s="45"/>
      <c r="K540" s="45"/>
      <c r="L540" s="45"/>
      <c r="M540" s="45"/>
      <c r="N540" s="45"/>
      <c r="O540" s="45"/>
      <c r="P540" s="45"/>
      <c r="Q540" s="45"/>
      <c r="R540" s="45"/>
    </row>
    <row r="541" spans="1:18" x14ac:dyDescent="0.25">
      <c r="A541" s="45"/>
      <c r="B541" s="47"/>
      <c r="C541" s="47"/>
      <c r="D541" s="47"/>
      <c r="E541" s="45"/>
      <c r="F541" s="45"/>
      <c r="G541" s="45"/>
      <c r="H541" s="45"/>
      <c r="I541" s="45"/>
      <c r="J541" s="45"/>
      <c r="K541" s="45"/>
      <c r="L541" s="45"/>
      <c r="M541" s="45"/>
      <c r="N541" s="45"/>
      <c r="O541" s="45"/>
      <c r="P541" s="45"/>
      <c r="Q541" s="45"/>
      <c r="R541" s="45"/>
    </row>
    <row r="542" spans="1:18" x14ac:dyDescent="0.25">
      <c r="A542" s="45"/>
      <c r="B542" s="47"/>
      <c r="C542" s="47"/>
      <c r="D542" s="47"/>
      <c r="E542" s="45"/>
      <c r="F542" s="45"/>
      <c r="G542" s="45"/>
      <c r="H542" s="45"/>
      <c r="I542" s="45"/>
      <c r="J542" s="45"/>
      <c r="K542" s="45"/>
      <c r="L542" s="45"/>
      <c r="M542" s="45"/>
      <c r="N542" s="45"/>
      <c r="O542" s="45"/>
      <c r="P542" s="45"/>
      <c r="Q542" s="45"/>
      <c r="R542" s="45"/>
    </row>
    <row r="543" spans="1:18" x14ac:dyDescent="0.25">
      <c r="A543" s="45"/>
      <c r="B543" s="47"/>
      <c r="C543" s="47"/>
      <c r="D543" s="47"/>
      <c r="E543" s="45"/>
      <c r="F543" s="45"/>
      <c r="G543" s="45"/>
      <c r="H543" s="45"/>
      <c r="I543" s="45"/>
      <c r="J543" s="45"/>
      <c r="K543" s="45"/>
      <c r="L543" s="45"/>
      <c r="M543" s="45"/>
      <c r="N543" s="45"/>
      <c r="O543" s="45"/>
      <c r="P543" s="45"/>
      <c r="Q543" s="45"/>
      <c r="R543" s="45"/>
    </row>
    <row r="544" spans="1:18" x14ac:dyDescent="0.25">
      <c r="A544" s="45"/>
      <c r="B544" s="47"/>
      <c r="C544" s="47"/>
      <c r="D544" s="47"/>
      <c r="E544" s="45"/>
      <c r="F544" s="45"/>
      <c r="G544" s="45"/>
      <c r="H544" s="45"/>
      <c r="I544" s="45"/>
      <c r="J544" s="45"/>
      <c r="K544" s="45"/>
      <c r="L544" s="45"/>
      <c r="M544" s="45"/>
      <c r="N544" s="45"/>
      <c r="O544" s="45"/>
      <c r="P544" s="45"/>
      <c r="Q544" s="45"/>
      <c r="R544" s="45"/>
    </row>
    <row r="545" spans="1:18" x14ac:dyDescent="0.25">
      <c r="A545" s="45"/>
      <c r="B545" s="47"/>
      <c r="C545" s="47"/>
      <c r="D545" s="47"/>
      <c r="E545" s="45"/>
      <c r="F545" s="45"/>
      <c r="G545" s="45"/>
      <c r="H545" s="45"/>
      <c r="I545" s="45"/>
      <c r="J545" s="45"/>
      <c r="K545" s="45"/>
      <c r="L545" s="45"/>
      <c r="M545" s="45"/>
      <c r="N545" s="45"/>
      <c r="O545" s="45"/>
      <c r="P545" s="45"/>
      <c r="Q545" s="45"/>
      <c r="R545" s="45"/>
    </row>
    <row r="546" spans="1:18" x14ac:dyDescent="0.25">
      <c r="A546" s="45"/>
      <c r="B546" s="47"/>
      <c r="C546" s="47"/>
      <c r="D546" s="47"/>
      <c r="E546" s="45"/>
      <c r="F546" s="45"/>
      <c r="G546" s="45"/>
      <c r="H546" s="45"/>
      <c r="I546" s="45"/>
      <c r="J546" s="45"/>
      <c r="K546" s="45"/>
      <c r="L546" s="45"/>
      <c r="M546" s="45"/>
      <c r="N546" s="45"/>
      <c r="O546" s="45"/>
      <c r="P546" s="45"/>
      <c r="Q546" s="45"/>
      <c r="R546" s="45"/>
    </row>
    <row r="547" spans="1:18" x14ac:dyDescent="0.25">
      <c r="A547" s="45"/>
      <c r="B547" s="47"/>
      <c r="C547" s="47"/>
      <c r="D547" s="47"/>
      <c r="E547" s="45"/>
      <c r="F547" s="45"/>
      <c r="G547" s="45"/>
      <c r="H547" s="45"/>
      <c r="I547" s="45"/>
      <c r="J547" s="45"/>
      <c r="K547" s="45"/>
      <c r="L547" s="45"/>
      <c r="M547" s="45"/>
      <c r="N547" s="45"/>
      <c r="O547" s="45"/>
      <c r="P547" s="45"/>
      <c r="Q547" s="45"/>
      <c r="R547" s="45"/>
    </row>
    <row r="548" spans="1:18" x14ac:dyDescent="0.25">
      <c r="A548" s="45"/>
      <c r="B548" s="47"/>
      <c r="C548" s="47"/>
      <c r="D548" s="47"/>
      <c r="E548" s="45"/>
      <c r="F548" s="45"/>
      <c r="G548" s="45"/>
      <c r="H548" s="45"/>
      <c r="I548" s="45"/>
      <c r="J548" s="45"/>
      <c r="K548" s="45"/>
      <c r="L548" s="45"/>
      <c r="M548" s="45"/>
      <c r="N548" s="45"/>
      <c r="O548" s="45"/>
      <c r="P548" s="45"/>
      <c r="Q548" s="45"/>
      <c r="R548" s="45"/>
    </row>
    <row r="549" spans="1:18" x14ac:dyDescent="0.25">
      <c r="A549" s="45"/>
      <c r="B549" s="47"/>
      <c r="C549" s="47"/>
      <c r="D549" s="47"/>
      <c r="E549" s="45"/>
      <c r="F549" s="45"/>
      <c r="G549" s="45"/>
      <c r="H549" s="45"/>
      <c r="I549" s="45"/>
      <c r="J549" s="45"/>
      <c r="K549" s="45"/>
      <c r="L549" s="45"/>
      <c r="M549" s="45"/>
      <c r="N549" s="45"/>
      <c r="O549" s="45"/>
      <c r="P549" s="45"/>
      <c r="Q549" s="45"/>
      <c r="R549" s="45"/>
    </row>
    <row r="550" spans="1:18" x14ac:dyDescent="0.25">
      <c r="A550" s="45"/>
      <c r="B550" s="47"/>
      <c r="C550" s="47"/>
      <c r="D550" s="47"/>
      <c r="E550" s="45"/>
      <c r="F550" s="45"/>
      <c r="G550" s="45"/>
      <c r="H550" s="45"/>
      <c r="I550" s="45"/>
      <c r="J550" s="45"/>
      <c r="K550" s="45"/>
      <c r="L550" s="45"/>
      <c r="M550" s="45"/>
      <c r="N550" s="45"/>
      <c r="O550" s="45"/>
      <c r="P550" s="45"/>
      <c r="Q550" s="45"/>
      <c r="R550" s="45"/>
    </row>
    <row r="551" spans="1:18" x14ac:dyDescent="0.25">
      <c r="A551" s="45"/>
      <c r="B551" s="47"/>
      <c r="C551" s="47"/>
      <c r="D551" s="47"/>
      <c r="E551" s="45"/>
      <c r="F551" s="45"/>
      <c r="G551" s="45"/>
      <c r="H551" s="45"/>
      <c r="I551" s="45"/>
      <c r="J551" s="45"/>
      <c r="K551" s="45"/>
      <c r="L551" s="45"/>
      <c r="M551" s="45"/>
      <c r="N551" s="45"/>
      <c r="O551" s="45"/>
      <c r="P551" s="45"/>
      <c r="Q551" s="45"/>
      <c r="R551" s="45"/>
    </row>
    <row r="552" spans="1:18" x14ac:dyDescent="0.25">
      <c r="A552" s="45"/>
      <c r="B552" s="47"/>
      <c r="C552" s="47"/>
      <c r="D552" s="47"/>
      <c r="E552" s="45"/>
      <c r="F552" s="45"/>
      <c r="G552" s="45"/>
      <c r="H552" s="45"/>
      <c r="I552" s="45"/>
      <c r="J552" s="45"/>
      <c r="K552" s="45"/>
      <c r="L552" s="45"/>
      <c r="M552" s="45"/>
      <c r="N552" s="45"/>
      <c r="O552" s="45"/>
      <c r="P552" s="45"/>
      <c r="Q552" s="45"/>
      <c r="R552" s="45"/>
    </row>
    <row r="553" spans="1:18" x14ac:dyDescent="0.25">
      <c r="A553" s="45"/>
      <c r="B553" s="47"/>
      <c r="C553" s="47"/>
      <c r="D553" s="47"/>
      <c r="E553" s="45"/>
      <c r="F553" s="45"/>
      <c r="G553" s="45"/>
      <c r="H553" s="45"/>
      <c r="I553" s="45"/>
      <c r="J553" s="45"/>
      <c r="K553" s="45"/>
      <c r="L553" s="45"/>
      <c r="M553" s="45"/>
      <c r="N553" s="45"/>
      <c r="O553" s="45"/>
      <c r="P553" s="45"/>
      <c r="Q553" s="45"/>
      <c r="R553" s="45"/>
    </row>
    <row r="554" spans="1:18" x14ac:dyDescent="0.25">
      <c r="A554" s="45"/>
      <c r="B554" s="47"/>
      <c r="C554" s="47"/>
      <c r="D554" s="47"/>
      <c r="E554" s="45"/>
      <c r="F554" s="45"/>
      <c r="G554" s="45"/>
      <c r="H554" s="45"/>
      <c r="I554" s="45"/>
      <c r="J554" s="45"/>
      <c r="K554" s="45"/>
      <c r="L554" s="45"/>
      <c r="M554" s="45"/>
      <c r="N554" s="45"/>
      <c r="O554" s="45"/>
      <c r="P554" s="45"/>
      <c r="Q554" s="45"/>
      <c r="R554" s="45"/>
    </row>
    <row r="555" spans="1:18" x14ac:dyDescent="0.25">
      <c r="A555" s="45"/>
      <c r="B555" s="47"/>
      <c r="C555" s="47"/>
      <c r="D555" s="47"/>
      <c r="E555" s="45"/>
      <c r="F555" s="45"/>
      <c r="G555" s="45"/>
      <c r="H555" s="45"/>
      <c r="I555" s="45"/>
      <c r="J555" s="45"/>
      <c r="K555" s="45"/>
      <c r="L555" s="45"/>
      <c r="M555" s="45"/>
      <c r="N555" s="45"/>
      <c r="O555" s="45"/>
      <c r="P555" s="45"/>
      <c r="Q555" s="45"/>
      <c r="R555" s="45"/>
    </row>
    <row r="556" spans="1:18" x14ac:dyDescent="0.25">
      <c r="A556" s="45"/>
      <c r="B556" s="47"/>
      <c r="C556" s="47"/>
      <c r="D556" s="47"/>
      <c r="E556" s="45"/>
      <c r="F556" s="45"/>
      <c r="G556" s="45"/>
      <c r="H556" s="45"/>
      <c r="I556" s="45"/>
      <c r="J556" s="45"/>
      <c r="K556" s="45"/>
      <c r="L556" s="45"/>
      <c r="M556" s="45"/>
      <c r="N556" s="45"/>
      <c r="O556" s="45"/>
      <c r="P556" s="45"/>
      <c r="Q556" s="45"/>
      <c r="R556" s="45"/>
    </row>
    <row r="557" spans="1:18" x14ac:dyDescent="0.25">
      <c r="A557" s="45"/>
      <c r="B557" s="47"/>
      <c r="C557" s="47"/>
      <c r="D557" s="47"/>
      <c r="E557" s="45"/>
      <c r="F557" s="45"/>
      <c r="G557" s="45"/>
      <c r="H557" s="45"/>
      <c r="I557" s="45"/>
      <c r="J557" s="45"/>
      <c r="K557" s="45"/>
      <c r="L557" s="45"/>
      <c r="M557" s="45"/>
      <c r="N557" s="45"/>
      <c r="O557" s="45"/>
      <c r="P557" s="45"/>
      <c r="Q557" s="45"/>
      <c r="R557" s="45"/>
    </row>
    <row r="558" spans="1:18" x14ac:dyDescent="0.25">
      <c r="A558" s="45"/>
      <c r="B558" s="47"/>
      <c r="C558" s="47"/>
      <c r="D558" s="47"/>
      <c r="E558" s="45"/>
      <c r="F558" s="45"/>
      <c r="G558" s="45"/>
      <c r="H558" s="45"/>
      <c r="I558" s="45"/>
      <c r="J558" s="45"/>
      <c r="K558" s="45"/>
      <c r="L558" s="45"/>
      <c r="M558" s="45"/>
      <c r="N558" s="45"/>
      <c r="O558" s="45"/>
      <c r="P558" s="45"/>
      <c r="Q558" s="45"/>
      <c r="R558" s="45"/>
    </row>
    <row r="559" spans="1:18" x14ac:dyDescent="0.25">
      <c r="A559" s="45"/>
      <c r="B559" s="47"/>
      <c r="C559" s="47"/>
      <c r="D559" s="47"/>
      <c r="E559" s="45"/>
      <c r="F559" s="45"/>
      <c r="G559" s="45"/>
      <c r="H559" s="45"/>
      <c r="I559" s="45"/>
      <c r="J559" s="45"/>
      <c r="K559" s="45"/>
      <c r="L559" s="45"/>
      <c r="M559" s="45"/>
      <c r="N559" s="45"/>
      <c r="O559" s="45"/>
      <c r="P559" s="45"/>
      <c r="Q559" s="45"/>
      <c r="R559" s="45"/>
    </row>
    <row r="560" spans="1:18" x14ac:dyDescent="0.25">
      <c r="A560" s="45"/>
      <c r="B560" s="47"/>
      <c r="C560" s="47"/>
      <c r="D560" s="47"/>
      <c r="E560" s="45"/>
      <c r="F560" s="45"/>
      <c r="G560" s="45"/>
      <c r="H560" s="45"/>
      <c r="I560" s="45"/>
      <c r="J560" s="45"/>
      <c r="K560" s="45"/>
      <c r="L560" s="45"/>
      <c r="M560" s="45"/>
      <c r="N560" s="45"/>
      <c r="O560" s="45"/>
      <c r="P560" s="45"/>
      <c r="Q560" s="45"/>
      <c r="R560" s="45"/>
    </row>
    <row r="561" spans="1:18" x14ac:dyDescent="0.25">
      <c r="A561" s="45"/>
      <c r="B561" s="47"/>
      <c r="C561" s="47"/>
      <c r="D561" s="47"/>
      <c r="E561" s="45"/>
      <c r="F561" s="45"/>
      <c r="G561" s="45"/>
      <c r="H561" s="45"/>
      <c r="I561" s="45"/>
      <c r="J561" s="45"/>
      <c r="K561" s="45"/>
      <c r="L561" s="45"/>
      <c r="M561" s="45"/>
      <c r="N561" s="45"/>
      <c r="O561" s="45"/>
      <c r="P561" s="45"/>
      <c r="Q561" s="45"/>
      <c r="R561" s="45"/>
    </row>
    <row r="562" spans="1:18" x14ac:dyDescent="0.25">
      <c r="A562" s="45"/>
      <c r="B562" s="47"/>
      <c r="C562" s="47"/>
      <c r="D562" s="47"/>
      <c r="E562" s="45"/>
      <c r="F562" s="45"/>
      <c r="G562" s="45"/>
      <c r="H562" s="45"/>
      <c r="I562" s="45"/>
      <c r="J562" s="45"/>
      <c r="K562" s="45"/>
      <c r="L562" s="45"/>
      <c r="M562" s="45"/>
      <c r="N562" s="45"/>
      <c r="O562" s="45"/>
      <c r="P562" s="45"/>
      <c r="Q562" s="45"/>
      <c r="R562" s="45"/>
    </row>
    <row r="563" spans="1:18" x14ac:dyDescent="0.25">
      <c r="A563" s="45"/>
      <c r="B563" s="47"/>
      <c r="C563" s="47"/>
      <c r="D563" s="47"/>
      <c r="E563" s="45"/>
      <c r="F563" s="45"/>
      <c r="G563" s="45"/>
      <c r="H563" s="45"/>
      <c r="I563" s="45"/>
      <c r="J563" s="45"/>
      <c r="K563" s="45"/>
      <c r="L563" s="45"/>
      <c r="M563" s="45"/>
      <c r="N563" s="45"/>
      <c r="O563" s="45"/>
      <c r="P563" s="45"/>
      <c r="Q563" s="45"/>
      <c r="R563" s="45"/>
    </row>
    <row r="564" spans="1:18" x14ac:dyDescent="0.25">
      <c r="A564" s="45"/>
      <c r="B564" s="47"/>
      <c r="C564" s="47"/>
      <c r="D564" s="47"/>
      <c r="E564" s="45"/>
      <c r="F564" s="45"/>
      <c r="G564" s="45"/>
      <c r="H564" s="45"/>
      <c r="I564" s="45"/>
      <c r="J564" s="45"/>
      <c r="K564" s="45"/>
      <c r="L564" s="45"/>
      <c r="M564" s="45"/>
      <c r="N564" s="45"/>
      <c r="O564" s="45"/>
      <c r="P564" s="45"/>
      <c r="Q564" s="45"/>
      <c r="R564" s="45"/>
    </row>
    <row r="565" spans="1:18" x14ac:dyDescent="0.25">
      <c r="A565" s="45"/>
      <c r="B565" s="47"/>
      <c r="C565" s="47"/>
      <c r="D565" s="47"/>
      <c r="E565" s="45"/>
      <c r="F565" s="45"/>
      <c r="G565" s="45"/>
      <c r="H565" s="45"/>
      <c r="I565" s="45"/>
      <c r="J565" s="45"/>
      <c r="K565" s="45"/>
      <c r="L565" s="45"/>
      <c r="M565" s="45"/>
      <c r="N565" s="45"/>
      <c r="O565" s="45"/>
      <c r="P565" s="45"/>
      <c r="Q565" s="45"/>
      <c r="R565" s="45"/>
    </row>
    <row r="566" spans="1:18" x14ac:dyDescent="0.25">
      <c r="A566" s="45"/>
      <c r="B566" s="47"/>
      <c r="C566" s="47"/>
      <c r="D566" s="47"/>
      <c r="E566" s="45"/>
      <c r="F566" s="45"/>
      <c r="G566" s="45"/>
      <c r="H566" s="45"/>
      <c r="I566" s="45"/>
      <c r="J566" s="45"/>
      <c r="K566" s="45"/>
      <c r="L566" s="45"/>
      <c r="M566" s="45"/>
      <c r="N566" s="45"/>
      <c r="O566" s="45"/>
      <c r="P566" s="45"/>
      <c r="Q566" s="45"/>
      <c r="R566" s="45"/>
    </row>
    <row r="567" spans="1:18" x14ac:dyDescent="0.25">
      <c r="A567" s="45"/>
      <c r="B567" s="47"/>
      <c r="C567" s="47"/>
      <c r="D567" s="47"/>
      <c r="E567" s="45"/>
      <c r="F567" s="45"/>
      <c r="G567" s="45"/>
      <c r="H567" s="45"/>
      <c r="I567" s="45"/>
      <c r="J567" s="45"/>
      <c r="K567" s="45"/>
      <c r="L567" s="45"/>
      <c r="M567" s="45"/>
      <c r="N567" s="45"/>
      <c r="O567" s="45"/>
      <c r="P567" s="45"/>
      <c r="Q567" s="45"/>
      <c r="R567" s="45"/>
    </row>
    <row r="568" spans="1:18" x14ac:dyDescent="0.25">
      <c r="A568" s="45"/>
      <c r="B568" s="47"/>
      <c r="C568" s="47"/>
      <c r="D568" s="47"/>
      <c r="E568" s="45"/>
      <c r="F568" s="45"/>
      <c r="G568" s="45"/>
      <c r="H568" s="45"/>
      <c r="I568" s="45"/>
      <c r="J568" s="45"/>
      <c r="K568" s="45"/>
      <c r="L568" s="45"/>
      <c r="M568" s="45"/>
      <c r="N568" s="45"/>
      <c r="O568" s="45"/>
      <c r="P568" s="45"/>
      <c r="Q568" s="45"/>
      <c r="R568" s="45"/>
    </row>
    <row r="569" spans="1:18" x14ac:dyDescent="0.25">
      <c r="A569" s="45"/>
      <c r="B569" s="47"/>
      <c r="C569" s="47"/>
      <c r="D569" s="47"/>
      <c r="E569" s="45"/>
      <c r="F569" s="45"/>
      <c r="G569" s="45"/>
      <c r="H569" s="45"/>
      <c r="I569" s="45"/>
      <c r="J569" s="45"/>
      <c r="K569" s="45"/>
      <c r="L569" s="45"/>
      <c r="M569" s="45"/>
      <c r="N569" s="45"/>
      <c r="O569" s="45"/>
      <c r="P569" s="45"/>
      <c r="Q569" s="45"/>
      <c r="R569" s="45"/>
    </row>
    <row r="570" spans="1:18" x14ac:dyDescent="0.25">
      <c r="A570" s="45"/>
      <c r="B570" s="47"/>
      <c r="C570" s="47"/>
      <c r="D570" s="47"/>
      <c r="E570" s="45"/>
      <c r="F570" s="45"/>
      <c r="G570" s="45"/>
      <c r="H570" s="45"/>
      <c r="I570" s="45"/>
      <c r="J570" s="45"/>
      <c r="K570" s="45"/>
      <c r="L570" s="45"/>
      <c r="M570" s="45"/>
      <c r="N570" s="45"/>
      <c r="O570" s="45"/>
      <c r="P570" s="45"/>
      <c r="Q570" s="45"/>
      <c r="R570" s="45"/>
    </row>
    <row r="571" spans="1:18" x14ac:dyDescent="0.25">
      <c r="A571" s="45"/>
      <c r="B571" s="47"/>
      <c r="C571" s="47"/>
      <c r="D571" s="47"/>
      <c r="E571" s="45"/>
      <c r="F571" s="45"/>
      <c r="G571" s="45"/>
      <c r="H571" s="45"/>
      <c r="I571" s="45"/>
      <c r="J571" s="45"/>
      <c r="K571" s="45"/>
      <c r="L571" s="45"/>
      <c r="M571" s="45"/>
      <c r="N571" s="45"/>
      <c r="O571" s="45"/>
      <c r="P571" s="45"/>
      <c r="Q571" s="45"/>
      <c r="R571" s="45"/>
    </row>
    <row r="572" spans="1:18" x14ac:dyDescent="0.25">
      <c r="A572" s="45"/>
      <c r="B572" s="47"/>
      <c r="C572" s="47"/>
      <c r="D572" s="47"/>
      <c r="E572" s="45"/>
      <c r="F572" s="45"/>
      <c r="G572" s="45"/>
      <c r="H572" s="45"/>
      <c r="I572" s="45"/>
      <c r="J572" s="45"/>
      <c r="K572" s="45"/>
      <c r="L572" s="45"/>
      <c r="M572" s="45"/>
      <c r="N572" s="45"/>
      <c r="O572" s="45"/>
      <c r="P572" s="45"/>
      <c r="Q572" s="45"/>
      <c r="R572" s="45"/>
    </row>
    <row r="573" spans="1:18" x14ac:dyDescent="0.25">
      <c r="A573" s="45"/>
      <c r="B573" s="47"/>
      <c r="C573" s="47"/>
      <c r="D573" s="47"/>
      <c r="E573" s="45"/>
      <c r="F573" s="45"/>
      <c r="G573" s="45"/>
      <c r="H573" s="45"/>
      <c r="I573" s="45"/>
      <c r="J573" s="45"/>
      <c r="K573" s="45"/>
      <c r="L573" s="45"/>
      <c r="M573" s="45"/>
      <c r="N573" s="45"/>
      <c r="O573" s="45"/>
      <c r="P573" s="45"/>
      <c r="Q573" s="45"/>
      <c r="R573" s="45"/>
    </row>
    <row r="574" spans="1:18" x14ac:dyDescent="0.25">
      <c r="A574" s="45"/>
      <c r="B574" s="47"/>
      <c r="C574" s="47"/>
      <c r="D574" s="47"/>
      <c r="E574" s="45"/>
      <c r="F574" s="45"/>
      <c r="G574" s="45"/>
      <c r="H574" s="45"/>
      <c r="I574" s="45"/>
      <c r="J574" s="45"/>
      <c r="K574" s="45"/>
      <c r="L574" s="45"/>
      <c r="M574" s="45"/>
      <c r="N574" s="45"/>
      <c r="O574" s="45"/>
      <c r="P574" s="45"/>
      <c r="Q574" s="45"/>
      <c r="R574" s="45"/>
    </row>
    <row r="575" spans="1:18" x14ac:dyDescent="0.25">
      <c r="A575" s="45"/>
      <c r="B575" s="47"/>
      <c r="C575" s="47"/>
      <c r="D575" s="47"/>
      <c r="E575" s="45"/>
      <c r="F575" s="45"/>
      <c r="G575" s="45"/>
      <c r="H575" s="45"/>
      <c r="I575" s="45"/>
      <c r="J575" s="45"/>
      <c r="K575" s="45"/>
      <c r="L575" s="45"/>
      <c r="M575" s="45"/>
      <c r="N575" s="45"/>
      <c r="O575" s="45"/>
      <c r="P575" s="45"/>
      <c r="Q575" s="45"/>
      <c r="R575" s="45"/>
    </row>
    <row r="576" spans="1:18" x14ac:dyDescent="0.25">
      <c r="A576" s="45"/>
      <c r="B576" s="47"/>
      <c r="C576" s="47"/>
      <c r="D576" s="47"/>
      <c r="E576" s="45"/>
      <c r="F576" s="45"/>
      <c r="G576" s="45"/>
      <c r="H576" s="45"/>
      <c r="I576" s="45"/>
      <c r="J576" s="45"/>
      <c r="K576" s="45"/>
      <c r="L576" s="45"/>
      <c r="M576" s="45"/>
      <c r="N576" s="45"/>
      <c r="O576" s="45"/>
      <c r="P576" s="45"/>
      <c r="Q576" s="45"/>
      <c r="R576" s="45"/>
    </row>
    <row r="577" spans="1:18" x14ac:dyDescent="0.25">
      <c r="A577" s="45"/>
      <c r="B577" s="47"/>
      <c r="C577" s="47"/>
      <c r="D577" s="47"/>
      <c r="E577" s="45"/>
      <c r="F577" s="45"/>
      <c r="G577" s="45"/>
      <c r="H577" s="45"/>
      <c r="I577" s="45"/>
      <c r="J577" s="45"/>
      <c r="K577" s="45"/>
      <c r="L577" s="45"/>
      <c r="M577" s="45"/>
      <c r="N577" s="45"/>
      <c r="O577" s="45"/>
      <c r="P577" s="45"/>
      <c r="Q577" s="45"/>
      <c r="R577" s="45"/>
    </row>
    <row r="578" spans="1:18" x14ac:dyDescent="0.25">
      <c r="A578" s="45"/>
      <c r="B578" s="47"/>
      <c r="C578" s="47"/>
      <c r="D578" s="47"/>
      <c r="E578" s="45"/>
      <c r="F578" s="45"/>
      <c r="G578" s="45"/>
      <c r="H578" s="45"/>
      <c r="I578" s="45"/>
      <c r="J578" s="45"/>
      <c r="K578" s="45"/>
      <c r="L578" s="45"/>
      <c r="M578" s="45"/>
      <c r="N578" s="45"/>
      <c r="O578" s="45"/>
      <c r="P578" s="45"/>
      <c r="Q578" s="45"/>
      <c r="R578" s="45"/>
    </row>
    <row r="579" spans="1:18" x14ac:dyDescent="0.25">
      <c r="A579" s="45"/>
      <c r="B579" s="47"/>
      <c r="C579" s="47"/>
      <c r="D579" s="47"/>
      <c r="E579" s="45"/>
      <c r="F579" s="45"/>
      <c r="G579" s="45"/>
      <c r="H579" s="45"/>
      <c r="I579" s="45"/>
      <c r="J579" s="45"/>
      <c r="K579" s="45"/>
      <c r="L579" s="45"/>
      <c r="M579" s="45"/>
      <c r="N579" s="45"/>
      <c r="O579" s="45"/>
      <c r="P579" s="45"/>
      <c r="Q579" s="45"/>
      <c r="R579" s="45"/>
    </row>
    <row r="580" spans="1:18" x14ac:dyDescent="0.25">
      <c r="A580" s="45"/>
      <c r="B580" s="47"/>
      <c r="C580" s="47"/>
      <c r="D580" s="47"/>
      <c r="E580" s="45"/>
      <c r="F580" s="45"/>
      <c r="G580" s="45"/>
      <c r="H580" s="45"/>
      <c r="I580" s="45"/>
      <c r="J580" s="45"/>
      <c r="K580" s="45"/>
      <c r="L580" s="45"/>
      <c r="M580" s="45"/>
      <c r="N580" s="45"/>
      <c r="O580" s="45"/>
      <c r="P580" s="45"/>
      <c r="Q580" s="45"/>
      <c r="R580" s="45"/>
    </row>
    <row r="581" spans="1:18" x14ac:dyDescent="0.25">
      <c r="A581" s="45"/>
      <c r="B581" s="47"/>
      <c r="C581" s="47"/>
      <c r="D581" s="47"/>
      <c r="E581" s="45"/>
      <c r="F581" s="45"/>
      <c r="G581" s="45"/>
      <c r="H581" s="45"/>
      <c r="I581" s="45"/>
      <c r="J581" s="45"/>
      <c r="K581" s="45"/>
      <c r="L581" s="45"/>
      <c r="M581" s="45"/>
      <c r="N581" s="45"/>
      <c r="O581" s="45"/>
      <c r="P581" s="45"/>
      <c r="Q581" s="45"/>
      <c r="R581" s="45"/>
    </row>
    <row r="582" spans="1:18" x14ac:dyDescent="0.25">
      <c r="A582" s="45"/>
      <c r="B582" s="47"/>
      <c r="C582" s="47"/>
      <c r="D582" s="47"/>
      <c r="E582" s="45"/>
      <c r="F582" s="45"/>
      <c r="G582" s="45"/>
      <c r="H582" s="45"/>
      <c r="I582" s="45"/>
      <c r="J582" s="45"/>
      <c r="K582" s="45"/>
      <c r="L582" s="45"/>
      <c r="M582" s="45"/>
      <c r="N582" s="45"/>
      <c r="O582" s="45"/>
      <c r="P582" s="45"/>
      <c r="Q582" s="45"/>
      <c r="R582" s="45"/>
    </row>
    <row r="583" spans="1:18" x14ac:dyDescent="0.25">
      <c r="A583" s="45"/>
      <c r="B583" s="47"/>
      <c r="C583" s="47"/>
      <c r="D583" s="47"/>
      <c r="E583" s="45"/>
      <c r="F583" s="45"/>
      <c r="G583" s="45"/>
      <c r="H583" s="45"/>
      <c r="I583" s="45"/>
      <c r="J583" s="45"/>
      <c r="K583" s="45"/>
      <c r="L583" s="45"/>
      <c r="M583" s="45"/>
      <c r="N583" s="45"/>
      <c r="O583" s="45"/>
      <c r="P583" s="45"/>
      <c r="Q583" s="45"/>
      <c r="R583" s="45"/>
    </row>
    <row r="584" spans="1:18" x14ac:dyDescent="0.25">
      <c r="A584" s="45"/>
      <c r="B584" s="47"/>
      <c r="C584" s="47"/>
      <c r="D584" s="47"/>
      <c r="E584" s="45"/>
      <c r="F584" s="45"/>
      <c r="G584" s="45"/>
      <c r="H584" s="45"/>
      <c r="I584" s="45"/>
      <c r="J584" s="45"/>
      <c r="K584" s="45"/>
      <c r="L584" s="45"/>
      <c r="M584" s="45"/>
      <c r="N584" s="45"/>
      <c r="O584" s="45"/>
      <c r="P584" s="45"/>
      <c r="Q584" s="45"/>
      <c r="R584" s="45"/>
    </row>
    <row r="585" spans="1:18" x14ac:dyDescent="0.25">
      <c r="A585" s="45"/>
      <c r="B585" s="47"/>
      <c r="C585" s="47"/>
      <c r="D585" s="47"/>
      <c r="E585" s="45"/>
      <c r="F585" s="45"/>
      <c r="G585" s="45"/>
      <c r="H585" s="45"/>
      <c r="I585" s="45"/>
      <c r="J585" s="45"/>
      <c r="K585" s="45"/>
      <c r="L585" s="45"/>
      <c r="M585" s="45"/>
      <c r="N585" s="45"/>
      <c r="O585" s="45"/>
      <c r="P585" s="45"/>
      <c r="Q585" s="45"/>
      <c r="R585" s="45"/>
    </row>
    <row r="586" spans="1:18" x14ac:dyDescent="0.25">
      <c r="A586" s="45"/>
      <c r="B586" s="47"/>
      <c r="C586" s="47"/>
      <c r="D586" s="47"/>
      <c r="E586" s="45"/>
      <c r="F586" s="45"/>
      <c r="G586" s="45"/>
      <c r="H586" s="45"/>
      <c r="I586" s="45"/>
      <c r="J586" s="45"/>
      <c r="K586" s="45"/>
      <c r="L586" s="45"/>
      <c r="M586" s="45"/>
      <c r="N586" s="45"/>
      <c r="O586" s="45"/>
      <c r="P586" s="45"/>
      <c r="Q586" s="45"/>
      <c r="R586" s="45"/>
    </row>
    <row r="587" spans="1:18" x14ac:dyDescent="0.25">
      <c r="A587" s="45"/>
      <c r="B587" s="47"/>
      <c r="C587" s="47"/>
      <c r="D587" s="47"/>
      <c r="E587" s="45"/>
      <c r="F587" s="45"/>
      <c r="G587" s="45"/>
      <c r="H587" s="45"/>
      <c r="I587" s="45"/>
      <c r="J587" s="45"/>
      <c r="K587" s="45"/>
      <c r="L587" s="45"/>
      <c r="M587" s="45"/>
      <c r="N587" s="45"/>
      <c r="O587" s="45"/>
      <c r="P587" s="45"/>
      <c r="Q587" s="45"/>
      <c r="R587" s="45"/>
    </row>
    <row r="588" spans="1:18" x14ac:dyDescent="0.25">
      <c r="A588" s="45"/>
      <c r="B588" s="47"/>
      <c r="C588" s="47"/>
      <c r="D588" s="47"/>
      <c r="E588" s="45"/>
      <c r="F588" s="45"/>
      <c r="G588" s="45"/>
      <c r="H588" s="45"/>
      <c r="I588" s="45"/>
      <c r="J588" s="45"/>
      <c r="K588" s="45"/>
      <c r="L588" s="45"/>
      <c r="M588" s="45"/>
      <c r="N588" s="45"/>
      <c r="O588" s="45"/>
      <c r="P588" s="45"/>
      <c r="Q588" s="45"/>
      <c r="R588" s="45"/>
    </row>
    <row r="589" spans="1:18" x14ac:dyDescent="0.25">
      <c r="A589" s="45"/>
      <c r="B589" s="47"/>
      <c r="C589" s="47"/>
      <c r="D589" s="47"/>
      <c r="E589" s="45"/>
      <c r="F589" s="45"/>
      <c r="G589" s="45"/>
      <c r="H589" s="45"/>
      <c r="I589" s="45"/>
      <c r="J589" s="45"/>
      <c r="K589" s="45"/>
      <c r="L589" s="45"/>
      <c r="M589" s="45"/>
      <c r="N589" s="45"/>
      <c r="O589" s="45"/>
      <c r="P589" s="45"/>
      <c r="Q589" s="45"/>
      <c r="R589" s="45"/>
    </row>
    <row r="590" spans="1:18" x14ac:dyDescent="0.25">
      <c r="A590" s="45"/>
      <c r="B590" s="47"/>
      <c r="C590" s="47"/>
      <c r="D590" s="47"/>
      <c r="E590" s="45"/>
      <c r="F590" s="45"/>
      <c r="G590" s="45"/>
      <c r="H590" s="45"/>
      <c r="I590" s="45"/>
      <c r="J590" s="45"/>
      <c r="K590" s="45"/>
      <c r="L590" s="45"/>
      <c r="M590" s="45"/>
      <c r="N590" s="45"/>
      <c r="O590" s="45"/>
      <c r="P590" s="45"/>
      <c r="Q590" s="45"/>
      <c r="R590" s="45"/>
    </row>
    <row r="591" spans="1:18" x14ac:dyDescent="0.25">
      <c r="A591" s="45"/>
      <c r="B591" s="47"/>
      <c r="C591" s="47"/>
      <c r="D591" s="47"/>
      <c r="E591" s="45"/>
      <c r="F591" s="45"/>
      <c r="G591" s="45"/>
      <c r="H591" s="45"/>
      <c r="I591" s="45"/>
      <c r="J591" s="45"/>
      <c r="K591" s="45"/>
      <c r="L591" s="45"/>
      <c r="M591" s="45"/>
      <c r="N591" s="45"/>
      <c r="O591" s="45"/>
      <c r="P591" s="45"/>
      <c r="Q591" s="45"/>
      <c r="R591" s="45"/>
    </row>
    <row r="592" spans="1:18" x14ac:dyDescent="0.25">
      <c r="A592" s="45"/>
      <c r="B592" s="47"/>
      <c r="C592" s="47"/>
      <c r="D592" s="47"/>
      <c r="E592" s="45"/>
      <c r="F592" s="45"/>
      <c r="G592" s="45"/>
      <c r="H592" s="45"/>
      <c r="I592" s="45"/>
      <c r="J592" s="45"/>
      <c r="K592" s="45"/>
      <c r="L592" s="45"/>
      <c r="M592" s="45"/>
      <c r="N592" s="45"/>
      <c r="O592" s="45"/>
      <c r="P592" s="45"/>
      <c r="Q592" s="45"/>
      <c r="R592" s="45"/>
    </row>
    <row r="593" spans="1:18" x14ac:dyDescent="0.25">
      <c r="A593" s="45"/>
      <c r="B593" s="47"/>
      <c r="C593" s="47"/>
      <c r="D593" s="47"/>
      <c r="E593" s="45"/>
      <c r="F593" s="45"/>
      <c r="G593" s="45"/>
      <c r="H593" s="45"/>
      <c r="I593" s="45"/>
      <c r="J593" s="45"/>
      <c r="K593" s="45"/>
      <c r="L593" s="45"/>
      <c r="M593" s="45"/>
      <c r="N593" s="45"/>
      <c r="O593" s="45"/>
      <c r="P593" s="45"/>
      <c r="Q593" s="45"/>
      <c r="R593" s="45"/>
    </row>
    <row r="594" spans="1:18" x14ac:dyDescent="0.25">
      <c r="A594" s="45"/>
      <c r="B594" s="47"/>
      <c r="C594" s="47"/>
      <c r="D594" s="47"/>
      <c r="E594" s="45"/>
      <c r="F594" s="45"/>
      <c r="G594" s="45"/>
      <c r="H594" s="45"/>
      <c r="I594" s="45"/>
      <c r="J594" s="45"/>
      <c r="K594" s="45"/>
      <c r="L594" s="45"/>
      <c r="M594" s="45"/>
      <c r="N594" s="45"/>
      <c r="O594" s="45"/>
      <c r="P594" s="45"/>
      <c r="Q594" s="45"/>
      <c r="R594" s="45"/>
    </row>
    <row r="595" spans="1:18" x14ac:dyDescent="0.25">
      <c r="A595" s="45"/>
      <c r="B595" s="47"/>
      <c r="C595" s="47"/>
      <c r="D595" s="47"/>
      <c r="E595" s="45"/>
      <c r="F595" s="45"/>
      <c r="G595" s="45"/>
      <c r="H595" s="45"/>
      <c r="I595" s="45"/>
      <c r="J595" s="45"/>
      <c r="K595" s="45"/>
      <c r="L595" s="45"/>
      <c r="M595" s="45"/>
      <c r="N595" s="45"/>
      <c r="O595" s="45"/>
      <c r="P595" s="45"/>
      <c r="Q595" s="45"/>
      <c r="R595" s="45"/>
    </row>
    <row r="596" spans="1:18" x14ac:dyDescent="0.25">
      <c r="A596" s="45"/>
      <c r="B596" s="47"/>
      <c r="C596" s="47"/>
      <c r="D596" s="47"/>
      <c r="E596" s="45"/>
      <c r="F596" s="45"/>
      <c r="G596" s="45"/>
      <c r="H596" s="45"/>
      <c r="I596" s="45"/>
      <c r="J596" s="45"/>
      <c r="K596" s="45"/>
      <c r="L596" s="45"/>
      <c r="M596" s="45"/>
      <c r="N596" s="45"/>
      <c r="O596" s="45"/>
      <c r="P596" s="45"/>
      <c r="Q596" s="45"/>
      <c r="R596" s="45"/>
    </row>
    <row r="597" spans="1:18" x14ac:dyDescent="0.25">
      <c r="A597" s="45"/>
      <c r="B597" s="47"/>
      <c r="C597" s="47"/>
      <c r="D597" s="47"/>
      <c r="E597" s="45"/>
      <c r="F597" s="45"/>
      <c r="G597" s="45"/>
      <c r="H597" s="45"/>
      <c r="I597" s="45"/>
      <c r="J597" s="45"/>
      <c r="K597" s="45"/>
      <c r="L597" s="45"/>
      <c r="M597" s="45"/>
      <c r="N597" s="45"/>
      <c r="O597" s="45"/>
      <c r="P597" s="45"/>
      <c r="Q597" s="45"/>
      <c r="R597" s="45"/>
    </row>
    <row r="598" spans="1:18" x14ac:dyDescent="0.25">
      <c r="A598" s="45"/>
      <c r="B598" s="47"/>
      <c r="C598" s="47"/>
      <c r="D598" s="47"/>
      <c r="E598" s="45"/>
      <c r="F598" s="45"/>
      <c r="G598" s="45"/>
      <c r="H598" s="45"/>
      <c r="I598" s="45"/>
      <c r="J598" s="45"/>
      <c r="K598" s="45"/>
      <c r="L598" s="45"/>
      <c r="M598" s="45"/>
      <c r="N598" s="45"/>
      <c r="O598" s="45"/>
      <c r="P598" s="45"/>
      <c r="Q598" s="45"/>
      <c r="R598" s="45"/>
    </row>
    <row r="599" spans="1:18" x14ac:dyDescent="0.25">
      <c r="A599" s="45"/>
      <c r="B599" s="47"/>
      <c r="C599" s="47"/>
      <c r="D599" s="47"/>
      <c r="E599" s="45"/>
      <c r="F599" s="45"/>
      <c r="G599" s="45"/>
      <c r="H599" s="45"/>
      <c r="I599" s="45"/>
      <c r="J599" s="45"/>
      <c r="K599" s="45"/>
      <c r="L599" s="45"/>
      <c r="M599" s="45"/>
      <c r="N599" s="45"/>
      <c r="O599" s="45"/>
      <c r="P599" s="45"/>
      <c r="Q599" s="45"/>
      <c r="R599" s="45"/>
    </row>
    <row r="600" spans="1:18" x14ac:dyDescent="0.25">
      <c r="A600" s="45"/>
      <c r="B600" s="47"/>
      <c r="C600" s="47"/>
      <c r="D600" s="47"/>
      <c r="E600" s="45"/>
      <c r="F600" s="45"/>
      <c r="G600" s="45"/>
      <c r="H600" s="45"/>
      <c r="I600" s="45"/>
      <c r="J600" s="45"/>
      <c r="K600" s="45"/>
      <c r="L600" s="45"/>
      <c r="M600" s="45"/>
      <c r="N600" s="45"/>
      <c r="O600" s="45"/>
      <c r="P600" s="45"/>
      <c r="Q600" s="45"/>
      <c r="R600" s="45"/>
    </row>
    <row r="601" spans="1:18" x14ac:dyDescent="0.25">
      <c r="A601" s="45"/>
      <c r="B601" s="47"/>
      <c r="C601" s="47"/>
      <c r="D601" s="47"/>
      <c r="E601" s="45"/>
      <c r="F601" s="45"/>
      <c r="G601" s="45"/>
      <c r="H601" s="45"/>
      <c r="I601" s="45"/>
      <c r="J601" s="45"/>
      <c r="K601" s="45"/>
      <c r="L601" s="45"/>
      <c r="M601" s="45"/>
      <c r="N601" s="45"/>
      <c r="O601" s="45"/>
      <c r="P601" s="45"/>
      <c r="Q601" s="45"/>
      <c r="R601" s="45"/>
    </row>
    <row r="602" spans="1:18" x14ac:dyDescent="0.25">
      <c r="A602" s="45"/>
      <c r="B602" s="47"/>
      <c r="C602" s="47"/>
      <c r="D602" s="47"/>
      <c r="E602" s="45"/>
      <c r="F602" s="45"/>
      <c r="G602" s="45"/>
      <c r="H602" s="45"/>
      <c r="I602" s="45"/>
      <c r="J602" s="45"/>
      <c r="K602" s="45"/>
      <c r="L602" s="45"/>
      <c r="M602" s="45"/>
      <c r="N602" s="45"/>
      <c r="O602" s="45"/>
      <c r="P602" s="45"/>
      <c r="Q602" s="45"/>
      <c r="R602" s="45"/>
    </row>
    <row r="603" spans="1:18" x14ac:dyDescent="0.25">
      <c r="A603" s="45"/>
      <c r="B603" s="47"/>
      <c r="C603" s="47"/>
      <c r="D603" s="47"/>
      <c r="E603" s="45"/>
      <c r="F603" s="45"/>
      <c r="G603" s="45"/>
      <c r="H603" s="45"/>
      <c r="I603" s="45"/>
      <c r="J603" s="45"/>
      <c r="K603" s="45"/>
      <c r="L603" s="45"/>
      <c r="M603" s="45"/>
      <c r="N603" s="45"/>
      <c r="O603" s="45"/>
      <c r="P603" s="45"/>
      <c r="Q603" s="45"/>
      <c r="R603" s="45"/>
    </row>
    <row r="604" spans="1:18" x14ac:dyDescent="0.25">
      <c r="A604" s="45"/>
      <c r="B604" s="47"/>
      <c r="C604" s="47"/>
      <c r="D604" s="47"/>
      <c r="E604" s="45"/>
      <c r="F604" s="45"/>
      <c r="G604" s="45"/>
      <c r="H604" s="45"/>
      <c r="I604" s="45"/>
      <c r="J604" s="45"/>
      <c r="K604" s="45"/>
      <c r="L604" s="45"/>
      <c r="M604" s="45"/>
      <c r="N604" s="45"/>
      <c r="O604" s="45"/>
      <c r="P604" s="45"/>
      <c r="Q604" s="45"/>
      <c r="R604" s="45"/>
    </row>
    <row r="605" spans="1:18" x14ac:dyDescent="0.25">
      <c r="A605" s="45"/>
      <c r="B605" s="47"/>
      <c r="C605" s="47"/>
      <c r="D605" s="47"/>
      <c r="E605" s="45"/>
      <c r="F605" s="45"/>
      <c r="G605" s="45"/>
      <c r="H605" s="45"/>
      <c r="I605" s="45"/>
      <c r="J605" s="45"/>
      <c r="K605" s="45"/>
      <c r="L605" s="45"/>
      <c r="M605" s="45"/>
      <c r="N605" s="45"/>
      <c r="O605" s="45"/>
      <c r="P605" s="45"/>
      <c r="Q605" s="45"/>
      <c r="R605" s="45"/>
    </row>
    <row r="606" spans="1:18" x14ac:dyDescent="0.25">
      <c r="A606" s="45"/>
      <c r="B606" s="47"/>
      <c r="C606" s="47"/>
      <c r="D606" s="47"/>
      <c r="E606" s="45"/>
      <c r="F606" s="45"/>
      <c r="G606" s="45"/>
      <c r="H606" s="45"/>
      <c r="I606" s="45"/>
      <c r="J606" s="45"/>
      <c r="K606" s="45"/>
      <c r="L606" s="45"/>
      <c r="M606" s="45"/>
      <c r="N606" s="45"/>
      <c r="O606" s="45"/>
      <c r="P606" s="45"/>
      <c r="Q606" s="45"/>
      <c r="R606" s="45"/>
    </row>
    <row r="607" spans="1:18" x14ac:dyDescent="0.25">
      <c r="A607" s="45"/>
      <c r="B607" s="47"/>
      <c r="C607" s="47"/>
      <c r="D607" s="47"/>
      <c r="E607" s="45"/>
      <c r="F607" s="45"/>
      <c r="G607" s="45"/>
      <c r="H607" s="45"/>
      <c r="I607" s="45"/>
      <c r="J607" s="45"/>
      <c r="K607" s="45"/>
      <c r="L607" s="45"/>
      <c r="M607" s="45"/>
      <c r="N607" s="45"/>
      <c r="O607" s="45"/>
      <c r="P607" s="45"/>
      <c r="Q607" s="45"/>
      <c r="R607" s="45"/>
    </row>
    <row r="608" spans="1:18" x14ac:dyDescent="0.25">
      <c r="A608" s="45"/>
      <c r="B608" s="47"/>
      <c r="C608" s="47"/>
      <c r="D608" s="47"/>
      <c r="E608" s="45"/>
      <c r="F608" s="45"/>
      <c r="G608" s="45"/>
      <c r="H608" s="45"/>
      <c r="I608" s="45"/>
      <c r="J608" s="45"/>
      <c r="K608" s="45"/>
      <c r="L608" s="45"/>
      <c r="M608" s="45"/>
      <c r="N608" s="45"/>
      <c r="O608" s="45"/>
      <c r="P608" s="45"/>
      <c r="Q608" s="45"/>
      <c r="R608" s="45"/>
    </row>
    <row r="609" spans="1:18" x14ac:dyDescent="0.25">
      <c r="A609" s="45"/>
      <c r="B609" s="47"/>
      <c r="C609" s="47"/>
      <c r="D609" s="47"/>
      <c r="E609" s="45"/>
      <c r="F609" s="45"/>
      <c r="G609" s="45"/>
      <c r="H609" s="45"/>
      <c r="I609" s="45"/>
      <c r="J609" s="45"/>
      <c r="K609" s="45"/>
      <c r="L609" s="45"/>
      <c r="M609" s="45"/>
      <c r="N609" s="45"/>
      <c r="O609" s="45"/>
      <c r="P609" s="45"/>
      <c r="Q609" s="45"/>
      <c r="R609" s="45"/>
    </row>
    <row r="610" spans="1:18" x14ac:dyDescent="0.25">
      <c r="A610" s="45"/>
      <c r="B610" s="47"/>
      <c r="C610" s="47"/>
      <c r="D610" s="47"/>
      <c r="E610" s="45"/>
      <c r="F610" s="45"/>
      <c r="G610" s="45"/>
      <c r="H610" s="45"/>
      <c r="I610" s="45"/>
      <c r="J610" s="45"/>
      <c r="K610" s="45"/>
      <c r="L610" s="45"/>
      <c r="M610" s="45"/>
      <c r="N610" s="45"/>
      <c r="O610" s="45"/>
      <c r="P610" s="45"/>
      <c r="Q610" s="45"/>
      <c r="R610" s="45"/>
    </row>
    <row r="611" spans="1:18" x14ac:dyDescent="0.25">
      <c r="A611" s="45"/>
      <c r="B611" s="47"/>
      <c r="C611" s="47"/>
      <c r="D611" s="47"/>
      <c r="E611" s="45"/>
      <c r="F611" s="45"/>
      <c r="G611" s="45"/>
      <c r="H611" s="45"/>
      <c r="I611" s="45"/>
      <c r="J611" s="45"/>
      <c r="K611" s="45"/>
      <c r="L611" s="45"/>
      <c r="M611" s="45"/>
      <c r="N611" s="45"/>
      <c r="O611" s="45"/>
      <c r="P611" s="45"/>
      <c r="Q611" s="45"/>
      <c r="R611" s="45"/>
    </row>
    <row r="612" spans="1:18" x14ac:dyDescent="0.25">
      <c r="A612" s="45"/>
      <c r="B612" s="47"/>
      <c r="C612" s="47"/>
      <c r="D612" s="47"/>
      <c r="E612" s="45"/>
      <c r="F612" s="45"/>
      <c r="G612" s="45"/>
      <c r="H612" s="45"/>
      <c r="I612" s="45"/>
      <c r="J612" s="45"/>
      <c r="K612" s="45"/>
      <c r="L612" s="45"/>
      <c r="M612" s="45"/>
      <c r="N612" s="45"/>
      <c r="O612" s="45"/>
      <c r="P612" s="45"/>
      <c r="Q612" s="45"/>
      <c r="R612" s="45"/>
    </row>
    <row r="613" spans="1:18" x14ac:dyDescent="0.25">
      <c r="A613" s="45"/>
      <c r="B613" s="47"/>
      <c r="C613" s="47"/>
      <c r="D613" s="47"/>
      <c r="E613" s="45"/>
      <c r="F613" s="45"/>
      <c r="G613" s="45"/>
      <c r="H613" s="45"/>
      <c r="I613" s="45"/>
      <c r="J613" s="45"/>
      <c r="K613" s="45"/>
      <c r="L613" s="45"/>
      <c r="M613" s="45"/>
      <c r="N613" s="45"/>
      <c r="O613" s="45"/>
      <c r="P613" s="45"/>
      <c r="Q613" s="45"/>
      <c r="R613" s="45"/>
    </row>
    <row r="614" spans="1:18" x14ac:dyDescent="0.25">
      <c r="A614" s="45"/>
      <c r="B614" s="47"/>
      <c r="C614" s="47"/>
      <c r="D614" s="47"/>
      <c r="E614" s="45"/>
      <c r="F614" s="45"/>
      <c r="G614" s="45"/>
      <c r="H614" s="45"/>
      <c r="I614" s="45"/>
      <c r="J614" s="45"/>
      <c r="K614" s="45"/>
      <c r="L614" s="45"/>
      <c r="M614" s="45"/>
      <c r="N614" s="45"/>
      <c r="O614" s="45"/>
      <c r="P614" s="45"/>
      <c r="Q614" s="45"/>
      <c r="R614" s="45"/>
    </row>
    <row r="615" spans="1:18" x14ac:dyDescent="0.25">
      <c r="A615" s="45"/>
      <c r="B615" s="47"/>
      <c r="C615" s="47"/>
      <c r="D615" s="47"/>
      <c r="E615" s="45"/>
      <c r="F615" s="45"/>
      <c r="G615" s="45"/>
      <c r="H615" s="45"/>
      <c r="I615" s="45"/>
      <c r="J615" s="45"/>
      <c r="K615" s="45"/>
      <c r="L615" s="45"/>
      <c r="M615" s="45"/>
      <c r="N615" s="45"/>
      <c r="O615" s="45"/>
      <c r="P615" s="45"/>
      <c r="Q615" s="45"/>
      <c r="R615" s="45"/>
    </row>
    <row r="616" spans="1:18" x14ac:dyDescent="0.25">
      <c r="A616" s="45"/>
      <c r="B616" s="47"/>
      <c r="C616" s="47"/>
      <c r="D616" s="47"/>
      <c r="E616" s="45"/>
      <c r="F616" s="45"/>
      <c r="G616" s="45"/>
      <c r="H616" s="45"/>
      <c r="I616" s="45"/>
      <c r="J616" s="45"/>
      <c r="K616" s="45"/>
      <c r="L616" s="45"/>
      <c r="M616" s="45"/>
      <c r="N616" s="45"/>
      <c r="O616" s="45"/>
      <c r="P616" s="45"/>
      <c r="Q616" s="45"/>
      <c r="R616" s="45"/>
    </row>
    <row r="617" spans="1:18" x14ac:dyDescent="0.25">
      <c r="A617" s="45"/>
      <c r="B617" s="47"/>
      <c r="C617" s="47"/>
      <c r="D617" s="47"/>
      <c r="E617" s="45"/>
      <c r="F617" s="45"/>
      <c r="G617" s="45"/>
      <c r="H617" s="45"/>
      <c r="I617" s="45"/>
      <c r="J617" s="45"/>
      <c r="K617" s="45"/>
      <c r="L617" s="45"/>
      <c r="M617" s="45"/>
      <c r="N617" s="45"/>
      <c r="O617" s="45"/>
      <c r="P617" s="45"/>
      <c r="Q617" s="45"/>
      <c r="R617" s="45"/>
    </row>
    <row r="618" spans="1:18" x14ac:dyDescent="0.25">
      <c r="A618" s="45"/>
      <c r="B618" s="47"/>
      <c r="C618" s="47"/>
      <c r="D618" s="47"/>
      <c r="E618" s="45"/>
      <c r="F618" s="45"/>
      <c r="G618" s="45"/>
      <c r="H618" s="45"/>
      <c r="I618" s="45"/>
      <c r="J618" s="45"/>
      <c r="K618" s="45"/>
      <c r="L618" s="45"/>
      <c r="M618" s="45"/>
      <c r="N618" s="45"/>
      <c r="O618" s="45"/>
      <c r="P618" s="45"/>
      <c r="Q618" s="45"/>
      <c r="R618" s="45"/>
    </row>
    <row r="619" spans="1:18" x14ac:dyDescent="0.25">
      <c r="A619" s="45"/>
      <c r="B619" s="47"/>
      <c r="C619" s="47"/>
      <c r="D619" s="47"/>
      <c r="E619" s="45"/>
      <c r="F619" s="45"/>
      <c r="G619" s="45"/>
      <c r="H619" s="45"/>
      <c r="I619" s="45"/>
      <c r="J619" s="45"/>
      <c r="K619" s="45"/>
      <c r="L619" s="45"/>
      <c r="M619" s="45"/>
      <c r="N619" s="45"/>
      <c r="O619" s="45"/>
      <c r="P619" s="45"/>
      <c r="Q619" s="45"/>
      <c r="R619" s="45"/>
    </row>
    <row r="620" spans="1:18" x14ac:dyDescent="0.25">
      <c r="A620" s="45"/>
      <c r="B620" s="47"/>
      <c r="C620" s="47"/>
      <c r="D620" s="47"/>
      <c r="E620" s="45"/>
      <c r="F620" s="45"/>
      <c r="G620" s="45"/>
      <c r="H620" s="45"/>
      <c r="I620" s="45"/>
      <c r="J620" s="45"/>
      <c r="K620" s="45"/>
      <c r="L620" s="45"/>
      <c r="M620" s="45"/>
      <c r="N620" s="45"/>
      <c r="O620" s="45"/>
      <c r="P620" s="45"/>
      <c r="Q620" s="45"/>
      <c r="R620" s="45"/>
    </row>
    <row r="621" spans="1:18" x14ac:dyDescent="0.25">
      <c r="A621" s="45"/>
      <c r="B621" s="47"/>
      <c r="C621" s="47"/>
      <c r="D621" s="47"/>
      <c r="E621" s="45"/>
      <c r="F621" s="45"/>
      <c r="G621" s="45"/>
      <c r="H621" s="45"/>
      <c r="I621" s="45"/>
      <c r="J621" s="45"/>
      <c r="K621" s="45"/>
      <c r="L621" s="45"/>
      <c r="M621" s="45"/>
      <c r="N621" s="45"/>
      <c r="O621" s="45"/>
      <c r="P621" s="45"/>
      <c r="Q621" s="45"/>
      <c r="R621" s="45"/>
    </row>
    <row r="622" spans="1:18" x14ac:dyDescent="0.25">
      <c r="A622" s="45"/>
      <c r="B622" s="47"/>
      <c r="C622" s="47"/>
      <c r="D622" s="47"/>
      <c r="E622" s="45"/>
      <c r="F622" s="45"/>
      <c r="G622" s="45"/>
      <c r="H622" s="45"/>
      <c r="I622" s="45"/>
      <c r="J622" s="45"/>
      <c r="K622" s="45"/>
      <c r="L622" s="45"/>
      <c r="M622" s="45"/>
      <c r="N622" s="45"/>
      <c r="O622" s="45"/>
      <c r="P622" s="45"/>
      <c r="Q622" s="45"/>
      <c r="R622" s="45"/>
    </row>
    <row r="623" spans="1:18" x14ac:dyDescent="0.25">
      <c r="A623" s="45"/>
      <c r="B623" s="47"/>
      <c r="C623" s="47"/>
      <c r="D623" s="47"/>
      <c r="E623" s="45"/>
      <c r="F623" s="45"/>
      <c r="G623" s="45"/>
      <c r="H623" s="45"/>
      <c r="I623" s="45"/>
      <c r="J623" s="45"/>
      <c r="K623" s="45"/>
      <c r="L623" s="45"/>
      <c r="M623" s="45"/>
      <c r="N623" s="45"/>
      <c r="O623" s="45"/>
      <c r="P623" s="45"/>
      <c r="Q623" s="45"/>
      <c r="R623" s="45"/>
    </row>
    <row r="624" spans="1:18" x14ac:dyDescent="0.25">
      <c r="A624" s="45"/>
      <c r="B624" s="47"/>
      <c r="C624" s="47"/>
      <c r="D624" s="47"/>
      <c r="E624" s="45"/>
      <c r="F624" s="45"/>
      <c r="G624" s="45"/>
      <c r="H624" s="45"/>
      <c r="I624" s="45"/>
      <c r="J624" s="45"/>
      <c r="K624" s="45"/>
      <c r="L624" s="45"/>
      <c r="M624" s="45"/>
      <c r="N624" s="45"/>
      <c r="O624" s="45"/>
      <c r="P624" s="45"/>
      <c r="Q624" s="45"/>
      <c r="R624" s="45"/>
    </row>
    <row r="625" spans="1:18" x14ac:dyDescent="0.25">
      <c r="A625" s="45"/>
      <c r="B625" s="47"/>
      <c r="C625" s="47"/>
      <c r="D625" s="47"/>
      <c r="E625" s="45"/>
      <c r="F625" s="45"/>
      <c r="G625" s="45"/>
      <c r="H625" s="45"/>
      <c r="I625" s="45"/>
      <c r="J625" s="45"/>
      <c r="K625" s="45"/>
      <c r="L625" s="45"/>
      <c r="M625" s="45"/>
      <c r="N625" s="45"/>
      <c r="O625" s="45"/>
      <c r="P625" s="45"/>
      <c r="Q625" s="45"/>
      <c r="R625" s="45"/>
    </row>
    <row r="626" spans="1:18" x14ac:dyDescent="0.25">
      <c r="A626" s="45"/>
      <c r="B626" s="47"/>
      <c r="C626" s="47"/>
      <c r="D626" s="47"/>
      <c r="E626" s="45"/>
      <c r="F626" s="45"/>
      <c r="G626" s="45"/>
      <c r="H626" s="45"/>
      <c r="I626" s="45"/>
      <c r="J626" s="45"/>
      <c r="K626" s="45"/>
      <c r="L626" s="45"/>
      <c r="M626" s="45"/>
      <c r="N626" s="45"/>
      <c r="O626" s="45"/>
      <c r="P626" s="45"/>
      <c r="Q626" s="45"/>
      <c r="R626" s="45"/>
    </row>
    <row r="627" spans="1:18" x14ac:dyDescent="0.25">
      <c r="A627" s="45"/>
      <c r="B627" s="47"/>
      <c r="C627" s="47"/>
      <c r="D627" s="47"/>
      <c r="E627" s="45"/>
      <c r="F627" s="45"/>
      <c r="G627" s="45"/>
      <c r="H627" s="45"/>
      <c r="I627" s="45"/>
      <c r="J627" s="45"/>
      <c r="K627" s="45"/>
      <c r="L627" s="45"/>
      <c r="M627" s="45"/>
      <c r="N627" s="45"/>
      <c r="O627" s="45"/>
      <c r="P627" s="45"/>
      <c r="Q627" s="45"/>
      <c r="R627" s="45"/>
    </row>
    <row r="628" spans="1:18" x14ac:dyDescent="0.25">
      <c r="A628" s="45"/>
      <c r="B628" s="47"/>
      <c r="C628" s="47"/>
      <c r="D628" s="47"/>
      <c r="E628" s="45"/>
      <c r="F628" s="45"/>
      <c r="G628" s="45"/>
      <c r="H628" s="45"/>
      <c r="I628" s="45"/>
      <c r="J628" s="45"/>
      <c r="K628" s="45"/>
      <c r="L628" s="45"/>
      <c r="M628" s="45"/>
      <c r="N628" s="45"/>
      <c r="O628" s="45"/>
      <c r="P628" s="45"/>
      <c r="Q628" s="45"/>
      <c r="R628" s="45"/>
    </row>
    <row r="629" spans="1:18" x14ac:dyDescent="0.25">
      <c r="A629" s="45"/>
      <c r="B629" s="47"/>
      <c r="C629" s="47"/>
      <c r="D629" s="47"/>
      <c r="E629" s="45"/>
      <c r="F629" s="45"/>
      <c r="G629" s="45"/>
      <c r="H629" s="45"/>
      <c r="I629" s="45"/>
      <c r="J629" s="45"/>
      <c r="K629" s="45"/>
      <c r="L629" s="45"/>
      <c r="M629" s="45"/>
      <c r="N629" s="45"/>
      <c r="O629" s="45"/>
      <c r="P629" s="45"/>
      <c r="Q629" s="45"/>
      <c r="R629" s="45"/>
    </row>
    <row r="630" spans="1:18" x14ac:dyDescent="0.25">
      <c r="A630" s="45"/>
      <c r="B630" s="47"/>
      <c r="C630" s="47"/>
      <c r="D630" s="47"/>
      <c r="E630" s="45"/>
      <c r="F630" s="45"/>
      <c r="G630" s="45"/>
      <c r="H630" s="45"/>
      <c r="I630" s="45"/>
      <c r="J630" s="45"/>
      <c r="K630" s="45"/>
      <c r="L630" s="45"/>
      <c r="M630" s="45"/>
      <c r="N630" s="45"/>
      <c r="O630" s="45"/>
      <c r="P630" s="45"/>
      <c r="Q630" s="45"/>
      <c r="R630" s="45"/>
    </row>
    <row r="631" spans="1:18" x14ac:dyDescent="0.25">
      <c r="A631" s="45"/>
      <c r="B631" s="47"/>
      <c r="C631" s="47"/>
      <c r="D631" s="47"/>
      <c r="E631" s="45"/>
      <c r="F631" s="45"/>
      <c r="G631" s="45"/>
      <c r="H631" s="45"/>
      <c r="I631" s="45"/>
      <c r="J631" s="45"/>
      <c r="K631" s="45"/>
      <c r="L631" s="45"/>
      <c r="M631" s="45"/>
      <c r="N631" s="45"/>
      <c r="O631" s="45"/>
      <c r="P631" s="45"/>
      <c r="Q631" s="45"/>
      <c r="R631" s="45"/>
    </row>
    <row r="632" spans="1:18" x14ac:dyDescent="0.25">
      <c r="A632" s="45"/>
      <c r="B632" s="47"/>
      <c r="C632" s="47"/>
      <c r="D632" s="47"/>
      <c r="E632" s="45"/>
      <c r="F632" s="45"/>
      <c r="G632" s="45"/>
      <c r="H632" s="45"/>
      <c r="I632" s="45"/>
      <c r="J632" s="45"/>
      <c r="K632" s="45"/>
      <c r="L632" s="45"/>
      <c r="M632" s="45"/>
      <c r="N632" s="45"/>
      <c r="O632" s="45"/>
      <c r="P632" s="45"/>
      <c r="Q632" s="45"/>
      <c r="R632" s="45"/>
    </row>
    <row r="633" spans="1:18" x14ac:dyDescent="0.25">
      <c r="A633" s="45"/>
      <c r="B633" s="47"/>
      <c r="C633" s="47"/>
      <c r="D633" s="47"/>
      <c r="E633" s="45"/>
      <c r="F633" s="45"/>
      <c r="G633" s="45"/>
      <c r="H633" s="45"/>
      <c r="I633" s="45"/>
      <c r="J633" s="45"/>
      <c r="K633" s="45"/>
      <c r="L633" s="45"/>
      <c r="M633" s="45"/>
      <c r="N633" s="45"/>
      <c r="O633" s="45"/>
      <c r="P633" s="45"/>
      <c r="Q633" s="45"/>
      <c r="R633" s="45"/>
    </row>
    <row r="634" spans="1:18" x14ac:dyDescent="0.25">
      <c r="A634" s="45"/>
      <c r="B634" s="47"/>
      <c r="C634" s="47"/>
      <c r="D634" s="47"/>
      <c r="E634" s="45"/>
      <c r="F634" s="45"/>
      <c r="G634" s="45"/>
      <c r="H634" s="45"/>
      <c r="I634" s="45"/>
      <c r="J634" s="45"/>
      <c r="K634" s="45"/>
      <c r="L634" s="45"/>
      <c r="M634" s="45"/>
      <c r="N634" s="45"/>
      <c r="O634" s="45"/>
      <c r="P634" s="45"/>
      <c r="Q634" s="45"/>
      <c r="R634" s="45"/>
    </row>
    <row r="635" spans="1:18" x14ac:dyDescent="0.25">
      <c r="A635" s="45"/>
      <c r="B635" s="47"/>
      <c r="C635" s="47"/>
      <c r="D635" s="47"/>
      <c r="E635" s="45"/>
      <c r="F635" s="45"/>
      <c r="G635" s="45"/>
      <c r="H635" s="45"/>
      <c r="I635" s="45"/>
      <c r="J635" s="45"/>
      <c r="K635" s="45"/>
      <c r="L635" s="45"/>
      <c r="M635" s="45"/>
      <c r="N635" s="45"/>
      <c r="O635" s="45"/>
      <c r="P635" s="45"/>
      <c r="Q635" s="45"/>
      <c r="R635" s="45"/>
    </row>
    <row r="636" spans="1:18" x14ac:dyDescent="0.25">
      <c r="A636" s="45"/>
      <c r="B636" s="47"/>
      <c r="C636" s="47"/>
      <c r="D636" s="47"/>
      <c r="E636" s="45"/>
      <c r="F636" s="45"/>
      <c r="G636" s="45"/>
      <c r="H636" s="45"/>
      <c r="I636" s="45"/>
      <c r="J636" s="45"/>
      <c r="K636" s="45"/>
      <c r="L636" s="45"/>
      <c r="M636" s="45"/>
      <c r="N636" s="45"/>
      <c r="O636" s="45"/>
      <c r="P636" s="45"/>
      <c r="Q636" s="45"/>
      <c r="R636" s="45"/>
    </row>
    <row r="637" spans="1:18" x14ac:dyDescent="0.25">
      <c r="A637" s="45"/>
      <c r="B637" s="47"/>
      <c r="C637" s="47"/>
      <c r="D637" s="47"/>
      <c r="E637" s="45"/>
      <c r="F637" s="45"/>
      <c r="G637" s="45"/>
      <c r="H637" s="45"/>
      <c r="I637" s="45"/>
      <c r="J637" s="45"/>
      <c r="K637" s="45"/>
      <c r="L637" s="45"/>
      <c r="M637" s="45"/>
      <c r="N637" s="45"/>
      <c r="O637" s="45"/>
      <c r="P637" s="45"/>
      <c r="Q637" s="45"/>
      <c r="R637" s="45"/>
    </row>
    <row r="638" spans="1:18" x14ac:dyDescent="0.25">
      <c r="A638" s="45"/>
      <c r="B638" s="47"/>
      <c r="C638" s="47"/>
      <c r="D638" s="47"/>
      <c r="E638" s="45"/>
      <c r="F638" s="45"/>
      <c r="G638" s="45"/>
      <c r="H638" s="45"/>
      <c r="I638" s="45"/>
      <c r="J638" s="45"/>
      <c r="K638" s="45"/>
      <c r="L638" s="45"/>
      <c r="M638" s="45"/>
      <c r="N638" s="45"/>
      <c r="O638" s="45"/>
      <c r="P638" s="45"/>
      <c r="Q638" s="45"/>
      <c r="R638" s="45"/>
    </row>
    <row r="639" spans="1:18" x14ac:dyDescent="0.25">
      <c r="A639" s="45"/>
      <c r="B639" s="47"/>
      <c r="C639" s="47"/>
      <c r="D639" s="47"/>
      <c r="E639" s="45"/>
      <c r="F639" s="45"/>
      <c r="G639" s="45"/>
      <c r="H639" s="45"/>
      <c r="I639" s="45"/>
      <c r="J639" s="45"/>
      <c r="K639" s="45"/>
      <c r="L639" s="45"/>
      <c r="M639" s="45"/>
      <c r="N639" s="45"/>
      <c r="O639" s="45"/>
      <c r="P639" s="45"/>
      <c r="Q639" s="45"/>
      <c r="R639" s="45"/>
    </row>
    <row r="640" spans="1:18" x14ac:dyDescent="0.25">
      <c r="A640" s="45"/>
      <c r="B640" s="47"/>
      <c r="C640" s="47"/>
      <c r="D640" s="47"/>
      <c r="E640" s="45"/>
      <c r="F640" s="45"/>
      <c r="G640" s="45"/>
      <c r="H640" s="45"/>
      <c r="I640" s="45"/>
      <c r="J640" s="45"/>
      <c r="K640" s="45"/>
      <c r="L640" s="45"/>
      <c r="M640" s="45"/>
      <c r="N640" s="45"/>
      <c r="O640" s="45"/>
      <c r="P640" s="45"/>
      <c r="Q640" s="45"/>
      <c r="R640" s="45"/>
    </row>
    <row r="641" spans="1:18" x14ac:dyDescent="0.25">
      <c r="A641" s="45"/>
      <c r="B641" s="47"/>
      <c r="C641" s="47"/>
      <c r="D641" s="47"/>
      <c r="E641" s="45"/>
      <c r="F641" s="45"/>
      <c r="G641" s="45"/>
      <c r="H641" s="45"/>
      <c r="I641" s="45"/>
      <c r="J641" s="45"/>
      <c r="K641" s="45"/>
      <c r="L641" s="45"/>
      <c r="M641" s="45"/>
      <c r="N641" s="45"/>
      <c r="O641" s="45"/>
      <c r="P641" s="45"/>
      <c r="Q641" s="45"/>
      <c r="R641" s="45"/>
    </row>
    <row r="642" spans="1:18" x14ac:dyDescent="0.25">
      <c r="A642" s="45"/>
      <c r="B642" s="47"/>
      <c r="C642" s="47"/>
      <c r="D642" s="47"/>
      <c r="E642" s="45"/>
      <c r="F642" s="45"/>
      <c r="G642" s="45"/>
      <c r="H642" s="45"/>
      <c r="I642" s="45"/>
      <c r="J642" s="45"/>
      <c r="K642" s="45"/>
      <c r="L642" s="45"/>
      <c r="M642" s="45"/>
      <c r="N642" s="45"/>
      <c r="O642" s="45"/>
      <c r="P642" s="45"/>
      <c r="Q642" s="45"/>
      <c r="R642" s="45"/>
    </row>
    <row r="643" spans="1:18" x14ac:dyDescent="0.25">
      <c r="A643" s="45"/>
      <c r="B643" s="47"/>
      <c r="C643" s="47"/>
      <c r="D643" s="47"/>
      <c r="E643" s="45"/>
      <c r="F643" s="45"/>
      <c r="G643" s="45"/>
      <c r="H643" s="45"/>
      <c r="I643" s="45"/>
      <c r="J643" s="45"/>
      <c r="K643" s="45"/>
      <c r="L643" s="45"/>
      <c r="M643" s="45"/>
      <c r="N643" s="45"/>
      <c r="O643" s="45"/>
      <c r="P643" s="45"/>
      <c r="Q643" s="45"/>
      <c r="R643" s="45"/>
    </row>
    <row r="644" spans="1:18" x14ac:dyDescent="0.25">
      <c r="A644" s="45"/>
      <c r="B644" s="47"/>
      <c r="C644" s="47"/>
      <c r="D644" s="47"/>
      <c r="E644" s="45"/>
      <c r="F644" s="45"/>
      <c r="G644" s="45"/>
      <c r="H644" s="45"/>
      <c r="I644" s="45"/>
      <c r="J644" s="45"/>
      <c r="K644" s="45"/>
      <c r="L644" s="45"/>
      <c r="M644" s="45"/>
      <c r="N644" s="45"/>
      <c r="O644" s="45"/>
      <c r="P644" s="45"/>
      <c r="Q644" s="45"/>
      <c r="R644" s="45"/>
    </row>
    <row r="645" spans="1:18" x14ac:dyDescent="0.25">
      <c r="A645" s="45"/>
      <c r="B645" s="47"/>
      <c r="C645" s="47"/>
      <c r="D645" s="47"/>
      <c r="E645" s="45"/>
      <c r="F645" s="45"/>
      <c r="G645" s="45"/>
      <c r="H645" s="45"/>
      <c r="I645" s="45"/>
      <c r="J645" s="45"/>
      <c r="K645" s="45"/>
      <c r="L645" s="45"/>
      <c r="M645" s="45"/>
      <c r="N645" s="45"/>
      <c r="O645" s="45"/>
      <c r="P645" s="45"/>
      <c r="Q645" s="45"/>
      <c r="R645" s="45"/>
    </row>
    <row r="646" spans="1:18" x14ac:dyDescent="0.25">
      <c r="A646" s="45"/>
      <c r="B646" s="47"/>
      <c r="C646" s="47"/>
      <c r="D646" s="47"/>
      <c r="E646" s="45"/>
      <c r="F646" s="45"/>
      <c r="G646" s="45"/>
      <c r="H646" s="45"/>
      <c r="I646" s="45"/>
      <c r="J646" s="45"/>
      <c r="K646" s="45"/>
      <c r="L646" s="45"/>
      <c r="M646" s="45"/>
      <c r="N646" s="45"/>
      <c r="O646" s="45"/>
      <c r="P646" s="45"/>
      <c r="Q646" s="45"/>
      <c r="R646" s="45"/>
    </row>
    <row r="647" spans="1:18" x14ac:dyDescent="0.25">
      <c r="A647" s="45"/>
      <c r="B647" s="47"/>
      <c r="C647" s="47"/>
      <c r="D647" s="47"/>
      <c r="E647" s="45"/>
      <c r="F647" s="45"/>
      <c r="G647" s="45"/>
      <c r="H647" s="45"/>
      <c r="I647" s="45"/>
      <c r="J647" s="45"/>
      <c r="K647" s="45"/>
      <c r="L647" s="45"/>
      <c r="M647" s="45"/>
      <c r="N647" s="45"/>
      <c r="O647" s="45"/>
      <c r="P647" s="45"/>
      <c r="Q647" s="45"/>
      <c r="R647" s="45"/>
    </row>
    <row r="648" spans="1:18" x14ac:dyDescent="0.25">
      <c r="A648" s="45"/>
      <c r="B648" s="47"/>
      <c r="C648" s="47"/>
      <c r="D648" s="47"/>
      <c r="E648" s="45"/>
      <c r="F648" s="45"/>
      <c r="G648" s="45"/>
      <c r="H648" s="45"/>
      <c r="I648" s="45"/>
      <c r="J648" s="45"/>
      <c r="K648" s="45"/>
      <c r="L648" s="45"/>
      <c r="M648" s="45"/>
      <c r="N648" s="45"/>
      <c r="O648" s="45"/>
      <c r="P648" s="45"/>
      <c r="Q648" s="45"/>
      <c r="R648" s="45"/>
    </row>
    <row r="649" spans="1:18" x14ac:dyDescent="0.25">
      <c r="A649" s="45"/>
      <c r="B649" s="47"/>
      <c r="C649" s="47"/>
      <c r="D649" s="47"/>
      <c r="E649" s="45"/>
      <c r="F649" s="45"/>
      <c r="G649" s="45"/>
      <c r="H649" s="45"/>
      <c r="I649" s="45"/>
      <c r="J649" s="45"/>
      <c r="K649" s="45"/>
      <c r="L649" s="45"/>
      <c r="M649" s="45"/>
      <c r="N649" s="45"/>
      <c r="O649" s="45"/>
      <c r="P649" s="45"/>
      <c r="Q649" s="45"/>
      <c r="R649" s="45"/>
    </row>
    <row r="650" spans="1:18" x14ac:dyDescent="0.25">
      <c r="A650" s="45"/>
      <c r="B650" s="47"/>
      <c r="C650" s="47"/>
      <c r="D650" s="47"/>
      <c r="E650" s="45"/>
      <c r="F650" s="45"/>
      <c r="G650" s="45"/>
      <c r="H650" s="45"/>
      <c r="I650" s="45"/>
      <c r="J650" s="45"/>
      <c r="K650" s="45"/>
      <c r="L650" s="45"/>
      <c r="M650" s="45"/>
      <c r="N650" s="45"/>
      <c r="O650" s="45"/>
      <c r="P650" s="45"/>
      <c r="Q650" s="45"/>
      <c r="R650" s="45"/>
    </row>
    <row r="651" spans="1:18" x14ac:dyDescent="0.25">
      <c r="A651" s="45"/>
      <c r="B651" s="47"/>
      <c r="C651" s="47"/>
      <c r="D651" s="47"/>
      <c r="E651" s="45"/>
      <c r="F651" s="45"/>
      <c r="G651" s="45"/>
      <c r="H651" s="45"/>
      <c r="I651" s="45"/>
      <c r="J651" s="45"/>
      <c r="K651" s="45"/>
      <c r="L651" s="45"/>
      <c r="M651" s="45"/>
      <c r="N651" s="45"/>
      <c r="O651" s="45"/>
      <c r="P651" s="45"/>
      <c r="Q651" s="45"/>
      <c r="R651" s="45"/>
    </row>
    <row r="652" spans="1:18" x14ac:dyDescent="0.25">
      <c r="A652" s="45"/>
      <c r="B652" s="47"/>
      <c r="C652" s="47"/>
      <c r="D652" s="47"/>
      <c r="E652" s="45"/>
      <c r="F652" s="45"/>
      <c r="G652" s="45"/>
      <c r="H652" s="45"/>
      <c r="I652" s="45"/>
      <c r="J652" s="45"/>
      <c r="K652" s="45"/>
      <c r="L652" s="45"/>
      <c r="M652" s="45"/>
      <c r="N652" s="45"/>
      <c r="O652" s="45"/>
      <c r="P652" s="45"/>
      <c r="Q652" s="45"/>
      <c r="R652" s="45"/>
    </row>
    <row r="653" spans="1:18" x14ac:dyDescent="0.25">
      <c r="A653" s="45"/>
      <c r="B653" s="47"/>
      <c r="C653" s="47"/>
      <c r="D653" s="47"/>
      <c r="E653" s="45"/>
      <c r="F653" s="45"/>
      <c r="G653" s="45"/>
      <c r="H653" s="45"/>
      <c r="I653" s="45"/>
      <c r="J653" s="45"/>
      <c r="K653" s="45"/>
      <c r="L653" s="45"/>
      <c r="M653" s="45"/>
      <c r="N653" s="45"/>
      <c r="O653" s="45"/>
      <c r="P653" s="45"/>
      <c r="Q653" s="45"/>
      <c r="R653" s="45"/>
    </row>
    <row r="654" spans="1:18" x14ac:dyDescent="0.25">
      <c r="A654" s="45"/>
      <c r="B654" s="47"/>
      <c r="C654" s="47"/>
      <c r="D654" s="47"/>
      <c r="E654" s="45"/>
      <c r="F654" s="45"/>
      <c r="G654" s="45"/>
      <c r="H654" s="45"/>
      <c r="I654" s="45"/>
      <c r="J654" s="45"/>
      <c r="K654" s="45"/>
      <c r="L654" s="45"/>
      <c r="M654" s="45"/>
      <c r="N654" s="45"/>
      <c r="O654" s="45"/>
      <c r="P654" s="45"/>
      <c r="Q654" s="45"/>
      <c r="R654" s="45"/>
    </row>
    <row r="655" spans="1:18" x14ac:dyDescent="0.25">
      <c r="A655" s="45"/>
      <c r="B655" s="47"/>
      <c r="C655" s="47"/>
      <c r="D655" s="47"/>
      <c r="E655" s="45"/>
      <c r="F655" s="45"/>
      <c r="G655" s="45"/>
      <c r="H655" s="45"/>
      <c r="I655" s="45"/>
      <c r="J655" s="45"/>
      <c r="K655" s="45"/>
      <c r="L655" s="45"/>
      <c r="M655" s="45"/>
      <c r="N655" s="45"/>
      <c r="O655" s="45"/>
      <c r="P655" s="45"/>
      <c r="Q655" s="45"/>
      <c r="R655" s="45"/>
    </row>
    <row r="656" spans="1:18" x14ac:dyDescent="0.25">
      <c r="A656" s="45"/>
      <c r="B656" s="47"/>
      <c r="C656" s="47"/>
      <c r="D656" s="47"/>
      <c r="E656" s="45"/>
      <c r="F656" s="45"/>
      <c r="G656" s="45"/>
      <c r="H656" s="45"/>
      <c r="I656" s="45"/>
      <c r="J656" s="45"/>
      <c r="K656" s="45"/>
      <c r="L656" s="45"/>
      <c r="M656" s="45"/>
      <c r="N656" s="45"/>
      <c r="O656" s="45"/>
      <c r="P656" s="45"/>
      <c r="Q656" s="45"/>
      <c r="R656" s="45"/>
    </row>
    <row r="657" spans="1:18" x14ac:dyDescent="0.25">
      <c r="A657" s="45"/>
      <c r="B657" s="47"/>
      <c r="C657" s="47"/>
      <c r="D657" s="47"/>
      <c r="E657" s="45"/>
      <c r="F657" s="45"/>
      <c r="G657" s="45"/>
      <c r="H657" s="45"/>
      <c r="I657" s="45"/>
      <c r="J657" s="45"/>
      <c r="K657" s="45"/>
      <c r="L657" s="45"/>
      <c r="M657" s="45"/>
      <c r="N657" s="45"/>
      <c r="O657" s="45"/>
      <c r="P657" s="45"/>
      <c r="Q657" s="45"/>
      <c r="R657" s="45"/>
    </row>
    <row r="658" spans="1:18" x14ac:dyDescent="0.25">
      <c r="A658" s="45"/>
      <c r="B658" s="47"/>
      <c r="C658" s="47"/>
      <c r="D658" s="47"/>
      <c r="E658" s="45"/>
      <c r="F658" s="45"/>
      <c r="G658" s="45"/>
      <c r="H658" s="45"/>
      <c r="I658" s="45"/>
      <c r="J658" s="45"/>
      <c r="K658" s="45"/>
      <c r="L658" s="45"/>
      <c r="M658" s="45"/>
      <c r="N658" s="45"/>
      <c r="O658" s="45"/>
      <c r="P658" s="45"/>
      <c r="Q658" s="45"/>
      <c r="R658" s="45"/>
    </row>
    <row r="659" spans="1:18" x14ac:dyDescent="0.25">
      <c r="A659" s="45"/>
      <c r="B659" s="47"/>
      <c r="C659" s="47"/>
      <c r="D659" s="47"/>
      <c r="E659" s="45"/>
      <c r="F659" s="45"/>
      <c r="G659" s="45"/>
      <c r="H659" s="45"/>
      <c r="I659" s="45"/>
      <c r="J659" s="45"/>
      <c r="K659" s="45"/>
      <c r="L659" s="45"/>
      <c r="M659" s="45"/>
      <c r="N659" s="45"/>
      <c r="O659" s="45"/>
      <c r="P659" s="45"/>
      <c r="Q659" s="45"/>
      <c r="R659" s="45"/>
    </row>
    <row r="660" spans="1:18" x14ac:dyDescent="0.25">
      <c r="A660" s="45"/>
      <c r="B660" s="47"/>
      <c r="C660" s="47"/>
      <c r="D660" s="47"/>
      <c r="E660" s="45"/>
      <c r="F660" s="45"/>
      <c r="G660" s="45"/>
      <c r="H660" s="45"/>
      <c r="I660" s="45"/>
      <c r="J660" s="45"/>
      <c r="K660" s="45"/>
      <c r="L660" s="45"/>
      <c r="M660" s="45"/>
      <c r="N660" s="45"/>
      <c r="O660" s="45"/>
      <c r="P660" s="45"/>
      <c r="Q660" s="45"/>
      <c r="R660" s="45"/>
    </row>
    <row r="661" spans="1:18" x14ac:dyDescent="0.25">
      <c r="A661" s="45"/>
      <c r="B661" s="47"/>
      <c r="C661" s="47"/>
      <c r="D661" s="47"/>
      <c r="E661" s="45"/>
      <c r="F661" s="45"/>
      <c r="G661" s="45"/>
      <c r="H661" s="45"/>
      <c r="I661" s="45"/>
      <c r="J661" s="45"/>
      <c r="K661" s="45"/>
      <c r="L661" s="45"/>
      <c r="M661" s="45"/>
      <c r="N661" s="45"/>
      <c r="O661" s="45"/>
      <c r="P661" s="45"/>
      <c r="Q661" s="45"/>
      <c r="R661" s="45"/>
    </row>
    <row r="662" spans="1:18" x14ac:dyDescent="0.25">
      <c r="A662" s="45"/>
      <c r="B662" s="47"/>
      <c r="C662" s="47"/>
      <c r="D662" s="47"/>
      <c r="E662" s="45"/>
      <c r="F662" s="45"/>
      <c r="G662" s="45"/>
      <c r="H662" s="45"/>
      <c r="I662" s="45"/>
      <c r="J662" s="45"/>
      <c r="K662" s="45"/>
      <c r="L662" s="45"/>
      <c r="M662" s="45"/>
      <c r="N662" s="45"/>
      <c r="O662" s="45"/>
      <c r="P662" s="45"/>
      <c r="Q662" s="45"/>
      <c r="R662" s="45"/>
    </row>
    <row r="663" spans="1:18" x14ac:dyDescent="0.25">
      <c r="A663" s="45"/>
      <c r="B663" s="47"/>
      <c r="C663" s="47"/>
      <c r="D663" s="47"/>
      <c r="E663" s="45"/>
      <c r="F663" s="45"/>
      <c r="G663" s="45"/>
      <c r="H663" s="45"/>
      <c r="I663" s="45"/>
      <c r="J663" s="45"/>
      <c r="K663" s="45"/>
      <c r="L663" s="45"/>
      <c r="M663" s="45"/>
      <c r="N663" s="45"/>
      <c r="O663" s="45"/>
      <c r="P663" s="45"/>
      <c r="Q663" s="45"/>
      <c r="R663" s="45"/>
    </row>
    <row r="664" spans="1:18" x14ac:dyDescent="0.25">
      <c r="A664" s="45"/>
      <c r="B664" s="47"/>
      <c r="C664" s="47"/>
      <c r="D664" s="47"/>
      <c r="E664" s="45"/>
      <c r="F664" s="45"/>
      <c r="G664" s="45"/>
      <c r="H664" s="45"/>
      <c r="I664" s="45"/>
      <c r="J664" s="45"/>
      <c r="K664" s="45"/>
      <c r="L664" s="45"/>
      <c r="M664" s="45"/>
      <c r="N664" s="45"/>
      <c r="O664" s="45"/>
      <c r="P664" s="45"/>
      <c r="Q664" s="45"/>
      <c r="R664" s="45"/>
    </row>
    <row r="665" spans="1:18" x14ac:dyDescent="0.25">
      <c r="A665" s="45"/>
      <c r="B665" s="47"/>
      <c r="C665" s="47"/>
      <c r="D665" s="47"/>
      <c r="E665" s="45"/>
      <c r="F665" s="45"/>
      <c r="G665" s="45"/>
      <c r="H665" s="45"/>
      <c r="I665" s="45"/>
      <c r="J665" s="45"/>
      <c r="K665" s="45"/>
      <c r="L665" s="45"/>
      <c r="M665" s="45"/>
      <c r="N665" s="45"/>
      <c r="O665" s="45"/>
      <c r="P665" s="45"/>
      <c r="Q665" s="45"/>
      <c r="R665" s="45"/>
    </row>
    <row r="666" spans="1:18" x14ac:dyDescent="0.25">
      <c r="A666" s="45"/>
      <c r="B666" s="47"/>
      <c r="C666" s="47"/>
      <c r="D666" s="47"/>
      <c r="E666" s="45"/>
      <c r="F666" s="45"/>
      <c r="G666" s="45"/>
      <c r="H666" s="45"/>
      <c r="I666" s="45"/>
      <c r="J666" s="45"/>
      <c r="K666" s="45"/>
      <c r="L666" s="45"/>
      <c r="M666" s="45"/>
      <c r="N666" s="45"/>
      <c r="O666" s="45"/>
      <c r="P666" s="45"/>
      <c r="Q666" s="45"/>
      <c r="R666" s="45"/>
    </row>
    <row r="667" spans="1:18" x14ac:dyDescent="0.25">
      <c r="A667" s="45"/>
      <c r="B667" s="47"/>
      <c r="C667" s="47"/>
      <c r="D667" s="47"/>
      <c r="E667" s="45"/>
      <c r="F667" s="45"/>
      <c r="G667" s="45"/>
      <c r="H667" s="45"/>
      <c r="I667" s="45"/>
      <c r="J667" s="45"/>
      <c r="K667" s="45"/>
      <c r="L667" s="45"/>
      <c r="M667" s="45"/>
      <c r="N667" s="45"/>
      <c r="O667" s="45"/>
      <c r="P667" s="45"/>
      <c r="Q667" s="45"/>
      <c r="R667" s="45"/>
    </row>
    <row r="668" spans="1:18" x14ac:dyDescent="0.25">
      <c r="A668" s="45"/>
      <c r="B668" s="47"/>
      <c r="C668" s="47"/>
      <c r="D668" s="47"/>
      <c r="E668" s="45"/>
      <c r="F668" s="45"/>
      <c r="G668" s="45"/>
      <c r="H668" s="45"/>
      <c r="I668" s="45"/>
      <c r="J668" s="45"/>
      <c r="K668" s="45"/>
      <c r="L668" s="45"/>
      <c r="M668" s="45"/>
      <c r="N668" s="45"/>
      <c r="O668" s="45"/>
      <c r="P668" s="45"/>
      <c r="Q668" s="45"/>
      <c r="R668" s="45"/>
    </row>
    <row r="669" spans="1:18" x14ac:dyDescent="0.25">
      <c r="A669" s="45"/>
      <c r="B669" s="47"/>
      <c r="C669" s="47"/>
      <c r="D669" s="47"/>
      <c r="E669" s="45"/>
      <c r="F669" s="45"/>
      <c r="G669" s="45"/>
      <c r="H669" s="45"/>
      <c r="I669" s="45"/>
      <c r="J669" s="45"/>
      <c r="K669" s="45"/>
      <c r="L669" s="45"/>
      <c r="M669" s="45"/>
      <c r="N669" s="45"/>
      <c r="O669" s="45"/>
      <c r="P669" s="45"/>
      <c r="Q669" s="45"/>
      <c r="R669" s="45"/>
    </row>
    <row r="670" spans="1:18" x14ac:dyDescent="0.25">
      <c r="A670" s="45"/>
      <c r="B670" s="47"/>
      <c r="C670" s="47"/>
      <c r="D670" s="47"/>
      <c r="E670" s="45"/>
      <c r="F670" s="45"/>
      <c r="G670" s="45"/>
      <c r="H670" s="45"/>
      <c r="I670" s="45"/>
      <c r="J670" s="45"/>
      <c r="K670" s="45"/>
      <c r="L670" s="45"/>
      <c r="M670" s="45"/>
      <c r="N670" s="45"/>
      <c r="O670" s="45"/>
      <c r="P670" s="45"/>
      <c r="Q670" s="45"/>
      <c r="R670" s="45"/>
    </row>
    <row r="671" spans="1:18" x14ac:dyDescent="0.25">
      <c r="A671" s="45"/>
      <c r="B671" s="47"/>
      <c r="C671" s="47"/>
      <c r="D671" s="47"/>
      <c r="E671" s="45"/>
      <c r="F671" s="45"/>
      <c r="G671" s="45"/>
      <c r="H671" s="45"/>
      <c r="I671" s="45"/>
      <c r="J671" s="45"/>
      <c r="K671" s="45"/>
      <c r="L671" s="45"/>
      <c r="M671" s="45"/>
      <c r="N671" s="45"/>
      <c r="O671" s="45"/>
      <c r="P671" s="45"/>
      <c r="Q671" s="45"/>
      <c r="R671" s="45"/>
    </row>
    <row r="672" spans="1:18" x14ac:dyDescent="0.25">
      <c r="A672" s="45"/>
      <c r="B672" s="47"/>
      <c r="C672" s="47"/>
      <c r="D672" s="47"/>
      <c r="E672" s="45"/>
      <c r="F672" s="45"/>
      <c r="G672" s="45"/>
      <c r="H672" s="45"/>
      <c r="I672" s="45"/>
      <c r="J672" s="45"/>
      <c r="K672" s="45"/>
      <c r="L672" s="45"/>
      <c r="M672" s="45"/>
      <c r="N672" s="45"/>
      <c r="O672" s="45"/>
      <c r="P672" s="45"/>
      <c r="Q672" s="45"/>
      <c r="R672" s="45"/>
    </row>
    <row r="673" spans="1:18" x14ac:dyDescent="0.25">
      <c r="A673" s="45"/>
      <c r="B673" s="47"/>
      <c r="C673" s="47"/>
      <c r="D673" s="47"/>
      <c r="E673" s="45"/>
      <c r="F673" s="45"/>
      <c r="G673" s="45"/>
      <c r="H673" s="45"/>
      <c r="I673" s="45"/>
      <c r="J673" s="45"/>
      <c r="K673" s="45"/>
      <c r="L673" s="45"/>
      <c r="M673" s="45"/>
      <c r="N673" s="45"/>
      <c r="O673" s="45"/>
      <c r="P673" s="45"/>
      <c r="Q673" s="45"/>
      <c r="R673" s="45"/>
    </row>
    <row r="674" spans="1:18" x14ac:dyDescent="0.25">
      <c r="A674" s="45"/>
      <c r="B674" s="47"/>
      <c r="C674" s="47"/>
      <c r="D674" s="47"/>
      <c r="E674" s="45"/>
      <c r="F674" s="45"/>
      <c r="G674" s="45"/>
      <c r="H674" s="45"/>
      <c r="I674" s="45"/>
      <c r="J674" s="45"/>
      <c r="K674" s="45"/>
      <c r="L674" s="45"/>
      <c r="M674" s="45"/>
      <c r="N674" s="45"/>
      <c r="O674" s="45"/>
      <c r="P674" s="45"/>
      <c r="Q674" s="45"/>
      <c r="R674" s="45"/>
    </row>
    <row r="675" spans="1:18" x14ac:dyDescent="0.25">
      <c r="A675" s="45"/>
      <c r="B675" s="47"/>
      <c r="C675" s="47"/>
      <c r="D675" s="47"/>
      <c r="E675" s="45"/>
      <c r="F675" s="45"/>
      <c r="G675" s="45"/>
      <c r="H675" s="45"/>
      <c r="I675" s="45"/>
      <c r="J675" s="45"/>
      <c r="K675" s="45"/>
      <c r="L675" s="45"/>
      <c r="M675" s="45"/>
      <c r="N675" s="45"/>
      <c r="O675" s="45"/>
      <c r="P675" s="45"/>
      <c r="Q675" s="45"/>
      <c r="R675" s="45"/>
    </row>
    <row r="676" spans="1:18" x14ac:dyDescent="0.25">
      <c r="A676" s="45"/>
      <c r="B676" s="47"/>
      <c r="C676" s="47"/>
      <c r="D676" s="47"/>
      <c r="E676" s="45"/>
      <c r="F676" s="45"/>
      <c r="G676" s="45"/>
      <c r="H676" s="45"/>
      <c r="I676" s="45"/>
      <c r="J676" s="45"/>
      <c r="K676" s="45"/>
      <c r="L676" s="45"/>
      <c r="M676" s="45"/>
      <c r="N676" s="45"/>
      <c r="O676" s="45"/>
      <c r="P676" s="45"/>
      <c r="Q676" s="45"/>
      <c r="R676" s="45"/>
    </row>
    <row r="677" spans="1:18" x14ac:dyDescent="0.25">
      <c r="A677" s="45"/>
      <c r="B677" s="47"/>
      <c r="C677" s="47"/>
      <c r="D677" s="47"/>
      <c r="E677" s="45"/>
      <c r="F677" s="45"/>
      <c r="G677" s="45"/>
      <c r="H677" s="45"/>
      <c r="I677" s="45"/>
      <c r="J677" s="45"/>
      <c r="K677" s="45"/>
      <c r="L677" s="45"/>
      <c r="M677" s="45"/>
      <c r="N677" s="45"/>
      <c r="O677" s="45"/>
      <c r="P677" s="45"/>
      <c r="Q677" s="45"/>
      <c r="R677" s="45"/>
    </row>
    <row r="678" spans="1:18" x14ac:dyDescent="0.25">
      <c r="A678" s="45"/>
      <c r="B678" s="47"/>
      <c r="C678" s="47"/>
      <c r="D678" s="47"/>
      <c r="E678" s="45"/>
      <c r="F678" s="45"/>
      <c r="G678" s="45"/>
      <c r="H678" s="45"/>
      <c r="I678" s="45"/>
      <c r="J678" s="45"/>
      <c r="K678" s="45"/>
      <c r="L678" s="45"/>
      <c r="M678" s="45"/>
      <c r="N678" s="45"/>
      <c r="O678" s="45"/>
      <c r="P678" s="45"/>
      <c r="Q678" s="45"/>
      <c r="R678" s="45"/>
    </row>
    <row r="679" spans="1:18" x14ac:dyDescent="0.25">
      <c r="A679" s="45"/>
      <c r="B679" s="47"/>
      <c r="C679" s="47"/>
      <c r="D679" s="47"/>
      <c r="E679" s="45"/>
      <c r="F679" s="45"/>
      <c r="G679" s="45"/>
      <c r="H679" s="45"/>
      <c r="I679" s="45"/>
      <c r="J679" s="45"/>
      <c r="K679" s="45"/>
      <c r="L679" s="45"/>
      <c r="M679" s="45"/>
      <c r="N679" s="45"/>
      <c r="O679" s="45"/>
      <c r="P679" s="45"/>
      <c r="Q679" s="45"/>
      <c r="R679" s="45"/>
    </row>
    <row r="680" spans="1:18" x14ac:dyDescent="0.25">
      <c r="A680" s="45"/>
      <c r="B680" s="47"/>
      <c r="C680" s="47"/>
      <c r="D680" s="47"/>
      <c r="E680" s="45"/>
      <c r="F680" s="45"/>
      <c r="G680" s="45"/>
      <c r="H680" s="45"/>
      <c r="I680" s="45"/>
      <c r="J680" s="45"/>
      <c r="K680" s="45"/>
      <c r="L680" s="45"/>
      <c r="M680" s="45"/>
      <c r="N680" s="45"/>
      <c r="O680" s="45"/>
      <c r="P680" s="45"/>
      <c r="Q680" s="45"/>
      <c r="R680" s="45"/>
    </row>
    <row r="681" spans="1:18" x14ac:dyDescent="0.25">
      <c r="A681" s="45"/>
      <c r="B681" s="47"/>
      <c r="C681" s="47"/>
      <c r="D681" s="47"/>
      <c r="E681" s="45"/>
      <c r="F681" s="45"/>
      <c r="G681" s="45"/>
      <c r="H681" s="45"/>
      <c r="I681" s="45"/>
      <c r="J681" s="45"/>
      <c r="K681" s="45"/>
      <c r="L681" s="45"/>
      <c r="M681" s="45"/>
      <c r="N681" s="45"/>
      <c r="O681" s="45"/>
      <c r="P681" s="45"/>
      <c r="Q681" s="45"/>
      <c r="R681" s="45"/>
    </row>
    <row r="682" spans="1:18" x14ac:dyDescent="0.25">
      <c r="A682" s="45"/>
      <c r="B682" s="47"/>
      <c r="C682" s="47"/>
      <c r="D682" s="47"/>
      <c r="E682" s="45"/>
      <c r="F682" s="45"/>
      <c r="G682" s="45"/>
      <c r="H682" s="45"/>
      <c r="I682" s="45"/>
      <c r="J682" s="45"/>
      <c r="K682" s="45"/>
      <c r="L682" s="45"/>
      <c r="M682" s="45"/>
      <c r="N682" s="45"/>
      <c r="O682" s="45"/>
      <c r="P682" s="45"/>
      <c r="Q682" s="45"/>
      <c r="R682" s="45"/>
    </row>
    <row r="683" spans="1:18" x14ac:dyDescent="0.25">
      <c r="A683" s="45"/>
      <c r="B683" s="47"/>
      <c r="C683" s="47"/>
      <c r="D683" s="47"/>
      <c r="E683" s="45"/>
      <c r="F683" s="45"/>
      <c r="G683" s="45"/>
      <c r="H683" s="45"/>
      <c r="I683" s="45"/>
      <c r="J683" s="45"/>
      <c r="K683" s="45"/>
      <c r="L683" s="45"/>
      <c r="M683" s="45"/>
      <c r="N683" s="45"/>
      <c r="O683" s="45"/>
      <c r="P683" s="45"/>
      <c r="Q683" s="45"/>
      <c r="R683" s="45"/>
    </row>
    <row r="684" spans="1:18" x14ac:dyDescent="0.25">
      <c r="A684" s="45"/>
      <c r="B684" s="47"/>
      <c r="C684" s="47"/>
      <c r="D684" s="47"/>
      <c r="E684" s="45"/>
      <c r="F684" s="45"/>
      <c r="G684" s="45"/>
      <c r="H684" s="45"/>
      <c r="I684" s="45"/>
      <c r="J684" s="45"/>
      <c r="K684" s="45"/>
      <c r="L684" s="45"/>
      <c r="M684" s="45"/>
      <c r="N684" s="45"/>
      <c r="O684" s="45"/>
      <c r="P684" s="45"/>
      <c r="Q684" s="45"/>
      <c r="R684" s="45"/>
    </row>
    <row r="685" spans="1:18" x14ac:dyDescent="0.25">
      <c r="A685" s="45"/>
      <c r="B685" s="47"/>
      <c r="C685" s="47"/>
      <c r="D685" s="47"/>
      <c r="E685" s="45"/>
      <c r="F685" s="45"/>
      <c r="G685" s="45"/>
      <c r="H685" s="45"/>
      <c r="I685" s="45"/>
      <c r="J685" s="45"/>
      <c r="K685" s="45"/>
      <c r="L685" s="45"/>
      <c r="M685" s="45"/>
      <c r="N685" s="45"/>
      <c r="O685" s="45"/>
      <c r="P685" s="45"/>
      <c r="Q685" s="45"/>
      <c r="R685" s="45"/>
    </row>
    <row r="686" spans="1:18" x14ac:dyDescent="0.25">
      <c r="A686" s="45"/>
      <c r="B686" s="47"/>
      <c r="C686" s="47"/>
      <c r="D686" s="47"/>
      <c r="E686" s="45"/>
      <c r="F686" s="45"/>
      <c r="G686" s="45"/>
      <c r="H686" s="45"/>
      <c r="I686" s="45"/>
      <c r="J686" s="45"/>
      <c r="K686" s="45"/>
      <c r="L686" s="45"/>
      <c r="M686" s="45"/>
      <c r="N686" s="45"/>
      <c r="O686" s="45"/>
      <c r="P686" s="45"/>
      <c r="Q686" s="45"/>
      <c r="R686" s="45"/>
    </row>
    <row r="687" spans="1:18" x14ac:dyDescent="0.25">
      <c r="A687" s="45"/>
      <c r="B687" s="47"/>
      <c r="C687" s="47"/>
      <c r="D687" s="47"/>
      <c r="E687" s="45"/>
      <c r="F687" s="45"/>
      <c r="G687" s="45"/>
      <c r="H687" s="45"/>
      <c r="I687" s="45"/>
      <c r="J687" s="45"/>
      <c r="K687" s="45"/>
      <c r="L687" s="45"/>
      <c r="M687" s="45"/>
      <c r="N687" s="45"/>
      <c r="O687" s="45"/>
      <c r="P687" s="45"/>
      <c r="Q687" s="45"/>
      <c r="R687" s="45"/>
    </row>
    <row r="688" spans="1:18" x14ac:dyDescent="0.25">
      <c r="A688" s="45"/>
      <c r="B688" s="47"/>
      <c r="C688" s="47"/>
      <c r="D688" s="47"/>
      <c r="E688" s="45"/>
      <c r="F688" s="45"/>
      <c r="G688" s="45"/>
      <c r="H688" s="45"/>
      <c r="I688" s="45"/>
      <c r="J688" s="45"/>
      <c r="K688" s="45"/>
      <c r="L688" s="45"/>
      <c r="M688" s="45"/>
      <c r="N688" s="45"/>
      <c r="O688" s="45"/>
      <c r="P688" s="45"/>
      <c r="Q688" s="45"/>
      <c r="R688" s="45"/>
    </row>
    <row r="689" spans="1:18" x14ac:dyDescent="0.25">
      <c r="A689" s="45"/>
      <c r="B689" s="47"/>
      <c r="C689" s="47"/>
      <c r="D689" s="47"/>
      <c r="E689" s="45"/>
      <c r="F689" s="45"/>
      <c r="G689" s="45"/>
      <c r="H689" s="45"/>
      <c r="I689" s="45"/>
      <c r="J689" s="45"/>
      <c r="K689" s="45"/>
      <c r="L689" s="45"/>
      <c r="M689" s="45"/>
      <c r="N689" s="45"/>
      <c r="O689" s="45"/>
      <c r="P689" s="45"/>
      <c r="Q689" s="45"/>
      <c r="R689" s="45"/>
    </row>
    <row r="690" spans="1:18" x14ac:dyDescent="0.25">
      <c r="A690" s="45"/>
      <c r="B690" s="47"/>
      <c r="C690" s="47"/>
      <c r="D690" s="47"/>
      <c r="E690" s="45"/>
      <c r="F690" s="45"/>
      <c r="G690" s="45"/>
      <c r="H690" s="45"/>
      <c r="I690" s="45"/>
      <c r="J690" s="45"/>
      <c r="K690" s="45"/>
      <c r="L690" s="45"/>
      <c r="M690" s="45"/>
      <c r="N690" s="45"/>
      <c r="O690" s="45"/>
      <c r="P690" s="45"/>
      <c r="Q690" s="45"/>
      <c r="R690" s="45"/>
    </row>
    <row r="691" spans="1:18" x14ac:dyDescent="0.25">
      <c r="A691" s="45"/>
      <c r="B691" s="47"/>
      <c r="C691" s="47"/>
      <c r="D691" s="47"/>
      <c r="E691" s="45"/>
      <c r="F691" s="45"/>
      <c r="G691" s="45"/>
      <c r="H691" s="45"/>
      <c r="I691" s="45"/>
      <c r="J691" s="45"/>
      <c r="K691" s="45"/>
      <c r="L691" s="45"/>
      <c r="M691" s="45"/>
      <c r="N691" s="45"/>
      <c r="O691" s="45"/>
      <c r="P691" s="45"/>
      <c r="Q691" s="45"/>
      <c r="R691" s="45"/>
    </row>
    <row r="692" spans="1:18" x14ac:dyDescent="0.25">
      <c r="A692" s="45"/>
      <c r="B692" s="47"/>
      <c r="C692" s="47"/>
      <c r="D692" s="47"/>
      <c r="E692" s="45"/>
      <c r="F692" s="45"/>
      <c r="G692" s="45"/>
      <c r="H692" s="45"/>
      <c r="I692" s="45"/>
      <c r="J692" s="45"/>
      <c r="K692" s="45"/>
      <c r="L692" s="45"/>
      <c r="M692" s="45"/>
      <c r="N692" s="45"/>
      <c r="O692" s="45"/>
      <c r="P692" s="45"/>
      <c r="Q692" s="45"/>
      <c r="R692" s="45"/>
    </row>
    <row r="693" spans="1:18" x14ac:dyDescent="0.25">
      <c r="A693" s="45"/>
      <c r="B693" s="47"/>
      <c r="C693" s="47"/>
      <c r="D693" s="47"/>
      <c r="E693" s="45"/>
      <c r="F693" s="45"/>
      <c r="G693" s="45"/>
      <c r="H693" s="45"/>
      <c r="I693" s="45"/>
      <c r="J693" s="45"/>
      <c r="K693" s="45"/>
      <c r="L693" s="45"/>
      <c r="M693" s="45"/>
      <c r="N693" s="45"/>
      <c r="O693" s="45"/>
      <c r="P693" s="45"/>
      <c r="Q693" s="45"/>
      <c r="R693" s="45"/>
    </row>
    <row r="694" spans="1:18" x14ac:dyDescent="0.25">
      <c r="A694" s="45"/>
      <c r="B694" s="47"/>
      <c r="C694" s="47"/>
      <c r="D694" s="47"/>
      <c r="E694" s="45"/>
      <c r="F694" s="45"/>
      <c r="G694" s="45"/>
      <c r="H694" s="45"/>
      <c r="I694" s="45"/>
      <c r="J694" s="45"/>
      <c r="K694" s="45"/>
      <c r="L694" s="45"/>
      <c r="M694" s="45"/>
      <c r="N694" s="45"/>
      <c r="O694" s="45"/>
      <c r="P694" s="45"/>
      <c r="Q694" s="45"/>
      <c r="R694" s="45"/>
    </row>
    <row r="695" spans="1:18" x14ac:dyDescent="0.25">
      <c r="A695" s="45"/>
      <c r="B695" s="47"/>
      <c r="C695" s="47"/>
      <c r="D695" s="47"/>
      <c r="E695" s="45"/>
      <c r="F695" s="45"/>
      <c r="G695" s="45"/>
      <c r="H695" s="45"/>
      <c r="I695" s="45"/>
      <c r="J695" s="45"/>
      <c r="K695" s="45"/>
      <c r="L695" s="45"/>
      <c r="M695" s="45"/>
      <c r="N695" s="45"/>
      <c r="O695" s="45"/>
      <c r="P695" s="45"/>
      <c r="Q695" s="45"/>
      <c r="R695" s="45"/>
    </row>
    <row r="696" spans="1:18" x14ac:dyDescent="0.25">
      <c r="A696" s="45"/>
      <c r="B696" s="47"/>
      <c r="C696" s="47"/>
      <c r="D696" s="47"/>
      <c r="E696" s="45"/>
      <c r="F696" s="45"/>
      <c r="G696" s="45"/>
      <c r="H696" s="45"/>
      <c r="I696" s="45"/>
      <c r="J696" s="45"/>
      <c r="K696" s="45"/>
      <c r="L696" s="45"/>
      <c r="M696" s="45"/>
      <c r="N696" s="45"/>
      <c r="O696" s="45"/>
      <c r="P696" s="45"/>
      <c r="Q696" s="45"/>
      <c r="R696" s="45"/>
    </row>
    <row r="697" spans="1:18" x14ac:dyDescent="0.25">
      <c r="A697" s="45"/>
      <c r="B697" s="47"/>
      <c r="C697" s="47"/>
      <c r="D697" s="47"/>
      <c r="E697" s="45"/>
      <c r="F697" s="45"/>
      <c r="G697" s="45"/>
      <c r="H697" s="45"/>
      <c r="I697" s="45"/>
      <c r="J697" s="45"/>
      <c r="K697" s="45"/>
      <c r="L697" s="45"/>
      <c r="M697" s="45"/>
      <c r="N697" s="45"/>
      <c r="O697" s="45"/>
      <c r="P697" s="45"/>
      <c r="Q697" s="45"/>
      <c r="R697" s="45"/>
    </row>
    <row r="698" spans="1:18" x14ac:dyDescent="0.25">
      <c r="A698" s="45"/>
      <c r="B698" s="47"/>
      <c r="C698" s="47"/>
      <c r="D698" s="47"/>
      <c r="E698" s="45"/>
      <c r="F698" s="45"/>
      <c r="G698" s="45"/>
      <c r="H698" s="45"/>
      <c r="I698" s="45"/>
      <c r="J698" s="45"/>
      <c r="K698" s="45"/>
      <c r="L698" s="45"/>
      <c r="M698" s="45"/>
      <c r="N698" s="45"/>
      <c r="O698" s="45"/>
      <c r="P698" s="45"/>
      <c r="Q698" s="45"/>
      <c r="R698" s="45"/>
    </row>
    <row r="699" spans="1:18" x14ac:dyDescent="0.25">
      <c r="A699" s="45"/>
      <c r="B699" s="47"/>
      <c r="C699" s="47"/>
      <c r="D699" s="47"/>
      <c r="E699" s="45"/>
      <c r="F699" s="45"/>
      <c r="G699" s="45"/>
      <c r="H699" s="45"/>
      <c r="I699" s="45"/>
      <c r="J699" s="45"/>
      <c r="K699" s="45"/>
      <c r="L699" s="45"/>
      <c r="M699" s="45"/>
      <c r="N699" s="45"/>
      <c r="O699" s="45"/>
      <c r="P699" s="45"/>
      <c r="Q699" s="45"/>
      <c r="R699" s="45"/>
    </row>
    <row r="700" spans="1:18" x14ac:dyDescent="0.25">
      <c r="A700" s="45"/>
      <c r="B700" s="47"/>
      <c r="C700" s="47"/>
      <c r="D700" s="47"/>
      <c r="E700" s="45"/>
      <c r="F700" s="45"/>
      <c r="G700" s="45"/>
      <c r="H700" s="45"/>
      <c r="I700" s="45"/>
      <c r="J700" s="45"/>
      <c r="K700" s="45"/>
      <c r="L700" s="45"/>
      <c r="M700" s="45"/>
      <c r="N700" s="45"/>
      <c r="O700" s="45"/>
      <c r="P700" s="45"/>
      <c r="Q700" s="45"/>
      <c r="R700" s="45"/>
    </row>
    <row r="701" spans="1:18" x14ac:dyDescent="0.25">
      <c r="A701" s="45"/>
      <c r="B701" s="47"/>
      <c r="C701" s="47"/>
      <c r="D701" s="47"/>
      <c r="E701" s="45"/>
      <c r="F701" s="45"/>
      <c r="G701" s="45"/>
      <c r="H701" s="45"/>
      <c r="I701" s="45"/>
      <c r="J701" s="45"/>
      <c r="K701" s="45"/>
      <c r="L701" s="45"/>
      <c r="M701" s="45"/>
      <c r="N701" s="45"/>
      <c r="O701" s="45"/>
      <c r="P701" s="45"/>
      <c r="Q701" s="45"/>
      <c r="R701" s="45"/>
    </row>
    <row r="702" spans="1:18" x14ac:dyDescent="0.25">
      <c r="A702" s="45"/>
      <c r="B702" s="47"/>
      <c r="C702" s="47"/>
      <c r="D702" s="47"/>
      <c r="E702" s="45"/>
      <c r="F702" s="45"/>
      <c r="G702" s="45"/>
      <c r="H702" s="45"/>
      <c r="I702" s="45"/>
      <c r="J702" s="45"/>
      <c r="K702" s="45"/>
      <c r="L702" s="45"/>
      <c r="M702" s="45"/>
      <c r="N702" s="45"/>
      <c r="O702" s="45"/>
      <c r="P702" s="45"/>
      <c r="Q702" s="45"/>
      <c r="R702" s="45"/>
    </row>
    <row r="703" spans="1:18" x14ac:dyDescent="0.25">
      <c r="A703" s="45"/>
      <c r="B703" s="47"/>
      <c r="C703" s="47"/>
      <c r="D703" s="47"/>
      <c r="E703" s="45"/>
      <c r="F703" s="45"/>
      <c r="G703" s="45"/>
      <c r="H703" s="45"/>
      <c r="I703" s="45"/>
      <c r="J703" s="45"/>
      <c r="K703" s="45"/>
      <c r="L703" s="45"/>
      <c r="M703" s="45"/>
      <c r="N703" s="45"/>
      <c r="O703" s="45"/>
      <c r="P703" s="45"/>
      <c r="Q703" s="45"/>
      <c r="R703" s="45"/>
    </row>
    <row r="704" spans="1:18" x14ac:dyDescent="0.25">
      <c r="A704" s="45"/>
      <c r="B704" s="47"/>
      <c r="C704" s="47"/>
      <c r="D704" s="47"/>
      <c r="E704" s="45"/>
      <c r="F704" s="45"/>
      <c r="G704" s="45"/>
      <c r="H704" s="45"/>
      <c r="I704" s="45"/>
      <c r="J704" s="45"/>
      <c r="K704" s="45"/>
      <c r="L704" s="45"/>
      <c r="M704" s="45"/>
      <c r="N704" s="45"/>
      <c r="O704" s="45"/>
      <c r="P704" s="45"/>
      <c r="Q704" s="45"/>
      <c r="R704" s="45"/>
    </row>
    <row r="705" spans="1:18" x14ac:dyDescent="0.25">
      <c r="A705" s="45"/>
      <c r="B705" s="47"/>
      <c r="C705" s="47"/>
      <c r="D705" s="47"/>
      <c r="E705" s="45"/>
      <c r="F705" s="45"/>
      <c r="G705" s="45"/>
      <c r="H705" s="45"/>
      <c r="I705" s="45"/>
      <c r="J705" s="45"/>
      <c r="K705" s="45"/>
      <c r="L705" s="45"/>
      <c r="M705" s="45"/>
      <c r="N705" s="45"/>
      <c r="O705" s="45"/>
      <c r="P705" s="45"/>
      <c r="Q705" s="45"/>
      <c r="R705" s="45"/>
    </row>
    <row r="706" spans="1:18" x14ac:dyDescent="0.25">
      <c r="A706" s="45"/>
      <c r="B706" s="47"/>
      <c r="C706" s="47"/>
      <c r="D706" s="47"/>
      <c r="E706" s="45"/>
      <c r="F706" s="45"/>
      <c r="G706" s="45"/>
      <c r="H706" s="45"/>
      <c r="I706" s="45"/>
      <c r="J706" s="45"/>
      <c r="K706" s="45"/>
      <c r="L706" s="45"/>
      <c r="M706" s="45"/>
      <c r="N706" s="45"/>
      <c r="O706" s="45"/>
      <c r="P706" s="45"/>
      <c r="Q706" s="45"/>
      <c r="R706" s="45"/>
    </row>
    <row r="707" spans="1:18" x14ac:dyDescent="0.25">
      <c r="A707" s="45"/>
      <c r="B707" s="47"/>
      <c r="C707" s="47"/>
      <c r="D707" s="47"/>
      <c r="E707" s="45"/>
      <c r="F707" s="45"/>
      <c r="G707" s="45"/>
      <c r="H707" s="45"/>
      <c r="I707" s="45"/>
      <c r="J707" s="45"/>
      <c r="K707" s="45"/>
      <c r="L707" s="45"/>
      <c r="M707" s="45"/>
      <c r="N707" s="45"/>
      <c r="O707" s="45"/>
      <c r="P707" s="45"/>
      <c r="Q707" s="45"/>
      <c r="R707" s="45"/>
    </row>
    <row r="708" spans="1:18" x14ac:dyDescent="0.25">
      <c r="A708" s="45"/>
      <c r="B708" s="47"/>
      <c r="C708" s="47"/>
      <c r="D708" s="47"/>
      <c r="E708" s="45"/>
      <c r="F708" s="45"/>
      <c r="G708" s="45"/>
      <c r="H708" s="45"/>
      <c r="I708" s="45"/>
      <c r="J708" s="45"/>
      <c r="K708" s="45"/>
      <c r="L708" s="45"/>
      <c r="M708" s="45"/>
      <c r="N708" s="45"/>
      <c r="O708" s="45"/>
      <c r="P708" s="45"/>
      <c r="Q708" s="45"/>
      <c r="R708" s="45"/>
    </row>
    <row r="709" spans="1:18" x14ac:dyDescent="0.25">
      <c r="A709" s="45"/>
      <c r="B709" s="47"/>
      <c r="C709" s="47"/>
      <c r="D709" s="47"/>
      <c r="E709" s="45"/>
      <c r="F709" s="45"/>
      <c r="G709" s="45"/>
      <c r="H709" s="45"/>
      <c r="I709" s="45"/>
      <c r="J709" s="45"/>
      <c r="K709" s="45"/>
      <c r="L709" s="45"/>
      <c r="M709" s="45"/>
      <c r="N709" s="45"/>
      <c r="O709" s="45"/>
      <c r="P709" s="45"/>
      <c r="Q709" s="45"/>
      <c r="R709" s="45"/>
    </row>
    <row r="710" spans="1:18" x14ac:dyDescent="0.25">
      <c r="A710" s="45"/>
      <c r="B710" s="47"/>
      <c r="C710" s="47"/>
      <c r="D710" s="47"/>
      <c r="E710" s="45"/>
      <c r="F710" s="45"/>
      <c r="G710" s="45"/>
      <c r="H710" s="45"/>
      <c r="I710" s="45"/>
      <c r="J710" s="45"/>
      <c r="K710" s="45"/>
      <c r="L710" s="45"/>
      <c r="M710" s="45"/>
      <c r="N710" s="45"/>
      <c r="O710" s="45"/>
      <c r="P710" s="45"/>
      <c r="Q710" s="45"/>
      <c r="R710" s="45"/>
    </row>
    <row r="711" spans="1:18" x14ac:dyDescent="0.25">
      <c r="A711" s="45"/>
      <c r="B711" s="47"/>
      <c r="C711" s="47"/>
      <c r="D711" s="47"/>
      <c r="E711" s="45"/>
      <c r="F711" s="45"/>
      <c r="G711" s="45"/>
      <c r="H711" s="45"/>
      <c r="I711" s="45"/>
      <c r="J711" s="45"/>
      <c r="K711" s="45"/>
      <c r="L711" s="45"/>
      <c r="M711" s="45"/>
      <c r="N711" s="45"/>
      <c r="O711" s="45"/>
      <c r="P711" s="45"/>
      <c r="Q711" s="45"/>
      <c r="R711" s="45"/>
    </row>
    <row r="712" spans="1:18" x14ac:dyDescent="0.25">
      <c r="A712" s="45"/>
      <c r="B712" s="47"/>
      <c r="C712" s="47"/>
      <c r="D712" s="47"/>
      <c r="E712" s="45"/>
      <c r="F712" s="45"/>
      <c r="G712" s="45"/>
      <c r="H712" s="45"/>
      <c r="I712" s="45"/>
      <c r="J712" s="45"/>
      <c r="K712" s="45"/>
      <c r="L712" s="45"/>
      <c r="M712" s="45"/>
      <c r="N712" s="45"/>
      <c r="O712" s="45"/>
      <c r="P712" s="45"/>
      <c r="Q712" s="45"/>
      <c r="R712" s="45"/>
    </row>
    <row r="713" spans="1:18" x14ac:dyDescent="0.25">
      <c r="A713" s="45"/>
      <c r="B713" s="47"/>
      <c r="C713" s="47"/>
      <c r="D713" s="47"/>
      <c r="E713" s="45"/>
      <c r="F713" s="45"/>
      <c r="G713" s="45"/>
      <c r="H713" s="45"/>
      <c r="I713" s="45"/>
      <c r="J713" s="45"/>
      <c r="K713" s="45"/>
      <c r="L713" s="45"/>
      <c r="M713" s="45"/>
      <c r="N713" s="45"/>
      <c r="O713" s="45"/>
      <c r="P713" s="45"/>
      <c r="Q713" s="45"/>
      <c r="R713" s="45"/>
    </row>
    <row r="714" spans="1:18" x14ac:dyDescent="0.25">
      <c r="A714" s="45"/>
      <c r="B714" s="47"/>
      <c r="C714" s="47"/>
      <c r="D714" s="47"/>
      <c r="E714" s="45"/>
      <c r="F714" s="45"/>
      <c r="G714" s="45"/>
      <c r="H714" s="45"/>
      <c r="I714" s="45"/>
      <c r="J714" s="45"/>
      <c r="K714" s="45"/>
      <c r="L714" s="45"/>
      <c r="M714" s="45"/>
      <c r="N714" s="45"/>
      <c r="O714" s="45"/>
      <c r="P714" s="45"/>
      <c r="Q714" s="45"/>
      <c r="R714" s="45"/>
    </row>
    <row r="715" spans="1:18" x14ac:dyDescent="0.25">
      <c r="A715" s="45"/>
      <c r="B715" s="47"/>
      <c r="C715" s="47"/>
      <c r="D715" s="47"/>
      <c r="E715" s="45"/>
      <c r="F715" s="45"/>
      <c r="G715" s="45"/>
      <c r="H715" s="45"/>
      <c r="I715" s="45"/>
      <c r="J715" s="45"/>
      <c r="K715" s="45"/>
      <c r="L715" s="45"/>
      <c r="M715" s="45"/>
      <c r="N715" s="45"/>
      <c r="O715" s="45"/>
      <c r="P715" s="45"/>
      <c r="Q715" s="45"/>
      <c r="R715" s="45"/>
    </row>
    <row r="716" spans="1:18" x14ac:dyDescent="0.25">
      <c r="A716" s="45"/>
      <c r="B716" s="47"/>
      <c r="C716" s="47"/>
      <c r="D716" s="47"/>
      <c r="E716" s="45"/>
      <c r="F716" s="45"/>
      <c r="G716" s="45"/>
      <c r="H716" s="45"/>
      <c r="I716" s="45"/>
      <c r="J716" s="45"/>
      <c r="K716" s="45"/>
      <c r="L716" s="45"/>
      <c r="M716" s="45"/>
      <c r="N716" s="45"/>
      <c r="O716" s="45"/>
      <c r="P716" s="45"/>
      <c r="Q716" s="45"/>
      <c r="R716" s="45"/>
    </row>
    <row r="717" spans="1:18" x14ac:dyDescent="0.25">
      <c r="A717" s="45"/>
      <c r="B717" s="47"/>
      <c r="C717" s="47"/>
      <c r="D717" s="47"/>
      <c r="E717" s="45"/>
      <c r="F717" s="45"/>
      <c r="G717" s="45"/>
      <c r="H717" s="45"/>
      <c r="I717" s="45"/>
      <c r="J717" s="45"/>
      <c r="K717" s="45"/>
      <c r="L717" s="45"/>
      <c r="M717" s="45"/>
      <c r="N717" s="45"/>
      <c r="O717" s="45"/>
      <c r="P717" s="45"/>
      <c r="Q717" s="45"/>
      <c r="R717" s="45"/>
    </row>
    <row r="718" spans="1:18" x14ac:dyDescent="0.25">
      <c r="A718" s="45"/>
      <c r="B718" s="47"/>
      <c r="C718" s="47"/>
      <c r="D718" s="47"/>
      <c r="E718" s="45"/>
      <c r="F718" s="45"/>
      <c r="G718" s="45"/>
      <c r="H718" s="45"/>
      <c r="I718" s="45"/>
      <c r="J718" s="45"/>
      <c r="K718" s="45"/>
      <c r="L718" s="45"/>
      <c r="M718" s="45"/>
      <c r="N718" s="45"/>
      <c r="O718" s="45"/>
      <c r="P718" s="45"/>
      <c r="Q718" s="45"/>
      <c r="R718" s="45"/>
    </row>
    <row r="719" spans="1:18" x14ac:dyDescent="0.25">
      <c r="A719" s="45"/>
      <c r="B719" s="47"/>
      <c r="C719" s="47"/>
      <c r="D719" s="47"/>
      <c r="E719" s="45"/>
      <c r="F719" s="45"/>
      <c r="G719" s="45"/>
      <c r="H719" s="45"/>
      <c r="I719" s="45"/>
      <c r="J719" s="45"/>
      <c r="K719" s="45"/>
      <c r="L719" s="45"/>
      <c r="M719" s="45"/>
      <c r="N719" s="45"/>
      <c r="O719" s="45"/>
      <c r="P719" s="45"/>
      <c r="Q719" s="45"/>
      <c r="R719" s="45"/>
    </row>
    <row r="720" spans="1:18" x14ac:dyDescent="0.25">
      <c r="A720" s="45"/>
      <c r="B720" s="47"/>
      <c r="C720" s="47"/>
      <c r="D720" s="47"/>
      <c r="E720" s="45"/>
      <c r="F720" s="45"/>
      <c r="G720" s="45"/>
      <c r="H720" s="45"/>
      <c r="I720" s="45"/>
      <c r="J720" s="45"/>
      <c r="K720" s="45"/>
      <c r="L720" s="45"/>
      <c r="M720" s="45"/>
      <c r="N720" s="45"/>
      <c r="O720" s="45"/>
      <c r="P720" s="45"/>
      <c r="Q720" s="45"/>
      <c r="R720" s="45"/>
    </row>
    <row r="721" spans="1:18" x14ac:dyDescent="0.25">
      <c r="A721" s="45"/>
      <c r="B721" s="47"/>
      <c r="C721" s="47"/>
      <c r="D721" s="47"/>
      <c r="E721" s="45"/>
      <c r="F721" s="45"/>
      <c r="G721" s="45"/>
      <c r="H721" s="45"/>
      <c r="I721" s="45"/>
      <c r="J721" s="45"/>
      <c r="K721" s="45"/>
      <c r="L721" s="45"/>
      <c r="M721" s="45"/>
      <c r="N721" s="45"/>
      <c r="O721" s="45"/>
      <c r="P721" s="45"/>
      <c r="Q721" s="45"/>
      <c r="R721" s="45"/>
    </row>
    <row r="722" spans="1:18" x14ac:dyDescent="0.25">
      <c r="A722" s="45"/>
      <c r="B722" s="47"/>
      <c r="C722" s="47"/>
      <c r="D722" s="47"/>
      <c r="E722" s="45"/>
      <c r="F722" s="45"/>
      <c r="G722" s="45"/>
      <c r="H722" s="45"/>
      <c r="I722" s="45"/>
      <c r="J722" s="45"/>
      <c r="K722" s="45"/>
      <c r="L722" s="45"/>
      <c r="M722" s="45"/>
      <c r="N722" s="45"/>
      <c r="O722" s="45"/>
      <c r="P722" s="45"/>
      <c r="Q722" s="45"/>
      <c r="R722" s="45"/>
    </row>
    <row r="723" spans="1:18" x14ac:dyDescent="0.25">
      <c r="A723" s="45"/>
      <c r="B723" s="47"/>
      <c r="C723" s="47"/>
      <c r="D723" s="47"/>
      <c r="E723" s="45"/>
      <c r="F723" s="45"/>
      <c r="G723" s="45"/>
      <c r="H723" s="45"/>
      <c r="I723" s="45"/>
      <c r="J723" s="45"/>
      <c r="K723" s="45"/>
      <c r="L723" s="45"/>
      <c r="M723" s="45"/>
      <c r="N723" s="45"/>
      <c r="O723" s="45"/>
      <c r="P723" s="45"/>
      <c r="Q723" s="45"/>
      <c r="R723" s="45"/>
    </row>
    <row r="724" spans="1:18" x14ac:dyDescent="0.25">
      <c r="A724" s="45"/>
      <c r="B724" s="47"/>
      <c r="C724" s="47"/>
      <c r="D724" s="47"/>
      <c r="E724" s="45"/>
      <c r="F724" s="45"/>
      <c r="G724" s="45"/>
      <c r="H724" s="45"/>
      <c r="I724" s="45"/>
      <c r="J724" s="45"/>
      <c r="K724" s="45"/>
      <c r="L724" s="45"/>
      <c r="M724" s="45"/>
      <c r="N724" s="45"/>
      <c r="O724" s="45"/>
      <c r="P724" s="45"/>
      <c r="Q724" s="45"/>
      <c r="R724" s="45"/>
    </row>
    <row r="725" spans="1:18" x14ac:dyDescent="0.25">
      <c r="A725" s="45"/>
      <c r="B725" s="47"/>
      <c r="C725" s="47"/>
      <c r="D725" s="47"/>
      <c r="E725" s="45"/>
      <c r="F725" s="45"/>
      <c r="G725" s="45"/>
      <c r="H725" s="45"/>
      <c r="I725" s="45"/>
      <c r="J725" s="45"/>
      <c r="K725" s="45"/>
      <c r="L725" s="45"/>
      <c r="M725" s="45"/>
      <c r="N725" s="45"/>
      <c r="O725" s="45"/>
      <c r="P725" s="45"/>
      <c r="Q725" s="45"/>
      <c r="R725" s="45"/>
    </row>
    <row r="726" spans="1:18" x14ac:dyDescent="0.25">
      <c r="A726" s="45"/>
      <c r="B726" s="47"/>
      <c r="C726" s="47"/>
      <c r="D726" s="47"/>
      <c r="E726" s="45"/>
      <c r="F726" s="45"/>
      <c r="G726" s="45"/>
      <c r="H726" s="45"/>
      <c r="I726" s="45"/>
      <c r="J726" s="45"/>
      <c r="K726" s="45"/>
      <c r="L726" s="45"/>
      <c r="M726" s="45"/>
      <c r="N726" s="45"/>
      <c r="O726" s="45"/>
      <c r="P726" s="45"/>
      <c r="Q726" s="45"/>
      <c r="R726" s="45"/>
    </row>
    <row r="727" spans="1:18" x14ac:dyDescent="0.25">
      <c r="A727" s="45"/>
      <c r="B727" s="47"/>
      <c r="C727" s="47"/>
      <c r="D727" s="47"/>
      <c r="E727" s="45"/>
      <c r="F727" s="45"/>
      <c r="G727" s="45"/>
      <c r="H727" s="45"/>
      <c r="I727" s="45"/>
      <c r="J727" s="45"/>
      <c r="K727" s="45"/>
      <c r="L727" s="45"/>
      <c r="M727" s="45"/>
      <c r="N727" s="45"/>
      <c r="O727" s="45"/>
      <c r="P727" s="45"/>
      <c r="Q727" s="45"/>
      <c r="R727" s="45"/>
    </row>
    <row r="728" spans="1:18" x14ac:dyDescent="0.25">
      <c r="A728" s="45"/>
      <c r="B728" s="47"/>
      <c r="C728" s="47"/>
      <c r="D728" s="47"/>
      <c r="E728" s="45"/>
      <c r="F728" s="45"/>
      <c r="G728" s="45"/>
      <c r="H728" s="45"/>
      <c r="I728" s="45"/>
      <c r="J728" s="45"/>
      <c r="K728" s="45"/>
      <c r="L728" s="45"/>
      <c r="M728" s="45"/>
      <c r="N728" s="45"/>
      <c r="O728" s="45"/>
      <c r="P728" s="45"/>
      <c r="Q728" s="45"/>
      <c r="R728" s="45"/>
    </row>
    <row r="729" spans="1:18" x14ac:dyDescent="0.25">
      <c r="A729" s="45"/>
      <c r="B729" s="47"/>
      <c r="C729" s="47"/>
      <c r="D729" s="47"/>
      <c r="E729" s="45"/>
      <c r="F729" s="45"/>
      <c r="G729" s="45"/>
      <c r="H729" s="45"/>
      <c r="I729" s="45"/>
      <c r="J729" s="45"/>
      <c r="K729" s="45"/>
      <c r="L729" s="45"/>
      <c r="M729" s="45"/>
      <c r="N729" s="45"/>
      <c r="O729" s="45"/>
      <c r="P729" s="45"/>
      <c r="Q729" s="45"/>
      <c r="R729" s="45"/>
    </row>
    <row r="730" spans="1:18" x14ac:dyDescent="0.25">
      <c r="A730" s="45"/>
      <c r="B730" s="47"/>
      <c r="C730" s="47"/>
      <c r="D730" s="47"/>
      <c r="E730" s="45"/>
      <c r="F730" s="45"/>
      <c r="G730" s="45"/>
      <c r="H730" s="45"/>
      <c r="I730" s="45"/>
      <c r="J730" s="45"/>
      <c r="K730" s="45"/>
      <c r="L730" s="45"/>
      <c r="M730" s="45"/>
      <c r="N730" s="45"/>
      <c r="O730" s="45"/>
      <c r="P730" s="45"/>
      <c r="Q730" s="45"/>
      <c r="R730" s="45"/>
    </row>
    <row r="731" spans="1:18" x14ac:dyDescent="0.25">
      <c r="A731" s="45"/>
      <c r="B731" s="47"/>
      <c r="C731" s="47"/>
      <c r="D731" s="47"/>
      <c r="E731" s="45"/>
      <c r="F731" s="45"/>
      <c r="G731" s="45"/>
      <c r="H731" s="45"/>
      <c r="I731" s="45"/>
      <c r="J731" s="45"/>
      <c r="K731" s="45"/>
      <c r="L731" s="45"/>
      <c r="M731" s="45"/>
      <c r="N731" s="45"/>
      <c r="O731" s="45"/>
      <c r="P731" s="45"/>
      <c r="Q731" s="45"/>
      <c r="R731" s="45"/>
    </row>
    <row r="732" spans="1:18" x14ac:dyDescent="0.25">
      <c r="A732" s="45"/>
      <c r="B732" s="47"/>
      <c r="C732" s="47"/>
      <c r="D732" s="47"/>
      <c r="E732" s="45"/>
      <c r="F732" s="45"/>
      <c r="G732" s="45"/>
      <c r="H732" s="45"/>
      <c r="I732" s="45"/>
      <c r="J732" s="45"/>
      <c r="K732" s="45"/>
      <c r="L732" s="45"/>
      <c r="M732" s="45"/>
      <c r="N732" s="45"/>
      <c r="O732" s="45"/>
      <c r="P732" s="45"/>
      <c r="Q732" s="45"/>
      <c r="R732" s="45"/>
    </row>
    <row r="733" spans="1:18" x14ac:dyDescent="0.25">
      <c r="A733" s="45"/>
      <c r="B733" s="47"/>
      <c r="C733" s="47"/>
      <c r="D733" s="47"/>
      <c r="E733" s="45"/>
      <c r="F733" s="45"/>
      <c r="G733" s="45"/>
      <c r="H733" s="45"/>
      <c r="I733" s="45"/>
      <c r="J733" s="45"/>
      <c r="K733" s="45"/>
      <c r="L733" s="45"/>
      <c r="M733" s="45"/>
      <c r="N733" s="45"/>
      <c r="O733" s="45"/>
      <c r="P733" s="45"/>
      <c r="Q733" s="45"/>
      <c r="R733" s="45"/>
    </row>
    <row r="734" spans="1:18" x14ac:dyDescent="0.25">
      <c r="A734" s="45"/>
      <c r="B734" s="47"/>
      <c r="C734" s="47"/>
      <c r="D734" s="47"/>
      <c r="E734" s="45"/>
      <c r="F734" s="45"/>
      <c r="G734" s="45"/>
      <c r="H734" s="45"/>
      <c r="I734" s="45"/>
      <c r="J734" s="45"/>
      <c r="K734" s="45"/>
      <c r="L734" s="45"/>
      <c r="M734" s="45"/>
      <c r="N734" s="45"/>
      <c r="O734" s="45"/>
      <c r="P734" s="45"/>
      <c r="Q734" s="45"/>
      <c r="R734" s="45"/>
    </row>
    <row r="735" spans="1:18" x14ac:dyDescent="0.25">
      <c r="A735" s="45"/>
      <c r="B735" s="47"/>
      <c r="C735" s="47"/>
      <c r="D735" s="47"/>
      <c r="E735" s="45"/>
      <c r="F735" s="45"/>
      <c r="G735" s="45"/>
      <c r="H735" s="45"/>
      <c r="I735" s="45"/>
      <c r="J735" s="45"/>
      <c r="K735" s="45"/>
      <c r="L735" s="45"/>
      <c r="M735" s="45"/>
      <c r="N735" s="45"/>
      <c r="O735" s="45"/>
      <c r="P735" s="45"/>
      <c r="Q735" s="45"/>
      <c r="R735" s="45"/>
    </row>
    <row r="736" spans="1:18" x14ac:dyDescent="0.25">
      <c r="A736" s="45"/>
      <c r="B736" s="47"/>
      <c r="C736" s="47"/>
      <c r="D736" s="47"/>
      <c r="E736" s="45"/>
      <c r="F736" s="45"/>
      <c r="G736" s="45"/>
      <c r="H736" s="45"/>
      <c r="I736" s="45"/>
      <c r="J736" s="45"/>
      <c r="K736" s="45"/>
      <c r="L736" s="45"/>
      <c r="M736" s="45"/>
      <c r="N736" s="45"/>
      <c r="O736" s="45"/>
      <c r="P736" s="45"/>
      <c r="Q736" s="45"/>
      <c r="R736" s="45"/>
    </row>
    <row r="737" spans="1:18" x14ac:dyDescent="0.25">
      <c r="A737" s="45"/>
      <c r="B737" s="47"/>
      <c r="C737" s="47"/>
      <c r="D737" s="47"/>
      <c r="E737" s="45"/>
      <c r="F737" s="45"/>
      <c r="G737" s="45"/>
      <c r="H737" s="45"/>
      <c r="I737" s="45"/>
      <c r="J737" s="45"/>
      <c r="K737" s="45"/>
      <c r="L737" s="45"/>
      <c r="M737" s="45"/>
      <c r="N737" s="45"/>
      <c r="O737" s="45"/>
      <c r="P737" s="45"/>
      <c r="Q737" s="45"/>
      <c r="R737" s="45"/>
    </row>
    <row r="738" spans="1:18" x14ac:dyDescent="0.25">
      <c r="A738" s="45"/>
      <c r="B738" s="47"/>
      <c r="C738" s="47"/>
      <c r="D738" s="47"/>
      <c r="E738" s="45"/>
      <c r="F738" s="45"/>
      <c r="G738" s="45"/>
      <c r="H738" s="45"/>
      <c r="I738" s="45"/>
      <c r="J738" s="45"/>
      <c r="K738" s="45"/>
      <c r="L738" s="45"/>
      <c r="M738" s="45"/>
      <c r="N738" s="45"/>
      <c r="O738" s="45"/>
      <c r="P738" s="45"/>
      <c r="Q738" s="45"/>
      <c r="R738" s="45"/>
    </row>
    <row r="739" spans="1:18" x14ac:dyDescent="0.25">
      <c r="A739" s="45"/>
      <c r="B739" s="47"/>
      <c r="C739" s="47"/>
      <c r="D739" s="47"/>
      <c r="E739" s="45"/>
      <c r="F739" s="45"/>
      <c r="G739" s="45"/>
      <c r="H739" s="45"/>
      <c r="I739" s="45"/>
      <c r="J739" s="45"/>
      <c r="K739" s="45"/>
      <c r="L739" s="45"/>
      <c r="M739" s="45"/>
      <c r="N739" s="45"/>
      <c r="O739" s="45"/>
      <c r="P739" s="45"/>
      <c r="Q739" s="45"/>
      <c r="R739" s="45"/>
    </row>
    <row r="740" spans="1:18" x14ac:dyDescent="0.25">
      <c r="A740" s="45"/>
      <c r="B740" s="47"/>
      <c r="C740" s="47"/>
      <c r="D740" s="47"/>
      <c r="E740" s="45"/>
      <c r="F740" s="45"/>
      <c r="G740" s="45"/>
      <c r="H740" s="45"/>
      <c r="I740" s="45"/>
      <c r="J740" s="45"/>
      <c r="K740" s="45"/>
      <c r="L740" s="45"/>
      <c r="M740" s="45"/>
      <c r="N740" s="45"/>
      <c r="O740" s="45"/>
      <c r="P740" s="45"/>
      <c r="Q740" s="45"/>
      <c r="R740" s="45"/>
    </row>
    <row r="741" spans="1:18" x14ac:dyDescent="0.25">
      <c r="A741" s="45"/>
      <c r="B741" s="47"/>
      <c r="C741" s="47"/>
      <c r="D741" s="47"/>
      <c r="E741" s="45"/>
      <c r="F741" s="45"/>
      <c r="G741" s="45"/>
      <c r="H741" s="45"/>
      <c r="I741" s="45"/>
      <c r="J741" s="45"/>
      <c r="K741" s="45"/>
      <c r="L741" s="45"/>
      <c r="M741" s="45"/>
      <c r="N741" s="45"/>
      <c r="O741" s="45"/>
      <c r="P741" s="45"/>
      <c r="Q741" s="45"/>
      <c r="R741" s="45"/>
    </row>
    <row r="742" spans="1:18" x14ac:dyDescent="0.25">
      <c r="A742" s="45"/>
      <c r="B742" s="47"/>
      <c r="C742" s="47"/>
      <c r="D742" s="47"/>
      <c r="E742" s="45"/>
      <c r="F742" s="45"/>
      <c r="G742" s="45"/>
      <c r="H742" s="45"/>
      <c r="I742" s="45"/>
      <c r="J742" s="45"/>
      <c r="K742" s="45"/>
      <c r="L742" s="45"/>
      <c r="M742" s="45"/>
      <c r="N742" s="45"/>
      <c r="O742" s="45"/>
      <c r="P742" s="45"/>
      <c r="Q742" s="45"/>
      <c r="R742" s="45"/>
    </row>
    <row r="743" spans="1:18" x14ac:dyDescent="0.25">
      <c r="A743" s="45"/>
      <c r="B743" s="47"/>
      <c r="C743" s="47"/>
      <c r="D743" s="47"/>
      <c r="E743" s="45"/>
      <c r="F743" s="45"/>
      <c r="G743" s="45"/>
      <c r="H743" s="45"/>
      <c r="I743" s="45"/>
      <c r="J743" s="45"/>
      <c r="K743" s="45"/>
      <c r="L743" s="45"/>
      <c r="M743" s="45"/>
      <c r="N743" s="45"/>
      <c r="O743" s="45"/>
      <c r="P743" s="45"/>
      <c r="Q743" s="45"/>
      <c r="R743" s="45"/>
    </row>
    <row r="744" spans="1:18" x14ac:dyDescent="0.25">
      <c r="A744" s="45"/>
      <c r="B744" s="47"/>
      <c r="C744" s="47"/>
      <c r="D744" s="47"/>
      <c r="E744" s="45"/>
      <c r="F744" s="45"/>
      <c r="G744" s="45"/>
      <c r="H744" s="45"/>
      <c r="I744" s="45"/>
      <c r="J744" s="45"/>
      <c r="K744" s="45"/>
      <c r="L744" s="45"/>
      <c r="M744" s="45"/>
      <c r="N744" s="45"/>
      <c r="O744" s="45"/>
      <c r="P744" s="45"/>
      <c r="Q744" s="45"/>
      <c r="R744" s="45"/>
    </row>
    <row r="745" spans="1:18" x14ac:dyDescent="0.25">
      <c r="A745" s="45"/>
      <c r="B745" s="47"/>
      <c r="C745" s="47"/>
      <c r="D745" s="47"/>
      <c r="E745" s="45"/>
      <c r="F745" s="45"/>
      <c r="G745" s="45"/>
      <c r="H745" s="45"/>
      <c r="I745" s="45"/>
      <c r="J745" s="45"/>
      <c r="K745" s="45"/>
      <c r="L745" s="45"/>
      <c r="M745" s="45"/>
      <c r="N745" s="45"/>
      <c r="O745" s="45"/>
      <c r="P745" s="45"/>
      <c r="Q745" s="45"/>
      <c r="R745" s="45"/>
    </row>
    <row r="746" spans="1:18" x14ac:dyDescent="0.25">
      <c r="A746" s="45"/>
      <c r="B746" s="47"/>
      <c r="C746" s="47"/>
      <c r="D746" s="47"/>
      <c r="E746" s="45"/>
      <c r="F746" s="45"/>
      <c r="G746" s="45"/>
      <c r="H746" s="45"/>
      <c r="I746" s="45"/>
      <c r="J746" s="45"/>
      <c r="K746" s="45"/>
      <c r="L746" s="45"/>
      <c r="M746" s="45"/>
      <c r="N746" s="45"/>
      <c r="O746" s="45"/>
      <c r="P746" s="45"/>
      <c r="Q746" s="45"/>
      <c r="R746" s="45"/>
    </row>
    <row r="747" spans="1:18" x14ac:dyDescent="0.25">
      <c r="A747" s="45"/>
      <c r="B747" s="47"/>
      <c r="C747" s="47"/>
      <c r="D747" s="47"/>
      <c r="E747" s="45"/>
      <c r="F747" s="45"/>
      <c r="G747" s="45"/>
      <c r="H747" s="45"/>
      <c r="I747" s="45"/>
      <c r="J747" s="45"/>
      <c r="K747" s="45"/>
      <c r="L747" s="45"/>
      <c r="M747" s="45"/>
      <c r="N747" s="45"/>
      <c r="O747" s="45"/>
      <c r="P747" s="45"/>
      <c r="Q747" s="45"/>
      <c r="R747" s="45"/>
    </row>
    <row r="748" spans="1:18" x14ac:dyDescent="0.25">
      <c r="A748" s="45"/>
      <c r="B748" s="47"/>
      <c r="C748" s="47"/>
      <c r="D748" s="47"/>
      <c r="E748" s="45"/>
      <c r="F748" s="45"/>
      <c r="G748" s="45"/>
      <c r="H748" s="45"/>
      <c r="I748" s="45"/>
      <c r="J748" s="45"/>
      <c r="K748" s="45"/>
      <c r="L748" s="45"/>
      <c r="M748" s="45"/>
      <c r="N748" s="45"/>
      <c r="O748" s="45"/>
      <c r="P748" s="45"/>
      <c r="Q748" s="45"/>
      <c r="R748" s="45"/>
    </row>
    <row r="749" spans="1:18" x14ac:dyDescent="0.25">
      <c r="A749" s="45"/>
      <c r="B749" s="47"/>
      <c r="C749" s="47"/>
      <c r="D749" s="47"/>
      <c r="E749" s="45"/>
      <c r="F749" s="45"/>
      <c r="G749" s="45"/>
      <c r="H749" s="45"/>
      <c r="I749" s="45"/>
      <c r="J749" s="45"/>
      <c r="K749" s="45"/>
      <c r="L749" s="45"/>
      <c r="M749" s="45"/>
      <c r="N749" s="45"/>
      <c r="O749" s="45"/>
      <c r="P749" s="45"/>
      <c r="Q749" s="45"/>
      <c r="R749" s="45"/>
    </row>
    <row r="750" spans="1:18" x14ac:dyDescent="0.25">
      <c r="A750" s="45"/>
      <c r="B750" s="47"/>
      <c r="C750" s="47"/>
      <c r="D750" s="47"/>
      <c r="E750" s="45"/>
      <c r="F750" s="45"/>
      <c r="G750" s="45"/>
      <c r="H750" s="45"/>
      <c r="I750" s="45"/>
      <c r="J750" s="45"/>
      <c r="K750" s="45"/>
      <c r="L750" s="45"/>
      <c r="M750" s="45"/>
      <c r="N750" s="45"/>
      <c r="O750" s="45"/>
      <c r="P750" s="45"/>
      <c r="Q750" s="45"/>
      <c r="R750" s="45"/>
    </row>
    <row r="751" spans="1:18" x14ac:dyDescent="0.25">
      <c r="A751" s="45"/>
      <c r="B751" s="47"/>
      <c r="C751" s="47"/>
      <c r="D751" s="47"/>
      <c r="E751" s="45"/>
      <c r="F751" s="45"/>
      <c r="G751" s="45"/>
      <c r="H751" s="45"/>
      <c r="I751" s="45"/>
      <c r="J751" s="45"/>
      <c r="K751" s="45"/>
      <c r="L751" s="45"/>
      <c r="M751" s="45"/>
      <c r="N751" s="45"/>
      <c r="O751" s="45"/>
      <c r="P751" s="45"/>
      <c r="Q751" s="45"/>
      <c r="R751" s="45"/>
    </row>
    <row r="752" spans="1:18" x14ac:dyDescent="0.25">
      <c r="A752" s="45"/>
      <c r="B752" s="47"/>
      <c r="C752" s="47"/>
      <c r="D752" s="47"/>
      <c r="E752" s="45"/>
      <c r="F752" s="45"/>
      <c r="G752" s="45"/>
      <c r="H752" s="45"/>
      <c r="I752" s="45"/>
      <c r="J752" s="45"/>
      <c r="K752" s="45"/>
      <c r="L752" s="45"/>
      <c r="M752" s="45"/>
      <c r="N752" s="45"/>
      <c r="O752" s="45"/>
      <c r="P752" s="45"/>
      <c r="Q752" s="45"/>
      <c r="R752" s="45"/>
    </row>
    <row r="753" spans="1:18" x14ac:dyDescent="0.25">
      <c r="A753" s="45"/>
      <c r="B753" s="47"/>
      <c r="C753" s="47"/>
      <c r="D753" s="47"/>
      <c r="E753" s="45"/>
      <c r="F753" s="45"/>
      <c r="G753" s="45"/>
      <c r="H753" s="45"/>
      <c r="I753" s="45"/>
      <c r="J753" s="45"/>
      <c r="K753" s="45"/>
      <c r="L753" s="45"/>
      <c r="M753" s="45"/>
      <c r="N753" s="45"/>
      <c r="O753" s="45"/>
      <c r="P753" s="45"/>
      <c r="Q753" s="45"/>
      <c r="R753" s="45"/>
    </row>
    <row r="754" spans="1:18" x14ac:dyDescent="0.25">
      <c r="A754" s="45"/>
      <c r="B754" s="47"/>
      <c r="C754" s="47"/>
      <c r="D754" s="47"/>
      <c r="E754" s="45"/>
      <c r="F754" s="45"/>
      <c r="G754" s="45"/>
      <c r="H754" s="45"/>
      <c r="I754" s="45"/>
      <c r="J754" s="45"/>
      <c r="K754" s="45"/>
      <c r="L754" s="45"/>
      <c r="M754" s="45"/>
      <c r="N754" s="45"/>
      <c r="O754" s="45"/>
      <c r="P754" s="45"/>
      <c r="Q754" s="45"/>
      <c r="R754" s="45"/>
    </row>
    <row r="755" spans="1:18" x14ac:dyDescent="0.25">
      <c r="A755" s="45"/>
      <c r="B755" s="47"/>
      <c r="C755" s="47"/>
      <c r="D755" s="47"/>
      <c r="E755" s="45"/>
      <c r="F755" s="45"/>
      <c r="G755" s="45"/>
      <c r="H755" s="45"/>
      <c r="I755" s="45"/>
      <c r="J755" s="45"/>
      <c r="K755" s="45"/>
      <c r="L755" s="45"/>
      <c r="M755" s="45"/>
      <c r="N755" s="45"/>
      <c r="O755" s="45"/>
      <c r="P755" s="45"/>
      <c r="Q755" s="45"/>
      <c r="R755" s="45"/>
    </row>
    <row r="756" spans="1:18" x14ac:dyDescent="0.25">
      <c r="A756" s="45"/>
      <c r="B756" s="47"/>
      <c r="C756" s="47"/>
      <c r="D756" s="47"/>
      <c r="E756" s="45"/>
      <c r="F756" s="45"/>
      <c r="G756" s="45"/>
      <c r="H756" s="45"/>
      <c r="I756" s="45"/>
      <c r="J756" s="45"/>
      <c r="K756" s="45"/>
      <c r="L756" s="45"/>
      <c r="M756" s="45"/>
      <c r="N756" s="45"/>
      <c r="O756" s="45"/>
      <c r="P756" s="45"/>
      <c r="Q756" s="45"/>
      <c r="R756" s="45"/>
    </row>
    <row r="757" spans="1:18" x14ac:dyDescent="0.25">
      <c r="A757" s="45"/>
      <c r="B757" s="47"/>
      <c r="C757" s="47"/>
      <c r="D757" s="47"/>
      <c r="E757" s="45"/>
      <c r="F757" s="45"/>
      <c r="G757" s="45"/>
      <c r="H757" s="45"/>
      <c r="I757" s="45"/>
      <c r="J757" s="45"/>
      <c r="K757" s="45"/>
      <c r="L757" s="45"/>
      <c r="M757" s="45"/>
      <c r="N757" s="45"/>
      <c r="O757" s="45"/>
      <c r="P757" s="45"/>
      <c r="Q757" s="45"/>
      <c r="R757" s="45"/>
    </row>
    <row r="758" spans="1:18" x14ac:dyDescent="0.25">
      <c r="A758" s="45"/>
      <c r="B758" s="47"/>
      <c r="C758" s="47"/>
      <c r="D758" s="47"/>
      <c r="E758" s="45"/>
      <c r="F758" s="45"/>
      <c r="G758" s="45"/>
      <c r="H758" s="45"/>
      <c r="I758" s="45"/>
      <c r="J758" s="45"/>
      <c r="K758" s="45"/>
      <c r="L758" s="45"/>
      <c r="M758" s="45"/>
      <c r="N758" s="45"/>
      <c r="O758" s="45"/>
      <c r="P758" s="45"/>
      <c r="Q758" s="45"/>
      <c r="R758" s="45"/>
    </row>
    <row r="759" spans="1:18" x14ac:dyDescent="0.25">
      <c r="A759" s="45"/>
      <c r="B759" s="47"/>
      <c r="C759" s="47"/>
      <c r="D759" s="47"/>
      <c r="E759" s="45"/>
      <c r="F759" s="45"/>
      <c r="G759" s="45"/>
      <c r="H759" s="45"/>
      <c r="I759" s="45"/>
      <c r="J759" s="45"/>
      <c r="K759" s="45"/>
      <c r="L759" s="45"/>
      <c r="M759" s="45"/>
      <c r="N759" s="45"/>
      <c r="O759" s="45"/>
      <c r="P759" s="45"/>
      <c r="Q759" s="45"/>
      <c r="R759" s="45"/>
    </row>
    <row r="760" spans="1:18" x14ac:dyDescent="0.25">
      <c r="A760" s="45"/>
      <c r="B760" s="47"/>
      <c r="C760" s="47"/>
      <c r="D760" s="47"/>
      <c r="E760" s="45"/>
      <c r="F760" s="45"/>
      <c r="G760" s="45"/>
      <c r="H760" s="45"/>
      <c r="I760" s="45"/>
      <c r="J760" s="45"/>
      <c r="K760" s="45"/>
      <c r="L760" s="45"/>
      <c r="M760" s="45"/>
      <c r="N760" s="45"/>
      <c r="O760" s="45"/>
      <c r="P760" s="45"/>
      <c r="Q760" s="45"/>
      <c r="R760" s="45"/>
    </row>
    <row r="761" spans="1:18" x14ac:dyDescent="0.25">
      <c r="A761" s="45"/>
      <c r="B761" s="47"/>
      <c r="C761" s="47"/>
      <c r="D761" s="47"/>
      <c r="E761" s="45"/>
      <c r="F761" s="45"/>
      <c r="G761" s="45"/>
      <c r="H761" s="45"/>
      <c r="I761" s="45"/>
      <c r="J761" s="45"/>
      <c r="K761" s="45"/>
      <c r="L761" s="45"/>
      <c r="M761" s="45"/>
      <c r="N761" s="45"/>
      <c r="O761" s="45"/>
      <c r="P761" s="45"/>
      <c r="Q761" s="45"/>
      <c r="R761" s="45"/>
    </row>
    <row r="762" spans="1:18" x14ac:dyDescent="0.25">
      <c r="A762" s="45"/>
      <c r="B762" s="47"/>
      <c r="C762" s="47"/>
      <c r="D762" s="47"/>
      <c r="E762" s="45"/>
      <c r="F762" s="45"/>
      <c r="G762" s="45"/>
      <c r="H762" s="45"/>
      <c r="I762" s="45"/>
      <c r="J762" s="45"/>
      <c r="K762" s="45"/>
      <c r="L762" s="45"/>
      <c r="M762" s="45"/>
      <c r="N762" s="45"/>
      <c r="O762" s="45"/>
      <c r="P762" s="45"/>
      <c r="Q762" s="45"/>
      <c r="R762" s="45"/>
    </row>
    <row r="763" spans="1:18" x14ac:dyDescent="0.25">
      <c r="A763" s="45"/>
      <c r="B763" s="47"/>
      <c r="C763" s="47"/>
      <c r="D763" s="47"/>
      <c r="E763" s="45"/>
      <c r="F763" s="45"/>
      <c r="G763" s="45"/>
      <c r="H763" s="45"/>
      <c r="I763" s="45"/>
      <c r="J763" s="45"/>
      <c r="K763" s="45"/>
      <c r="L763" s="45"/>
      <c r="M763" s="45"/>
      <c r="N763" s="45"/>
      <c r="O763" s="45"/>
      <c r="P763" s="45"/>
      <c r="Q763" s="45"/>
      <c r="R763" s="45"/>
    </row>
    <row r="764" spans="1:18" x14ac:dyDescent="0.25">
      <c r="A764" s="45"/>
      <c r="B764" s="47"/>
      <c r="C764" s="47"/>
      <c r="D764" s="47"/>
      <c r="E764" s="45"/>
      <c r="F764" s="45"/>
      <c r="G764" s="45"/>
      <c r="H764" s="45"/>
      <c r="I764" s="45"/>
      <c r="J764" s="45"/>
      <c r="K764" s="45"/>
      <c r="L764" s="45"/>
      <c r="M764" s="45"/>
      <c r="N764" s="45"/>
      <c r="O764" s="45"/>
      <c r="P764" s="45"/>
      <c r="Q764" s="45"/>
      <c r="R764" s="45"/>
    </row>
    <row r="765" spans="1:18" x14ac:dyDescent="0.25">
      <c r="A765" s="45"/>
      <c r="B765" s="47"/>
      <c r="C765" s="47"/>
      <c r="D765" s="47"/>
      <c r="E765" s="45"/>
      <c r="F765" s="45"/>
      <c r="G765" s="45"/>
      <c r="H765" s="45"/>
      <c r="I765" s="45"/>
      <c r="J765" s="45"/>
      <c r="K765" s="45"/>
      <c r="L765" s="45"/>
      <c r="M765" s="45"/>
      <c r="N765" s="45"/>
      <c r="O765" s="45"/>
      <c r="P765" s="45"/>
      <c r="Q765" s="45"/>
      <c r="R765" s="45"/>
    </row>
    <row r="766" spans="1:18" x14ac:dyDescent="0.25">
      <c r="A766" s="45"/>
      <c r="B766" s="47"/>
      <c r="C766" s="47"/>
      <c r="D766" s="47"/>
      <c r="E766" s="45"/>
      <c r="F766" s="45"/>
      <c r="G766" s="45"/>
      <c r="H766" s="45"/>
      <c r="I766" s="45"/>
      <c r="J766" s="45"/>
      <c r="K766" s="45"/>
      <c r="L766" s="45"/>
      <c r="M766" s="45"/>
      <c r="N766" s="45"/>
      <c r="O766" s="45"/>
      <c r="P766" s="45"/>
      <c r="Q766" s="45"/>
      <c r="R766" s="45"/>
    </row>
    <row r="767" spans="1:18" x14ac:dyDescent="0.25">
      <c r="A767" s="45"/>
      <c r="B767" s="47"/>
      <c r="C767" s="47"/>
      <c r="D767" s="47"/>
      <c r="E767" s="45"/>
      <c r="F767" s="45"/>
      <c r="G767" s="45"/>
      <c r="H767" s="45"/>
      <c r="I767" s="45"/>
      <c r="J767" s="45"/>
      <c r="K767" s="45"/>
      <c r="L767" s="45"/>
      <c r="M767" s="45"/>
      <c r="N767" s="45"/>
      <c r="O767" s="45"/>
      <c r="P767" s="45"/>
      <c r="Q767" s="45"/>
      <c r="R767" s="45"/>
    </row>
    <row r="768" spans="1:18" x14ac:dyDescent="0.25">
      <c r="A768" s="45"/>
      <c r="B768" s="47"/>
      <c r="C768" s="47"/>
      <c r="D768" s="47"/>
      <c r="E768" s="45"/>
      <c r="F768" s="45"/>
      <c r="G768" s="45"/>
      <c r="H768" s="45"/>
      <c r="I768" s="45"/>
      <c r="J768" s="45"/>
      <c r="K768" s="45"/>
      <c r="L768" s="45"/>
      <c r="M768" s="45"/>
      <c r="N768" s="45"/>
      <c r="O768" s="45"/>
      <c r="P768" s="45"/>
      <c r="Q768" s="45"/>
      <c r="R768" s="45"/>
    </row>
    <row r="769" spans="1:18" x14ac:dyDescent="0.25">
      <c r="A769" s="45"/>
      <c r="B769" s="47"/>
      <c r="C769" s="47"/>
      <c r="D769" s="47"/>
      <c r="E769" s="45"/>
      <c r="F769" s="45"/>
      <c r="G769" s="45"/>
      <c r="H769" s="45"/>
      <c r="I769" s="45"/>
      <c r="J769" s="45"/>
      <c r="K769" s="45"/>
      <c r="L769" s="45"/>
      <c r="M769" s="45"/>
      <c r="N769" s="45"/>
      <c r="O769" s="45"/>
      <c r="P769" s="45"/>
      <c r="Q769" s="45"/>
      <c r="R769" s="45"/>
    </row>
    <row r="770" spans="1:18" x14ac:dyDescent="0.25">
      <c r="A770" s="45"/>
      <c r="B770" s="47"/>
      <c r="C770" s="47"/>
      <c r="D770" s="47"/>
      <c r="E770" s="45"/>
      <c r="F770" s="45"/>
      <c r="G770" s="45"/>
      <c r="H770" s="45"/>
      <c r="I770" s="45"/>
      <c r="J770" s="45"/>
      <c r="K770" s="45"/>
      <c r="L770" s="45"/>
      <c r="M770" s="45"/>
      <c r="N770" s="45"/>
      <c r="O770" s="45"/>
      <c r="P770" s="45"/>
      <c r="Q770" s="45"/>
      <c r="R770" s="45"/>
    </row>
    <row r="771" spans="1:18" x14ac:dyDescent="0.25">
      <c r="A771" s="45"/>
      <c r="B771" s="47"/>
      <c r="C771" s="47"/>
      <c r="D771" s="47"/>
      <c r="E771" s="45"/>
      <c r="F771" s="45"/>
      <c r="G771" s="45"/>
      <c r="H771" s="45"/>
      <c r="I771" s="45"/>
      <c r="J771" s="45"/>
      <c r="K771" s="45"/>
      <c r="L771" s="45"/>
      <c r="M771" s="45"/>
      <c r="N771" s="45"/>
      <c r="O771" s="45"/>
      <c r="P771" s="45"/>
      <c r="Q771" s="45"/>
      <c r="R771" s="45"/>
    </row>
    <row r="772" spans="1:18" x14ac:dyDescent="0.25">
      <c r="A772" s="45"/>
      <c r="B772" s="47"/>
      <c r="C772" s="47"/>
      <c r="D772" s="47"/>
      <c r="E772" s="45"/>
      <c r="F772" s="45"/>
      <c r="G772" s="45"/>
      <c r="H772" s="45"/>
      <c r="I772" s="45"/>
      <c r="J772" s="45"/>
      <c r="K772" s="45"/>
      <c r="L772" s="45"/>
      <c r="M772" s="45"/>
      <c r="N772" s="45"/>
      <c r="O772" s="45"/>
      <c r="P772" s="45"/>
      <c r="Q772" s="45"/>
      <c r="R772" s="45"/>
    </row>
    <row r="773" spans="1:18" x14ac:dyDescent="0.25">
      <c r="A773" s="45"/>
      <c r="B773" s="47"/>
      <c r="C773" s="47"/>
      <c r="D773" s="47"/>
      <c r="E773" s="45"/>
      <c r="F773" s="45"/>
      <c r="G773" s="45"/>
      <c r="H773" s="45"/>
      <c r="I773" s="45"/>
      <c r="J773" s="45"/>
      <c r="K773" s="45"/>
      <c r="L773" s="45"/>
      <c r="M773" s="45"/>
      <c r="N773" s="45"/>
      <c r="O773" s="45"/>
      <c r="P773" s="45"/>
      <c r="Q773" s="45"/>
      <c r="R773" s="45"/>
    </row>
    <row r="774" spans="1:18" x14ac:dyDescent="0.25">
      <c r="A774" s="45"/>
      <c r="B774" s="47"/>
      <c r="C774" s="47"/>
      <c r="D774" s="47"/>
      <c r="E774" s="45"/>
      <c r="F774" s="45"/>
      <c r="G774" s="45"/>
      <c r="H774" s="45"/>
      <c r="I774" s="45"/>
      <c r="J774" s="45"/>
      <c r="K774" s="45"/>
      <c r="L774" s="45"/>
      <c r="M774" s="45"/>
      <c r="N774" s="45"/>
      <c r="O774" s="45"/>
      <c r="P774" s="45"/>
      <c r="Q774" s="45"/>
      <c r="R774" s="45"/>
    </row>
    <row r="775" spans="1:18" x14ac:dyDescent="0.25">
      <c r="A775" s="45"/>
      <c r="B775" s="47"/>
      <c r="C775" s="47"/>
      <c r="D775" s="47"/>
      <c r="E775" s="45"/>
      <c r="F775" s="45"/>
      <c r="G775" s="45"/>
      <c r="H775" s="45"/>
      <c r="I775" s="45"/>
      <c r="J775" s="45"/>
      <c r="K775" s="45"/>
      <c r="L775" s="45"/>
      <c r="M775" s="45"/>
      <c r="N775" s="45"/>
      <c r="O775" s="45"/>
      <c r="P775" s="45"/>
      <c r="Q775" s="45"/>
      <c r="R775" s="45"/>
    </row>
    <row r="776" spans="1:18" x14ac:dyDescent="0.25">
      <c r="A776" s="45"/>
      <c r="B776" s="47"/>
      <c r="C776" s="47"/>
      <c r="D776" s="47"/>
      <c r="E776" s="45"/>
      <c r="F776" s="45"/>
      <c r="G776" s="45"/>
      <c r="H776" s="45"/>
      <c r="I776" s="45"/>
      <c r="J776" s="45"/>
      <c r="K776" s="45"/>
      <c r="L776" s="45"/>
      <c r="M776" s="45"/>
      <c r="N776" s="45"/>
      <c r="O776" s="45"/>
      <c r="P776" s="45"/>
      <c r="Q776" s="45"/>
      <c r="R776" s="45"/>
    </row>
    <row r="777" spans="1:18" x14ac:dyDescent="0.25">
      <c r="A777" s="45"/>
      <c r="B777" s="47"/>
      <c r="C777" s="47"/>
      <c r="D777" s="47"/>
      <c r="E777" s="45"/>
      <c r="F777" s="45"/>
      <c r="G777" s="45"/>
      <c r="H777" s="45"/>
      <c r="I777" s="45"/>
      <c r="J777" s="45"/>
      <c r="K777" s="45"/>
      <c r="L777" s="45"/>
      <c r="M777" s="45"/>
      <c r="N777" s="45"/>
      <c r="O777" s="45"/>
      <c r="P777" s="45"/>
      <c r="Q777" s="45"/>
      <c r="R777" s="45"/>
    </row>
    <row r="778" spans="1:18" x14ac:dyDescent="0.25">
      <c r="A778" s="45"/>
      <c r="B778" s="47"/>
      <c r="C778" s="47"/>
      <c r="D778" s="47"/>
      <c r="E778" s="45"/>
      <c r="F778" s="45"/>
      <c r="G778" s="45"/>
      <c r="H778" s="45"/>
      <c r="I778" s="45"/>
      <c r="J778" s="45"/>
      <c r="K778" s="45"/>
      <c r="L778" s="45"/>
      <c r="M778" s="45"/>
      <c r="N778" s="45"/>
      <c r="O778" s="45"/>
      <c r="P778" s="45"/>
      <c r="Q778" s="45"/>
      <c r="R778" s="45"/>
    </row>
    <row r="779" spans="1:18" x14ac:dyDescent="0.25">
      <c r="A779" s="45"/>
      <c r="B779" s="47"/>
      <c r="C779" s="47"/>
      <c r="D779" s="47"/>
      <c r="E779" s="45"/>
      <c r="F779" s="45"/>
      <c r="G779" s="45"/>
      <c r="H779" s="45"/>
      <c r="I779" s="45"/>
      <c r="J779" s="45"/>
      <c r="K779" s="45"/>
      <c r="L779" s="45"/>
      <c r="M779" s="45"/>
      <c r="N779" s="45"/>
      <c r="O779" s="45"/>
      <c r="P779" s="45"/>
      <c r="Q779" s="45"/>
      <c r="R779" s="45"/>
    </row>
    <row r="780" spans="1:18" x14ac:dyDescent="0.25">
      <c r="A780" s="45"/>
      <c r="B780" s="47"/>
      <c r="C780" s="47"/>
      <c r="D780" s="47"/>
      <c r="E780" s="45"/>
      <c r="F780" s="45"/>
      <c r="G780" s="45"/>
      <c r="H780" s="45"/>
      <c r="I780" s="45"/>
      <c r="J780" s="45"/>
      <c r="K780" s="45"/>
      <c r="L780" s="45"/>
      <c r="M780" s="45"/>
      <c r="N780" s="45"/>
      <c r="O780" s="45"/>
      <c r="P780" s="45"/>
      <c r="Q780" s="45"/>
      <c r="R780" s="45"/>
    </row>
    <row r="781" spans="1:18" x14ac:dyDescent="0.25">
      <c r="A781" s="45"/>
      <c r="B781" s="47"/>
      <c r="C781" s="47"/>
      <c r="D781" s="47"/>
      <c r="E781" s="45"/>
      <c r="F781" s="45"/>
      <c r="G781" s="45"/>
      <c r="H781" s="45"/>
      <c r="I781" s="45"/>
      <c r="J781" s="45"/>
      <c r="K781" s="45"/>
      <c r="L781" s="45"/>
      <c r="M781" s="45"/>
      <c r="N781" s="45"/>
      <c r="O781" s="45"/>
      <c r="P781" s="45"/>
      <c r="Q781" s="45"/>
      <c r="R781" s="45"/>
    </row>
    <row r="782" spans="1:18" x14ac:dyDescent="0.25">
      <c r="A782" s="45"/>
      <c r="B782" s="47"/>
      <c r="C782" s="47"/>
      <c r="D782" s="47"/>
      <c r="E782" s="45"/>
      <c r="F782" s="45"/>
      <c r="G782" s="45"/>
      <c r="H782" s="45"/>
      <c r="I782" s="45"/>
      <c r="J782" s="45"/>
      <c r="K782" s="45"/>
      <c r="L782" s="45"/>
      <c r="M782" s="45"/>
      <c r="N782" s="45"/>
      <c r="O782" s="45"/>
      <c r="P782" s="45"/>
      <c r="Q782" s="45"/>
      <c r="R782" s="45"/>
    </row>
    <row r="783" spans="1:18" x14ac:dyDescent="0.25">
      <c r="A783" s="45"/>
      <c r="B783" s="47"/>
      <c r="C783" s="47"/>
      <c r="D783" s="47"/>
      <c r="E783" s="45"/>
      <c r="F783" s="45"/>
      <c r="G783" s="45"/>
      <c r="H783" s="45"/>
      <c r="I783" s="45"/>
      <c r="J783" s="45"/>
      <c r="K783" s="45"/>
      <c r="L783" s="45"/>
      <c r="M783" s="45"/>
      <c r="N783" s="45"/>
      <c r="O783" s="45"/>
      <c r="P783" s="45"/>
      <c r="Q783" s="45"/>
      <c r="R783" s="45"/>
    </row>
    <row r="784" spans="1:18" x14ac:dyDescent="0.25">
      <c r="A784" s="45"/>
      <c r="B784" s="47"/>
      <c r="C784" s="47"/>
      <c r="D784" s="47"/>
      <c r="E784" s="45"/>
      <c r="F784" s="45"/>
      <c r="G784" s="45"/>
      <c r="H784" s="45"/>
      <c r="I784" s="45"/>
      <c r="J784" s="45"/>
      <c r="K784" s="45"/>
      <c r="L784" s="45"/>
      <c r="M784" s="45"/>
      <c r="N784" s="45"/>
      <c r="O784" s="45"/>
      <c r="P784" s="45"/>
      <c r="Q784" s="45"/>
      <c r="R784" s="45"/>
    </row>
    <row r="785" spans="1:18" x14ac:dyDescent="0.25">
      <c r="A785" s="45"/>
      <c r="B785" s="47"/>
      <c r="C785" s="47"/>
      <c r="D785" s="47"/>
      <c r="E785" s="45"/>
      <c r="F785" s="45"/>
      <c r="G785" s="45"/>
      <c r="H785" s="45"/>
      <c r="I785" s="45"/>
      <c r="J785" s="45"/>
      <c r="K785" s="45"/>
      <c r="L785" s="45"/>
      <c r="M785" s="45"/>
      <c r="N785" s="45"/>
      <c r="O785" s="45"/>
      <c r="P785" s="45"/>
      <c r="Q785" s="45"/>
      <c r="R785" s="45"/>
    </row>
    <row r="786" spans="1:18" x14ac:dyDescent="0.25">
      <c r="A786" s="45"/>
      <c r="B786" s="47"/>
      <c r="C786" s="47"/>
      <c r="D786" s="47"/>
      <c r="E786" s="45"/>
      <c r="F786" s="45"/>
      <c r="G786" s="45"/>
      <c r="H786" s="45"/>
      <c r="I786" s="45"/>
      <c r="J786" s="45"/>
      <c r="K786" s="45"/>
      <c r="L786" s="45"/>
      <c r="M786" s="45"/>
      <c r="N786" s="45"/>
      <c r="O786" s="45"/>
      <c r="P786" s="45"/>
      <c r="Q786" s="45"/>
      <c r="R786" s="45"/>
    </row>
    <row r="787" spans="1:18" x14ac:dyDescent="0.25">
      <c r="A787" s="45"/>
      <c r="B787" s="47"/>
      <c r="C787" s="47"/>
      <c r="D787" s="47"/>
      <c r="E787" s="45"/>
      <c r="F787" s="45"/>
      <c r="G787" s="45"/>
      <c r="H787" s="45"/>
      <c r="I787" s="45"/>
      <c r="J787" s="45"/>
      <c r="K787" s="45"/>
      <c r="L787" s="45"/>
      <c r="M787" s="45"/>
      <c r="N787" s="45"/>
      <c r="O787" s="45"/>
      <c r="P787" s="45"/>
      <c r="Q787" s="45"/>
      <c r="R787" s="45"/>
    </row>
    <row r="788" spans="1:18" x14ac:dyDescent="0.25">
      <c r="A788" s="45"/>
      <c r="B788" s="47"/>
      <c r="C788" s="47"/>
      <c r="D788" s="47"/>
      <c r="E788" s="45"/>
      <c r="F788" s="45"/>
      <c r="G788" s="45"/>
      <c r="H788" s="45"/>
      <c r="I788" s="45"/>
      <c r="J788" s="45"/>
      <c r="K788" s="45"/>
      <c r="L788" s="45"/>
      <c r="M788" s="45"/>
      <c r="N788" s="45"/>
      <c r="O788" s="45"/>
      <c r="P788" s="45"/>
      <c r="Q788" s="45"/>
      <c r="R788" s="45"/>
    </row>
    <row r="789" spans="1:18" x14ac:dyDescent="0.25">
      <c r="A789" s="45"/>
      <c r="B789" s="47"/>
      <c r="C789" s="47"/>
      <c r="D789" s="47"/>
      <c r="E789" s="45"/>
      <c r="F789" s="45"/>
      <c r="G789" s="45"/>
      <c r="H789" s="45"/>
      <c r="I789" s="45"/>
      <c r="J789" s="45"/>
      <c r="K789" s="45"/>
      <c r="L789" s="45"/>
      <c r="M789" s="45"/>
      <c r="N789" s="45"/>
      <c r="O789" s="45"/>
      <c r="P789" s="45"/>
      <c r="Q789" s="45"/>
      <c r="R789" s="45"/>
    </row>
    <row r="790" spans="1:18" x14ac:dyDescent="0.25">
      <c r="A790" s="45"/>
      <c r="B790" s="47"/>
      <c r="C790" s="47"/>
      <c r="D790" s="47"/>
      <c r="E790" s="45"/>
      <c r="F790" s="45"/>
      <c r="G790" s="45"/>
      <c r="H790" s="45"/>
      <c r="I790" s="45"/>
      <c r="J790" s="45"/>
      <c r="K790" s="45"/>
      <c r="L790" s="45"/>
      <c r="M790" s="45"/>
      <c r="N790" s="45"/>
      <c r="O790" s="45"/>
      <c r="P790" s="45"/>
      <c r="Q790" s="45"/>
      <c r="R790" s="45"/>
    </row>
    <row r="791" spans="1:18" x14ac:dyDescent="0.25">
      <c r="A791" s="45"/>
      <c r="B791" s="47"/>
      <c r="C791" s="47"/>
      <c r="D791" s="47"/>
      <c r="E791" s="45"/>
      <c r="F791" s="45"/>
      <c r="G791" s="45"/>
      <c r="H791" s="45"/>
      <c r="I791" s="45"/>
      <c r="J791" s="45"/>
      <c r="K791" s="45"/>
      <c r="L791" s="45"/>
      <c r="M791" s="45"/>
      <c r="N791" s="45"/>
      <c r="O791" s="45"/>
      <c r="P791" s="45"/>
      <c r="Q791" s="45"/>
      <c r="R791" s="45"/>
    </row>
    <row r="792" spans="1:18" x14ac:dyDescent="0.25">
      <c r="A792" s="45"/>
      <c r="B792" s="47"/>
      <c r="C792" s="47"/>
      <c r="D792" s="47"/>
      <c r="E792" s="45"/>
      <c r="F792" s="45"/>
      <c r="G792" s="45"/>
      <c r="H792" s="45"/>
      <c r="I792" s="45"/>
      <c r="J792" s="45"/>
      <c r="K792" s="45"/>
      <c r="L792" s="45"/>
      <c r="M792" s="45"/>
      <c r="N792" s="45"/>
      <c r="O792" s="45"/>
      <c r="P792" s="45"/>
      <c r="Q792" s="45"/>
      <c r="R792" s="45"/>
    </row>
    <row r="793" spans="1:18" x14ac:dyDescent="0.25">
      <c r="A793" s="45"/>
      <c r="B793" s="47"/>
      <c r="C793" s="47"/>
      <c r="D793" s="47"/>
      <c r="E793" s="45"/>
      <c r="F793" s="45"/>
      <c r="G793" s="45"/>
      <c r="H793" s="45"/>
      <c r="I793" s="45"/>
      <c r="J793" s="45"/>
      <c r="K793" s="45"/>
      <c r="L793" s="45"/>
      <c r="M793" s="45"/>
      <c r="N793" s="45"/>
      <c r="O793" s="45"/>
      <c r="P793" s="45"/>
      <c r="Q793" s="45"/>
      <c r="R793" s="45"/>
    </row>
    <row r="794" spans="1:18" x14ac:dyDescent="0.25">
      <c r="A794" s="45"/>
      <c r="B794" s="47"/>
      <c r="C794" s="47"/>
      <c r="D794" s="47"/>
      <c r="E794" s="45"/>
      <c r="F794" s="45"/>
      <c r="G794" s="45"/>
      <c r="H794" s="45"/>
      <c r="I794" s="45"/>
      <c r="J794" s="45"/>
      <c r="K794" s="45"/>
      <c r="L794" s="45"/>
      <c r="M794" s="45"/>
      <c r="N794" s="45"/>
      <c r="O794" s="45"/>
      <c r="P794" s="45"/>
      <c r="Q794" s="45"/>
      <c r="R794" s="45"/>
    </row>
    <row r="795" spans="1:18" x14ac:dyDescent="0.25">
      <c r="A795" s="45"/>
      <c r="B795" s="47"/>
      <c r="C795" s="47"/>
      <c r="D795" s="47"/>
      <c r="E795" s="45"/>
      <c r="F795" s="45"/>
      <c r="G795" s="45"/>
      <c r="H795" s="45"/>
      <c r="I795" s="45"/>
      <c r="J795" s="45"/>
      <c r="K795" s="45"/>
      <c r="L795" s="45"/>
      <c r="M795" s="45"/>
      <c r="N795" s="45"/>
      <c r="O795" s="45"/>
      <c r="P795" s="45"/>
      <c r="Q795" s="45"/>
      <c r="R795" s="45"/>
    </row>
    <row r="796" spans="1:18" x14ac:dyDescent="0.25">
      <c r="A796" s="45"/>
      <c r="B796" s="47"/>
      <c r="C796" s="47"/>
      <c r="D796" s="47"/>
      <c r="E796" s="45"/>
      <c r="F796" s="45"/>
      <c r="G796" s="45"/>
      <c r="H796" s="45"/>
      <c r="I796" s="45"/>
      <c r="J796" s="45"/>
      <c r="K796" s="45"/>
      <c r="L796" s="45"/>
      <c r="M796" s="45"/>
      <c r="N796" s="45"/>
      <c r="O796" s="45"/>
      <c r="P796" s="45"/>
      <c r="Q796" s="45"/>
      <c r="R796" s="45"/>
    </row>
    <row r="797" spans="1:18" x14ac:dyDescent="0.25">
      <c r="A797" s="45"/>
      <c r="B797" s="47"/>
      <c r="C797" s="47"/>
      <c r="D797" s="47"/>
      <c r="E797" s="45"/>
      <c r="F797" s="45"/>
      <c r="G797" s="45"/>
      <c r="H797" s="45"/>
      <c r="I797" s="45"/>
      <c r="J797" s="45"/>
      <c r="K797" s="45"/>
      <c r="L797" s="45"/>
      <c r="M797" s="45"/>
      <c r="N797" s="45"/>
      <c r="O797" s="45"/>
      <c r="P797" s="45"/>
      <c r="Q797" s="45"/>
      <c r="R797" s="45"/>
    </row>
    <row r="798" spans="1:18" x14ac:dyDescent="0.25">
      <c r="A798" s="45"/>
      <c r="B798" s="47"/>
      <c r="C798" s="47"/>
      <c r="D798" s="47"/>
      <c r="E798" s="45"/>
      <c r="F798" s="45"/>
      <c r="G798" s="45"/>
      <c r="H798" s="45"/>
      <c r="I798" s="45"/>
      <c r="J798" s="45"/>
      <c r="K798" s="45"/>
      <c r="L798" s="45"/>
      <c r="M798" s="45"/>
      <c r="N798" s="45"/>
      <c r="O798" s="45"/>
      <c r="P798" s="45"/>
      <c r="Q798" s="45"/>
      <c r="R798" s="45"/>
    </row>
    <row r="799" spans="1:18" x14ac:dyDescent="0.25">
      <c r="A799" s="45"/>
      <c r="B799" s="47"/>
      <c r="C799" s="47"/>
      <c r="D799" s="47"/>
      <c r="E799" s="45"/>
      <c r="F799" s="45"/>
      <c r="G799" s="45"/>
      <c r="H799" s="45"/>
      <c r="I799" s="45"/>
      <c r="J799" s="45"/>
      <c r="K799" s="45"/>
      <c r="L799" s="45"/>
      <c r="M799" s="45"/>
      <c r="N799" s="45"/>
      <c r="O799" s="45"/>
      <c r="P799" s="45"/>
      <c r="Q799" s="45"/>
      <c r="R799" s="45"/>
    </row>
    <row r="800" spans="1:18" x14ac:dyDescent="0.25">
      <c r="A800" s="45"/>
      <c r="B800" s="47"/>
      <c r="C800" s="47"/>
      <c r="D800" s="47"/>
      <c r="E800" s="45"/>
      <c r="F800" s="45"/>
      <c r="G800" s="45"/>
      <c r="H800" s="45"/>
      <c r="I800" s="45"/>
      <c r="J800" s="45"/>
      <c r="K800" s="45"/>
      <c r="L800" s="45"/>
      <c r="M800" s="45"/>
      <c r="N800" s="45"/>
      <c r="O800" s="45"/>
      <c r="P800" s="45"/>
      <c r="Q800" s="45"/>
      <c r="R800" s="45"/>
    </row>
    <row r="801" spans="1:18" x14ac:dyDescent="0.25">
      <c r="A801" s="45"/>
      <c r="B801" s="47"/>
      <c r="C801" s="47"/>
      <c r="D801" s="47"/>
      <c r="E801" s="45"/>
      <c r="F801" s="45"/>
      <c r="G801" s="45"/>
      <c r="H801" s="45"/>
      <c r="I801" s="45"/>
      <c r="J801" s="45"/>
      <c r="K801" s="45"/>
      <c r="L801" s="45"/>
      <c r="M801" s="45"/>
      <c r="N801" s="45"/>
      <c r="O801" s="45"/>
      <c r="P801" s="45"/>
      <c r="Q801" s="45"/>
      <c r="R801" s="45"/>
    </row>
    <row r="802" spans="1:18" x14ac:dyDescent="0.25">
      <c r="A802" s="45"/>
      <c r="B802" s="47"/>
      <c r="C802" s="47"/>
      <c r="D802" s="47"/>
      <c r="E802" s="45"/>
      <c r="F802" s="45"/>
      <c r="G802" s="45"/>
      <c r="H802" s="45"/>
      <c r="I802" s="45"/>
      <c r="J802" s="45"/>
      <c r="K802" s="45"/>
      <c r="L802" s="45"/>
      <c r="M802" s="45"/>
      <c r="N802" s="45"/>
      <c r="O802" s="45"/>
      <c r="P802" s="45"/>
      <c r="Q802" s="45"/>
      <c r="R802" s="45"/>
    </row>
    <row r="803" spans="1:18" x14ac:dyDescent="0.25">
      <c r="A803" s="45"/>
      <c r="B803" s="47"/>
      <c r="C803" s="47"/>
      <c r="D803" s="47"/>
      <c r="E803" s="45"/>
      <c r="F803" s="45"/>
      <c r="G803" s="45"/>
      <c r="H803" s="45"/>
      <c r="I803" s="45"/>
      <c r="J803" s="45"/>
      <c r="K803" s="45"/>
      <c r="L803" s="45"/>
      <c r="M803" s="45"/>
      <c r="N803" s="45"/>
      <c r="O803" s="45"/>
      <c r="P803" s="45"/>
      <c r="Q803" s="45"/>
      <c r="R803" s="45"/>
    </row>
    <row r="804" spans="1:18" x14ac:dyDescent="0.25">
      <c r="A804" s="45"/>
      <c r="B804" s="47"/>
      <c r="C804" s="47"/>
      <c r="D804" s="47"/>
      <c r="E804" s="45"/>
      <c r="F804" s="45"/>
      <c r="G804" s="45"/>
      <c r="H804" s="45"/>
      <c r="I804" s="45"/>
      <c r="J804" s="45"/>
      <c r="K804" s="45"/>
      <c r="L804" s="45"/>
      <c r="M804" s="45"/>
      <c r="N804" s="45"/>
      <c r="O804" s="45"/>
      <c r="P804" s="45"/>
      <c r="Q804" s="45"/>
      <c r="R804" s="45"/>
    </row>
    <row r="805" spans="1:18" x14ac:dyDescent="0.25">
      <c r="A805" s="45"/>
      <c r="B805" s="47"/>
      <c r="C805" s="47"/>
      <c r="D805" s="47"/>
      <c r="E805" s="45"/>
      <c r="F805" s="45"/>
      <c r="G805" s="45"/>
      <c r="H805" s="45"/>
      <c r="I805" s="45"/>
      <c r="J805" s="45"/>
      <c r="K805" s="45"/>
      <c r="L805" s="45"/>
      <c r="M805" s="45"/>
      <c r="N805" s="45"/>
      <c r="O805" s="45"/>
      <c r="P805" s="45"/>
      <c r="Q805" s="45"/>
      <c r="R805" s="45"/>
    </row>
    <row r="806" spans="1:18" x14ac:dyDescent="0.25">
      <c r="A806" s="45"/>
      <c r="B806" s="47"/>
      <c r="C806" s="47"/>
      <c r="D806" s="47"/>
      <c r="E806" s="45"/>
      <c r="F806" s="45"/>
      <c r="G806" s="45"/>
      <c r="H806" s="45"/>
      <c r="I806" s="45"/>
      <c r="J806" s="45"/>
      <c r="K806" s="45"/>
      <c r="L806" s="45"/>
      <c r="M806" s="45"/>
      <c r="N806" s="45"/>
      <c r="O806" s="45"/>
      <c r="P806" s="45"/>
      <c r="Q806" s="45"/>
      <c r="R806" s="45"/>
    </row>
    <row r="807" spans="1:18" x14ac:dyDescent="0.25">
      <c r="A807" s="45"/>
      <c r="B807" s="47"/>
      <c r="C807" s="47"/>
      <c r="D807" s="47"/>
      <c r="E807" s="45"/>
      <c r="F807" s="45"/>
      <c r="G807" s="45"/>
      <c r="H807" s="45"/>
      <c r="I807" s="45"/>
      <c r="J807" s="45"/>
      <c r="K807" s="45"/>
      <c r="L807" s="45"/>
      <c r="M807" s="45"/>
      <c r="N807" s="45"/>
      <c r="O807" s="45"/>
      <c r="P807" s="45"/>
      <c r="Q807" s="45"/>
      <c r="R807" s="45"/>
    </row>
    <row r="808" spans="1:18" x14ac:dyDescent="0.25">
      <c r="A808" s="45"/>
      <c r="B808" s="47"/>
      <c r="C808" s="47"/>
      <c r="D808" s="47"/>
      <c r="E808" s="45"/>
      <c r="F808" s="45"/>
      <c r="G808" s="45"/>
      <c r="H808" s="45"/>
      <c r="I808" s="45"/>
      <c r="J808" s="45"/>
      <c r="K808" s="45"/>
      <c r="L808" s="45"/>
      <c r="M808" s="45"/>
      <c r="N808" s="45"/>
      <c r="O808" s="45"/>
      <c r="P808" s="45"/>
      <c r="Q808" s="45"/>
      <c r="R808" s="45"/>
    </row>
    <row r="809" spans="1:18" x14ac:dyDescent="0.25">
      <c r="A809" s="45"/>
      <c r="B809" s="47"/>
      <c r="C809" s="47"/>
      <c r="D809" s="47"/>
      <c r="E809" s="45"/>
      <c r="F809" s="45"/>
      <c r="G809" s="45"/>
      <c r="H809" s="45"/>
      <c r="I809" s="45"/>
      <c r="J809" s="45"/>
      <c r="K809" s="45"/>
      <c r="L809" s="45"/>
      <c r="M809" s="45"/>
      <c r="N809" s="45"/>
      <c r="O809" s="45"/>
      <c r="P809" s="45"/>
      <c r="Q809" s="45"/>
      <c r="R809" s="45"/>
    </row>
    <row r="810" spans="1:18" x14ac:dyDescent="0.25">
      <c r="A810" s="45"/>
      <c r="B810" s="47"/>
      <c r="C810" s="47"/>
      <c r="D810" s="47"/>
      <c r="E810" s="45"/>
      <c r="F810" s="45"/>
      <c r="G810" s="45"/>
      <c r="H810" s="45"/>
      <c r="I810" s="45"/>
      <c r="J810" s="45"/>
      <c r="K810" s="45"/>
      <c r="L810" s="45"/>
      <c r="M810" s="45"/>
      <c r="N810" s="45"/>
      <c r="O810" s="45"/>
      <c r="P810" s="45"/>
      <c r="Q810" s="45"/>
      <c r="R810" s="45"/>
    </row>
    <row r="811" spans="1:18" x14ac:dyDescent="0.25">
      <c r="A811" s="45"/>
      <c r="B811" s="47"/>
      <c r="C811" s="47"/>
      <c r="D811" s="47"/>
      <c r="E811" s="45"/>
      <c r="F811" s="45"/>
      <c r="G811" s="45"/>
      <c r="H811" s="45"/>
      <c r="I811" s="45"/>
      <c r="J811" s="45"/>
      <c r="K811" s="45"/>
      <c r="L811" s="45"/>
      <c r="M811" s="45"/>
      <c r="N811" s="45"/>
      <c r="O811" s="45"/>
      <c r="P811" s="45"/>
      <c r="Q811" s="45"/>
      <c r="R811" s="45"/>
    </row>
    <row r="812" spans="1:18" x14ac:dyDescent="0.25">
      <c r="A812" s="45"/>
      <c r="B812" s="47"/>
      <c r="C812" s="47"/>
      <c r="D812" s="47"/>
      <c r="E812" s="45"/>
      <c r="F812" s="45"/>
      <c r="G812" s="45"/>
      <c r="H812" s="45"/>
      <c r="I812" s="45"/>
      <c r="J812" s="45"/>
      <c r="K812" s="45"/>
      <c r="L812" s="45"/>
      <c r="M812" s="45"/>
      <c r="N812" s="45"/>
      <c r="O812" s="45"/>
      <c r="P812" s="45"/>
      <c r="Q812" s="45"/>
      <c r="R812" s="45"/>
    </row>
    <row r="813" spans="1:18" x14ac:dyDescent="0.25">
      <c r="A813" s="45"/>
      <c r="B813" s="47"/>
      <c r="C813" s="47"/>
      <c r="D813" s="47"/>
      <c r="E813" s="45"/>
      <c r="F813" s="45"/>
      <c r="G813" s="45"/>
      <c r="H813" s="45"/>
      <c r="I813" s="45"/>
      <c r="J813" s="45"/>
      <c r="K813" s="45"/>
      <c r="L813" s="45"/>
      <c r="M813" s="45"/>
      <c r="N813" s="45"/>
      <c r="O813" s="45"/>
      <c r="P813" s="45"/>
      <c r="Q813" s="45"/>
      <c r="R813" s="45"/>
    </row>
    <row r="814" spans="1:18" x14ac:dyDescent="0.25">
      <c r="A814" s="45"/>
      <c r="B814" s="47"/>
      <c r="C814" s="47"/>
      <c r="D814" s="47"/>
      <c r="E814" s="45"/>
      <c r="F814" s="45"/>
      <c r="G814" s="45"/>
      <c r="H814" s="45"/>
      <c r="I814" s="45"/>
      <c r="J814" s="45"/>
      <c r="K814" s="45"/>
      <c r="L814" s="45"/>
      <c r="M814" s="45"/>
      <c r="N814" s="45"/>
      <c r="O814" s="45"/>
      <c r="P814" s="45"/>
      <c r="Q814" s="45"/>
      <c r="R814" s="45"/>
    </row>
    <row r="815" spans="1:18" x14ac:dyDescent="0.25">
      <c r="A815" s="45"/>
      <c r="B815" s="47"/>
      <c r="C815" s="47"/>
      <c r="D815" s="47"/>
      <c r="E815" s="45"/>
      <c r="F815" s="45"/>
      <c r="G815" s="45"/>
      <c r="H815" s="45"/>
      <c r="I815" s="45"/>
      <c r="J815" s="45"/>
      <c r="K815" s="45"/>
      <c r="L815" s="45"/>
      <c r="M815" s="45"/>
      <c r="N815" s="45"/>
      <c r="O815" s="45"/>
      <c r="P815" s="45"/>
      <c r="Q815" s="45"/>
      <c r="R815" s="45"/>
    </row>
    <row r="816" spans="1:18" x14ac:dyDescent="0.25">
      <c r="A816" s="45"/>
      <c r="B816" s="47"/>
      <c r="C816" s="47"/>
      <c r="D816" s="47"/>
      <c r="E816" s="45"/>
      <c r="F816" s="45"/>
      <c r="G816" s="45"/>
      <c r="H816" s="45"/>
      <c r="I816" s="45"/>
      <c r="J816" s="45"/>
      <c r="K816" s="45"/>
      <c r="L816" s="45"/>
      <c r="M816" s="45"/>
      <c r="N816" s="45"/>
      <c r="O816" s="45"/>
      <c r="P816" s="45"/>
      <c r="Q816" s="45"/>
      <c r="R816" s="45"/>
    </row>
    <row r="817" spans="1:18" x14ac:dyDescent="0.25">
      <c r="A817" s="45"/>
      <c r="B817" s="47"/>
      <c r="C817" s="47"/>
      <c r="D817" s="47"/>
      <c r="E817" s="45"/>
      <c r="F817" s="45"/>
      <c r="G817" s="45"/>
      <c r="H817" s="45"/>
      <c r="I817" s="45"/>
      <c r="J817" s="45"/>
      <c r="K817" s="45"/>
      <c r="L817" s="45"/>
      <c r="M817" s="45"/>
      <c r="N817" s="45"/>
      <c r="O817" s="45"/>
      <c r="P817" s="45"/>
      <c r="Q817" s="45"/>
      <c r="R817" s="45"/>
    </row>
    <row r="818" spans="1:18" x14ac:dyDescent="0.25">
      <c r="A818" s="45"/>
      <c r="B818" s="47"/>
      <c r="C818" s="47"/>
      <c r="D818" s="47"/>
      <c r="E818" s="45"/>
      <c r="F818" s="45"/>
      <c r="G818" s="45"/>
      <c r="H818" s="45"/>
      <c r="I818" s="45"/>
      <c r="J818" s="45"/>
      <c r="K818" s="45"/>
      <c r="L818" s="45"/>
      <c r="M818" s="45"/>
      <c r="N818" s="45"/>
      <c r="O818" s="45"/>
      <c r="P818" s="45"/>
      <c r="Q818" s="45"/>
      <c r="R818" s="45"/>
    </row>
    <row r="819" spans="1:18" x14ac:dyDescent="0.25">
      <c r="A819" s="45"/>
      <c r="B819" s="47"/>
      <c r="C819" s="47"/>
      <c r="D819" s="47"/>
      <c r="E819" s="45"/>
      <c r="F819" s="45"/>
      <c r="G819" s="45"/>
      <c r="H819" s="45"/>
      <c r="I819" s="45"/>
      <c r="J819" s="45"/>
      <c r="K819" s="45"/>
      <c r="L819" s="45"/>
      <c r="M819" s="45"/>
      <c r="N819" s="45"/>
      <c r="O819" s="45"/>
      <c r="P819" s="45"/>
      <c r="Q819" s="45"/>
      <c r="R819" s="45"/>
    </row>
    <row r="820" spans="1:18" x14ac:dyDescent="0.25">
      <c r="A820" s="45"/>
      <c r="B820" s="47"/>
      <c r="C820" s="47"/>
      <c r="D820" s="47"/>
      <c r="E820" s="45"/>
      <c r="F820" s="45"/>
      <c r="G820" s="45"/>
      <c r="H820" s="45"/>
      <c r="I820" s="45"/>
      <c r="J820" s="45"/>
      <c r="K820" s="45"/>
      <c r="L820" s="45"/>
      <c r="M820" s="45"/>
      <c r="N820" s="45"/>
      <c r="O820" s="45"/>
      <c r="P820" s="45"/>
      <c r="Q820" s="45"/>
      <c r="R820" s="45"/>
    </row>
    <row r="821" spans="1:18" x14ac:dyDescent="0.25">
      <c r="A821" s="45"/>
      <c r="B821" s="47"/>
      <c r="C821" s="47"/>
      <c r="D821" s="47"/>
      <c r="E821" s="45"/>
      <c r="F821" s="45"/>
      <c r="G821" s="45"/>
      <c r="H821" s="45"/>
      <c r="I821" s="45"/>
      <c r="J821" s="45"/>
      <c r="K821" s="45"/>
      <c r="L821" s="45"/>
      <c r="M821" s="45"/>
      <c r="N821" s="45"/>
      <c r="O821" s="45"/>
      <c r="P821" s="45"/>
      <c r="Q821" s="45"/>
      <c r="R821" s="45"/>
    </row>
    <row r="822" spans="1:18" x14ac:dyDescent="0.25">
      <c r="A822" s="45"/>
      <c r="B822" s="47"/>
      <c r="C822" s="47"/>
      <c r="D822" s="47"/>
      <c r="E822" s="45"/>
      <c r="F822" s="45"/>
      <c r="G822" s="45"/>
      <c r="H822" s="45"/>
      <c r="I822" s="45"/>
      <c r="J822" s="45"/>
      <c r="K822" s="45"/>
      <c r="L822" s="45"/>
      <c r="M822" s="45"/>
      <c r="N822" s="45"/>
      <c r="O822" s="45"/>
      <c r="P822" s="45"/>
      <c r="Q822" s="45"/>
      <c r="R822" s="45"/>
    </row>
    <row r="823" spans="1:18" x14ac:dyDescent="0.25">
      <c r="A823" s="45"/>
      <c r="B823" s="47"/>
      <c r="C823" s="47"/>
      <c r="D823" s="47"/>
      <c r="E823" s="45"/>
      <c r="F823" s="45"/>
      <c r="G823" s="45"/>
      <c r="H823" s="45"/>
      <c r="I823" s="45"/>
      <c r="J823" s="45"/>
      <c r="K823" s="45"/>
      <c r="L823" s="45"/>
      <c r="M823" s="45"/>
      <c r="N823" s="45"/>
      <c r="O823" s="45"/>
      <c r="P823" s="45"/>
      <c r="Q823" s="45"/>
      <c r="R823" s="45"/>
    </row>
    <row r="824" spans="1:18" x14ac:dyDescent="0.25">
      <c r="A824" s="45"/>
      <c r="B824" s="47"/>
      <c r="C824" s="47"/>
      <c r="D824" s="47"/>
      <c r="E824" s="45"/>
      <c r="F824" s="45"/>
      <c r="G824" s="45"/>
      <c r="H824" s="45"/>
      <c r="I824" s="45"/>
      <c r="J824" s="45"/>
      <c r="K824" s="45"/>
      <c r="L824" s="45"/>
      <c r="M824" s="45"/>
      <c r="N824" s="45"/>
      <c r="O824" s="45"/>
      <c r="P824" s="45"/>
      <c r="Q824" s="45"/>
      <c r="R824" s="45"/>
    </row>
    <row r="825" spans="1:18" x14ac:dyDescent="0.25">
      <c r="A825" s="45"/>
      <c r="B825" s="47"/>
      <c r="C825" s="47"/>
      <c r="D825" s="47"/>
      <c r="E825" s="45"/>
      <c r="F825" s="45"/>
      <c r="G825" s="45"/>
      <c r="H825" s="45"/>
      <c r="I825" s="45"/>
      <c r="J825" s="45"/>
      <c r="K825" s="45"/>
      <c r="L825" s="45"/>
      <c r="M825" s="45"/>
      <c r="N825" s="45"/>
      <c r="O825" s="45"/>
      <c r="P825" s="45"/>
      <c r="Q825" s="45"/>
      <c r="R825" s="45"/>
    </row>
    <row r="826" spans="1:18" x14ac:dyDescent="0.25">
      <c r="A826" s="45"/>
      <c r="B826" s="47"/>
      <c r="C826" s="47"/>
      <c r="D826" s="47"/>
      <c r="E826" s="45"/>
      <c r="F826" s="45"/>
      <c r="G826" s="45"/>
      <c r="H826" s="45"/>
      <c r="I826" s="45"/>
      <c r="J826" s="45"/>
      <c r="K826" s="45"/>
      <c r="L826" s="45"/>
      <c r="M826" s="45"/>
      <c r="N826" s="45"/>
      <c r="O826" s="45"/>
      <c r="P826" s="45"/>
      <c r="Q826" s="45"/>
      <c r="R826" s="45"/>
    </row>
    <row r="827" spans="1:18" x14ac:dyDescent="0.25">
      <c r="A827" s="45"/>
      <c r="B827" s="47"/>
      <c r="C827" s="47"/>
      <c r="D827" s="47"/>
      <c r="E827" s="45"/>
      <c r="F827" s="45"/>
      <c r="G827" s="45"/>
      <c r="H827" s="45"/>
      <c r="I827" s="45"/>
      <c r="J827" s="45"/>
      <c r="K827" s="45"/>
      <c r="L827" s="45"/>
      <c r="M827" s="45"/>
      <c r="N827" s="45"/>
      <c r="O827" s="45"/>
      <c r="P827" s="45"/>
      <c r="Q827" s="45"/>
      <c r="R827" s="45"/>
    </row>
    <row r="828" spans="1:18" x14ac:dyDescent="0.25">
      <c r="A828" s="45"/>
      <c r="B828" s="47"/>
      <c r="C828" s="47"/>
      <c r="D828" s="47"/>
      <c r="E828" s="45"/>
      <c r="F828" s="45"/>
      <c r="G828" s="45"/>
      <c r="H828" s="45"/>
      <c r="I828" s="45"/>
      <c r="J828" s="45"/>
      <c r="K828" s="45"/>
      <c r="L828" s="45"/>
      <c r="M828" s="45"/>
      <c r="N828" s="45"/>
      <c r="O828" s="45"/>
      <c r="P828" s="45"/>
      <c r="Q828" s="45"/>
      <c r="R828" s="45"/>
    </row>
    <row r="829" spans="1:18" x14ac:dyDescent="0.25">
      <c r="A829" s="45"/>
      <c r="B829" s="47"/>
      <c r="C829" s="47"/>
      <c r="D829" s="47"/>
      <c r="E829" s="45"/>
      <c r="F829" s="45"/>
      <c r="G829" s="45"/>
      <c r="H829" s="45"/>
      <c r="I829" s="45"/>
      <c r="J829" s="45"/>
      <c r="K829" s="45"/>
      <c r="L829" s="45"/>
      <c r="M829" s="45"/>
      <c r="N829" s="45"/>
      <c r="O829" s="45"/>
      <c r="P829" s="45"/>
      <c r="Q829" s="45"/>
      <c r="R829" s="45"/>
    </row>
    <row r="830" spans="1:18" x14ac:dyDescent="0.25">
      <c r="A830" s="45"/>
      <c r="B830" s="47"/>
      <c r="C830" s="47"/>
      <c r="D830" s="47"/>
      <c r="E830" s="45"/>
      <c r="F830" s="45"/>
      <c r="G830" s="45"/>
      <c r="H830" s="45"/>
      <c r="I830" s="45"/>
      <c r="J830" s="45"/>
      <c r="K830" s="45"/>
      <c r="L830" s="45"/>
      <c r="M830" s="45"/>
      <c r="N830" s="45"/>
      <c r="O830" s="45"/>
      <c r="P830" s="45"/>
      <c r="Q830" s="45"/>
      <c r="R830" s="45"/>
    </row>
    <row r="831" spans="1:18" x14ac:dyDescent="0.25">
      <c r="A831" s="45"/>
      <c r="B831" s="47"/>
      <c r="C831" s="47"/>
      <c r="D831" s="47"/>
      <c r="E831" s="45"/>
      <c r="F831" s="45"/>
      <c r="G831" s="45"/>
      <c r="H831" s="45"/>
      <c r="I831" s="45"/>
      <c r="J831" s="45"/>
      <c r="K831" s="45"/>
      <c r="L831" s="45"/>
      <c r="M831" s="45"/>
      <c r="N831" s="45"/>
      <c r="O831" s="45"/>
      <c r="P831" s="45"/>
      <c r="Q831" s="45"/>
      <c r="R831" s="45"/>
    </row>
    <row r="832" spans="1:18" x14ac:dyDescent="0.25">
      <c r="A832" s="45"/>
      <c r="B832" s="47"/>
      <c r="C832" s="47"/>
      <c r="D832" s="47"/>
      <c r="E832" s="45"/>
      <c r="F832" s="45"/>
      <c r="G832" s="45"/>
      <c r="H832" s="45"/>
      <c r="I832" s="45"/>
      <c r="J832" s="45"/>
      <c r="K832" s="45"/>
      <c r="L832" s="45"/>
      <c r="M832" s="45"/>
      <c r="N832" s="45"/>
      <c r="O832" s="45"/>
      <c r="P832" s="45"/>
      <c r="Q832" s="45"/>
      <c r="R832" s="45"/>
    </row>
    <row r="833" spans="1:18" x14ac:dyDescent="0.25">
      <c r="A833" s="45"/>
      <c r="B833" s="47"/>
      <c r="C833" s="47"/>
      <c r="D833" s="47"/>
      <c r="E833" s="45"/>
      <c r="F833" s="45"/>
      <c r="G833" s="45"/>
      <c r="H833" s="45"/>
      <c r="I833" s="45"/>
      <c r="J833" s="45"/>
      <c r="K833" s="45"/>
      <c r="L833" s="45"/>
      <c r="M833" s="45"/>
      <c r="N833" s="45"/>
      <c r="O833" s="45"/>
      <c r="P833" s="45"/>
      <c r="Q833" s="45"/>
      <c r="R833" s="45"/>
    </row>
    <row r="834" spans="1:18" x14ac:dyDescent="0.25">
      <c r="A834" s="45"/>
      <c r="B834" s="47"/>
      <c r="C834" s="47"/>
      <c r="D834" s="47"/>
      <c r="E834" s="45"/>
      <c r="F834" s="45"/>
      <c r="G834" s="45"/>
      <c r="H834" s="45"/>
      <c r="I834" s="45"/>
      <c r="J834" s="45"/>
      <c r="K834" s="45"/>
      <c r="L834" s="45"/>
      <c r="M834" s="45"/>
      <c r="N834" s="45"/>
      <c r="O834" s="45"/>
      <c r="P834" s="45"/>
      <c r="Q834" s="45"/>
      <c r="R834" s="45"/>
    </row>
    <row r="835" spans="1:18" x14ac:dyDescent="0.25">
      <c r="A835" s="45"/>
      <c r="B835" s="47"/>
      <c r="C835" s="47"/>
      <c r="D835" s="47"/>
      <c r="E835" s="45"/>
      <c r="F835" s="45"/>
      <c r="G835" s="45"/>
      <c r="H835" s="45"/>
      <c r="I835" s="45"/>
      <c r="J835" s="45"/>
      <c r="K835" s="45"/>
      <c r="L835" s="45"/>
      <c r="M835" s="45"/>
      <c r="N835" s="45"/>
      <c r="O835" s="45"/>
      <c r="P835" s="45"/>
      <c r="Q835" s="45"/>
      <c r="R835" s="45"/>
    </row>
    <row r="836" spans="1:18" x14ac:dyDescent="0.25">
      <c r="A836" s="45"/>
      <c r="B836" s="47"/>
      <c r="C836" s="47"/>
      <c r="D836" s="47"/>
      <c r="E836" s="45"/>
      <c r="F836" s="45"/>
      <c r="G836" s="45"/>
      <c r="H836" s="45"/>
      <c r="I836" s="45"/>
      <c r="J836" s="45"/>
      <c r="K836" s="45"/>
      <c r="L836" s="45"/>
      <c r="M836" s="45"/>
      <c r="N836" s="45"/>
      <c r="O836" s="45"/>
      <c r="P836" s="45"/>
      <c r="Q836" s="45"/>
      <c r="R836" s="45"/>
    </row>
    <row r="837" spans="1:18" x14ac:dyDescent="0.25">
      <c r="A837" s="45"/>
      <c r="B837" s="47"/>
      <c r="C837" s="47"/>
      <c r="D837" s="47"/>
      <c r="E837" s="45"/>
      <c r="F837" s="45"/>
      <c r="G837" s="45"/>
      <c r="H837" s="45"/>
      <c r="I837" s="45"/>
      <c r="J837" s="45"/>
      <c r="K837" s="45"/>
      <c r="L837" s="45"/>
      <c r="M837" s="45"/>
      <c r="N837" s="45"/>
      <c r="O837" s="45"/>
      <c r="P837" s="45"/>
      <c r="Q837" s="45"/>
      <c r="R837" s="45"/>
    </row>
    <row r="838" spans="1:18" x14ac:dyDescent="0.25">
      <c r="A838" s="45"/>
      <c r="B838" s="47"/>
      <c r="C838" s="47"/>
      <c r="D838" s="47"/>
      <c r="E838" s="45"/>
      <c r="F838" s="45"/>
      <c r="G838" s="45"/>
      <c r="H838" s="45"/>
      <c r="I838" s="45"/>
      <c r="J838" s="45"/>
      <c r="K838" s="45"/>
      <c r="L838" s="45"/>
      <c r="M838" s="45"/>
      <c r="N838" s="45"/>
      <c r="O838" s="45"/>
      <c r="P838" s="45"/>
      <c r="Q838" s="45"/>
      <c r="R838" s="45"/>
    </row>
    <row r="839" spans="1:18" x14ac:dyDescent="0.25">
      <c r="A839" s="45"/>
      <c r="B839" s="47"/>
      <c r="C839" s="47"/>
      <c r="D839" s="47"/>
      <c r="E839" s="45"/>
      <c r="F839" s="45"/>
      <c r="G839" s="45"/>
      <c r="H839" s="45"/>
      <c r="I839" s="45"/>
      <c r="J839" s="45"/>
      <c r="K839" s="45"/>
      <c r="L839" s="45"/>
      <c r="M839" s="45"/>
      <c r="N839" s="45"/>
      <c r="O839" s="45"/>
      <c r="P839" s="45"/>
      <c r="Q839" s="45"/>
      <c r="R839" s="45"/>
    </row>
    <row r="840" spans="1:18" x14ac:dyDescent="0.25">
      <c r="A840" s="45"/>
      <c r="B840" s="47"/>
      <c r="C840" s="47"/>
      <c r="D840" s="47"/>
      <c r="E840" s="45"/>
      <c r="F840" s="45"/>
      <c r="G840" s="45"/>
      <c r="H840" s="45"/>
      <c r="I840" s="45"/>
      <c r="J840" s="45"/>
      <c r="K840" s="45"/>
      <c r="L840" s="45"/>
      <c r="M840" s="45"/>
      <c r="N840" s="45"/>
      <c r="O840" s="45"/>
      <c r="P840" s="45"/>
      <c r="Q840" s="45"/>
      <c r="R840" s="45"/>
    </row>
    <row r="841" spans="1:18" x14ac:dyDescent="0.25">
      <c r="A841" s="45"/>
      <c r="B841" s="47"/>
      <c r="C841" s="47"/>
      <c r="D841" s="47"/>
      <c r="E841" s="45"/>
      <c r="F841" s="45"/>
      <c r="G841" s="45"/>
      <c r="H841" s="45"/>
      <c r="I841" s="45"/>
      <c r="J841" s="45"/>
      <c r="K841" s="45"/>
      <c r="L841" s="45"/>
      <c r="M841" s="45"/>
      <c r="N841" s="45"/>
      <c r="O841" s="45"/>
      <c r="P841" s="45"/>
      <c r="Q841" s="45"/>
      <c r="R841" s="45"/>
    </row>
    <row r="842" spans="1:18" x14ac:dyDescent="0.25">
      <c r="A842" s="45"/>
      <c r="B842" s="47"/>
      <c r="C842" s="47"/>
      <c r="D842" s="47"/>
      <c r="E842" s="45"/>
      <c r="F842" s="45"/>
      <c r="G842" s="45"/>
      <c r="H842" s="45"/>
      <c r="I842" s="45"/>
      <c r="J842" s="45"/>
      <c r="K842" s="45"/>
      <c r="L842" s="45"/>
      <c r="M842" s="45"/>
      <c r="N842" s="45"/>
      <c r="O842" s="45"/>
      <c r="P842" s="45"/>
      <c r="Q842" s="45"/>
      <c r="R842" s="45"/>
    </row>
    <row r="843" spans="1:18" x14ac:dyDescent="0.25">
      <c r="A843" s="45"/>
      <c r="B843" s="47"/>
      <c r="C843" s="47"/>
      <c r="D843" s="47"/>
      <c r="E843" s="45"/>
      <c r="F843" s="45"/>
      <c r="G843" s="45"/>
      <c r="H843" s="45"/>
      <c r="I843" s="45"/>
      <c r="J843" s="45"/>
      <c r="K843" s="45"/>
      <c r="L843" s="45"/>
      <c r="M843" s="45"/>
      <c r="N843" s="45"/>
      <c r="O843" s="45"/>
      <c r="P843" s="45"/>
      <c r="Q843" s="45"/>
      <c r="R843" s="45"/>
    </row>
    <row r="844" spans="1:18" x14ac:dyDescent="0.25">
      <c r="A844" s="45"/>
      <c r="B844" s="47"/>
      <c r="C844" s="47"/>
      <c r="D844" s="47"/>
      <c r="E844" s="45"/>
      <c r="F844" s="45"/>
      <c r="G844" s="45"/>
      <c r="H844" s="45"/>
      <c r="I844" s="45"/>
      <c r="J844" s="45"/>
      <c r="K844" s="45"/>
      <c r="L844" s="45"/>
      <c r="M844" s="45"/>
      <c r="N844" s="45"/>
      <c r="O844" s="45"/>
      <c r="P844" s="45"/>
      <c r="Q844" s="45"/>
      <c r="R844" s="45"/>
    </row>
    <row r="845" spans="1:18" x14ac:dyDescent="0.25">
      <c r="A845" s="45"/>
      <c r="B845" s="47"/>
      <c r="C845" s="47"/>
      <c r="D845" s="47"/>
      <c r="E845" s="45"/>
      <c r="F845" s="45"/>
      <c r="G845" s="45"/>
      <c r="H845" s="45"/>
      <c r="I845" s="45"/>
      <c r="J845" s="45"/>
      <c r="K845" s="45"/>
      <c r="L845" s="45"/>
      <c r="M845" s="45"/>
      <c r="N845" s="45"/>
      <c r="O845" s="45"/>
      <c r="P845" s="45"/>
      <c r="Q845" s="45"/>
      <c r="R845" s="45"/>
    </row>
    <row r="846" spans="1:18" x14ac:dyDescent="0.25">
      <c r="A846" s="45"/>
      <c r="B846" s="47"/>
      <c r="C846" s="47"/>
      <c r="D846" s="47"/>
      <c r="E846" s="45"/>
      <c r="F846" s="45"/>
      <c r="G846" s="45"/>
      <c r="H846" s="45"/>
      <c r="I846" s="45"/>
      <c r="J846" s="45"/>
      <c r="K846" s="45"/>
      <c r="L846" s="45"/>
      <c r="M846" s="45"/>
      <c r="N846" s="45"/>
      <c r="O846" s="45"/>
      <c r="P846" s="45"/>
      <c r="Q846" s="45"/>
      <c r="R846" s="45"/>
    </row>
    <row r="847" spans="1:18" x14ac:dyDescent="0.25">
      <c r="A847" s="45"/>
      <c r="B847" s="47"/>
      <c r="C847" s="47"/>
      <c r="D847" s="47"/>
      <c r="E847" s="45"/>
      <c r="F847" s="45"/>
      <c r="G847" s="45"/>
      <c r="H847" s="45"/>
      <c r="I847" s="45"/>
      <c r="J847" s="45"/>
      <c r="K847" s="45"/>
      <c r="L847" s="45"/>
      <c r="M847" s="45"/>
      <c r="N847" s="45"/>
      <c r="O847" s="45"/>
      <c r="P847" s="45"/>
      <c r="Q847" s="45"/>
      <c r="R847" s="45"/>
    </row>
    <row r="848" spans="1:18" x14ac:dyDescent="0.25">
      <c r="A848" s="45"/>
      <c r="B848" s="47"/>
      <c r="C848" s="47"/>
      <c r="D848" s="47"/>
      <c r="E848" s="45"/>
      <c r="F848" s="45"/>
      <c r="G848" s="45"/>
      <c r="H848" s="45"/>
      <c r="I848" s="45"/>
      <c r="J848" s="45"/>
      <c r="K848" s="45"/>
      <c r="L848" s="45"/>
      <c r="M848" s="45"/>
      <c r="N848" s="45"/>
      <c r="O848" s="45"/>
      <c r="P848" s="45"/>
      <c r="Q848" s="45"/>
      <c r="R848" s="45"/>
    </row>
    <row r="849" spans="1:18" x14ac:dyDescent="0.25">
      <c r="A849" s="45"/>
      <c r="B849" s="47"/>
      <c r="C849" s="47"/>
      <c r="D849" s="47"/>
      <c r="E849" s="45"/>
      <c r="F849" s="45"/>
      <c r="G849" s="45"/>
      <c r="H849" s="45"/>
      <c r="I849" s="45"/>
      <c r="J849" s="45"/>
      <c r="K849" s="45"/>
      <c r="L849" s="45"/>
      <c r="M849" s="45"/>
      <c r="N849" s="45"/>
      <c r="O849" s="45"/>
      <c r="P849" s="45"/>
      <c r="Q849" s="45"/>
      <c r="R849" s="45"/>
    </row>
    <row r="850" spans="1:18" x14ac:dyDescent="0.25">
      <c r="A850" s="45"/>
      <c r="B850" s="47"/>
      <c r="C850" s="47"/>
      <c r="D850" s="47"/>
      <c r="E850" s="45"/>
      <c r="F850" s="45"/>
      <c r="G850" s="45"/>
      <c r="H850" s="45"/>
      <c r="I850" s="45"/>
      <c r="J850" s="45"/>
      <c r="K850" s="45"/>
      <c r="L850" s="45"/>
      <c r="M850" s="45"/>
      <c r="N850" s="45"/>
      <c r="O850" s="45"/>
      <c r="P850" s="45"/>
      <c r="Q850" s="45"/>
      <c r="R850" s="45"/>
    </row>
    <row r="851" spans="1:18" x14ac:dyDescent="0.25">
      <c r="A851" s="45"/>
      <c r="B851" s="47"/>
      <c r="C851" s="47"/>
      <c r="D851" s="47"/>
      <c r="E851" s="45"/>
      <c r="F851" s="45"/>
      <c r="G851" s="45"/>
      <c r="H851" s="45"/>
      <c r="I851" s="45"/>
      <c r="J851" s="45"/>
      <c r="K851" s="45"/>
      <c r="L851" s="45"/>
      <c r="M851" s="45"/>
      <c r="N851" s="45"/>
      <c r="O851" s="45"/>
      <c r="P851" s="45"/>
      <c r="Q851" s="45"/>
      <c r="R851" s="45"/>
    </row>
    <row r="852" spans="1:18" x14ac:dyDescent="0.25">
      <c r="A852" s="45"/>
      <c r="B852" s="47"/>
      <c r="C852" s="47"/>
      <c r="D852" s="47"/>
      <c r="E852" s="45"/>
      <c r="F852" s="45"/>
      <c r="G852" s="45"/>
      <c r="H852" s="45"/>
      <c r="I852" s="45"/>
      <c r="J852" s="45"/>
      <c r="K852" s="45"/>
      <c r="L852" s="45"/>
      <c r="M852" s="45"/>
      <c r="N852" s="45"/>
      <c r="O852" s="45"/>
      <c r="P852" s="45"/>
      <c r="Q852" s="45"/>
      <c r="R852" s="45"/>
    </row>
    <row r="853" spans="1:18" x14ac:dyDescent="0.25">
      <c r="A853" s="45"/>
      <c r="B853" s="47"/>
      <c r="C853" s="47"/>
      <c r="D853" s="47"/>
      <c r="E853" s="45"/>
      <c r="F853" s="45"/>
      <c r="G853" s="45"/>
      <c r="H853" s="45"/>
      <c r="I853" s="45"/>
      <c r="J853" s="45"/>
      <c r="K853" s="45"/>
      <c r="L853" s="45"/>
      <c r="M853" s="45"/>
      <c r="N853" s="45"/>
      <c r="O853" s="45"/>
      <c r="P853" s="45"/>
      <c r="Q853" s="45"/>
      <c r="R853" s="45"/>
    </row>
    <row r="854" spans="1:18" x14ac:dyDescent="0.25">
      <c r="A854" s="45"/>
      <c r="B854" s="47"/>
      <c r="C854" s="47"/>
      <c r="D854" s="47"/>
      <c r="E854" s="45"/>
      <c r="F854" s="45"/>
      <c r="G854" s="45"/>
      <c r="H854" s="45"/>
      <c r="I854" s="45"/>
      <c r="J854" s="45"/>
      <c r="K854" s="45"/>
      <c r="L854" s="45"/>
      <c r="M854" s="45"/>
      <c r="N854" s="45"/>
      <c r="O854" s="45"/>
      <c r="P854" s="45"/>
      <c r="Q854" s="45"/>
      <c r="R854" s="45"/>
    </row>
    <row r="855" spans="1:18" x14ac:dyDescent="0.25">
      <c r="A855" s="45"/>
      <c r="B855" s="47"/>
      <c r="C855" s="47"/>
      <c r="D855" s="47"/>
      <c r="E855" s="45"/>
      <c r="F855" s="45"/>
      <c r="G855" s="45"/>
      <c r="H855" s="45"/>
      <c r="I855" s="45"/>
      <c r="J855" s="45"/>
      <c r="K855" s="45"/>
      <c r="L855" s="45"/>
      <c r="M855" s="45"/>
      <c r="N855" s="45"/>
      <c r="O855" s="45"/>
      <c r="P855" s="45"/>
      <c r="Q855" s="45"/>
      <c r="R855" s="45"/>
    </row>
    <row r="856" spans="1:18" x14ac:dyDescent="0.25">
      <c r="A856" s="45"/>
      <c r="B856" s="47"/>
      <c r="C856" s="47"/>
      <c r="D856" s="47"/>
      <c r="E856" s="45"/>
      <c r="F856" s="45"/>
      <c r="G856" s="45"/>
      <c r="H856" s="45"/>
      <c r="I856" s="45"/>
      <c r="J856" s="45"/>
      <c r="K856" s="45"/>
      <c r="L856" s="45"/>
      <c r="M856" s="45"/>
      <c r="N856" s="45"/>
      <c r="O856" s="45"/>
      <c r="P856" s="45"/>
      <c r="Q856" s="45"/>
      <c r="R856" s="45"/>
    </row>
    <row r="857" spans="1:18" x14ac:dyDescent="0.25">
      <c r="A857" s="45"/>
      <c r="B857" s="47"/>
      <c r="C857" s="47"/>
      <c r="D857" s="47"/>
      <c r="E857" s="45"/>
      <c r="F857" s="45"/>
      <c r="G857" s="45"/>
      <c r="H857" s="45"/>
      <c r="I857" s="45"/>
      <c r="J857" s="45"/>
      <c r="K857" s="45"/>
      <c r="L857" s="45"/>
      <c r="M857" s="45"/>
      <c r="N857" s="45"/>
      <c r="O857" s="45"/>
      <c r="P857" s="45"/>
      <c r="Q857" s="45"/>
      <c r="R857" s="45"/>
    </row>
    <row r="858" spans="1:18" x14ac:dyDescent="0.25">
      <c r="A858" s="45"/>
      <c r="B858" s="47"/>
      <c r="C858" s="47"/>
      <c r="D858" s="47"/>
      <c r="E858" s="45"/>
      <c r="F858" s="45"/>
      <c r="G858" s="45"/>
      <c r="H858" s="45"/>
      <c r="I858" s="45"/>
      <c r="J858" s="45"/>
      <c r="K858" s="45"/>
      <c r="L858" s="45"/>
      <c r="M858" s="45"/>
      <c r="N858" s="45"/>
      <c r="O858" s="45"/>
      <c r="P858" s="45"/>
      <c r="Q858" s="45"/>
      <c r="R858" s="45"/>
    </row>
    <row r="859" spans="1:18" x14ac:dyDescent="0.25">
      <c r="A859" s="45"/>
      <c r="B859" s="47"/>
      <c r="C859" s="47"/>
      <c r="D859" s="47"/>
      <c r="E859" s="45"/>
      <c r="F859" s="45"/>
      <c r="G859" s="45"/>
      <c r="H859" s="45"/>
      <c r="I859" s="45"/>
      <c r="J859" s="45"/>
      <c r="K859" s="45"/>
      <c r="L859" s="45"/>
      <c r="M859" s="45"/>
      <c r="N859" s="45"/>
      <c r="O859" s="45"/>
      <c r="P859" s="45"/>
      <c r="Q859" s="45"/>
      <c r="R859" s="45"/>
    </row>
    <row r="860" spans="1:18" x14ac:dyDescent="0.25">
      <c r="A860" s="45"/>
      <c r="B860" s="47"/>
      <c r="C860" s="47"/>
      <c r="D860" s="47"/>
      <c r="E860" s="45"/>
      <c r="F860" s="45"/>
      <c r="G860" s="45"/>
      <c r="H860" s="45"/>
      <c r="I860" s="45"/>
      <c r="J860" s="45"/>
      <c r="K860" s="45"/>
      <c r="L860" s="45"/>
      <c r="M860" s="45"/>
      <c r="N860" s="45"/>
      <c r="O860" s="45"/>
      <c r="P860" s="45"/>
      <c r="Q860" s="45"/>
      <c r="R860" s="45"/>
    </row>
    <row r="861" spans="1:18" x14ac:dyDescent="0.25">
      <c r="A861" s="45"/>
      <c r="B861" s="47"/>
      <c r="C861" s="47"/>
      <c r="D861" s="47"/>
      <c r="E861" s="45"/>
      <c r="F861" s="45"/>
      <c r="G861" s="45"/>
      <c r="H861" s="45"/>
      <c r="I861" s="45"/>
      <c r="J861" s="45"/>
      <c r="K861" s="45"/>
      <c r="L861" s="45"/>
      <c r="M861" s="45"/>
      <c r="N861" s="45"/>
      <c r="O861" s="45"/>
      <c r="P861" s="45"/>
      <c r="Q861" s="45"/>
      <c r="R861" s="45"/>
    </row>
    <row r="862" spans="1:18" x14ac:dyDescent="0.25">
      <c r="A862" s="45"/>
      <c r="B862" s="47"/>
      <c r="C862" s="47"/>
      <c r="D862" s="47"/>
      <c r="E862" s="45"/>
      <c r="F862" s="45"/>
      <c r="G862" s="45"/>
      <c r="H862" s="45"/>
      <c r="I862" s="45"/>
      <c r="J862" s="45"/>
      <c r="K862" s="45"/>
      <c r="L862" s="45"/>
      <c r="M862" s="45"/>
      <c r="N862" s="45"/>
      <c r="O862" s="45"/>
      <c r="P862" s="45"/>
      <c r="Q862" s="45"/>
      <c r="R862" s="45"/>
    </row>
    <row r="863" spans="1:18" x14ac:dyDescent="0.25">
      <c r="A863" s="45"/>
      <c r="B863" s="47"/>
      <c r="C863" s="47"/>
      <c r="D863" s="47"/>
      <c r="E863" s="45"/>
      <c r="F863" s="45"/>
      <c r="G863" s="45"/>
      <c r="H863" s="45"/>
      <c r="I863" s="45"/>
      <c r="J863" s="45"/>
      <c r="K863" s="45"/>
      <c r="L863" s="45"/>
      <c r="M863" s="45"/>
      <c r="N863" s="45"/>
      <c r="O863" s="45"/>
      <c r="P863" s="45"/>
      <c r="Q863" s="45"/>
      <c r="R863" s="45"/>
    </row>
    <row r="864" spans="1:18" x14ac:dyDescent="0.25">
      <c r="A864" s="45"/>
      <c r="B864" s="47"/>
      <c r="C864" s="47"/>
      <c r="D864" s="47"/>
      <c r="E864" s="45"/>
      <c r="F864" s="45"/>
      <c r="G864" s="45"/>
      <c r="H864" s="45"/>
      <c r="I864" s="45"/>
      <c r="J864" s="45"/>
      <c r="K864" s="45"/>
      <c r="L864" s="45"/>
      <c r="M864" s="45"/>
      <c r="N864" s="45"/>
      <c r="O864" s="45"/>
      <c r="P864" s="45"/>
      <c r="Q864" s="45"/>
      <c r="R864" s="45"/>
    </row>
    <row r="865" spans="1:18" x14ac:dyDescent="0.25">
      <c r="A865" s="45"/>
      <c r="B865" s="47"/>
      <c r="C865" s="47"/>
      <c r="D865" s="47"/>
      <c r="E865" s="45"/>
      <c r="F865" s="45"/>
      <c r="G865" s="45"/>
      <c r="H865" s="45"/>
      <c r="I865" s="45"/>
      <c r="J865" s="45"/>
      <c r="K865" s="45"/>
      <c r="L865" s="45"/>
      <c r="M865" s="45"/>
      <c r="N865" s="45"/>
      <c r="O865" s="45"/>
      <c r="P865" s="45"/>
      <c r="Q865" s="45"/>
      <c r="R865" s="45"/>
    </row>
    <row r="866" spans="1:18" x14ac:dyDescent="0.25">
      <c r="A866" s="45"/>
      <c r="B866" s="47"/>
      <c r="C866" s="47"/>
      <c r="D866" s="47"/>
      <c r="E866" s="45"/>
      <c r="F866" s="45"/>
      <c r="G866" s="45"/>
      <c r="H866" s="45"/>
      <c r="I866" s="45"/>
      <c r="J866" s="45"/>
      <c r="K866" s="45"/>
      <c r="L866" s="45"/>
      <c r="M866" s="45"/>
      <c r="N866" s="45"/>
      <c r="O866" s="45"/>
      <c r="P866" s="45"/>
      <c r="Q866" s="45"/>
      <c r="R866" s="45"/>
    </row>
    <row r="867" spans="1:18" x14ac:dyDescent="0.25">
      <c r="A867" s="45"/>
      <c r="B867" s="47"/>
      <c r="C867" s="47"/>
      <c r="D867" s="47"/>
      <c r="E867" s="45"/>
      <c r="F867" s="45"/>
      <c r="G867" s="45"/>
      <c r="H867" s="45"/>
      <c r="I867" s="45"/>
      <c r="J867" s="45"/>
      <c r="K867" s="45"/>
      <c r="L867" s="45"/>
      <c r="M867" s="45"/>
      <c r="N867" s="45"/>
      <c r="O867" s="45"/>
      <c r="P867" s="45"/>
      <c r="Q867" s="45"/>
      <c r="R867" s="45"/>
    </row>
    <row r="868" spans="1:18" x14ac:dyDescent="0.25">
      <c r="A868" s="45"/>
      <c r="B868" s="47"/>
      <c r="C868" s="47"/>
      <c r="D868" s="47"/>
      <c r="E868" s="45"/>
      <c r="F868" s="45"/>
      <c r="G868" s="45"/>
      <c r="H868" s="45"/>
      <c r="I868" s="45"/>
      <c r="J868" s="45"/>
      <c r="K868" s="45"/>
      <c r="L868" s="45"/>
      <c r="M868" s="45"/>
      <c r="N868" s="45"/>
      <c r="O868" s="45"/>
      <c r="P868" s="45"/>
      <c r="Q868" s="45"/>
      <c r="R868" s="45"/>
    </row>
    <row r="869" spans="1:18" x14ac:dyDescent="0.25">
      <c r="A869" s="45"/>
      <c r="B869" s="47"/>
      <c r="C869" s="47"/>
      <c r="D869" s="47"/>
      <c r="E869" s="45"/>
      <c r="F869" s="45"/>
      <c r="G869" s="45"/>
      <c r="H869" s="45"/>
      <c r="I869" s="45"/>
      <c r="J869" s="45"/>
      <c r="K869" s="45"/>
      <c r="L869" s="45"/>
      <c r="M869" s="45"/>
      <c r="N869" s="45"/>
      <c r="O869" s="45"/>
      <c r="P869" s="45"/>
      <c r="Q869" s="45"/>
      <c r="R869" s="45"/>
    </row>
    <row r="870" spans="1:18" x14ac:dyDescent="0.25">
      <c r="A870" s="45"/>
      <c r="B870" s="47"/>
      <c r="C870" s="47"/>
      <c r="D870" s="47"/>
      <c r="E870" s="45"/>
      <c r="F870" s="45"/>
      <c r="G870" s="45"/>
      <c r="H870" s="45"/>
      <c r="I870" s="45"/>
      <c r="J870" s="45"/>
      <c r="K870" s="45"/>
      <c r="L870" s="45"/>
      <c r="M870" s="45"/>
      <c r="N870" s="45"/>
      <c r="O870" s="45"/>
      <c r="P870" s="45"/>
      <c r="Q870" s="45"/>
      <c r="R870" s="45"/>
    </row>
    <row r="871" spans="1:18" x14ac:dyDescent="0.25">
      <c r="A871" s="45"/>
      <c r="B871" s="47"/>
      <c r="C871" s="47"/>
      <c r="D871" s="47"/>
      <c r="E871" s="45"/>
      <c r="F871" s="45"/>
      <c r="G871" s="45"/>
      <c r="H871" s="45"/>
      <c r="I871" s="45"/>
      <c r="J871" s="45"/>
      <c r="K871" s="45"/>
      <c r="L871" s="45"/>
      <c r="M871" s="45"/>
      <c r="N871" s="45"/>
      <c r="O871" s="45"/>
      <c r="P871" s="45"/>
      <c r="Q871" s="45"/>
      <c r="R871" s="45"/>
    </row>
    <row r="872" spans="1:18" x14ac:dyDescent="0.25">
      <c r="A872" s="45"/>
      <c r="B872" s="47"/>
      <c r="C872" s="47"/>
      <c r="D872" s="47"/>
      <c r="E872" s="45"/>
      <c r="F872" s="45"/>
      <c r="G872" s="45"/>
      <c r="H872" s="45"/>
      <c r="I872" s="45"/>
      <c r="J872" s="45"/>
      <c r="K872" s="45"/>
      <c r="L872" s="45"/>
      <c r="M872" s="45"/>
      <c r="N872" s="45"/>
      <c r="O872" s="45"/>
      <c r="P872" s="45"/>
      <c r="Q872" s="45"/>
      <c r="R872" s="45"/>
    </row>
    <row r="873" spans="1:18" x14ac:dyDescent="0.25">
      <c r="A873" s="45"/>
      <c r="B873" s="47"/>
      <c r="C873" s="47"/>
      <c r="D873" s="47"/>
      <c r="E873" s="45"/>
      <c r="F873" s="45"/>
      <c r="G873" s="45"/>
      <c r="H873" s="45"/>
      <c r="I873" s="45"/>
      <c r="J873" s="45"/>
      <c r="K873" s="45"/>
      <c r="L873" s="45"/>
      <c r="M873" s="45"/>
      <c r="N873" s="45"/>
      <c r="O873" s="45"/>
      <c r="P873" s="45"/>
      <c r="Q873" s="45"/>
      <c r="R873" s="45"/>
    </row>
    <row r="874" spans="1:18" x14ac:dyDescent="0.25">
      <c r="A874" s="45"/>
      <c r="B874" s="47"/>
      <c r="C874" s="47"/>
      <c r="D874" s="47"/>
      <c r="E874" s="45"/>
      <c r="F874" s="45"/>
      <c r="G874" s="45"/>
      <c r="H874" s="45"/>
      <c r="I874" s="45"/>
      <c r="J874" s="45"/>
      <c r="K874" s="45"/>
      <c r="L874" s="45"/>
      <c r="M874" s="45"/>
      <c r="N874" s="45"/>
      <c r="O874" s="45"/>
      <c r="P874" s="45"/>
      <c r="Q874" s="45"/>
      <c r="R874" s="45"/>
    </row>
    <row r="875" spans="1:18" x14ac:dyDescent="0.25">
      <c r="A875" s="45"/>
      <c r="B875" s="47"/>
      <c r="C875" s="47"/>
      <c r="D875" s="47"/>
      <c r="E875" s="45"/>
      <c r="F875" s="45"/>
      <c r="G875" s="45"/>
      <c r="H875" s="45"/>
      <c r="I875" s="45"/>
      <c r="J875" s="45"/>
      <c r="K875" s="45"/>
      <c r="L875" s="45"/>
      <c r="M875" s="45"/>
      <c r="N875" s="45"/>
      <c r="O875" s="45"/>
      <c r="P875" s="45"/>
      <c r="Q875" s="45"/>
      <c r="R875" s="45"/>
    </row>
    <row r="876" spans="1:18" x14ac:dyDescent="0.25">
      <c r="A876" s="45"/>
      <c r="B876" s="47"/>
      <c r="C876" s="47"/>
      <c r="D876" s="47"/>
      <c r="E876" s="45"/>
      <c r="F876" s="45"/>
      <c r="G876" s="45"/>
      <c r="H876" s="45"/>
      <c r="I876" s="45"/>
      <c r="J876" s="45"/>
      <c r="K876" s="45"/>
      <c r="L876" s="45"/>
      <c r="M876" s="45"/>
      <c r="N876" s="45"/>
      <c r="O876" s="45"/>
      <c r="P876" s="45"/>
      <c r="Q876" s="45"/>
      <c r="R876" s="45"/>
    </row>
    <row r="877" spans="1:18" x14ac:dyDescent="0.25">
      <c r="A877" s="45"/>
      <c r="B877" s="47"/>
      <c r="C877" s="47"/>
      <c r="D877" s="47"/>
      <c r="E877" s="45"/>
      <c r="F877" s="45"/>
      <c r="G877" s="45"/>
      <c r="H877" s="45"/>
      <c r="I877" s="45"/>
      <c r="J877" s="45"/>
      <c r="K877" s="45"/>
      <c r="L877" s="45"/>
      <c r="M877" s="45"/>
      <c r="N877" s="45"/>
      <c r="O877" s="45"/>
      <c r="P877" s="45"/>
      <c r="Q877" s="45"/>
      <c r="R877" s="45"/>
    </row>
    <row r="878" spans="1:18" x14ac:dyDescent="0.25">
      <c r="A878" s="45"/>
      <c r="B878" s="47"/>
      <c r="C878" s="47"/>
      <c r="D878" s="47"/>
      <c r="E878" s="45"/>
      <c r="F878" s="45"/>
      <c r="G878" s="45"/>
      <c r="H878" s="45"/>
      <c r="I878" s="45"/>
      <c r="J878" s="45"/>
      <c r="K878" s="45"/>
      <c r="L878" s="45"/>
      <c r="M878" s="45"/>
      <c r="N878" s="45"/>
      <c r="O878" s="45"/>
      <c r="P878" s="45"/>
      <c r="Q878" s="45"/>
      <c r="R878" s="45"/>
    </row>
    <row r="879" spans="1:18" x14ac:dyDescent="0.25">
      <c r="A879" s="45"/>
      <c r="B879" s="47"/>
      <c r="C879" s="47"/>
      <c r="D879" s="47"/>
      <c r="E879" s="45"/>
      <c r="F879" s="45"/>
      <c r="G879" s="45"/>
      <c r="H879" s="45"/>
      <c r="I879" s="45"/>
      <c r="J879" s="45"/>
      <c r="K879" s="45"/>
      <c r="L879" s="45"/>
      <c r="M879" s="45"/>
      <c r="N879" s="45"/>
      <c r="O879" s="45"/>
      <c r="P879" s="45"/>
      <c r="Q879" s="45"/>
      <c r="R879" s="45"/>
    </row>
    <row r="880" spans="1:18" x14ac:dyDescent="0.25">
      <c r="A880" s="45"/>
      <c r="B880" s="47"/>
      <c r="C880" s="47"/>
      <c r="D880" s="47"/>
      <c r="E880" s="45"/>
      <c r="F880" s="45"/>
      <c r="G880" s="45"/>
      <c r="H880" s="45"/>
      <c r="I880" s="45"/>
      <c r="J880" s="45"/>
      <c r="K880" s="45"/>
      <c r="L880" s="45"/>
      <c r="M880" s="45"/>
      <c r="N880" s="45"/>
      <c r="O880" s="45"/>
      <c r="P880" s="45"/>
      <c r="Q880" s="45"/>
      <c r="R880" s="45"/>
    </row>
    <row r="881" spans="1:18" x14ac:dyDescent="0.25">
      <c r="A881" s="45"/>
      <c r="B881" s="47"/>
      <c r="C881" s="47"/>
      <c r="D881" s="47"/>
      <c r="E881" s="45"/>
      <c r="F881" s="45"/>
      <c r="G881" s="45"/>
      <c r="H881" s="45"/>
      <c r="I881" s="45"/>
      <c r="J881" s="45"/>
      <c r="K881" s="45"/>
      <c r="L881" s="45"/>
      <c r="M881" s="45"/>
      <c r="N881" s="45"/>
      <c r="O881" s="45"/>
      <c r="P881" s="45"/>
      <c r="Q881" s="45"/>
      <c r="R881" s="45"/>
    </row>
    <row r="882" spans="1:18" x14ac:dyDescent="0.25">
      <c r="A882" s="45"/>
      <c r="B882" s="47"/>
      <c r="C882" s="47"/>
      <c r="D882" s="47"/>
      <c r="E882" s="45"/>
      <c r="F882" s="45"/>
      <c r="G882" s="45"/>
      <c r="H882" s="45"/>
      <c r="I882" s="45"/>
      <c r="J882" s="45"/>
      <c r="K882" s="45"/>
      <c r="L882" s="45"/>
      <c r="M882" s="45"/>
      <c r="N882" s="45"/>
      <c r="O882" s="45"/>
      <c r="P882" s="45"/>
      <c r="Q882" s="45"/>
      <c r="R882" s="45"/>
    </row>
    <row r="883" spans="1:18" x14ac:dyDescent="0.25">
      <c r="A883" s="45"/>
      <c r="B883" s="47"/>
      <c r="C883" s="47"/>
      <c r="D883" s="47"/>
      <c r="E883" s="45"/>
      <c r="F883" s="45"/>
      <c r="G883" s="45"/>
      <c r="H883" s="45"/>
      <c r="I883" s="45"/>
      <c r="J883" s="45"/>
      <c r="K883" s="45"/>
      <c r="L883" s="45"/>
      <c r="M883" s="45"/>
      <c r="N883" s="45"/>
      <c r="O883" s="45"/>
      <c r="P883" s="45"/>
      <c r="Q883" s="45"/>
      <c r="R883" s="45"/>
    </row>
    <row r="884" spans="1:18" x14ac:dyDescent="0.25">
      <c r="A884" s="45"/>
      <c r="B884" s="47"/>
      <c r="C884" s="47"/>
      <c r="D884" s="47"/>
      <c r="E884" s="45"/>
      <c r="F884" s="45"/>
      <c r="G884" s="45"/>
      <c r="H884" s="45"/>
      <c r="I884" s="45"/>
      <c r="J884" s="45"/>
      <c r="K884" s="45"/>
      <c r="L884" s="45"/>
      <c r="M884" s="45"/>
      <c r="N884" s="45"/>
      <c r="O884" s="45"/>
      <c r="P884" s="45"/>
      <c r="Q884" s="45"/>
      <c r="R884" s="45"/>
    </row>
    <row r="885" spans="1:18" x14ac:dyDescent="0.25">
      <c r="A885" s="45"/>
      <c r="B885" s="47"/>
      <c r="C885" s="47"/>
      <c r="D885" s="47"/>
      <c r="E885" s="45"/>
      <c r="F885" s="45"/>
      <c r="G885" s="45"/>
      <c r="H885" s="45"/>
      <c r="I885" s="45"/>
      <c r="J885" s="45"/>
      <c r="K885" s="45"/>
      <c r="L885" s="45"/>
      <c r="M885" s="45"/>
      <c r="N885" s="45"/>
      <c r="O885" s="45"/>
      <c r="P885" s="45"/>
      <c r="Q885" s="45"/>
      <c r="R885" s="45"/>
    </row>
    <row r="886" spans="1:18" x14ac:dyDescent="0.25">
      <c r="A886" s="45"/>
      <c r="B886" s="47"/>
      <c r="C886" s="47"/>
      <c r="D886" s="47"/>
      <c r="E886" s="45"/>
      <c r="F886" s="45"/>
      <c r="G886" s="45"/>
      <c r="H886" s="45"/>
      <c r="I886" s="45"/>
      <c r="J886" s="45"/>
      <c r="K886" s="45"/>
      <c r="L886" s="45"/>
      <c r="M886" s="45"/>
      <c r="N886" s="45"/>
      <c r="O886" s="45"/>
      <c r="P886" s="45"/>
      <c r="Q886" s="45"/>
      <c r="R886" s="45"/>
    </row>
    <row r="887" spans="1:18" x14ac:dyDescent="0.25">
      <c r="A887" s="45"/>
      <c r="B887" s="47"/>
      <c r="C887" s="47"/>
      <c r="D887" s="47"/>
      <c r="E887" s="45"/>
      <c r="F887" s="45"/>
      <c r="G887" s="45"/>
      <c r="H887" s="45"/>
      <c r="I887" s="45"/>
      <c r="J887" s="45"/>
      <c r="K887" s="45"/>
      <c r="L887" s="45"/>
      <c r="M887" s="45"/>
      <c r="N887" s="45"/>
      <c r="O887" s="45"/>
      <c r="P887" s="45"/>
      <c r="Q887" s="45"/>
      <c r="R887" s="45"/>
    </row>
    <row r="888" spans="1:18" x14ac:dyDescent="0.25">
      <c r="A888" s="45"/>
      <c r="B888" s="47"/>
      <c r="C888" s="47"/>
      <c r="D888" s="47"/>
      <c r="E888" s="45"/>
      <c r="F888" s="45"/>
      <c r="G888" s="45"/>
      <c r="H888" s="45"/>
      <c r="I888" s="45"/>
      <c r="J888" s="45"/>
      <c r="K888" s="45"/>
      <c r="L888" s="45"/>
      <c r="M888" s="45"/>
      <c r="N888" s="45"/>
      <c r="O888" s="45"/>
      <c r="P888" s="45"/>
      <c r="Q888" s="45"/>
      <c r="R888" s="45"/>
    </row>
    <row r="889" spans="1:18" x14ac:dyDescent="0.25">
      <c r="A889" s="45"/>
      <c r="B889" s="47"/>
      <c r="C889" s="47"/>
      <c r="D889" s="47"/>
      <c r="E889" s="45"/>
      <c r="F889" s="45"/>
      <c r="G889" s="45"/>
      <c r="H889" s="45"/>
      <c r="I889" s="45"/>
      <c r="J889" s="45"/>
      <c r="K889" s="45"/>
      <c r="L889" s="45"/>
      <c r="M889" s="45"/>
      <c r="N889" s="45"/>
      <c r="O889" s="45"/>
      <c r="P889" s="45"/>
      <c r="Q889" s="45"/>
      <c r="R889" s="45"/>
    </row>
    <row r="890" spans="1:18" x14ac:dyDescent="0.25">
      <c r="A890" s="45"/>
      <c r="B890" s="47"/>
      <c r="C890" s="47"/>
      <c r="D890" s="47"/>
      <c r="E890" s="45"/>
      <c r="F890" s="45"/>
      <c r="G890" s="45"/>
      <c r="H890" s="45"/>
      <c r="I890" s="45"/>
      <c r="J890" s="45"/>
      <c r="K890" s="45"/>
      <c r="L890" s="45"/>
      <c r="M890" s="45"/>
      <c r="N890" s="45"/>
      <c r="O890" s="45"/>
      <c r="P890" s="45"/>
      <c r="Q890" s="45"/>
      <c r="R890" s="45"/>
    </row>
    <row r="891" spans="1:18" x14ac:dyDescent="0.25">
      <c r="A891" s="45"/>
      <c r="B891" s="47"/>
      <c r="C891" s="47"/>
      <c r="D891" s="47"/>
      <c r="E891" s="45"/>
      <c r="F891" s="45"/>
      <c r="G891" s="45"/>
      <c r="H891" s="45"/>
      <c r="I891" s="45"/>
      <c r="J891" s="45"/>
      <c r="K891" s="45"/>
      <c r="L891" s="45"/>
      <c r="M891" s="45"/>
      <c r="N891" s="45"/>
      <c r="O891" s="45"/>
      <c r="P891" s="45"/>
      <c r="Q891" s="45"/>
      <c r="R891" s="45"/>
    </row>
    <row r="892" spans="1:18" x14ac:dyDescent="0.25">
      <c r="A892" s="45"/>
      <c r="B892" s="47"/>
      <c r="C892" s="47"/>
      <c r="D892" s="47"/>
      <c r="E892" s="45"/>
      <c r="F892" s="45"/>
      <c r="G892" s="45"/>
      <c r="H892" s="45"/>
      <c r="I892" s="45"/>
      <c r="J892" s="45"/>
      <c r="K892" s="45"/>
      <c r="L892" s="45"/>
      <c r="M892" s="45"/>
      <c r="N892" s="45"/>
      <c r="O892" s="45"/>
      <c r="P892" s="45"/>
      <c r="Q892" s="45"/>
      <c r="R892" s="45"/>
    </row>
    <row r="893" spans="1:18" x14ac:dyDescent="0.25">
      <c r="A893" s="45"/>
      <c r="B893" s="47"/>
      <c r="C893" s="47"/>
      <c r="D893" s="47"/>
      <c r="E893" s="45"/>
      <c r="F893" s="45"/>
      <c r="G893" s="45"/>
      <c r="H893" s="45"/>
      <c r="I893" s="45"/>
      <c r="J893" s="45"/>
      <c r="K893" s="45"/>
      <c r="L893" s="45"/>
      <c r="M893" s="45"/>
      <c r="N893" s="45"/>
      <c r="O893" s="45"/>
      <c r="P893" s="45"/>
      <c r="Q893" s="45"/>
      <c r="R893" s="45"/>
    </row>
    <row r="894" spans="1:18" x14ac:dyDescent="0.25">
      <c r="A894" s="45"/>
      <c r="B894" s="47"/>
      <c r="C894" s="47"/>
      <c r="D894" s="47"/>
      <c r="E894" s="45"/>
      <c r="F894" s="45"/>
      <c r="G894" s="45"/>
      <c r="H894" s="45"/>
      <c r="I894" s="45"/>
      <c r="J894" s="45"/>
      <c r="K894" s="45"/>
      <c r="L894" s="45"/>
      <c r="M894" s="45"/>
      <c r="N894" s="45"/>
      <c r="O894" s="45"/>
      <c r="P894" s="45"/>
      <c r="Q894" s="45"/>
      <c r="R894" s="45"/>
    </row>
    <row r="895" spans="1:18" x14ac:dyDescent="0.25">
      <c r="A895" s="45"/>
      <c r="B895" s="47"/>
      <c r="C895" s="47"/>
      <c r="D895" s="47"/>
      <c r="E895" s="45"/>
      <c r="F895" s="45"/>
      <c r="G895" s="45"/>
      <c r="H895" s="45"/>
      <c r="I895" s="45"/>
      <c r="J895" s="45"/>
      <c r="K895" s="45"/>
      <c r="L895" s="45"/>
      <c r="M895" s="45"/>
      <c r="N895" s="45"/>
      <c r="O895" s="45"/>
      <c r="P895" s="45"/>
      <c r="Q895" s="45"/>
      <c r="R895" s="45"/>
    </row>
    <row r="896" spans="1:18" x14ac:dyDescent="0.25">
      <c r="A896" s="45"/>
      <c r="B896" s="47"/>
      <c r="C896" s="47"/>
      <c r="D896" s="47"/>
      <c r="E896" s="45"/>
      <c r="F896" s="45"/>
      <c r="G896" s="45"/>
      <c r="H896" s="45"/>
      <c r="I896" s="45"/>
      <c r="J896" s="45"/>
      <c r="K896" s="45"/>
      <c r="L896" s="45"/>
      <c r="M896" s="45"/>
      <c r="N896" s="45"/>
      <c r="O896" s="45"/>
      <c r="P896" s="45"/>
      <c r="Q896" s="45"/>
      <c r="R896" s="45"/>
    </row>
    <row r="897" spans="1:18" x14ac:dyDescent="0.25">
      <c r="A897" s="45"/>
      <c r="B897" s="47"/>
      <c r="C897" s="47"/>
      <c r="D897" s="47"/>
      <c r="E897" s="45"/>
      <c r="F897" s="45"/>
      <c r="G897" s="45"/>
      <c r="H897" s="45"/>
      <c r="I897" s="45"/>
      <c r="J897" s="45"/>
      <c r="K897" s="45"/>
      <c r="L897" s="45"/>
      <c r="M897" s="45"/>
      <c r="N897" s="45"/>
      <c r="O897" s="45"/>
      <c r="P897" s="45"/>
      <c r="Q897" s="45"/>
      <c r="R897" s="45"/>
    </row>
    <row r="898" spans="1:18" x14ac:dyDescent="0.25">
      <c r="A898" s="45"/>
      <c r="B898" s="47"/>
      <c r="C898" s="47"/>
      <c r="D898" s="47"/>
      <c r="E898" s="45"/>
      <c r="F898" s="45"/>
      <c r="G898" s="45"/>
      <c r="H898" s="45"/>
      <c r="I898" s="45"/>
      <c r="J898" s="45"/>
      <c r="K898" s="45"/>
      <c r="L898" s="45"/>
      <c r="M898" s="45"/>
      <c r="N898" s="45"/>
      <c r="O898" s="45"/>
      <c r="P898" s="45"/>
      <c r="Q898" s="45"/>
      <c r="R898" s="45"/>
    </row>
    <row r="899" spans="1:18" x14ac:dyDescent="0.25">
      <c r="A899" s="45"/>
      <c r="B899" s="47"/>
      <c r="C899" s="47"/>
      <c r="D899" s="47"/>
      <c r="E899" s="45"/>
      <c r="F899" s="45"/>
      <c r="G899" s="45"/>
      <c r="H899" s="45"/>
      <c r="I899" s="45"/>
      <c r="J899" s="45"/>
      <c r="K899" s="45"/>
      <c r="L899" s="45"/>
      <c r="M899" s="45"/>
      <c r="N899" s="45"/>
      <c r="O899" s="45"/>
      <c r="P899" s="45"/>
      <c r="Q899" s="45"/>
      <c r="R899" s="45"/>
    </row>
    <row r="900" spans="1:18" x14ac:dyDescent="0.25">
      <c r="A900" s="45"/>
      <c r="B900" s="47"/>
      <c r="C900" s="47"/>
      <c r="D900" s="47"/>
      <c r="E900" s="45"/>
      <c r="F900" s="45"/>
      <c r="G900" s="45"/>
      <c r="H900" s="45"/>
      <c r="I900" s="45"/>
      <c r="J900" s="45"/>
      <c r="K900" s="45"/>
      <c r="L900" s="45"/>
      <c r="M900" s="45"/>
      <c r="N900" s="45"/>
      <c r="O900" s="45"/>
      <c r="P900" s="45"/>
      <c r="Q900" s="45"/>
      <c r="R900" s="45"/>
    </row>
    <row r="901" spans="1:18" x14ac:dyDescent="0.25">
      <c r="A901" s="45"/>
      <c r="B901" s="47"/>
      <c r="C901" s="47"/>
      <c r="D901" s="47"/>
      <c r="E901" s="45"/>
      <c r="F901" s="45"/>
      <c r="G901" s="45"/>
      <c r="H901" s="45"/>
      <c r="I901" s="45"/>
      <c r="J901" s="45"/>
      <c r="K901" s="45"/>
      <c r="L901" s="45"/>
      <c r="M901" s="45"/>
      <c r="N901" s="45"/>
      <c r="O901" s="45"/>
      <c r="P901" s="45"/>
      <c r="Q901" s="45"/>
      <c r="R901" s="45"/>
    </row>
    <row r="902" spans="1:18" x14ac:dyDescent="0.25">
      <c r="A902" s="45"/>
      <c r="B902" s="47"/>
      <c r="C902" s="47"/>
      <c r="D902" s="47"/>
      <c r="E902" s="45"/>
      <c r="F902" s="45"/>
      <c r="G902" s="45"/>
      <c r="H902" s="45"/>
      <c r="I902" s="45"/>
      <c r="J902" s="45"/>
      <c r="K902" s="45"/>
      <c r="L902" s="45"/>
      <c r="M902" s="45"/>
      <c r="N902" s="45"/>
      <c r="O902" s="45"/>
      <c r="P902" s="45"/>
      <c r="Q902" s="45"/>
      <c r="R902" s="45"/>
    </row>
    <row r="903" spans="1:18" x14ac:dyDescent="0.25">
      <c r="A903" s="45"/>
      <c r="B903" s="47"/>
      <c r="C903" s="47"/>
      <c r="D903" s="47"/>
      <c r="E903" s="45"/>
      <c r="F903" s="45"/>
      <c r="G903" s="45"/>
      <c r="H903" s="45"/>
      <c r="I903" s="45"/>
      <c r="J903" s="45"/>
      <c r="K903" s="45"/>
      <c r="L903" s="45"/>
      <c r="M903" s="45"/>
      <c r="N903" s="45"/>
      <c r="O903" s="45"/>
      <c r="P903" s="45"/>
      <c r="Q903" s="45"/>
      <c r="R903" s="45"/>
    </row>
    <row r="904" spans="1:18" x14ac:dyDescent="0.25">
      <c r="A904" s="45"/>
      <c r="B904" s="47"/>
      <c r="C904" s="47"/>
      <c r="D904" s="47"/>
      <c r="E904" s="45"/>
      <c r="F904" s="45"/>
      <c r="G904" s="45"/>
      <c r="H904" s="45"/>
      <c r="I904" s="45"/>
      <c r="J904" s="45"/>
      <c r="K904" s="45"/>
      <c r="L904" s="45"/>
      <c r="M904" s="45"/>
      <c r="N904" s="45"/>
      <c r="O904" s="45"/>
      <c r="P904" s="45"/>
      <c r="Q904" s="45"/>
      <c r="R904" s="45"/>
    </row>
    <row r="905" spans="1:18" x14ac:dyDescent="0.25">
      <c r="A905" s="45"/>
      <c r="B905" s="47"/>
      <c r="C905" s="47"/>
      <c r="D905" s="47"/>
      <c r="E905" s="45"/>
      <c r="F905" s="45"/>
      <c r="G905" s="45"/>
      <c r="H905" s="45"/>
      <c r="I905" s="45"/>
      <c r="J905" s="45"/>
      <c r="K905" s="45"/>
      <c r="L905" s="45"/>
      <c r="M905" s="45"/>
      <c r="N905" s="45"/>
      <c r="O905" s="45"/>
      <c r="P905" s="45"/>
      <c r="Q905" s="45"/>
      <c r="R905" s="45"/>
    </row>
    <row r="906" spans="1:18" x14ac:dyDescent="0.25">
      <c r="A906" s="45"/>
      <c r="B906" s="47"/>
      <c r="C906" s="47"/>
      <c r="D906" s="47"/>
      <c r="E906" s="45"/>
      <c r="F906" s="45"/>
      <c r="G906" s="45"/>
      <c r="H906" s="45"/>
      <c r="I906" s="45"/>
      <c r="J906" s="45"/>
      <c r="K906" s="45"/>
      <c r="L906" s="45"/>
      <c r="M906" s="45"/>
      <c r="N906" s="45"/>
      <c r="O906" s="45"/>
      <c r="P906" s="45"/>
      <c r="Q906" s="45"/>
      <c r="R906" s="45"/>
    </row>
    <row r="907" spans="1:18" x14ac:dyDescent="0.25">
      <c r="A907" s="45"/>
      <c r="B907" s="47"/>
      <c r="C907" s="47"/>
      <c r="D907" s="47"/>
      <c r="E907" s="45"/>
      <c r="F907" s="45"/>
      <c r="G907" s="45"/>
      <c r="H907" s="45"/>
      <c r="I907" s="45"/>
      <c r="J907" s="45"/>
      <c r="K907" s="45"/>
      <c r="L907" s="45"/>
      <c r="M907" s="45"/>
      <c r="N907" s="45"/>
      <c r="O907" s="45"/>
      <c r="P907" s="45"/>
      <c r="Q907" s="45"/>
      <c r="R907" s="45"/>
    </row>
    <row r="908" spans="1:18" x14ac:dyDescent="0.25">
      <c r="A908" s="45"/>
      <c r="B908" s="47"/>
      <c r="C908" s="47"/>
      <c r="D908" s="47"/>
      <c r="E908" s="45"/>
      <c r="F908" s="45"/>
      <c r="G908" s="45"/>
      <c r="H908" s="45"/>
      <c r="I908" s="45"/>
      <c r="J908" s="45"/>
      <c r="K908" s="45"/>
      <c r="L908" s="45"/>
      <c r="M908" s="45"/>
      <c r="N908" s="45"/>
      <c r="O908" s="45"/>
      <c r="P908" s="45"/>
      <c r="Q908" s="45"/>
      <c r="R908" s="45"/>
    </row>
    <row r="909" spans="1:18" x14ac:dyDescent="0.25">
      <c r="A909" s="45"/>
      <c r="B909" s="47"/>
      <c r="C909" s="47"/>
      <c r="D909" s="47"/>
      <c r="E909" s="45"/>
      <c r="F909" s="45"/>
      <c r="G909" s="45"/>
      <c r="H909" s="45"/>
      <c r="I909" s="45"/>
      <c r="J909" s="45"/>
      <c r="K909" s="45"/>
      <c r="L909" s="45"/>
      <c r="M909" s="45"/>
      <c r="N909" s="45"/>
      <c r="O909" s="45"/>
      <c r="P909" s="45"/>
      <c r="Q909" s="45"/>
      <c r="R909" s="45"/>
    </row>
    <row r="910" spans="1:18" x14ac:dyDescent="0.25">
      <c r="A910" s="45"/>
      <c r="B910" s="47"/>
      <c r="C910" s="47"/>
      <c r="D910" s="47"/>
      <c r="E910" s="45"/>
      <c r="F910" s="45"/>
      <c r="G910" s="45"/>
      <c r="H910" s="45"/>
      <c r="I910" s="45"/>
      <c r="J910" s="45"/>
      <c r="K910" s="45"/>
      <c r="L910" s="45"/>
      <c r="M910" s="45"/>
      <c r="N910" s="45"/>
      <c r="O910" s="45"/>
      <c r="P910" s="45"/>
      <c r="Q910" s="45"/>
      <c r="R910" s="45"/>
    </row>
    <row r="911" spans="1:18" x14ac:dyDescent="0.25">
      <c r="A911" s="45"/>
      <c r="B911" s="47"/>
      <c r="C911" s="47"/>
      <c r="D911" s="47"/>
      <c r="E911" s="45"/>
      <c r="F911" s="45"/>
      <c r="G911" s="45"/>
      <c r="H911" s="45"/>
      <c r="I911" s="45"/>
      <c r="J911" s="45"/>
      <c r="K911" s="45"/>
      <c r="L911" s="45"/>
      <c r="M911" s="45"/>
      <c r="N911" s="45"/>
      <c r="O911" s="45"/>
      <c r="P911" s="45"/>
      <c r="Q911" s="45"/>
      <c r="R911" s="45"/>
    </row>
    <row r="912" spans="1:18" x14ac:dyDescent="0.25">
      <c r="A912" s="45"/>
      <c r="B912" s="47"/>
      <c r="C912" s="47"/>
      <c r="D912" s="47"/>
      <c r="E912" s="45"/>
      <c r="F912" s="45"/>
      <c r="G912" s="45"/>
      <c r="H912" s="45"/>
      <c r="I912" s="45"/>
      <c r="J912" s="45"/>
      <c r="K912" s="45"/>
      <c r="L912" s="45"/>
      <c r="M912" s="45"/>
      <c r="N912" s="45"/>
      <c r="O912" s="45"/>
      <c r="P912" s="45"/>
      <c r="Q912" s="45"/>
      <c r="R912" s="45"/>
    </row>
    <row r="913" spans="1:18" x14ac:dyDescent="0.25">
      <c r="A913" s="45"/>
      <c r="B913" s="47"/>
      <c r="C913" s="47"/>
      <c r="D913" s="47"/>
      <c r="E913" s="45"/>
      <c r="F913" s="45"/>
      <c r="G913" s="45"/>
      <c r="H913" s="45"/>
      <c r="I913" s="45"/>
      <c r="J913" s="45"/>
      <c r="K913" s="45"/>
      <c r="L913" s="45"/>
      <c r="M913" s="45"/>
      <c r="N913" s="45"/>
      <c r="O913" s="45"/>
      <c r="P913" s="45"/>
      <c r="Q913" s="45"/>
      <c r="R913" s="45"/>
    </row>
    <row r="914" spans="1:18" x14ac:dyDescent="0.25">
      <c r="A914" s="45"/>
      <c r="B914" s="47"/>
      <c r="C914" s="47"/>
      <c r="D914" s="47"/>
      <c r="E914" s="45"/>
      <c r="F914" s="45"/>
      <c r="G914" s="45"/>
      <c r="H914" s="45"/>
      <c r="I914" s="45"/>
      <c r="J914" s="45"/>
      <c r="K914" s="45"/>
      <c r="L914" s="45"/>
      <c r="M914" s="45"/>
      <c r="N914" s="45"/>
      <c r="O914" s="45"/>
      <c r="P914" s="45"/>
      <c r="Q914" s="45"/>
      <c r="R914" s="45"/>
    </row>
    <row r="915" spans="1:18" x14ac:dyDescent="0.25">
      <c r="A915" s="45"/>
      <c r="B915" s="47"/>
      <c r="C915" s="47"/>
      <c r="D915" s="47"/>
      <c r="E915" s="45"/>
      <c r="F915" s="45"/>
      <c r="G915" s="45"/>
      <c r="H915" s="45"/>
      <c r="I915" s="45"/>
      <c r="J915" s="45"/>
      <c r="K915" s="45"/>
      <c r="L915" s="45"/>
      <c r="M915" s="45"/>
      <c r="N915" s="45"/>
      <c r="O915" s="45"/>
      <c r="P915" s="45"/>
      <c r="Q915" s="45"/>
      <c r="R915" s="45"/>
    </row>
    <row r="916" spans="1:18" x14ac:dyDescent="0.25">
      <c r="A916" s="45"/>
      <c r="B916" s="47"/>
      <c r="C916" s="47"/>
      <c r="D916" s="47"/>
      <c r="E916" s="45"/>
      <c r="F916" s="45"/>
      <c r="G916" s="45"/>
      <c r="H916" s="45"/>
      <c r="I916" s="45"/>
      <c r="J916" s="45"/>
      <c r="K916" s="45"/>
      <c r="L916" s="45"/>
      <c r="M916" s="45"/>
      <c r="N916" s="45"/>
      <c r="O916" s="45"/>
      <c r="P916" s="45"/>
      <c r="Q916" s="45"/>
      <c r="R916" s="45"/>
    </row>
    <row r="917" spans="1:18" x14ac:dyDescent="0.25">
      <c r="A917" s="45"/>
      <c r="B917" s="47"/>
      <c r="C917" s="47"/>
      <c r="D917" s="47"/>
      <c r="E917" s="45"/>
      <c r="F917" s="45"/>
      <c r="G917" s="45"/>
      <c r="H917" s="45"/>
      <c r="I917" s="45"/>
      <c r="J917" s="45"/>
      <c r="K917" s="45"/>
      <c r="L917" s="45"/>
      <c r="M917" s="45"/>
      <c r="N917" s="45"/>
      <c r="O917" s="45"/>
      <c r="P917" s="45"/>
      <c r="Q917" s="45"/>
      <c r="R917" s="45"/>
    </row>
    <row r="918" spans="1:18" x14ac:dyDescent="0.25">
      <c r="A918" s="45"/>
      <c r="B918" s="47"/>
      <c r="C918" s="47"/>
      <c r="D918" s="47"/>
      <c r="E918" s="45"/>
      <c r="F918" s="45"/>
      <c r="G918" s="45"/>
      <c r="H918" s="45"/>
      <c r="I918" s="45"/>
      <c r="J918" s="45"/>
      <c r="K918" s="45"/>
      <c r="L918" s="45"/>
      <c r="M918" s="45"/>
      <c r="N918" s="45"/>
      <c r="O918" s="45"/>
      <c r="P918" s="45"/>
      <c r="Q918" s="45"/>
      <c r="R918" s="45"/>
    </row>
    <row r="919" spans="1:18" x14ac:dyDescent="0.25">
      <c r="A919" s="45"/>
      <c r="B919" s="47"/>
      <c r="C919" s="47"/>
      <c r="D919" s="47"/>
      <c r="E919" s="45"/>
      <c r="F919" s="45"/>
      <c r="G919" s="45"/>
      <c r="H919" s="45"/>
      <c r="I919" s="45"/>
      <c r="J919" s="45"/>
      <c r="K919" s="45"/>
      <c r="L919" s="45"/>
      <c r="M919" s="45"/>
      <c r="N919" s="45"/>
      <c r="O919" s="45"/>
      <c r="P919" s="45"/>
      <c r="Q919" s="45"/>
      <c r="R919" s="45"/>
    </row>
    <row r="920" spans="1:18" x14ac:dyDescent="0.25">
      <c r="A920" s="45"/>
      <c r="B920" s="47"/>
      <c r="C920" s="47"/>
      <c r="D920" s="47"/>
      <c r="E920" s="45"/>
      <c r="F920" s="45"/>
      <c r="G920" s="45"/>
      <c r="H920" s="45"/>
      <c r="I920" s="45"/>
      <c r="J920" s="45"/>
      <c r="K920" s="45"/>
      <c r="L920" s="45"/>
      <c r="M920" s="45"/>
      <c r="N920" s="45"/>
      <c r="O920" s="45"/>
      <c r="P920" s="45"/>
      <c r="Q920" s="45"/>
      <c r="R920" s="45"/>
    </row>
    <row r="921" spans="1:18" x14ac:dyDescent="0.25">
      <c r="A921" s="45"/>
      <c r="B921" s="47"/>
      <c r="C921" s="47"/>
      <c r="D921" s="47"/>
      <c r="E921" s="45"/>
      <c r="F921" s="45"/>
      <c r="G921" s="45"/>
      <c r="H921" s="45"/>
      <c r="I921" s="45"/>
      <c r="J921" s="45"/>
      <c r="K921" s="45"/>
      <c r="L921" s="45"/>
      <c r="M921" s="45"/>
      <c r="N921" s="45"/>
      <c r="O921" s="45"/>
      <c r="P921" s="45"/>
      <c r="Q921" s="45"/>
      <c r="R921" s="45"/>
    </row>
    <row r="922" spans="1:18" x14ac:dyDescent="0.25">
      <c r="A922" s="45"/>
      <c r="B922" s="47"/>
      <c r="C922" s="47"/>
      <c r="D922" s="47"/>
      <c r="E922" s="45"/>
      <c r="F922" s="45"/>
      <c r="G922" s="45"/>
      <c r="H922" s="45"/>
      <c r="I922" s="45"/>
      <c r="J922" s="45"/>
      <c r="K922" s="45"/>
      <c r="L922" s="45"/>
      <c r="M922" s="45"/>
      <c r="N922" s="45"/>
      <c r="O922" s="45"/>
      <c r="P922" s="45"/>
      <c r="Q922" s="45"/>
      <c r="R922" s="45"/>
    </row>
    <row r="923" spans="1:18" x14ac:dyDescent="0.25">
      <c r="A923" s="45"/>
      <c r="B923" s="47"/>
      <c r="C923" s="47"/>
      <c r="D923" s="47"/>
      <c r="E923" s="45"/>
      <c r="F923" s="45"/>
      <c r="G923" s="45"/>
      <c r="H923" s="45"/>
      <c r="I923" s="45"/>
      <c r="J923" s="45"/>
      <c r="K923" s="45"/>
      <c r="L923" s="45"/>
      <c r="M923" s="45"/>
      <c r="N923" s="45"/>
      <c r="O923" s="45"/>
      <c r="P923" s="45"/>
      <c r="Q923" s="45"/>
      <c r="R923" s="45"/>
    </row>
    <row r="924" spans="1:18" x14ac:dyDescent="0.25">
      <c r="A924" s="45"/>
      <c r="B924" s="47"/>
      <c r="C924" s="47"/>
      <c r="D924" s="47"/>
      <c r="E924" s="45"/>
      <c r="F924" s="45"/>
      <c r="G924" s="45"/>
      <c r="H924" s="45"/>
      <c r="I924" s="45"/>
      <c r="J924" s="45"/>
      <c r="K924" s="45"/>
      <c r="L924" s="45"/>
      <c r="M924" s="45"/>
      <c r="N924" s="45"/>
      <c r="O924" s="45"/>
      <c r="P924" s="45"/>
      <c r="Q924" s="45"/>
      <c r="R924" s="45"/>
    </row>
    <row r="925" spans="1:18" x14ac:dyDescent="0.25">
      <c r="A925" s="45"/>
      <c r="B925" s="47"/>
      <c r="C925" s="47"/>
      <c r="D925" s="47"/>
      <c r="E925" s="45"/>
      <c r="F925" s="45"/>
      <c r="G925" s="45"/>
      <c r="H925" s="45"/>
      <c r="I925" s="45"/>
      <c r="J925" s="45"/>
      <c r="K925" s="45"/>
      <c r="L925" s="45"/>
      <c r="M925" s="45"/>
      <c r="N925" s="45"/>
      <c r="O925" s="45"/>
      <c r="P925" s="45"/>
      <c r="Q925" s="45"/>
      <c r="R925" s="45"/>
    </row>
    <row r="926" spans="1:18" x14ac:dyDescent="0.25">
      <c r="A926" s="45"/>
      <c r="B926" s="47"/>
      <c r="C926" s="47"/>
      <c r="D926" s="47"/>
      <c r="E926" s="45"/>
      <c r="F926" s="45"/>
      <c r="G926" s="45"/>
      <c r="H926" s="45"/>
      <c r="I926" s="45"/>
      <c r="J926" s="45"/>
      <c r="K926" s="45"/>
      <c r="L926" s="45"/>
      <c r="M926" s="45"/>
      <c r="N926" s="45"/>
      <c r="O926" s="45"/>
      <c r="P926" s="45"/>
      <c r="Q926" s="45"/>
      <c r="R926" s="45"/>
    </row>
    <row r="927" spans="1:18" x14ac:dyDescent="0.25">
      <c r="A927" s="45"/>
      <c r="B927" s="47"/>
      <c r="C927" s="47"/>
      <c r="D927" s="47"/>
      <c r="E927" s="45"/>
      <c r="F927" s="45"/>
      <c r="G927" s="45"/>
      <c r="H927" s="45"/>
      <c r="I927" s="45"/>
      <c r="J927" s="45"/>
      <c r="K927" s="45"/>
      <c r="L927" s="45"/>
      <c r="M927" s="45"/>
      <c r="N927" s="45"/>
      <c r="O927" s="45"/>
      <c r="P927" s="45"/>
      <c r="Q927" s="45"/>
      <c r="R927" s="45"/>
    </row>
    <row r="928" spans="1:18" x14ac:dyDescent="0.25">
      <c r="A928" s="45"/>
      <c r="B928" s="47"/>
      <c r="C928" s="47"/>
      <c r="D928" s="47"/>
      <c r="E928" s="45"/>
      <c r="F928" s="45"/>
      <c r="G928" s="45"/>
      <c r="H928" s="45"/>
      <c r="I928" s="45"/>
      <c r="J928" s="45"/>
      <c r="K928" s="45"/>
      <c r="L928" s="45"/>
      <c r="M928" s="45"/>
      <c r="N928" s="45"/>
      <c r="O928" s="45"/>
      <c r="P928" s="45"/>
      <c r="Q928" s="45"/>
      <c r="R928" s="45"/>
    </row>
    <row r="929" spans="1:18" x14ac:dyDescent="0.25">
      <c r="A929" s="45"/>
      <c r="B929" s="47"/>
      <c r="C929" s="47"/>
      <c r="D929" s="47"/>
      <c r="E929" s="45"/>
      <c r="F929" s="45"/>
      <c r="G929" s="45"/>
      <c r="H929" s="45"/>
      <c r="I929" s="45"/>
      <c r="J929" s="45"/>
      <c r="K929" s="45"/>
      <c r="L929" s="45"/>
      <c r="M929" s="45"/>
      <c r="N929" s="45"/>
      <c r="O929" s="45"/>
      <c r="P929" s="45"/>
      <c r="Q929" s="45"/>
      <c r="R929" s="45"/>
    </row>
    <row r="930" spans="1:18" x14ac:dyDescent="0.25">
      <c r="A930" s="45"/>
      <c r="B930" s="47"/>
      <c r="C930" s="47"/>
      <c r="D930" s="47"/>
      <c r="E930" s="45"/>
      <c r="F930" s="45"/>
      <c r="G930" s="45"/>
      <c r="H930" s="45"/>
      <c r="I930" s="45"/>
      <c r="J930" s="45"/>
      <c r="K930" s="45"/>
      <c r="L930" s="45"/>
      <c r="M930" s="45"/>
      <c r="N930" s="45"/>
      <c r="O930" s="45"/>
      <c r="P930" s="45"/>
      <c r="Q930" s="45"/>
      <c r="R930" s="45"/>
    </row>
    <row r="931" spans="1:18" x14ac:dyDescent="0.25">
      <c r="A931" s="45"/>
      <c r="B931" s="47"/>
      <c r="C931" s="47"/>
      <c r="D931" s="47"/>
      <c r="E931" s="45"/>
      <c r="F931" s="45"/>
      <c r="G931" s="45"/>
      <c r="H931" s="45"/>
      <c r="I931" s="45"/>
      <c r="J931" s="45"/>
      <c r="K931" s="45"/>
      <c r="L931" s="45"/>
      <c r="M931" s="45"/>
      <c r="N931" s="45"/>
      <c r="O931" s="45"/>
      <c r="P931" s="45"/>
      <c r="Q931" s="45"/>
      <c r="R931" s="45"/>
    </row>
    <row r="932" spans="1:18" x14ac:dyDescent="0.25">
      <c r="A932" s="45"/>
      <c r="B932" s="47"/>
      <c r="C932" s="47"/>
      <c r="D932" s="47"/>
      <c r="E932" s="45"/>
      <c r="F932" s="45"/>
      <c r="G932" s="45"/>
      <c r="H932" s="45"/>
      <c r="I932" s="45"/>
      <c r="J932" s="45"/>
      <c r="K932" s="45"/>
      <c r="L932" s="45"/>
      <c r="M932" s="45"/>
      <c r="N932" s="45"/>
      <c r="O932" s="45"/>
      <c r="P932" s="45"/>
      <c r="Q932" s="45"/>
      <c r="R932" s="45"/>
    </row>
    <row r="933" spans="1:18" x14ac:dyDescent="0.25">
      <c r="A933" s="45"/>
      <c r="B933" s="47"/>
      <c r="C933" s="47"/>
      <c r="D933" s="47"/>
      <c r="E933" s="45"/>
      <c r="F933" s="45"/>
      <c r="G933" s="45"/>
      <c r="H933" s="45"/>
      <c r="I933" s="45"/>
      <c r="J933" s="45"/>
      <c r="K933" s="45"/>
      <c r="L933" s="45"/>
      <c r="M933" s="45"/>
      <c r="N933" s="45"/>
      <c r="O933" s="45"/>
      <c r="P933" s="45"/>
      <c r="Q933" s="45"/>
      <c r="R933" s="45"/>
    </row>
    <row r="934" spans="1:18" x14ac:dyDescent="0.25">
      <c r="A934" s="45"/>
      <c r="B934" s="47"/>
      <c r="C934" s="47"/>
      <c r="D934" s="47"/>
      <c r="E934" s="45"/>
      <c r="F934" s="45"/>
      <c r="G934" s="45"/>
      <c r="H934" s="45"/>
      <c r="I934" s="45"/>
      <c r="J934" s="45"/>
      <c r="K934" s="45"/>
      <c r="L934" s="45"/>
      <c r="M934" s="45"/>
      <c r="N934" s="45"/>
      <c r="O934" s="45"/>
      <c r="P934" s="45"/>
      <c r="Q934" s="45"/>
      <c r="R934" s="45"/>
    </row>
    <row r="935" spans="1:18" x14ac:dyDescent="0.25">
      <c r="A935" s="45"/>
      <c r="B935" s="47"/>
      <c r="C935" s="47"/>
      <c r="D935" s="47"/>
      <c r="E935" s="45"/>
      <c r="F935" s="45"/>
      <c r="G935" s="45"/>
      <c r="H935" s="45"/>
      <c r="I935" s="45"/>
      <c r="J935" s="45"/>
      <c r="K935" s="45"/>
      <c r="L935" s="45"/>
      <c r="M935" s="45"/>
      <c r="N935" s="45"/>
      <c r="O935" s="45"/>
      <c r="P935" s="45"/>
      <c r="Q935" s="45"/>
      <c r="R935" s="45"/>
    </row>
    <row r="936" spans="1:18" x14ac:dyDescent="0.25">
      <c r="A936" s="45"/>
      <c r="B936" s="47"/>
      <c r="C936" s="47"/>
      <c r="D936" s="47"/>
      <c r="E936" s="45"/>
      <c r="F936" s="45"/>
      <c r="G936" s="45"/>
      <c r="H936" s="45"/>
      <c r="I936" s="45"/>
      <c r="J936" s="45"/>
      <c r="K936" s="45"/>
      <c r="L936" s="45"/>
      <c r="M936" s="45"/>
      <c r="N936" s="45"/>
      <c r="O936" s="45"/>
      <c r="P936" s="45"/>
      <c r="Q936" s="45"/>
      <c r="R936" s="45"/>
    </row>
    <row r="937" spans="1:18" x14ac:dyDescent="0.25">
      <c r="A937" s="45"/>
      <c r="B937" s="47"/>
      <c r="C937" s="47"/>
      <c r="D937" s="47"/>
      <c r="E937" s="45"/>
      <c r="F937" s="45"/>
      <c r="G937" s="45"/>
      <c r="H937" s="45"/>
      <c r="I937" s="45"/>
      <c r="J937" s="45"/>
      <c r="K937" s="45"/>
      <c r="L937" s="45"/>
      <c r="M937" s="45"/>
      <c r="N937" s="45"/>
      <c r="O937" s="45"/>
      <c r="P937" s="45"/>
      <c r="Q937" s="45"/>
      <c r="R937" s="45"/>
    </row>
    <row r="938" spans="1:18" x14ac:dyDescent="0.25">
      <c r="A938" s="45"/>
      <c r="B938" s="47"/>
      <c r="C938" s="47"/>
      <c r="D938" s="47"/>
      <c r="E938" s="45"/>
      <c r="F938" s="45"/>
      <c r="G938" s="45"/>
      <c r="H938" s="45"/>
      <c r="I938" s="45"/>
      <c r="J938" s="45"/>
      <c r="K938" s="45"/>
      <c r="L938" s="45"/>
      <c r="M938" s="45"/>
      <c r="N938" s="45"/>
      <c r="O938" s="45"/>
      <c r="P938" s="45"/>
      <c r="Q938" s="45"/>
      <c r="R938" s="45"/>
    </row>
    <row r="939" spans="1:18" x14ac:dyDescent="0.25">
      <c r="A939" s="45"/>
      <c r="B939" s="47"/>
      <c r="C939" s="47"/>
      <c r="D939" s="47"/>
      <c r="E939" s="45"/>
      <c r="F939" s="45"/>
      <c r="G939" s="45"/>
      <c r="H939" s="45"/>
      <c r="I939" s="45"/>
      <c r="J939" s="45"/>
      <c r="K939" s="45"/>
      <c r="L939" s="45"/>
      <c r="M939" s="45"/>
      <c r="N939" s="45"/>
      <c r="O939" s="45"/>
      <c r="P939" s="45"/>
      <c r="Q939" s="45"/>
      <c r="R939" s="45"/>
    </row>
    <row r="940" spans="1:18" x14ac:dyDescent="0.25">
      <c r="A940" s="45"/>
      <c r="B940" s="47"/>
      <c r="C940" s="47"/>
      <c r="D940" s="47"/>
      <c r="E940" s="45"/>
      <c r="F940" s="45"/>
      <c r="G940" s="45"/>
      <c r="H940" s="45"/>
      <c r="I940" s="45"/>
      <c r="J940" s="45"/>
      <c r="K940" s="45"/>
      <c r="L940" s="45"/>
      <c r="M940" s="45"/>
      <c r="N940" s="45"/>
      <c r="O940" s="45"/>
      <c r="P940" s="45"/>
      <c r="Q940" s="45"/>
      <c r="R940" s="45"/>
    </row>
    <row r="941" spans="1:18" x14ac:dyDescent="0.25">
      <c r="A941" s="45"/>
      <c r="B941" s="47"/>
      <c r="C941" s="47"/>
      <c r="D941" s="47"/>
      <c r="E941" s="45"/>
      <c r="F941" s="45"/>
      <c r="G941" s="45"/>
      <c r="H941" s="45"/>
      <c r="I941" s="45"/>
      <c r="J941" s="45"/>
      <c r="K941" s="45"/>
      <c r="L941" s="45"/>
      <c r="M941" s="45"/>
      <c r="N941" s="45"/>
      <c r="O941" s="45"/>
      <c r="P941" s="45"/>
      <c r="Q941" s="45"/>
      <c r="R941" s="45"/>
    </row>
    <row r="942" spans="1:18" x14ac:dyDescent="0.25">
      <c r="A942" s="45"/>
      <c r="B942" s="47"/>
      <c r="C942" s="47"/>
      <c r="D942" s="47"/>
      <c r="E942" s="45"/>
      <c r="F942" s="45"/>
      <c r="G942" s="45"/>
      <c r="H942" s="45"/>
      <c r="I942" s="45"/>
      <c r="J942" s="45"/>
      <c r="K942" s="45"/>
      <c r="L942" s="45"/>
      <c r="M942" s="45"/>
      <c r="N942" s="45"/>
      <c r="O942" s="45"/>
      <c r="P942" s="45"/>
      <c r="Q942" s="45"/>
      <c r="R942" s="45"/>
    </row>
    <row r="943" spans="1:18" x14ac:dyDescent="0.25">
      <c r="A943" s="45"/>
      <c r="B943" s="47"/>
      <c r="C943" s="47"/>
      <c r="D943" s="47"/>
      <c r="E943" s="45"/>
      <c r="F943" s="45"/>
      <c r="G943" s="45"/>
      <c r="H943" s="45"/>
      <c r="I943" s="45"/>
      <c r="J943" s="45"/>
      <c r="K943" s="45"/>
      <c r="L943" s="45"/>
      <c r="M943" s="45"/>
      <c r="N943" s="45"/>
      <c r="O943" s="45"/>
      <c r="P943" s="45"/>
      <c r="Q943" s="45"/>
      <c r="R943" s="45"/>
    </row>
    <row r="944" spans="1:18" x14ac:dyDescent="0.25">
      <c r="A944" s="45"/>
      <c r="B944" s="47"/>
      <c r="C944" s="47"/>
      <c r="D944" s="47"/>
      <c r="E944" s="45"/>
      <c r="F944" s="45"/>
      <c r="G944" s="45"/>
      <c r="H944" s="45"/>
      <c r="I944" s="45"/>
      <c r="J944" s="45"/>
      <c r="K944" s="45"/>
      <c r="L944" s="45"/>
      <c r="M944" s="45"/>
      <c r="N944" s="45"/>
      <c r="O944" s="45"/>
      <c r="P944" s="45"/>
      <c r="Q944" s="45"/>
      <c r="R944" s="45"/>
    </row>
    <row r="945" spans="1:18" x14ac:dyDescent="0.25">
      <c r="A945" s="45"/>
      <c r="B945" s="47"/>
      <c r="C945" s="47"/>
      <c r="D945" s="47"/>
      <c r="E945" s="45"/>
      <c r="F945" s="45"/>
      <c r="G945" s="45"/>
      <c r="H945" s="45"/>
      <c r="I945" s="45"/>
      <c r="J945" s="45"/>
      <c r="K945" s="45"/>
      <c r="L945" s="45"/>
      <c r="M945" s="45"/>
      <c r="N945" s="45"/>
      <c r="O945" s="45"/>
      <c r="P945" s="45"/>
      <c r="Q945" s="45"/>
      <c r="R945" s="45"/>
    </row>
    <row r="946" spans="1:18" x14ac:dyDescent="0.25">
      <c r="A946" s="45"/>
      <c r="B946" s="47"/>
      <c r="C946" s="47"/>
      <c r="D946" s="47"/>
      <c r="E946" s="45"/>
      <c r="F946" s="45"/>
      <c r="G946" s="45"/>
      <c r="H946" s="45"/>
      <c r="I946" s="45"/>
      <c r="J946" s="45"/>
      <c r="K946" s="45"/>
      <c r="L946" s="45"/>
      <c r="M946" s="45"/>
      <c r="N946" s="45"/>
      <c r="O946" s="45"/>
      <c r="P946" s="45"/>
      <c r="Q946" s="45"/>
      <c r="R946" s="45"/>
    </row>
    <row r="947" spans="1:18" x14ac:dyDescent="0.25">
      <c r="A947" s="45"/>
      <c r="B947" s="47"/>
      <c r="C947" s="47"/>
      <c r="D947" s="47"/>
      <c r="E947" s="45"/>
      <c r="F947" s="45"/>
      <c r="G947" s="45"/>
      <c r="H947" s="45"/>
      <c r="I947" s="45"/>
      <c r="J947" s="45"/>
      <c r="K947" s="45"/>
      <c r="L947" s="45"/>
      <c r="M947" s="45"/>
      <c r="N947" s="45"/>
      <c r="O947" s="45"/>
      <c r="P947" s="45"/>
      <c r="Q947" s="45"/>
      <c r="R947" s="45"/>
    </row>
    <row r="948" spans="1:18" x14ac:dyDescent="0.25">
      <c r="A948" s="45"/>
      <c r="B948" s="47"/>
      <c r="C948" s="47"/>
      <c r="D948" s="47"/>
      <c r="E948" s="45"/>
      <c r="F948" s="45"/>
      <c r="G948" s="45"/>
      <c r="H948" s="45"/>
      <c r="I948" s="45"/>
      <c r="J948" s="45"/>
      <c r="K948" s="45"/>
      <c r="L948" s="45"/>
      <c r="M948" s="45"/>
      <c r="N948" s="45"/>
      <c r="O948" s="45"/>
      <c r="P948" s="45"/>
      <c r="Q948" s="45"/>
      <c r="R948" s="45"/>
    </row>
    <row r="949" spans="1:18" x14ac:dyDescent="0.25">
      <c r="A949" s="45"/>
      <c r="B949" s="47"/>
      <c r="C949" s="47"/>
      <c r="D949" s="47"/>
      <c r="E949" s="45"/>
      <c r="F949" s="45"/>
      <c r="G949" s="45"/>
      <c r="H949" s="45"/>
      <c r="I949" s="45"/>
      <c r="J949" s="45"/>
      <c r="K949" s="45"/>
      <c r="L949" s="45"/>
      <c r="M949" s="45"/>
      <c r="N949" s="45"/>
      <c r="O949" s="45"/>
      <c r="P949" s="45"/>
      <c r="Q949" s="45"/>
      <c r="R949" s="45"/>
    </row>
    <row r="950" spans="1:18" x14ac:dyDescent="0.25">
      <c r="A950" s="45"/>
      <c r="B950" s="47"/>
      <c r="C950" s="47"/>
      <c r="D950" s="47"/>
      <c r="E950" s="45"/>
      <c r="F950" s="45"/>
      <c r="G950" s="45"/>
      <c r="H950" s="45"/>
      <c r="I950" s="45"/>
      <c r="J950" s="45"/>
      <c r="K950" s="45"/>
      <c r="L950" s="45"/>
      <c r="M950" s="45"/>
      <c r="N950" s="45"/>
      <c r="O950" s="45"/>
      <c r="P950" s="45"/>
      <c r="Q950" s="45"/>
      <c r="R950" s="45"/>
    </row>
    <row r="951" spans="1:18" x14ac:dyDescent="0.25">
      <c r="A951" s="45"/>
      <c r="B951" s="47"/>
      <c r="C951" s="47"/>
      <c r="D951" s="47"/>
      <c r="E951" s="45"/>
      <c r="F951" s="45"/>
      <c r="G951" s="45"/>
      <c r="H951" s="45"/>
      <c r="I951" s="45"/>
      <c r="J951" s="45"/>
      <c r="K951" s="45"/>
      <c r="L951" s="45"/>
      <c r="M951" s="45"/>
      <c r="N951" s="45"/>
      <c r="O951" s="45"/>
      <c r="P951" s="45"/>
      <c r="Q951" s="45"/>
      <c r="R951" s="45"/>
    </row>
    <row r="952" spans="1:18" x14ac:dyDescent="0.25">
      <c r="A952" s="45"/>
      <c r="B952" s="47"/>
      <c r="C952" s="47"/>
      <c r="D952" s="47"/>
      <c r="E952" s="45"/>
      <c r="F952" s="45"/>
      <c r="G952" s="45"/>
      <c r="H952" s="45"/>
      <c r="I952" s="45"/>
      <c r="J952" s="45"/>
      <c r="K952" s="45"/>
      <c r="L952" s="45"/>
      <c r="M952" s="45"/>
      <c r="N952" s="45"/>
      <c r="O952" s="45"/>
      <c r="P952" s="45"/>
      <c r="Q952" s="45"/>
      <c r="R952" s="45"/>
    </row>
    <row r="953" spans="1:18" x14ac:dyDescent="0.25">
      <c r="A953" s="45"/>
      <c r="B953" s="47"/>
      <c r="C953" s="47"/>
      <c r="D953" s="47"/>
      <c r="E953" s="45"/>
      <c r="F953" s="45"/>
      <c r="G953" s="45"/>
      <c r="H953" s="45"/>
      <c r="I953" s="45"/>
      <c r="J953" s="45"/>
      <c r="K953" s="45"/>
      <c r="L953" s="45"/>
      <c r="M953" s="45"/>
      <c r="N953" s="45"/>
      <c r="O953" s="45"/>
      <c r="P953" s="45"/>
      <c r="Q953" s="45"/>
      <c r="R953" s="45"/>
    </row>
    <row r="954" spans="1:18" x14ac:dyDescent="0.25">
      <c r="A954" s="45"/>
      <c r="B954" s="47"/>
      <c r="C954" s="47"/>
      <c r="D954" s="47"/>
      <c r="E954" s="45"/>
      <c r="F954" s="45"/>
      <c r="G954" s="45"/>
      <c r="H954" s="45"/>
      <c r="I954" s="45"/>
      <c r="J954" s="45"/>
      <c r="K954" s="45"/>
      <c r="L954" s="45"/>
      <c r="M954" s="45"/>
      <c r="N954" s="45"/>
      <c r="O954" s="45"/>
      <c r="P954" s="45"/>
      <c r="Q954" s="45"/>
      <c r="R954" s="45"/>
    </row>
    <row r="955" spans="1:18" x14ac:dyDescent="0.25">
      <c r="A955" s="45"/>
      <c r="B955" s="47"/>
      <c r="C955" s="47"/>
      <c r="D955" s="47"/>
      <c r="E955" s="45"/>
      <c r="F955" s="45"/>
      <c r="G955" s="45"/>
      <c r="H955" s="45"/>
      <c r="I955" s="45"/>
      <c r="J955" s="45"/>
      <c r="K955" s="45"/>
      <c r="L955" s="45"/>
      <c r="M955" s="45"/>
      <c r="N955" s="45"/>
      <c r="O955" s="45"/>
      <c r="P955" s="45"/>
      <c r="Q955" s="45"/>
      <c r="R955" s="45"/>
    </row>
    <row r="956" spans="1:18" x14ac:dyDescent="0.25">
      <c r="A956" s="45"/>
      <c r="B956" s="47"/>
      <c r="C956" s="47"/>
      <c r="D956" s="47"/>
      <c r="E956" s="45"/>
      <c r="F956" s="45"/>
      <c r="G956" s="45"/>
      <c r="H956" s="45"/>
      <c r="I956" s="45"/>
      <c r="J956" s="45"/>
      <c r="K956" s="45"/>
      <c r="L956" s="45"/>
      <c r="M956" s="45"/>
      <c r="N956" s="45"/>
      <c r="O956" s="45"/>
      <c r="P956" s="45"/>
      <c r="Q956" s="45"/>
      <c r="R956" s="45"/>
    </row>
    <row r="957" spans="1:18" x14ac:dyDescent="0.25">
      <c r="A957" s="45"/>
      <c r="B957" s="47"/>
      <c r="C957" s="47"/>
      <c r="D957" s="47"/>
      <c r="E957" s="45"/>
      <c r="F957" s="45"/>
      <c r="G957" s="45"/>
      <c r="H957" s="45"/>
      <c r="I957" s="45"/>
      <c r="J957" s="45"/>
      <c r="K957" s="45"/>
      <c r="L957" s="45"/>
      <c r="M957" s="45"/>
      <c r="N957" s="45"/>
      <c r="O957" s="45"/>
      <c r="P957" s="45"/>
      <c r="Q957" s="45"/>
      <c r="R957" s="45"/>
    </row>
    <row r="958" spans="1:18" x14ac:dyDescent="0.25">
      <c r="A958" s="45"/>
      <c r="B958" s="47"/>
      <c r="C958" s="47"/>
      <c r="D958" s="47"/>
      <c r="E958" s="45"/>
      <c r="F958" s="45"/>
      <c r="G958" s="45"/>
      <c r="H958" s="45"/>
      <c r="I958" s="45"/>
      <c r="J958" s="45"/>
      <c r="K958" s="45"/>
      <c r="L958" s="45"/>
      <c r="M958" s="45"/>
      <c r="N958" s="45"/>
      <c r="O958" s="45"/>
      <c r="P958" s="45"/>
      <c r="Q958" s="45"/>
      <c r="R958" s="45"/>
    </row>
    <row r="959" spans="1:18" x14ac:dyDescent="0.25">
      <c r="A959" s="45"/>
      <c r="B959" s="47"/>
      <c r="C959" s="47"/>
      <c r="D959" s="47"/>
      <c r="E959" s="45"/>
      <c r="F959" s="45"/>
      <c r="G959" s="45"/>
      <c r="H959" s="45"/>
      <c r="I959" s="45"/>
      <c r="J959" s="45"/>
      <c r="K959" s="45"/>
      <c r="L959" s="45"/>
      <c r="M959" s="45"/>
      <c r="N959" s="45"/>
      <c r="O959" s="45"/>
      <c r="P959" s="45"/>
      <c r="Q959" s="45"/>
      <c r="R959" s="45"/>
    </row>
    <row r="960" spans="1:18" x14ac:dyDescent="0.25">
      <c r="A960" s="45"/>
      <c r="B960" s="47"/>
      <c r="C960" s="47"/>
      <c r="D960" s="47"/>
      <c r="E960" s="45"/>
      <c r="F960" s="45"/>
      <c r="G960" s="45"/>
      <c r="H960" s="45"/>
      <c r="I960" s="45"/>
      <c r="J960" s="45"/>
      <c r="K960" s="45"/>
      <c r="L960" s="45"/>
      <c r="M960" s="45"/>
      <c r="N960" s="45"/>
      <c r="O960" s="45"/>
      <c r="P960" s="45"/>
      <c r="Q960" s="45"/>
      <c r="R960" s="45"/>
    </row>
    <row r="961" spans="1:18" x14ac:dyDescent="0.25">
      <c r="A961" s="45"/>
      <c r="B961" s="47"/>
      <c r="C961" s="47"/>
      <c r="D961" s="47"/>
      <c r="E961" s="45"/>
      <c r="F961" s="45"/>
      <c r="G961" s="45"/>
      <c r="H961" s="45"/>
      <c r="I961" s="45"/>
      <c r="J961" s="45"/>
      <c r="K961" s="45"/>
      <c r="L961" s="45"/>
      <c r="M961" s="45"/>
      <c r="N961" s="45"/>
      <c r="O961" s="45"/>
      <c r="P961" s="45"/>
      <c r="Q961" s="45"/>
      <c r="R961" s="45"/>
    </row>
    <row r="962" spans="1:18" x14ac:dyDescent="0.25">
      <c r="A962" s="45"/>
      <c r="B962" s="47"/>
      <c r="C962" s="47"/>
      <c r="D962" s="47"/>
      <c r="E962" s="45"/>
      <c r="F962" s="45"/>
      <c r="G962" s="45"/>
      <c r="H962" s="45"/>
      <c r="I962" s="45"/>
      <c r="J962" s="45"/>
      <c r="K962" s="45"/>
      <c r="L962" s="45"/>
      <c r="M962" s="45"/>
      <c r="N962" s="45"/>
      <c r="O962" s="45"/>
      <c r="P962" s="45"/>
      <c r="Q962" s="45"/>
      <c r="R962" s="45"/>
    </row>
    <row r="963" spans="1:18" x14ac:dyDescent="0.25">
      <c r="A963" s="45"/>
      <c r="B963" s="47"/>
      <c r="C963" s="47"/>
      <c r="D963" s="47"/>
      <c r="E963" s="45"/>
      <c r="F963" s="45"/>
      <c r="G963" s="45"/>
      <c r="H963" s="45"/>
      <c r="I963" s="45"/>
      <c r="J963" s="45"/>
      <c r="K963" s="45"/>
      <c r="L963" s="45"/>
      <c r="M963" s="45"/>
      <c r="N963" s="45"/>
      <c r="O963" s="45"/>
      <c r="P963" s="45"/>
      <c r="Q963" s="45"/>
      <c r="R963" s="45"/>
    </row>
    <row r="964" spans="1:18" x14ac:dyDescent="0.25">
      <c r="A964" s="45"/>
      <c r="B964" s="47"/>
      <c r="C964" s="47"/>
      <c r="D964" s="47"/>
      <c r="E964" s="45"/>
      <c r="F964" s="45"/>
      <c r="G964" s="45"/>
      <c r="H964" s="45"/>
      <c r="I964" s="45"/>
      <c r="J964" s="45"/>
      <c r="K964" s="45"/>
      <c r="L964" s="45"/>
      <c r="M964" s="45"/>
      <c r="N964" s="45"/>
      <c r="O964" s="45"/>
      <c r="P964" s="45"/>
      <c r="Q964" s="45"/>
      <c r="R964" s="45"/>
    </row>
    <row r="965" spans="1:18" x14ac:dyDescent="0.25">
      <c r="A965" s="45"/>
      <c r="B965" s="47"/>
      <c r="C965" s="47"/>
      <c r="D965" s="47"/>
      <c r="E965" s="45"/>
      <c r="F965" s="45"/>
      <c r="G965" s="45"/>
      <c r="H965" s="45"/>
      <c r="I965" s="45"/>
      <c r="J965" s="45"/>
      <c r="K965" s="45"/>
      <c r="L965" s="45"/>
      <c r="M965" s="45"/>
      <c r="N965" s="45"/>
      <c r="O965" s="45"/>
      <c r="P965" s="45"/>
      <c r="Q965" s="45"/>
      <c r="R965" s="45"/>
    </row>
    <row r="966" spans="1:18" x14ac:dyDescent="0.25">
      <c r="A966" s="45"/>
      <c r="B966" s="47"/>
      <c r="C966" s="47"/>
      <c r="D966" s="47"/>
      <c r="E966" s="45"/>
      <c r="F966" s="45"/>
      <c r="G966" s="45"/>
      <c r="H966" s="45"/>
      <c r="I966" s="45"/>
      <c r="J966" s="45"/>
      <c r="K966" s="45"/>
      <c r="L966" s="45"/>
      <c r="M966" s="45"/>
      <c r="N966" s="45"/>
      <c r="O966" s="45"/>
      <c r="P966" s="45"/>
      <c r="Q966" s="45"/>
      <c r="R966" s="45"/>
    </row>
    <row r="967" spans="1:18" x14ac:dyDescent="0.25">
      <c r="A967" s="45"/>
      <c r="B967" s="47"/>
      <c r="C967" s="47"/>
      <c r="D967" s="47"/>
      <c r="E967" s="45"/>
      <c r="F967" s="45"/>
      <c r="G967" s="45"/>
      <c r="H967" s="45"/>
      <c r="I967" s="45"/>
      <c r="J967" s="45"/>
      <c r="K967" s="45"/>
      <c r="L967" s="45"/>
      <c r="M967" s="45"/>
      <c r="N967" s="45"/>
      <c r="O967" s="45"/>
      <c r="P967" s="45"/>
      <c r="Q967" s="45"/>
      <c r="R967" s="45"/>
    </row>
    <row r="968" spans="1:18" x14ac:dyDescent="0.25">
      <c r="A968" s="45"/>
      <c r="B968" s="47"/>
      <c r="C968" s="47"/>
      <c r="D968" s="47"/>
      <c r="E968" s="45"/>
      <c r="F968" s="45"/>
      <c r="G968" s="45"/>
      <c r="H968" s="45"/>
      <c r="I968" s="45"/>
      <c r="J968" s="45"/>
      <c r="K968" s="45"/>
      <c r="L968" s="45"/>
      <c r="M968" s="45"/>
      <c r="N968" s="45"/>
      <c r="O968" s="45"/>
      <c r="P968" s="45"/>
      <c r="Q968" s="45"/>
      <c r="R968" s="45"/>
    </row>
    <row r="969" spans="1:18" x14ac:dyDescent="0.25">
      <c r="A969" s="45"/>
      <c r="B969" s="47"/>
      <c r="C969" s="47"/>
      <c r="D969" s="47"/>
      <c r="E969" s="45"/>
      <c r="F969" s="45"/>
      <c r="G969" s="45"/>
      <c r="H969" s="45"/>
      <c r="I969" s="45"/>
      <c r="J969" s="45"/>
      <c r="K969" s="45"/>
      <c r="L969" s="45"/>
      <c r="M969" s="45"/>
      <c r="N969" s="45"/>
      <c r="O969" s="45"/>
      <c r="P969" s="45"/>
      <c r="Q969" s="45"/>
      <c r="R969" s="45"/>
    </row>
    <row r="970" spans="1:18" x14ac:dyDescent="0.25">
      <c r="A970" s="45"/>
      <c r="B970" s="47"/>
      <c r="C970" s="47"/>
      <c r="D970" s="47"/>
      <c r="E970" s="45"/>
      <c r="F970" s="45"/>
      <c r="G970" s="45"/>
      <c r="H970" s="45"/>
      <c r="I970" s="45"/>
      <c r="J970" s="45"/>
      <c r="K970" s="45"/>
      <c r="L970" s="45"/>
      <c r="M970" s="45"/>
      <c r="N970" s="45"/>
      <c r="O970" s="45"/>
      <c r="P970" s="45"/>
      <c r="Q970" s="45"/>
      <c r="R970" s="45"/>
    </row>
    <row r="971" spans="1:18" x14ac:dyDescent="0.25">
      <c r="A971" s="45"/>
      <c r="B971" s="47"/>
      <c r="C971" s="47"/>
      <c r="D971" s="47"/>
      <c r="E971" s="45"/>
      <c r="F971" s="45"/>
      <c r="G971" s="45"/>
      <c r="H971" s="45"/>
      <c r="I971" s="45"/>
      <c r="J971" s="45"/>
      <c r="K971" s="45"/>
      <c r="L971" s="45"/>
      <c r="M971" s="45"/>
      <c r="N971" s="45"/>
      <c r="O971" s="45"/>
      <c r="P971" s="45"/>
      <c r="Q971" s="45"/>
      <c r="R971" s="45"/>
    </row>
    <row r="972" spans="1:18" x14ac:dyDescent="0.25">
      <c r="A972" s="45"/>
      <c r="B972" s="47"/>
      <c r="C972" s="47"/>
      <c r="D972" s="47"/>
      <c r="E972" s="45"/>
      <c r="F972" s="45"/>
      <c r="G972" s="45"/>
      <c r="H972" s="45"/>
      <c r="I972" s="45"/>
      <c r="J972" s="45"/>
      <c r="K972" s="45"/>
      <c r="L972" s="45"/>
      <c r="M972" s="45"/>
      <c r="N972" s="45"/>
      <c r="O972" s="45"/>
      <c r="P972" s="45"/>
      <c r="Q972" s="45"/>
      <c r="R972" s="45"/>
    </row>
    <row r="973" spans="1:18" x14ac:dyDescent="0.25">
      <c r="A973" s="45"/>
      <c r="B973" s="47"/>
      <c r="C973" s="47"/>
      <c r="D973" s="47"/>
      <c r="E973" s="45"/>
      <c r="F973" s="45"/>
      <c r="G973" s="45"/>
      <c r="H973" s="45"/>
      <c r="I973" s="45"/>
      <c r="J973" s="45"/>
      <c r="K973" s="45"/>
      <c r="L973" s="45"/>
      <c r="M973" s="45"/>
      <c r="N973" s="45"/>
      <c r="O973" s="45"/>
      <c r="P973" s="45"/>
      <c r="Q973" s="45"/>
      <c r="R973" s="45"/>
    </row>
    <row r="974" spans="1:18" x14ac:dyDescent="0.25">
      <c r="A974" s="45"/>
      <c r="B974" s="47"/>
      <c r="C974" s="47"/>
      <c r="D974" s="47"/>
      <c r="E974" s="45"/>
      <c r="F974" s="45"/>
      <c r="G974" s="45"/>
      <c r="H974" s="45"/>
      <c r="I974" s="45"/>
      <c r="J974" s="45"/>
      <c r="K974" s="45"/>
      <c r="L974" s="45"/>
      <c r="M974" s="45"/>
      <c r="N974" s="45"/>
      <c r="O974" s="45"/>
      <c r="P974" s="45"/>
      <c r="Q974" s="45"/>
      <c r="R974" s="45"/>
    </row>
    <row r="975" spans="1:18" x14ac:dyDescent="0.25">
      <c r="A975" s="45"/>
      <c r="B975" s="47"/>
      <c r="C975" s="47"/>
      <c r="D975" s="47"/>
      <c r="E975" s="45"/>
      <c r="F975" s="45"/>
      <c r="G975" s="45"/>
      <c r="H975" s="45"/>
      <c r="I975" s="45"/>
      <c r="J975" s="45"/>
      <c r="K975" s="45"/>
      <c r="L975" s="45"/>
      <c r="M975" s="45"/>
      <c r="N975" s="45"/>
      <c r="O975" s="45"/>
      <c r="P975" s="45"/>
      <c r="Q975" s="45"/>
      <c r="R975" s="45"/>
    </row>
    <row r="976" spans="1:18" x14ac:dyDescent="0.25">
      <c r="A976" s="45"/>
      <c r="B976" s="47"/>
      <c r="C976" s="47"/>
      <c r="D976" s="47"/>
      <c r="E976" s="45"/>
      <c r="F976" s="45"/>
      <c r="G976" s="45"/>
      <c r="H976" s="45"/>
      <c r="I976" s="45"/>
      <c r="J976" s="45"/>
      <c r="K976" s="45"/>
      <c r="L976" s="45"/>
      <c r="M976" s="45"/>
      <c r="N976" s="45"/>
      <c r="O976" s="45"/>
      <c r="P976" s="45"/>
      <c r="Q976" s="45"/>
      <c r="R976" s="45"/>
    </row>
    <row r="977" spans="1:18" x14ac:dyDescent="0.25">
      <c r="A977" s="45"/>
      <c r="B977" s="47"/>
      <c r="C977" s="47"/>
      <c r="D977" s="47"/>
      <c r="E977" s="45"/>
      <c r="F977" s="45"/>
      <c r="G977" s="45"/>
      <c r="H977" s="45"/>
      <c r="I977" s="45"/>
      <c r="J977" s="45"/>
      <c r="K977" s="45"/>
      <c r="L977" s="45"/>
      <c r="M977" s="45"/>
      <c r="N977" s="45"/>
      <c r="O977" s="45"/>
      <c r="P977" s="45"/>
      <c r="Q977" s="45"/>
      <c r="R977" s="45"/>
    </row>
    <row r="978" spans="1:18" x14ac:dyDescent="0.25">
      <c r="A978" s="45"/>
      <c r="B978" s="47"/>
      <c r="C978" s="47"/>
      <c r="D978" s="47"/>
      <c r="E978" s="45"/>
      <c r="F978" s="45"/>
      <c r="G978" s="45"/>
      <c r="H978" s="45"/>
      <c r="I978" s="45"/>
      <c r="J978" s="45"/>
      <c r="K978" s="45"/>
      <c r="L978" s="45"/>
      <c r="M978" s="45"/>
      <c r="N978" s="45"/>
      <c r="O978" s="45"/>
      <c r="P978" s="45"/>
      <c r="Q978" s="45"/>
      <c r="R978" s="45"/>
    </row>
    <row r="979" spans="1:18" x14ac:dyDescent="0.25">
      <c r="A979" s="45"/>
      <c r="B979" s="47"/>
      <c r="C979" s="47"/>
      <c r="D979" s="47"/>
      <c r="E979" s="45"/>
      <c r="F979" s="45"/>
      <c r="G979" s="45"/>
      <c r="H979" s="45"/>
      <c r="I979" s="45"/>
      <c r="J979" s="45"/>
      <c r="K979" s="45"/>
      <c r="L979" s="45"/>
      <c r="M979" s="45"/>
      <c r="N979" s="45"/>
      <c r="O979" s="45"/>
      <c r="P979" s="45"/>
      <c r="Q979" s="45"/>
      <c r="R979" s="45"/>
    </row>
    <row r="980" spans="1:18" x14ac:dyDescent="0.25">
      <c r="A980" s="45"/>
      <c r="B980" s="47"/>
      <c r="C980" s="47"/>
      <c r="D980" s="47"/>
      <c r="E980" s="45"/>
      <c r="F980" s="45"/>
      <c r="G980" s="45"/>
      <c r="H980" s="45"/>
      <c r="I980" s="45"/>
      <c r="J980" s="45"/>
      <c r="K980" s="45"/>
      <c r="L980" s="45"/>
      <c r="M980" s="45"/>
      <c r="N980" s="45"/>
      <c r="O980" s="45"/>
      <c r="P980" s="45"/>
      <c r="Q980" s="45"/>
      <c r="R980" s="45"/>
    </row>
    <row r="981" spans="1:18" x14ac:dyDescent="0.25">
      <c r="A981" s="45"/>
      <c r="B981" s="47"/>
      <c r="C981" s="47"/>
      <c r="D981" s="47"/>
      <c r="E981" s="45"/>
      <c r="F981" s="45"/>
      <c r="G981" s="45"/>
      <c r="H981" s="45"/>
      <c r="I981" s="45"/>
      <c r="J981" s="45"/>
      <c r="K981" s="45"/>
      <c r="L981" s="45"/>
      <c r="M981" s="45"/>
      <c r="N981" s="45"/>
      <c r="O981" s="45"/>
      <c r="P981" s="45"/>
      <c r="Q981" s="45"/>
      <c r="R981" s="45"/>
    </row>
    <row r="982" spans="1:18" x14ac:dyDescent="0.25">
      <c r="A982" s="45"/>
      <c r="B982" s="47"/>
      <c r="C982" s="47"/>
      <c r="D982" s="47"/>
      <c r="E982" s="45"/>
      <c r="F982" s="45"/>
      <c r="G982" s="45"/>
      <c r="H982" s="45"/>
      <c r="I982" s="45"/>
      <c r="J982" s="45"/>
      <c r="K982" s="45"/>
      <c r="L982" s="45"/>
      <c r="M982" s="45"/>
      <c r="N982" s="45"/>
      <c r="O982" s="45"/>
      <c r="P982" s="45"/>
      <c r="Q982" s="45"/>
      <c r="R982" s="45"/>
    </row>
    <row r="983" spans="1:18" x14ac:dyDescent="0.25">
      <c r="A983" s="45"/>
      <c r="B983" s="47"/>
      <c r="C983" s="47"/>
      <c r="D983" s="47"/>
      <c r="E983" s="45"/>
      <c r="F983" s="45"/>
      <c r="G983" s="45"/>
      <c r="H983" s="45"/>
      <c r="I983" s="45"/>
      <c r="J983" s="45"/>
      <c r="K983" s="45"/>
      <c r="L983" s="45"/>
      <c r="M983" s="45"/>
      <c r="N983" s="45"/>
      <c r="O983" s="45"/>
      <c r="P983" s="45"/>
      <c r="Q983" s="45"/>
      <c r="R983" s="45"/>
    </row>
    <row r="984" spans="1:18" x14ac:dyDescent="0.25">
      <c r="A984" s="45"/>
      <c r="B984" s="47"/>
      <c r="C984" s="47"/>
      <c r="D984" s="47"/>
      <c r="E984" s="45"/>
      <c r="F984" s="45"/>
      <c r="G984" s="45"/>
      <c r="H984" s="45"/>
      <c r="I984" s="45"/>
      <c r="J984" s="45"/>
      <c r="K984" s="45"/>
      <c r="L984" s="45"/>
      <c r="M984" s="45"/>
      <c r="N984" s="45"/>
      <c r="O984" s="45"/>
      <c r="P984" s="45"/>
      <c r="Q984" s="45"/>
      <c r="R984" s="45"/>
    </row>
    <row r="985" spans="1:18" x14ac:dyDescent="0.25">
      <c r="A985" s="45"/>
      <c r="B985" s="47"/>
      <c r="C985" s="47"/>
      <c r="D985" s="47"/>
      <c r="E985" s="45"/>
      <c r="F985" s="45"/>
      <c r="G985" s="45"/>
      <c r="H985" s="45"/>
      <c r="I985" s="45"/>
      <c r="J985" s="45"/>
      <c r="K985" s="45"/>
      <c r="L985" s="45"/>
      <c r="M985" s="45"/>
      <c r="N985" s="45"/>
      <c r="O985" s="45"/>
      <c r="P985" s="45"/>
      <c r="Q985" s="45"/>
      <c r="R985" s="45"/>
    </row>
    <row r="986" spans="1:18" x14ac:dyDescent="0.25">
      <c r="A986" s="45"/>
      <c r="B986" s="47"/>
      <c r="C986" s="47"/>
      <c r="D986" s="47"/>
      <c r="E986" s="45"/>
      <c r="F986" s="45"/>
      <c r="G986" s="45"/>
      <c r="H986" s="45"/>
      <c r="I986" s="45"/>
      <c r="J986" s="45"/>
      <c r="K986" s="45"/>
      <c r="L986" s="45"/>
      <c r="M986" s="45"/>
      <c r="N986" s="45"/>
      <c r="O986" s="45"/>
      <c r="P986" s="45"/>
      <c r="Q986" s="45"/>
      <c r="R986" s="45"/>
    </row>
    <row r="987" spans="1:18" x14ac:dyDescent="0.25">
      <c r="A987" s="45"/>
      <c r="B987" s="47"/>
      <c r="C987" s="47"/>
      <c r="D987" s="47"/>
      <c r="E987" s="45"/>
      <c r="F987" s="45"/>
      <c r="G987" s="45"/>
      <c r="H987" s="45"/>
      <c r="I987" s="45"/>
      <c r="J987" s="45"/>
      <c r="K987" s="45"/>
      <c r="L987" s="45"/>
      <c r="M987" s="45"/>
      <c r="N987" s="45"/>
      <c r="O987" s="45"/>
      <c r="P987" s="45"/>
      <c r="Q987" s="45"/>
      <c r="R987" s="45"/>
    </row>
    <row r="988" spans="1:18" x14ac:dyDescent="0.25">
      <c r="A988" s="45"/>
      <c r="B988" s="47"/>
      <c r="C988" s="47"/>
      <c r="D988" s="47"/>
      <c r="E988" s="45"/>
      <c r="F988" s="45"/>
      <c r="G988" s="45"/>
      <c r="H988" s="45"/>
      <c r="I988" s="45"/>
      <c r="J988" s="45"/>
      <c r="K988" s="45"/>
      <c r="L988" s="45"/>
      <c r="M988" s="45"/>
      <c r="N988" s="45"/>
      <c r="O988" s="45"/>
      <c r="P988" s="45"/>
      <c r="Q988" s="45"/>
      <c r="R988" s="45"/>
    </row>
    <row r="989" spans="1:18" x14ac:dyDescent="0.25">
      <c r="A989" s="45"/>
      <c r="B989" s="47"/>
      <c r="C989" s="47"/>
      <c r="D989" s="47"/>
      <c r="E989" s="45"/>
      <c r="F989" s="45"/>
      <c r="G989" s="45"/>
      <c r="H989" s="45"/>
      <c r="I989" s="45"/>
      <c r="J989" s="45"/>
      <c r="K989" s="45"/>
      <c r="L989" s="45"/>
      <c r="M989" s="45"/>
      <c r="N989" s="45"/>
      <c r="O989" s="45"/>
      <c r="P989" s="45"/>
      <c r="Q989" s="45"/>
      <c r="R989" s="45"/>
    </row>
    <row r="990" spans="1:18" x14ac:dyDescent="0.25">
      <c r="A990" s="45"/>
      <c r="B990" s="47"/>
      <c r="C990" s="47"/>
      <c r="D990" s="47"/>
      <c r="E990" s="45"/>
      <c r="F990" s="45"/>
      <c r="G990" s="45"/>
      <c r="H990" s="45"/>
      <c r="I990" s="45"/>
      <c r="J990" s="45"/>
      <c r="K990" s="45"/>
      <c r="L990" s="45"/>
      <c r="M990" s="45"/>
      <c r="N990" s="45"/>
      <c r="O990" s="45"/>
      <c r="P990" s="45"/>
      <c r="Q990" s="45"/>
      <c r="R990" s="45"/>
    </row>
    <row r="991" spans="1:18" x14ac:dyDescent="0.25">
      <c r="A991" s="45"/>
      <c r="B991" s="47"/>
      <c r="C991" s="47"/>
      <c r="D991" s="47"/>
      <c r="E991" s="45"/>
      <c r="F991" s="45"/>
      <c r="G991" s="45"/>
      <c r="H991" s="45"/>
      <c r="I991" s="45"/>
      <c r="J991" s="45"/>
      <c r="K991" s="45"/>
      <c r="L991" s="45"/>
      <c r="M991" s="45"/>
      <c r="N991" s="45"/>
      <c r="O991" s="45"/>
      <c r="P991" s="45"/>
      <c r="Q991" s="45"/>
      <c r="R991" s="45"/>
    </row>
    <row r="992" spans="1:18" x14ac:dyDescent="0.25">
      <c r="A992" s="45"/>
      <c r="B992" s="47"/>
      <c r="C992" s="47"/>
      <c r="D992" s="47"/>
      <c r="E992" s="45"/>
      <c r="F992" s="45"/>
      <c r="G992" s="45"/>
      <c r="H992" s="45"/>
      <c r="I992" s="45"/>
      <c r="J992" s="45"/>
      <c r="K992" s="45"/>
      <c r="L992" s="45"/>
      <c r="M992" s="45"/>
      <c r="N992" s="45"/>
      <c r="O992" s="45"/>
      <c r="P992" s="45"/>
      <c r="Q992" s="45"/>
      <c r="R992" s="45"/>
    </row>
    <row r="993" spans="1:18" x14ac:dyDescent="0.25">
      <c r="A993" s="45"/>
      <c r="B993" s="47"/>
      <c r="C993" s="47"/>
      <c r="D993" s="47"/>
      <c r="E993" s="45"/>
      <c r="F993" s="45"/>
      <c r="G993" s="45"/>
      <c r="H993" s="45"/>
      <c r="I993" s="45"/>
      <c r="J993" s="45"/>
      <c r="K993" s="45"/>
      <c r="L993" s="45"/>
      <c r="M993" s="45"/>
      <c r="N993" s="45"/>
      <c r="O993" s="45"/>
      <c r="P993" s="45"/>
      <c r="Q993" s="45"/>
      <c r="R993" s="45"/>
    </row>
    <row r="994" spans="1:18" x14ac:dyDescent="0.25">
      <c r="A994" s="45"/>
      <c r="B994" s="47"/>
      <c r="C994" s="47"/>
      <c r="D994" s="47"/>
      <c r="E994" s="45"/>
      <c r="F994" s="45"/>
      <c r="G994" s="45"/>
      <c r="H994" s="45"/>
      <c r="I994" s="45"/>
      <c r="J994" s="45"/>
      <c r="K994" s="45"/>
      <c r="L994" s="45"/>
      <c r="M994" s="45"/>
      <c r="N994" s="45"/>
      <c r="O994" s="45"/>
      <c r="P994" s="45"/>
      <c r="Q994" s="45"/>
      <c r="R994" s="45"/>
    </row>
    <row r="995" spans="1:18" x14ac:dyDescent="0.25">
      <c r="A995" s="45"/>
      <c r="B995" s="47"/>
      <c r="C995" s="47"/>
      <c r="D995" s="47"/>
      <c r="E995" s="45"/>
      <c r="F995" s="45"/>
      <c r="G995" s="45"/>
      <c r="H995" s="45"/>
      <c r="I995" s="45"/>
      <c r="J995" s="45"/>
      <c r="K995" s="45"/>
      <c r="L995" s="45"/>
      <c r="M995" s="45"/>
      <c r="N995" s="45"/>
      <c r="O995" s="45"/>
      <c r="P995" s="45"/>
      <c r="Q995" s="45"/>
      <c r="R995" s="45"/>
    </row>
    <row r="996" spans="1:18" x14ac:dyDescent="0.25">
      <c r="A996" s="45"/>
      <c r="B996" s="47"/>
      <c r="C996" s="47"/>
      <c r="D996" s="47"/>
      <c r="E996" s="45"/>
      <c r="F996" s="45"/>
      <c r="G996" s="45"/>
      <c r="H996" s="45"/>
      <c r="I996" s="45"/>
      <c r="J996" s="45"/>
      <c r="K996" s="45"/>
      <c r="L996" s="45"/>
      <c r="M996" s="45"/>
      <c r="N996" s="45"/>
      <c r="O996" s="45"/>
      <c r="P996" s="45"/>
      <c r="Q996" s="45"/>
      <c r="R996" s="45"/>
    </row>
    <row r="997" spans="1:18" x14ac:dyDescent="0.25">
      <c r="A997" s="45"/>
      <c r="B997" s="47"/>
      <c r="C997" s="47"/>
      <c r="D997" s="47"/>
      <c r="E997" s="45"/>
      <c r="F997" s="45"/>
      <c r="G997" s="45"/>
      <c r="H997" s="45"/>
      <c r="I997" s="45"/>
      <c r="J997" s="45"/>
      <c r="K997" s="45"/>
      <c r="L997" s="45"/>
      <c r="M997" s="45"/>
      <c r="N997" s="45"/>
      <c r="O997" s="45"/>
      <c r="P997" s="45"/>
      <c r="Q997" s="45"/>
      <c r="R997" s="45"/>
    </row>
    <row r="998" spans="1:18" x14ac:dyDescent="0.25">
      <c r="A998" s="45"/>
      <c r="B998" s="47"/>
      <c r="C998" s="47"/>
      <c r="D998" s="47"/>
      <c r="E998" s="45"/>
      <c r="F998" s="45"/>
      <c r="G998" s="45"/>
      <c r="H998" s="45"/>
      <c r="I998" s="45"/>
      <c r="J998" s="45"/>
      <c r="K998" s="45"/>
      <c r="L998" s="45"/>
      <c r="M998" s="45"/>
      <c r="N998" s="45"/>
      <c r="O998" s="45"/>
      <c r="P998" s="45"/>
      <c r="Q998" s="45"/>
      <c r="R998" s="45"/>
    </row>
    <row r="999" spans="1:18" x14ac:dyDescent="0.25">
      <c r="A999" s="45"/>
      <c r="B999" s="47"/>
      <c r="C999" s="47"/>
      <c r="D999" s="47"/>
      <c r="E999" s="45"/>
      <c r="F999" s="45"/>
      <c r="G999" s="45"/>
      <c r="H999" s="45"/>
      <c r="I999" s="45"/>
      <c r="J999" s="45"/>
      <c r="K999" s="45"/>
      <c r="L999" s="45"/>
      <c r="M999" s="45"/>
      <c r="N999" s="45"/>
      <c r="O999" s="45"/>
      <c r="P999" s="45"/>
      <c r="Q999" s="45"/>
      <c r="R999" s="45"/>
    </row>
    <row r="1000" spans="1:18" x14ac:dyDescent="0.25">
      <c r="A1000" s="45"/>
      <c r="B1000" s="47"/>
      <c r="C1000" s="47"/>
      <c r="D1000" s="47"/>
      <c r="E1000" s="45"/>
      <c r="F1000" s="45"/>
      <c r="G1000" s="45"/>
      <c r="H1000" s="45"/>
      <c r="I1000" s="45"/>
      <c r="J1000" s="45"/>
      <c r="K1000" s="45"/>
      <c r="L1000" s="45"/>
      <c r="M1000" s="45"/>
      <c r="N1000" s="45"/>
      <c r="O1000" s="45"/>
      <c r="P1000" s="45"/>
      <c r="Q1000" s="45"/>
      <c r="R1000" s="45"/>
    </row>
    <row r="1001" spans="1:18" x14ac:dyDescent="0.25">
      <c r="A1001" s="45"/>
      <c r="B1001" s="47"/>
      <c r="C1001" s="47"/>
      <c r="D1001" s="47"/>
      <c r="E1001" s="45"/>
      <c r="F1001" s="45"/>
      <c r="G1001" s="45"/>
      <c r="H1001" s="45"/>
      <c r="I1001" s="45"/>
      <c r="J1001" s="45"/>
      <c r="K1001" s="45"/>
      <c r="L1001" s="45"/>
      <c r="M1001" s="45"/>
      <c r="N1001" s="45"/>
      <c r="O1001" s="45"/>
      <c r="P1001" s="45"/>
      <c r="Q1001" s="45"/>
      <c r="R1001" s="45"/>
    </row>
    <row r="1002" spans="1:18" x14ac:dyDescent="0.25">
      <c r="A1002" s="45"/>
      <c r="B1002" s="47"/>
      <c r="C1002" s="47"/>
      <c r="D1002" s="47"/>
      <c r="E1002" s="45"/>
      <c r="F1002" s="45"/>
      <c r="G1002" s="45"/>
      <c r="H1002" s="45"/>
      <c r="I1002" s="45"/>
      <c r="J1002" s="45"/>
      <c r="K1002" s="45"/>
      <c r="L1002" s="45"/>
      <c r="M1002" s="45"/>
      <c r="N1002" s="45"/>
      <c r="O1002" s="45"/>
      <c r="P1002" s="45"/>
      <c r="Q1002" s="45"/>
      <c r="R1002" s="45"/>
    </row>
    <row r="1003" spans="1:18" x14ac:dyDescent="0.25">
      <c r="A1003" s="45"/>
      <c r="B1003" s="47"/>
      <c r="C1003" s="47"/>
      <c r="D1003" s="47"/>
      <c r="E1003" s="45"/>
      <c r="F1003" s="45"/>
      <c r="G1003" s="45"/>
      <c r="H1003" s="45"/>
      <c r="I1003" s="45"/>
      <c r="J1003" s="45"/>
      <c r="K1003" s="45"/>
      <c r="L1003" s="45"/>
      <c r="M1003" s="45"/>
      <c r="N1003" s="45"/>
      <c r="O1003" s="45"/>
      <c r="P1003" s="45"/>
      <c r="Q1003" s="45"/>
      <c r="R1003" s="45"/>
    </row>
    <row r="1004" spans="1:18" x14ac:dyDescent="0.25">
      <c r="A1004" s="45"/>
      <c r="B1004" s="47"/>
      <c r="C1004" s="47"/>
      <c r="D1004" s="47"/>
      <c r="E1004" s="45"/>
      <c r="F1004" s="45"/>
      <c r="G1004" s="45"/>
      <c r="H1004" s="45"/>
      <c r="I1004" s="45"/>
      <c r="J1004" s="45"/>
      <c r="K1004" s="45"/>
      <c r="L1004" s="45"/>
      <c r="M1004" s="45"/>
      <c r="N1004" s="45"/>
      <c r="O1004" s="45"/>
      <c r="P1004" s="45"/>
      <c r="Q1004" s="45"/>
      <c r="R1004" s="45"/>
    </row>
    <row r="1005" spans="1:18" x14ac:dyDescent="0.25">
      <c r="A1005" s="45"/>
      <c r="B1005" s="47"/>
      <c r="C1005" s="47"/>
      <c r="D1005" s="47"/>
      <c r="E1005" s="45"/>
      <c r="F1005" s="45"/>
      <c r="G1005" s="45"/>
      <c r="H1005" s="45"/>
      <c r="I1005" s="45"/>
      <c r="J1005" s="45"/>
      <c r="K1005" s="45"/>
      <c r="L1005" s="45"/>
      <c r="M1005" s="45"/>
      <c r="N1005" s="45"/>
      <c r="O1005" s="45"/>
      <c r="P1005" s="45"/>
      <c r="Q1005" s="45"/>
      <c r="R1005" s="45"/>
    </row>
    <row r="1006" spans="1:18" x14ac:dyDescent="0.25">
      <c r="A1006" s="45"/>
      <c r="B1006" s="47"/>
      <c r="C1006" s="47"/>
      <c r="D1006" s="47"/>
      <c r="E1006" s="45"/>
      <c r="F1006" s="45"/>
      <c r="G1006" s="45"/>
      <c r="H1006" s="45"/>
      <c r="I1006" s="45"/>
      <c r="J1006" s="45"/>
      <c r="K1006" s="45"/>
      <c r="L1006" s="45"/>
      <c r="M1006" s="45"/>
      <c r="N1006" s="45"/>
      <c r="O1006" s="45"/>
      <c r="P1006" s="45"/>
      <c r="Q1006" s="45"/>
      <c r="R1006" s="45"/>
    </row>
    <row r="1007" spans="1:18" x14ac:dyDescent="0.25">
      <c r="A1007" s="45"/>
      <c r="B1007" s="47"/>
      <c r="C1007" s="47"/>
      <c r="D1007" s="47"/>
      <c r="E1007" s="45"/>
      <c r="F1007" s="45"/>
      <c r="G1007" s="45"/>
      <c r="H1007" s="45"/>
      <c r="I1007" s="45"/>
      <c r="J1007" s="45"/>
      <c r="K1007" s="45"/>
      <c r="L1007" s="45"/>
      <c r="M1007" s="45"/>
      <c r="N1007" s="45"/>
      <c r="O1007" s="45"/>
      <c r="P1007" s="45"/>
      <c r="Q1007" s="45"/>
      <c r="R1007" s="45"/>
    </row>
    <row r="1008" spans="1:18" x14ac:dyDescent="0.25">
      <c r="A1008" s="45"/>
      <c r="B1008" s="47"/>
      <c r="C1008" s="47"/>
      <c r="D1008" s="47"/>
      <c r="E1008" s="45"/>
      <c r="F1008" s="45"/>
      <c r="G1008" s="45"/>
      <c r="H1008" s="45"/>
      <c r="I1008" s="45"/>
      <c r="J1008" s="45"/>
      <c r="K1008" s="45"/>
      <c r="L1008" s="45"/>
      <c r="M1008" s="45"/>
      <c r="N1008" s="45"/>
      <c r="O1008" s="45"/>
      <c r="P1008" s="45"/>
      <c r="Q1008" s="45"/>
      <c r="R1008" s="45"/>
    </row>
    <row r="1009" spans="1:18" x14ac:dyDescent="0.25">
      <c r="A1009" s="45"/>
      <c r="B1009" s="47"/>
      <c r="C1009" s="47"/>
      <c r="D1009" s="47"/>
      <c r="E1009" s="45"/>
      <c r="F1009" s="45"/>
      <c r="G1009" s="45"/>
      <c r="H1009" s="45"/>
      <c r="I1009" s="45"/>
      <c r="J1009" s="45"/>
      <c r="K1009" s="45"/>
      <c r="L1009" s="45"/>
      <c r="M1009" s="45"/>
      <c r="N1009" s="45"/>
      <c r="O1009" s="45"/>
      <c r="P1009" s="45"/>
      <c r="Q1009" s="45"/>
      <c r="R1009" s="45"/>
    </row>
    <row r="1010" spans="1:18" x14ac:dyDescent="0.25">
      <c r="A1010" s="45"/>
      <c r="B1010" s="47"/>
      <c r="C1010" s="47"/>
      <c r="D1010" s="47"/>
      <c r="E1010" s="45"/>
      <c r="F1010" s="45"/>
      <c r="G1010" s="45"/>
      <c r="H1010" s="45"/>
      <c r="I1010" s="45"/>
      <c r="J1010" s="45"/>
      <c r="K1010" s="45"/>
      <c r="L1010" s="45"/>
      <c r="M1010" s="45"/>
      <c r="N1010" s="45"/>
      <c r="O1010" s="45"/>
      <c r="P1010" s="45"/>
      <c r="Q1010" s="45"/>
      <c r="R1010" s="45"/>
    </row>
    <row r="1011" spans="1:18" x14ac:dyDescent="0.25">
      <c r="A1011" s="45"/>
      <c r="B1011" s="47"/>
      <c r="C1011" s="47"/>
      <c r="D1011" s="47"/>
      <c r="E1011" s="45"/>
      <c r="F1011" s="45"/>
      <c r="G1011" s="45"/>
      <c r="H1011" s="45"/>
      <c r="I1011" s="45"/>
      <c r="J1011" s="45"/>
      <c r="K1011" s="45"/>
      <c r="L1011" s="45"/>
      <c r="M1011" s="45"/>
      <c r="N1011" s="45"/>
      <c r="O1011" s="45"/>
      <c r="P1011" s="45"/>
      <c r="Q1011" s="45"/>
      <c r="R1011" s="45"/>
    </row>
    <row r="1012" spans="1:18" x14ac:dyDescent="0.25">
      <c r="A1012" s="45"/>
      <c r="B1012" s="47"/>
      <c r="C1012" s="47"/>
      <c r="D1012" s="47"/>
      <c r="E1012" s="45"/>
      <c r="F1012" s="45"/>
      <c r="G1012" s="45"/>
      <c r="H1012" s="45"/>
      <c r="I1012" s="45"/>
      <c r="J1012" s="45"/>
      <c r="K1012" s="45"/>
      <c r="L1012" s="45"/>
      <c r="M1012" s="45"/>
      <c r="N1012" s="45"/>
      <c r="O1012" s="45"/>
      <c r="P1012" s="45"/>
      <c r="Q1012" s="45"/>
      <c r="R1012" s="45"/>
    </row>
    <row r="1013" spans="1:18" x14ac:dyDescent="0.25">
      <c r="A1013" s="45"/>
      <c r="B1013" s="47"/>
      <c r="C1013" s="47"/>
      <c r="D1013" s="47"/>
      <c r="E1013" s="45"/>
      <c r="F1013" s="45"/>
      <c r="G1013" s="45"/>
      <c r="H1013" s="45"/>
      <c r="I1013" s="45"/>
      <c r="J1013" s="45"/>
      <c r="K1013" s="45"/>
      <c r="L1013" s="45"/>
      <c r="M1013" s="45"/>
      <c r="N1013" s="45"/>
      <c r="O1013" s="45"/>
      <c r="P1013" s="45"/>
      <c r="Q1013" s="45"/>
      <c r="R1013" s="45"/>
    </row>
    <row r="1014" spans="1:18" x14ac:dyDescent="0.25">
      <c r="A1014" s="45"/>
      <c r="B1014" s="47"/>
      <c r="C1014" s="47"/>
      <c r="D1014" s="47"/>
      <c r="E1014" s="45"/>
      <c r="F1014" s="45"/>
      <c r="G1014" s="45"/>
      <c r="H1014" s="45"/>
      <c r="I1014" s="45"/>
      <c r="J1014" s="45"/>
      <c r="K1014" s="45"/>
      <c r="L1014" s="45"/>
      <c r="M1014" s="45"/>
      <c r="N1014" s="45"/>
      <c r="O1014" s="45"/>
      <c r="P1014" s="45"/>
      <c r="Q1014" s="45"/>
      <c r="R1014" s="45"/>
    </row>
    <row r="1015" spans="1:18" x14ac:dyDescent="0.25">
      <c r="A1015" s="45"/>
      <c r="B1015" s="47"/>
      <c r="C1015" s="47"/>
      <c r="D1015" s="47"/>
      <c r="E1015" s="45"/>
      <c r="F1015" s="45"/>
      <c r="G1015" s="45"/>
      <c r="H1015" s="45"/>
      <c r="I1015" s="45"/>
      <c r="J1015" s="45"/>
      <c r="K1015" s="45"/>
      <c r="L1015" s="45"/>
      <c r="M1015" s="45"/>
      <c r="N1015" s="45"/>
      <c r="O1015" s="45"/>
      <c r="P1015" s="45"/>
      <c r="Q1015" s="45"/>
      <c r="R1015" s="45"/>
    </row>
    <row r="1016" spans="1:18" x14ac:dyDescent="0.25">
      <c r="A1016" s="45"/>
      <c r="B1016" s="47"/>
      <c r="C1016" s="47"/>
      <c r="D1016" s="47"/>
      <c r="E1016" s="45"/>
      <c r="F1016" s="45"/>
      <c r="G1016" s="45"/>
      <c r="H1016" s="45"/>
      <c r="I1016" s="45"/>
      <c r="J1016" s="45"/>
      <c r="K1016" s="45"/>
      <c r="L1016" s="45"/>
      <c r="M1016" s="45"/>
      <c r="N1016" s="45"/>
      <c r="O1016" s="45"/>
      <c r="P1016" s="45"/>
      <c r="Q1016" s="45"/>
      <c r="R1016" s="45"/>
    </row>
    <row r="1017" spans="1:18" x14ac:dyDescent="0.25">
      <c r="A1017" s="45"/>
      <c r="B1017" s="47"/>
      <c r="C1017" s="47"/>
      <c r="D1017" s="47"/>
      <c r="E1017" s="45"/>
      <c r="F1017" s="45"/>
      <c r="G1017" s="45"/>
      <c r="H1017" s="45"/>
      <c r="I1017" s="45"/>
      <c r="J1017" s="45"/>
      <c r="K1017" s="45"/>
      <c r="L1017" s="45"/>
      <c r="M1017" s="45"/>
      <c r="N1017" s="45"/>
      <c r="O1017" s="45"/>
      <c r="P1017" s="45"/>
      <c r="Q1017" s="45"/>
      <c r="R1017" s="45"/>
    </row>
    <row r="1018" spans="1:18" x14ac:dyDescent="0.25">
      <c r="A1018" s="45"/>
      <c r="B1018" s="47"/>
      <c r="C1018" s="47"/>
      <c r="D1018" s="47"/>
      <c r="E1018" s="45"/>
      <c r="F1018" s="45"/>
      <c r="G1018" s="45"/>
      <c r="H1018" s="45"/>
      <c r="I1018" s="45"/>
      <c r="J1018" s="45"/>
      <c r="K1018" s="45"/>
      <c r="L1018" s="45"/>
      <c r="M1018" s="45"/>
      <c r="N1018" s="45"/>
      <c r="O1018" s="45"/>
      <c r="P1018" s="45"/>
      <c r="Q1018" s="45"/>
      <c r="R1018" s="45"/>
    </row>
    <row r="1019" spans="1:18" x14ac:dyDescent="0.25">
      <c r="A1019" s="45"/>
      <c r="B1019" s="47"/>
      <c r="C1019" s="47"/>
      <c r="D1019" s="47"/>
      <c r="E1019" s="45"/>
      <c r="F1019" s="45"/>
      <c r="G1019" s="45"/>
      <c r="H1019" s="45"/>
      <c r="I1019" s="45"/>
      <c r="J1019" s="45"/>
      <c r="K1019" s="45"/>
      <c r="L1019" s="45"/>
      <c r="M1019" s="45"/>
      <c r="N1019" s="45"/>
      <c r="O1019" s="45"/>
      <c r="P1019" s="45"/>
      <c r="Q1019" s="45"/>
      <c r="R1019" s="45"/>
    </row>
    <row r="1020" spans="1:18" x14ac:dyDescent="0.25">
      <c r="A1020" s="45"/>
      <c r="B1020" s="47"/>
      <c r="C1020" s="47"/>
      <c r="D1020" s="47"/>
      <c r="E1020" s="45"/>
      <c r="F1020" s="45"/>
      <c r="G1020" s="45"/>
      <c r="H1020" s="45"/>
      <c r="I1020" s="45"/>
      <c r="J1020" s="45"/>
      <c r="K1020" s="45"/>
      <c r="L1020" s="45"/>
      <c r="M1020" s="45"/>
      <c r="N1020" s="45"/>
      <c r="O1020" s="45"/>
      <c r="P1020" s="45"/>
      <c r="Q1020" s="45"/>
      <c r="R1020" s="45"/>
    </row>
    <row r="1021" spans="1:18" x14ac:dyDescent="0.25">
      <c r="A1021" s="45"/>
      <c r="B1021" s="47"/>
      <c r="C1021" s="47"/>
      <c r="D1021" s="47"/>
      <c r="E1021" s="45"/>
      <c r="F1021" s="45"/>
      <c r="G1021" s="45"/>
      <c r="H1021" s="45"/>
      <c r="I1021" s="45"/>
      <c r="J1021" s="45"/>
      <c r="K1021" s="45"/>
      <c r="L1021" s="45"/>
      <c r="M1021" s="45"/>
      <c r="N1021" s="45"/>
      <c r="O1021" s="45"/>
      <c r="P1021" s="45"/>
      <c r="Q1021" s="45"/>
      <c r="R1021" s="45"/>
    </row>
    <row r="1022" spans="1:18" x14ac:dyDescent="0.25">
      <c r="A1022" s="45"/>
      <c r="B1022" s="47"/>
      <c r="C1022" s="47"/>
      <c r="D1022" s="47"/>
      <c r="E1022" s="45"/>
      <c r="F1022" s="45"/>
      <c r="G1022" s="45"/>
      <c r="H1022" s="45"/>
      <c r="I1022" s="45"/>
      <c r="J1022" s="45"/>
      <c r="K1022" s="45"/>
      <c r="L1022" s="45"/>
      <c r="M1022" s="45"/>
      <c r="N1022" s="45"/>
      <c r="O1022" s="45"/>
      <c r="P1022" s="45"/>
      <c r="Q1022" s="45"/>
      <c r="R1022" s="45"/>
    </row>
    <row r="1023" spans="1:18" x14ac:dyDescent="0.25">
      <c r="A1023" s="45"/>
      <c r="B1023" s="47"/>
      <c r="C1023" s="47"/>
      <c r="D1023" s="47"/>
      <c r="E1023" s="45"/>
      <c r="F1023" s="45"/>
      <c r="G1023" s="45"/>
      <c r="H1023" s="45"/>
      <c r="I1023" s="45"/>
      <c r="J1023" s="45"/>
      <c r="K1023" s="45"/>
      <c r="L1023" s="45"/>
      <c r="M1023" s="45"/>
      <c r="N1023" s="45"/>
      <c r="O1023" s="45"/>
      <c r="P1023" s="45"/>
      <c r="Q1023" s="45"/>
      <c r="R1023" s="45"/>
    </row>
    <row r="1024" spans="1:18" x14ac:dyDescent="0.25">
      <c r="A1024" s="45"/>
      <c r="B1024" s="47"/>
      <c r="C1024" s="47"/>
      <c r="D1024" s="47"/>
      <c r="E1024" s="45"/>
      <c r="F1024" s="45"/>
      <c r="G1024" s="45"/>
      <c r="H1024" s="45"/>
      <c r="I1024" s="45"/>
      <c r="J1024" s="45"/>
      <c r="K1024" s="45"/>
      <c r="L1024" s="45"/>
      <c r="M1024" s="45"/>
      <c r="N1024" s="45"/>
      <c r="O1024" s="45"/>
      <c r="P1024" s="45"/>
      <c r="Q1024" s="45"/>
      <c r="R1024" s="45"/>
    </row>
    <row r="1025" spans="1:18" x14ac:dyDescent="0.25">
      <c r="A1025" s="45"/>
      <c r="B1025" s="47"/>
      <c r="C1025" s="47"/>
      <c r="D1025" s="47"/>
      <c r="E1025" s="45"/>
      <c r="F1025" s="45"/>
      <c r="G1025" s="45"/>
      <c r="H1025" s="45"/>
      <c r="I1025" s="45"/>
      <c r="J1025" s="45"/>
      <c r="K1025" s="45"/>
      <c r="L1025" s="45"/>
      <c r="M1025" s="45"/>
      <c r="N1025" s="45"/>
      <c r="O1025" s="45"/>
      <c r="P1025" s="45"/>
      <c r="Q1025" s="45"/>
      <c r="R1025" s="45"/>
    </row>
    <row r="1026" spans="1:18" x14ac:dyDescent="0.25">
      <c r="A1026" s="45"/>
      <c r="B1026" s="47"/>
      <c r="C1026" s="47"/>
      <c r="D1026" s="47"/>
      <c r="E1026" s="45"/>
      <c r="F1026" s="45"/>
      <c r="G1026" s="45"/>
      <c r="H1026" s="45"/>
      <c r="I1026" s="45"/>
      <c r="J1026" s="45"/>
      <c r="K1026" s="45"/>
      <c r="L1026" s="45"/>
      <c r="M1026" s="45"/>
      <c r="N1026" s="45"/>
      <c r="O1026" s="45"/>
      <c r="P1026" s="45"/>
      <c r="Q1026" s="45"/>
      <c r="R1026" s="45"/>
    </row>
    <row r="1027" spans="1:18" x14ac:dyDescent="0.25">
      <c r="A1027" s="45"/>
      <c r="B1027" s="47"/>
      <c r="C1027" s="47"/>
      <c r="D1027" s="47"/>
      <c r="E1027" s="45"/>
      <c r="F1027" s="45"/>
      <c r="G1027" s="45"/>
      <c r="H1027" s="45"/>
      <c r="I1027" s="45"/>
      <c r="J1027" s="45"/>
      <c r="K1027" s="45"/>
      <c r="L1027" s="45"/>
      <c r="M1027" s="45"/>
      <c r="N1027" s="45"/>
      <c r="O1027" s="45"/>
      <c r="P1027" s="45"/>
      <c r="Q1027" s="45"/>
      <c r="R1027" s="45"/>
    </row>
    <row r="1028" spans="1:18" x14ac:dyDescent="0.25">
      <c r="A1028" s="45"/>
      <c r="B1028" s="47"/>
      <c r="C1028" s="47"/>
      <c r="D1028" s="47"/>
      <c r="E1028" s="45"/>
      <c r="F1028" s="45"/>
      <c r="G1028" s="45"/>
      <c r="H1028" s="45"/>
      <c r="I1028" s="45"/>
      <c r="J1028" s="45"/>
      <c r="K1028" s="45"/>
      <c r="L1028" s="45"/>
      <c r="M1028" s="45"/>
      <c r="N1028" s="45"/>
      <c r="O1028" s="45"/>
      <c r="P1028" s="45"/>
      <c r="Q1028" s="45"/>
      <c r="R1028" s="45"/>
    </row>
    <row r="1029" spans="1:18" x14ac:dyDescent="0.25">
      <c r="A1029" s="45"/>
      <c r="B1029" s="47"/>
      <c r="C1029" s="47"/>
      <c r="D1029" s="47"/>
      <c r="E1029" s="45"/>
      <c r="F1029" s="45"/>
      <c r="G1029" s="45"/>
      <c r="H1029" s="45"/>
      <c r="I1029" s="45"/>
      <c r="J1029" s="45"/>
      <c r="K1029" s="45"/>
      <c r="L1029" s="45"/>
      <c r="M1029" s="45"/>
      <c r="N1029" s="45"/>
      <c r="O1029" s="45"/>
      <c r="P1029" s="45"/>
      <c r="Q1029" s="45"/>
      <c r="R1029" s="45"/>
    </row>
    <row r="1030" spans="1:18" x14ac:dyDescent="0.25">
      <c r="A1030" s="45"/>
      <c r="B1030" s="47"/>
      <c r="C1030" s="47"/>
      <c r="D1030" s="47"/>
      <c r="E1030" s="45"/>
      <c r="F1030" s="45"/>
      <c r="G1030" s="45"/>
      <c r="H1030" s="45"/>
      <c r="I1030" s="45"/>
      <c r="J1030" s="45"/>
      <c r="K1030" s="45"/>
      <c r="L1030" s="45"/>
      <c r="M1030" s="45"/>
      <c r="N1030" s="45"/>
      <c r="O1030" s="45"/>
      <c r="P1030" s="45"/>
      <c r="Q1030" s="45"/>
      <c r="R1030" s="45"/>
    </row>
    <row r="1031" spans="1:18" x14ac:dyDescent="0.25">
      <c r="A1031" s="45"/>
      <c r="B1031" s="47"/>
      <c r="C1031" s="47"/>
      <c r="D1031" s="47"/>
      <c r="E1031" s="45"/>
      <c r="F1031" s="45"/>
      <c r="G1031" s="45"/>
      <c r="H1031" s="45"/>
      <c r="I1031" s="45"/>
      <c r="J1031" s="45"/>
      <c r="K1031" s="45"/>
      <c r="L1031" s="45"/>
      <c r="M1031" s="45"/>
      <c r="N1031" s="45"/>
      <c r="O1031" s="45"/>
      <c r="P1031" s="45"/>
      <c r="Q1031" s="45"/>
      <c r="R1031" s="45"/>
    </row>
    <row r="1032" spans="1:18" x14ac:dyDescent="0.25">
      <c r="A1032" s="45"/>
      <c r="B1032" s="47"/>
      <c r="C1032" s="47"/>
      <c r="D1032" s="47"/>
      <c r="E1032" s="45"/>
      <c r="F1032" s="45"/>
      <c r="G1032" s="45"/>
      <c r="H1032" s="45"/>
      <c r="I1032" s="45"/>
      <c r="J1032" s="45"/>
      <c r="K1032" s="45"/>
      <c r="L1032" s="45"/>
      <c r="M1032" s="45"/>
      <c r="N1032" s="45"/>
      <c r="O1032" s="45"/>
      <c r="P1032" s="45"/>
      <c r="Q1032" s="45"/>
      <c r="R1032" s="45"/>
    </row>
    <row r="1033" spans="1:18" x14ac:dyDescent="0.25">
      <c r="A1033" s="45"/>
      <c r="B1033" s="47"/>
      <c r="C1033" s="47"/>
      <c r="D1033" s="47"/>
      <c r="E1033" s="45"/>
      <c r="F1033" s="45"/>
      <c r="G1033" s="45"/>
      <c r="H1033" s="45"/>
      <c r="I1033" s="45"/>
      <c r="J1033" s="45"/>
      <c r="K1033" s="45"/>
      <c r="L1033" s="45"/>
      <c r="M1033" s="45"/>
      <c r="N1033" s="45"/>
      <c r="O1033" s="45"/>
      <c r="P1033" s="45"/>
      <c r="Q1033" s="45"/>
      <c r="R1033" s="45"/>
    </row>
    <row r="1034" spans="1:18" x14ac:dyDescent="0.25">
      <c r="A1034" s="45"/>
      <c r="B1034" s="47"/>
      <c r="C1034" s="47"/>
      <c r="D1034" s="47"/>
      <c r="E1034" s="45"/>
      <c r="F1034" s="45"/>
      <c r="G1034" s="45"/>
      <c r="H1034" s="45"/>
      <c r="I1034" s="45"/>
      <c r="J1034" s="45"/>
      <c r="K1034" s="45"/>
      <c r="L1034" s="45"/>
      <c r="M1034" s="45"/>
      <c r="N1034" s="45"/>
      <c r="O1034" s="45"/>
      <c r="P1034" s="45"/>
      <c r="Q1034" s="45"/>
      <c r="R1034" s="45"/>
    </row>
    <row r="1035" spans="1:18" x14ac:dyDescent="0.25">
      <c r="A1035" s="45"/>
      <c r="B1035" s="47"/>
      <c r="C1035" s="47"/>
      <c r="D1035" s="47"/>
      <c r="E1035" s="45"/>
      <c r="F1035" s="45"/>
      <c r="G1035" s="45"/>
      <c r="H1035" s="45"/>
      <c r="I1035" s="45"/>
      <c r="J1035" s="45"/>
      <c r="K1035" s="45"/>
      <c r="L1035" s="45"/>
      <c r="M1035" s="45"/>
      <c r="N1035" s="45"/>
      <c r="O1035" s="45"/>
      <c r="P1035" s="45"/>
      <c r="Q1035" s="45"/>
      <c r="R1035" s="45"/>
    </row>
    <row r="1036" spans="1:18" x14ac:dyDescent="0.25">
      <c r="A1036" s="45"/>
      <c r="B1036" s="47"/>
      <c r="C1036" s="47"/>
      <c r="D1036" s="47"/>
      <c r="E1036" s="45"/>
      <c r="F1036" s="45"/>
      <c r="G1036" s="45"/>
      <c r="H1036" s="45"/>
      <c r="I1036" s="45"/>
      <c r="J1036" s="45"/>
      <c r="K1036" s="45"/>
      <c r="L1036" s="45"/>
      <c r="M1036" s="45"/>
      <c r="N1036" s="45"/>
      <c r="O1036" s="45"/>
      <c r="P1036" s="45"/>
      <c r="Q1036" s="45"/>
      <c r="R1036" s="45"/>
    </row>
    <row r="1037" spans="1:18" x14ac:dyDescent="0.25">
      <c r="A1037" s="45"/>
      <c r="B1037" s="47"/>
      <c r="C1037" s="47"/>
      <c r="D1037" s="47"/>
      <c r="E1037" s="45"/>
      <c r="F1037" s="45"/>
      <c r="G1037" s="45"/>
      <c r="H1037" s="45"/>
      <c r="I1037" s="45"/>
      <c r="J1037" s="45"/>
      <c r="K1037" s="45"/>
      <c r="L1037" s="45"/>
      <c r="M1037" s="45"/>
      <c r="N1037" s="45"/>
      <c r="O1037" s="45"/>
      <c r="P1037" s="45"/>
      <c r="Q1037" s="45"/>
      <c r="R1037" s="45"/>
    </row>
    <row r="1038" spans="1:18" x14ac:dyDescent="0.25">
      <c r="A1038" s="45"/>
      <c r="B1038" s="47"/>
      <c r="C1038" s="47"/>
      <c r="D1038" s="47"/>
      <c r="E1038" s="45"/>
      <c r="F1038" s="45"/>
      <c r="G1038" s="45"/>
      <c r="H1038" s="45"/>
      <c r="I1038" s="45"/>
      <c r="J1038" s="45"/>
      <c r="K1038" s="45"/>
      <c r="L1038" s="45"/>
      <c r="M1038" s="45"/>
      <c r="N1038" s="45"/>
      <c r="O1038" s="45"/>
      <c r="P1038" s="45"/>
      <c r="Q1038" s="45"/>
      <c r="R1038" s="45"/>
    </row>
    <row r="1039" spans="1:18" x14ac:dyDescent="0.25">
      <c r="A1039" s="45"/>
      <c r="B1039" s="47"/>
      <c r="C1039" s="47"/>
      <c r="D1039" s="47"/>
      <c r="E1039" s="45"/>
      <c r="F1039" s="45"/>
      <c r="G1039" s="45"/>
      <c r="H1039" s="45"/>
      <c r="I1039" s="45"/>
      <c r="J1039" s="45"/>
      <c r="K1039" s="45"/>
      <c r="L1039" s="45"/>
      <c r="M1039" s="45"/>
      <c r="N1039" s="45"/>
      <c r="O1039" s="45"/>
      <c r="P1039" s="45"/>
      <c r="Q1039" s="45"/>
      <c r="R1039" s="45"/>
    </row>
    <row r="1040" spans="1:18" x14ac:dyDescent="0.25">
      <c r="A1040" s="45"/>
      <c r="B1040" s="47"/>
      <c r="C1040" s="47"/>
      <c r="D1040" s="47"/>
      <c r="E1040" s="45"/>
      <c r="F1040" s="45"/>
      <c r="G1040" s="45"/>
      <c r="H1040" s="45"/>
      <c r="I1040" s="45"/>
      <c r="J1040" s="45"/>
      <c r="K1040" s="45"/>
      <c r="L1040" s="45"/>
      <c r="M1040" s="45"/>
      <c r="N1040" s="45"/>
      <c r="O1040" s="45"/>
      <c r="P1040" s="45"/>
      <c r="Q1040" s="45"/>
      <c r="R1040" s="45"/>
    </row>
    <row r="1041" spans="1:18" x14ac:dyDescent="0.25">
      <c r="A1041" s="45"/>
      <c r="B1041" s="47"/>
      <c r="C1041" s="47"/>
      <c r="D1041" s="47"/>
      <c r="E1041" s="45"/>
      <c r="F1041" s="45"/>
      <c r="G1041" s="45"/>
      <c r="H1041" s="45"/>
      <c r="I1041" s="45"/>
      <c r="J1041" s="45"/>
      <c r="K1041" s="45"/>
      <c r="L1041" s="45"/>
      <c r="M1041" s="45"/>
      <c r="N1041" s="45"/>
      <c r="O1041" s="45"/>
      <c r="P1041" s="45"/>
      <c r="Q1041" s="45"/>
      <c r="R1041" s="45"/>
    </row>
    <row r="1042" spans="1:18" x14ac:dyDescent="0.25">
      <c r="A1042" s="45"/>
      <c r="B1042" s="47"/>
      <c r="C1042" s="47"/>
      <c r="D1042" s="47"/>
      <c r="E1042" s="45"/>
      <c r="F1042" s="45"/>
      <c r="G1042" s="45"/>
      <c r="H1042" s="45"/>
      <c r="I1042" s="45"/>
      <c r="J1042" s="45"/>
      <c r="K1042" s="45"/>
      <c r="L1042" s="45"/>
      <c r="M1042" s="45"/>
      <c r="N1042" s="45"/>
      <c r="O1042" s="45"/>
      <c r="P1042" s="45"/>
      <c r="Q1042" s="45"/>
      <c r="R1042" s="45"/>
    </row>
    <row r="1043" spans="1:18" x14ac:dyDescent="0.25">
      <c r="A1043" s="45"/>
      <c r="B1043" s="47"/>
      <c r="C1043" s="47"/>
      <c r="D1043" s="47"/>
      <c r="E1043" s="45"/>
      <c r="F1043" s="45"/>
      <c r="G1043" s="45"/>
      <c r="H1043" s="45"/>
      <c r="I1043" s="45"/>
      <c r="J1043" s="45"/>
      <c r="K1043" s="45"/>
      <c r="L1043" s="45"/>
      <c r="M1043" s="45"/>
      <c r="N1043" s="45"/>
      <c r="O1043" s="45"/>
      <c r="P1043" s="45"/>
      <c r="Q1043" s="45"/>
      <c r="R1043" s="45"/>
    </row>
    <row r="1044" spans="1:18" x14ac:dyDescent="0.25">
      <c r="A1044" s="45"/>
      <c r="B1044" s="47"/>
      <c r="C1044" s="47"/>
      <c r="D1044" s="47"/>
      <c r="E1044" s="45"/>
      <c r="F1044" s="45"/>
      <c r="G1044" s="45"/>
      <c r="H1044" s="45"/>
      <c r="I1044" s="45"/>
      <c r="J1044" s="45"/>
      <c r="K1044" s="45"/>
      <c r="L1044" s="45"/>
      <c r="M1044" s="45"/>
      <c r="N1044" s="45"/>
      <c r="O1044" s="45"/>
      <c r="P1044" s="45"/>
      <c r="Q1044" s="45"/>
      <c r="R1044" s="45"/>
    </row>
    <row r="1045" spans="1:18" x14ac:dyDescent="0.25">
      <c r="A1045" s="45"/>
      <c r="B1045" s="47"/>
      <c r="C1045" s="47"/>
      <c r="D1045" s="47"/>
      <c r="E1045" s="45"/>
      <c r="F1045" s="45"/>
      <c r="G1045" s="45"/>
      <c r="H1045" s="45"/>
      <c r="I1045" s="45"/>
      <c r="J1045" s="45"/>
      <c r="K1045" s="45"/>
      <c r="L1045" s="45"/>
      <c r="M1045" s="45"/>
      <c r="N1045" s="45"/>
      <c r="O1045" s="45"/>
      <c r="P1045" s="45"/>
      <c r="Q1045" s="45"/>
      <c r="R1045" s="45"/>
    </row>
    <row r="1046" spans="1:18" x14ac:dyDescent="0.25">
      <c r="A1046" s="45"/>
      <c r="B1046" s="47"/>
      <c r="C1046" s="47"/>
      <c r="D1046" s="47"/>
      <c r="E1046" s="45"/>
      <c r="F1046" s="45"/>
      <c r="G1046" s="45"/>
      <c r="H1046" s="45"/>
      <c r="I1046" s="45"/>
      <c r="J1046" s="45"/>
      <c r="K1046" s="45"/>
      <c r="L1046" s="45"/>
      <c r="M1046" s="45"/>
      <c r="N1046" s="45"/>
      <c r="O1046" s="45"/>
      <c r="P1046" s="45"/>
      <c r="Q1046" s="45"/>
      <c r="R1046" s="45"/>
    </row>
    <row r="1047" spans="1:18" x14ac:dyDescent="0.25">
      <c r="A1047" s="45"/>
      <c r="B1047" s="47"/>
      <c r="C1047" s="47"/>
      <c r="D1047" s="47"/>
      <c r="E1047" s="45"/>
      <c r="F1047" s="45"/>
      <c r="G1047" s="45"/>
      <c r="H1047" s="45"/>
      <c r="I1047" s="45"/>
      <c r="J1047" s="45"/>
      <c r="K1047" s="45"/>
      <c r="L1047" s="45"/>
      <c r="M1047" s="45"/>
      <c r="N1047" s="45"/>
      <c r="O1047" s="45"/>
      <c r="P1047" s="45"/>
      <c r="Q1047" s="45"/>
      <c r="R1047" s="45"/>
    </row>
    <row r="1048" spans="1:18" x14ac:dyDescent="0.25">
      <c r="A1048" s="45"/>
      <c r="B1048" s="47"/>
      <c r="C1048" s="47"/>
      <c r="D1048" s="47"/>
      <c r="E1048" s="45"/>
      <c r="F1048" s="45"/>
      <c r="G1048" s="45"/>
      <c r="H1048" s="45"/>
      <c r="I1048" s="45"/>
      <c r="J1048" s="45"/>
      <c r="K1048" s="45"/>
      <c r="L1048" s="45"/>
      <c r="M1048" s="45"/>
      <c r="N1048" s="45"/>
      <c r="O1048" s="45"/>
      <c r="P1048" s="45"/>
      <c r="Q1048" s="45"/>
      <c r="R1048" s="45"/>
    </row>
    <row r="1049" spans="1:18" x14ac:dyDescent="0.25">
      <c r="A1049" s="45"/>
      <c r="B1049" s="47"/>
      <c r="C1049" s="47"/>
      <c r="D1049" s="47"/>
      <c r="E1049" s="45"/>
      <c r="F1049" s="45"/>
      <c r="G1049" s="45"/>
      <c r="H1049" s="45"/>
      <c r="I1049" s="45"/>
      <c r="J1049" s="45"/>
      <c r="K1049" s="45"/>
      <c r="L1049" s="45"/>
      <c r="M1049" s="45"/>
      <c r="N1049" s="45"/>
      <c r="O1049" s="45"/>
      <c r="P1049" s="45"/>
      <c r="Q1049" s="45"/>
      <c r="R1049" s="45"/>
    </row>
    <row r="1050" spans="1:18" x14ac:dyDescent="0.25">
      <c r="A1050" s="45"/>
      <c r="B1050" s="47"/>
      <c r="C1050" s="47"/>
      <c r="D1050" s="47"/>
      <c r="E1050" s="45"/>
      <c r="F1050" s="45"/>
      <c r="G1050" s="45"/>
      <c r="H1050" s="45"/>
      <c r="I1050" s="45"/>
      <c r="J1050" s="45"/>
      <c r="K1050" s="45"/>
      <c r="L1050" s="45"/>
      <c r="M1050" s="45"/>
      <c r="N1050" s="45"/>
      <c r="O1050" s="45"/>
      <c r="P1050" s="45"/>
      <c r="Q1050" s="45"/>
      <c r="R1050" s="45"/>
    </row>
    <row r="1051" spans="1:18" x14ac:dyDescent="0.25">
      <c r="A1051" s="45"/>
      <c r="B1051" s="47"/>
      <c r="C1051" s="47"/>
      <c r="D1051" s="47"/>
      <c r="E1051" s="45"/>
      <c r="F1051" s="45"/>
      <c r="G1051" s="45"/>
      <c r="H1051" s="45"/>
      <c r="I1051" s="45"/>
      <c r="J1051" s="45"/>
      <c r="K1051" s="45"/>
      <c r="L1051" s="45"/>
      <c r="M1051" s="45"/>
      <c r="N1051" s="45"/>
      <c r="O1051" s="45"/>
      <c r="P1051" s="45"/>
      <c r="Q1051" s="45"/>
      <c r="R1051" s="45"/>
    </row>
    <row r="1052" spans="1:18" x14ac:dyDescent="0.25">
      <c r="A1052" s="45"/>
      <c r="B1052" s="47"/>
      <c r="C1052" s="47"/>
      <c r="D1052" s="47"/>
      <c r="E1052" s="45"/>
      <c r="F1052" s="45"/>
      <c r="G1052" s="45"/>
      <c r="H1052" s="45"/>
      <c r="I1052" s="45"/>
      <c r="J1052" s="45"/>
      <c r="K1052" s="45"/>
      <c r="L1052" s="45"/>
      <c r="M1052" s="45"/>
      <c r="N1052" s="45"/>
      <c r="O1052" s="45"/>
      <c r="P1052" s="45"/>
      <c r="Q1052" s="45"/>
      <c r="R1052" s="45"/>
    </row>
    <row r="1053" spans="1:18" x14ac:dyDescent="0.25">
      <c r="A1053" s="45"/>
      <c r="B1053" s="47"/>
      <c r="C1053" s="47"/>
      <c r="D1053" s="47"/>
      <c r="E1053" s="45"/>
      <c r="F1053" s="45"/>
      <c r="G1053" s="45"/>
      <c r="H1053" s="45"/>
      <c r="I1053" s="45"/>
      <c r="J1053" s="45"/>
      <c r="K1053" s="45"/>
      <c r="L1053" s="45"/>
      <c r="M1053" s="45"/>
      <c r="N1053" s="45"/>
      <c r="O1053" s="45"/>
      <c r="P1053" s="45"/>
      <c r="Q1053" s="45"/>
      <c r="R1053" s="45"/>
    </row>
    <row r="1054" spans="1:18" x14ac:dyDescent="0.25">
      <c r="A1054" s="45"/>
      <c r="B1054" s="47"/>
      <c r="C1054" s="47"/>
      <c r="D1054" s="47"/>
      <c r="E1054" s="45"/>
      <c r="F1054" s="45"/>
      <c r="G1054" s="45"/>
      <c r="H1054" s="45"/>
      <c r="I1054" s="45"/>
      <c r="J1054" s="45"/>
      <c r="K1054" s="45"/>
      <c r="L1054" s="45"/>
      <c r="M1054" s="45"/>
      <c r="N1054" s="45"/>
      <c r="O1054" s="45"/>
      <c r="P1054" s="45"/>
      <c r="Q1054" s="45"/>
      <c r="R1054" s="45"/>
    </row>
    <row r="1055" spans="1:18" x14ac:dyDescent="0.25">
      <c r="A1055" s="45"/>
      <c r="B1055" s="47"/>
      <c r="C1055" s="47"/>
      <c r="D1055" s="47"/>
      <c r="E1055" s="45"/>
      <c r="F1055" s="45"/>
      <c r="G1055" s="45"/>
      <c r="H1055" s="45"/>
      <c r="I1055" s="45"/>
      <c r="J1055" s="45"/>
      <c r="K1055" s="45"/>
      <c r="L1055" s="45"/>
      <c r="M1055" s="45"/>
      <c r="N1055" s="45"/>
      <c r="O1055" s="45"/>
      <c r="P1055" s="45"/>
      <c r="Q1055" s="45"/>
      <c r="R1055" s="45"/>
    </row>
    <row r="1056" spans="1:18" x14ac:dyDescent="0.25">
      <c r="A1056" s="45"/>
      <c r="B1056" s="47"/>
      <c r="C1056" s="47"/>
      <c r="D1056" s="47"/>
      <c r="E1056" s="45"/>
      <c r="F1056" s="45"/>
      <c r="G1056" s="45"/>
      <c r="H1056" s="45"/>
      <c r="I1056" s="45"/>
      <c r="J1056" s="45"/>
      <c r="K1056" s="45"/>
      <c r="L1056" s="45"/>
      <c r="M1056" s="45"/>
      <c r="N1056" s="45"/>
      <c r="O1056" s="45"/>
      <c r="P1056" s="45"/>
      <c r="Q1056" s="45"/>
      <c r="R1056" s="45"/>
    </row>
    <row r="1057" spans="1:18" x14ac:dyDescent="0.25">
      <c r="A1057" s="45"/>
      <c r="B1057" s="47"/>
      <c r="C1057" s="47"/>
      <c r="D1057" s="47"/>
      <c r="E1057" s="45"/>
      <c r="F1057" s="45"/>
      <c r="G1057" s="45"/>
      <c r="H1057" s="45"/>
      <c r="I1057" s="45"/>
      <c r="J1057" s="45"/>
      <c r="K1057" s="45"/>
      <c r="L1057" s="45"/>
      <c r="M1057" s="45"/>
      <c r="N1057" s="45"/>
      <c r="O1057" s="45"/>
      <c r="P1057" s="45"/>
      <c r="Q1057" s="45"/>
      <c r="R1057" s="45"/>
    </row>
    <row r="1058" spans="1:18" x14ac:dyDescent="0.25">
      <c r="A1058" s="45"/>
      <c r="B1058" s="47"/>
      <c r="C1058" s="47"/>
      <c r="D1058" s="47"/>
      <c r="E1058" s="45"/>
      <c r="F1058" s="45"/>
      <c r="G1058" s="45"/>
      <c r="H1058" s="45"/>
      <c r="I1058" s="45"/>
      <c r="J1058" s="45"/>
      <c r="K1058" s="45"/>
      <c r="L1058" s="45"/>
      <c r="M1058" s="45"/>
      <c r="N1058" s="45"/>
      <c r="O1058" s="45"/>
      <c r="P1058" s="45"/>
      <c r="Q1058" s="45"/>
      <c r="R1058" s="45"/>
    </row>
    <row r="1059" spans="1:18" x14ac:dyDescent="0.25">
      <c r="A1059" s="45"/>
      <c r="B1059" s="47"/>
      <c r="C1059" s="47"/>
      <c r="D1059" s="47"/>
      <c r="E1059" s="45"/>
      <c r="F1059" s="45"/>
      <c r="G1059" s="45"/>
      <c r="H1059" s="45"/>
      <c r="I1059" s="45"/>
      <c r="J1059" s="45"/>
      <c r="K1059" s="45"/>
      <c r="L1059" s="45"/>
      <c r="M1059" s="45"/>
      <c r="N1059" s="45"/>
      <c r="O1059" s="45"/>
      <c r="P1059" s="45"/>
      <c r="Q1059" s="45"/>
      <c r="R1059" s="45"/>
    </row>
    <row r="1060" spans="1:18" x14ac:dyDescent="0.25">
      <c r="A1060" s="45"/>
      <c r="B1060" s="47"/>
      <c r="C1060" s="47"/>
      <c r="D1060" s="47"/>
      <c r="E1060" s="45"/>
      <c r="F1060" s="45"/>
      <c r="G1060" s="45"/>
      <c r="H1060" s="45"/>
      <c r="I1060" s="45"/>
      <c r="J1060" s="45"/>
      <c r="K1060" s="45"/>
      <c r="L1060" s="45"/>
      <c r="M1060" s="45"/>
      <c r="N1060" s="45"/>
      <c r="O1060" s="45"/>
      <c r="P1060" s="45"/>
      <c r="Q1060" s="45"/>
      <c r="R1060" s="45"/>
    </row>
    <row r="1061" spans="1:18" x14ac:dyDescent="0.25">
      <c r="A1061" s="45"/>
      <c r="B1061" s="47"/>
      <c r="C1061" s="47"/>
      <c r="D1061" s="47"/>
      <c r="E1061" s="45"/>
      <c r="F1061" s="45"/>
      <c r="G1061" s="45"/>
      <c r="H1061" s="45"/>
      <c r="I1061" s="45"/>
      <c r="J1061" s="45"/>
      <c r="K1061" s="45"/>
      <c r="L1061" s="45"/>
      <c r="M1061" s="45"/>
      <c r="N1061" s="45"/>
      <c r="O1061" s="45"/>
      <c r="P1061" s="45"/>
      <c r="Q1061" s="45"/>
      <c r="R1061" s="45"/>
    </row>
    <row r="1062" spans="1:18" x14ac:dyDescent="0.25">
      <c r="A1062" s="45"/>
      <c r="B1062" s="47"/>
      <c r="C1062" s="47"/>
      <c r="D1062" s="47"/>
      <c r="E1062" s="45"/>
      <c r="F1062" s="45"/>
      <c r="G1062" s="45"/>
      <c r="H1062" s="45"/>
      <c r="I1062" s="45"/>
      <c r="J1062" s="45"/>
      <c r="K1062" s="45"/>
      <c r="L1062" s="45"/>
      <c r="M1062" s="45"/>
      <c r="N1062" s="45"/>
      <c r="O1062" s="45"/>
      <c r="P1062" s="45"/>
      <c r="Q1062" s="45"/>
      <c r="R1062" s="45"/>
    </row>
    <row r="1063" spans="1:18" x14ac:dyDescent="0.25">
      <c r="A1063" s="45"/>
      <c r="B1063" s="47"/>
      <c r="C1063" s="47"/>
      <c r="D1063" s="47"/>
      <c r="E1063" s="45"/>
      <c r="F1063" s="45"/>
      <c r="G1063" s="45"/>
      <c r="H1063" s="45"/>
      <c r="I1063" s="45"/>
      <c r="J1063" s="45"/>
      <c r="K1063" s="45"/>
      <c r="L1063" s="45"/>
      <c r="M1063" s="45"/>
      <c r="N1063" s="45"/>
      <c r="O1063" s="45"/>
      <c r="P1063" s="45"/>
      <c r="Q1063" s="45"/>
      <c r="R1063" s="45"/>
    </row>
    <row r="1064" spans="1:18" x14ac:dyDescent="0.25">
      <c r="A1064" s="45"/>
      <c r="B1064" s="47"/>
      <c r="C1064" s="47"/>
      <c r="D1064" s="47"/>
      <c r="E1064" s="45"/>
      <c r="F1064" s="45"/>
      <c r="G1064" s="45"/>
      <c r="H1064" s="45"/>
      <c r="I1064" s="45"/>
      <c r="J1064" s="45"/>
      <c r="K1064" s="45"/>
      <c r="L1064" s="45"/>
      <c r="M1064" s="45"/>
      <c r="N1064" s="45"/>
      <c r="O1064" s="45"/>
      <c r="P1064" s="45"/>
      <c r="Q1064" s="45"/>
      <c r="R1064" s="45"/>
    </row>
    <row r="1065" spans="1:18" x14ac:dyDescent="0.25">
      <c r="A1065" s="45"/>
      <c r="B1065" s="47"/>
      <c r="C1065" s="47"/>
      <c r="D1065" s="47"/>
      <c r="E1065" s="45"/>
      <c r="F1065" s="45"/>
      <c r="G1065" s="45"/>
      <c r="H1065" s="45"/>
      <c r="I1065" s="45"/>
      <c r="J1065" s="45"/>
      <c r="K1065" s="45"/>
      <c r="L1065" s="45"/>
      <c r="M1065" s="45"/>
      <c r="N1065" s="45"/>
      <c r="O1065" s="45"/>
      <c r="P1065" s="45"/>
      <c r="Q1065" s="45"/>
      <c r="R1065" s="45"/>
    </row>
    <row r="1066" spans="1:18" x14ac:dyDescent="0.25">
      <c r="A1066" s="45"/>
      <c r="B1066" s="47"/>
      <c r="C1066" s="47"/>
      <c r="D1066" s="47"/>
      <c r="E1066" s="45"/>
      <c r="F1066" s="45"/>
      <c r="G1066" s="45"/>
      <c r="H1066" s="45"/>
      <c r="I1066" s="45"/>
      <c r="J1066" s="45"/>
      <c r="K1066" s="45"/>
      <c r="L1066" s="45"/>
      <c r="M1066" s="45"/>
      <c r="N1066" s="45"/>
      <c r="O1066" s="45"/>
      <c r="P1066" s="45"/>
      <c r="Q1066" s="45"/>
      <c r="R1066" s="45"/>
    </row>
    <row r="1067" spans="1:18" x14ac:dyDescent="0.25">
      <c r="A1067" s="45"/>
      <c r="B1067" s="47"/>
      <c r="C1067" s="47"/>
      <c r="D1067" s="47"/>
      <c r="E1067" s="45"/>
      <c r="F1067" s="45"/>
      <c r="G1067" s="45"/>
      <c r="H1067" s="45"/>
      <c r="I1067" s="45"/>
      <c r="J1067" s="45"/>
      <c r="K1067" s="45"/>
      <c r="L1067" s="45"/>
      <c r="M1067" s="45"/>
      <c r="N1067" s="45"/>
      <c r="O1067" s="45"/>
      <c r="P1067" s="45"/>
      <c r="Q1067" s="45"/>
      <c r="R1067" s="45"/>
    </row>
    <row r="1068" spans="1:18" x14ac:dyDescent="0.25">
      <c r="A1068" s="45"/>
      <c r="B1068" s="47"/>
      <c r="C1068" s="47"/>
      <c r="D1068" s="47"/>
      <c r="E1068" s="45"/>
      <c r="F1068" s="45"/>
      <c r="G1068" s="45"/>
      <c r="H1068" s="45"/>
      <c r="I1068" s="45"/>
      <c r="J1068" s="45"/>
      <c r="K1068" s="45"/>
      <c r="L1068" s="45"/>
      <c r="M1068" s="45"/>
      <c r="N1068" s="45"/>
      <c r="O1068" s="45"/>
      <c r="P1068" s="45"/>
      <c r="Q1068" s="45"/>
      <c r="R1068" s="45"/>
    </row>
    <row r="1069" spans="1:18" x14ac:dyDescent="0.25">
      <c r="A1069" s="45"/>
      <c r="B1069" s="47"/>
      <c r="C1069" s="47"/>
      <c r="D1069" s="47"/>
      <c r="E1069" s="45"/>
      <c r="F1069" s="45"/>
      <c r="G1069" s="45"/>
      <c r="H1069" s="45"/>
      <c r="I1069" s="45"/>
      <c r="J1069" s="45"/>
      <c r="K1069" s="45"/>
      <c r="L1069" s="45"/>
      <c r="M1069" s="45"/>
      <c r="N1069" s="45"/>
      <c r="O1069" s="45"/>
      <c r="P1069" s="45"/>
      <c r="Q1069" s="45"/>
      <c r="R1069" s="45"/>
    </row>
    <row r="1070" spans="1:18" x14ac:dyDescent="0.25">
      <c r="A1070" s="45"/>
      <c r="B1070" s="47"/>
      <c r="C1070" s="47"/>
      <c r="D1070" s="47"/>
      <c r="E1070" s="45"/>
      <c r="F1070" s="45"/>
      <c r="G1070" s="45"/>
      <c r="H1070" s="45"/>
      <c r="I1070" s="45"/>
      <c r="J1070" s="45"/>
      <c r="K1070" s="45"/>
      <c r="L1070" s="45"/>
      <c r="M1070" s="45"/>
      <c r="N1070" s="45"/>
      <c r="O1070" s="45"/>
      <c r="P1070" s="45"/>
      <c r="Q1070" s="45"/>
      <c r="R1070" s="45"/>
    </row>
    <row r="1071" spans="1:18" x14ac:dyDescent="0.25">
      <c r="A1071" s="45"/>
      <c r="B1071" s="47"/>
      <c r="C1071" s="47"/>
      <c r="D1071" s="47"/>
      <c r="E1071" s="45"/>
      <c r="F1071" s="45"/>
      <c r="G1071" s="45"/>
      <c r="H1071" s="45"/>
      <c r="I1071" s="45"/>
      <c r="J1071" s="45"/>
      <c r="K1071" s="45"/>
      <c r="L1071" s="45"/>
      <c r="M1071" s="45"/>
      <c r="N1071" s="45"/>
      <c r="O1071" s="45"/>
      <c r="P1071" s="45"/>
      <c r="Q1071" s="45"/>
      <c r="R1071" s="45"/>
    </row>
    <row r="1072" spans="1:18" x14ac:dyDescent="0.25">
      <c r="A1072" s="45"/>
      <c r="B1072" s="47"/>
      <c r="C1072" s="47"/>
      <c r="D1072" s="47"/>
      <c r="E1072" s="45"/>
      <c r="F1072" s="45"/>
      <c r="G1072" s="45"/>
      <c r="H1072" s="45"/>
      <c r="I1072" s="45"/>
      <c r="J1072" s="45"/>
      <c r="K1072" s="45"/>
      <c r="L1072" s="45"/>
      <c r="M1072" s="45"/>
      <c r="N1072" s="45"/>
      <c r="O1072" s="45"/>
      <c r="P1072" s="45"/>
      <c r="Q1072" s="45"/>
      <c r="R1072" s="45"/>
    </row>
    <row r="1073" spans="1:18" x14ac:dyDescent="0.25">
      <c r="A1073" s="45"/>
      <c r="B1073" s="47"/>
      <c r="C1073" s="47"/>
      <c r="D1073" s="47"/>
      <c r="E1073" s="45"/>
      <c r="F1073" s="45"/>
      <c r="G1073" s="45"/>
      <c r="H1073" s="45"/>
      <c r="I1073" s="45"/>
      <c r="J1073" s="45"/>
      <c r="K1073" s="45"/>
      <c r="L1073" s="45"/>
      <c r="M1073" s="45"/>
      <c r="N1073" s="45"/>
      <c r="O1073" s="45"/>
      <c r="P1073" s="45"/>
      <c r="Q1073" s="45"/>
      <c r="R1073" s="45"/>
    </row>
    <row r="1074" spans="1:18" x14ac:dyDescent="0.25">
      <c r="A1074" s="45"/>
      <c r="B1074" s="47"/>
      <c r="C1074" s="47"/>
      <c r="D1074" s="47"/>
      <c r="E1074" s="45"/>
      <c r="F1074" s="45"/>
      <c r="G1074" s="45"/>
      <c r="H1074" s="45"/>
      <c r="I1074" s="45"/>
      <c r="J1074" s="45"/>
      <c r="K1074" s="45"/>
      <c r="L1074" s="45"/>
      <c r="M1074" s="45"/>
      <c r="N1074" s="45"/>
      <c r="O1074" s="45"/>
      <c r="P1074" s="45"/>
      <c r="Q1074" s="45"/>
      <c r="R1074" s="45"/>
    </row>
    <row r="1075" spans="1:18" x14ac:dyDescent="0.25">
      <c r="A1075" s="45"/>
      <c r="B1075" s="47"/>
      <c r="C1075" s="47"/>
      <c r="D1075" s="47"/>
      <c r="E1075" s="45"/>
      <c r="F1075" s="45"/>
      <c r="G1075" s="45"/>
      <c r="H1075" s="45"/>
      <c r="I1075" s="45"/>
      <c r="J1075" s="45"/>
      <c r="K1075" s="45"/>
      <c r="L1075" s="45"/>
      <c r="M1075" s="45"/>
      <c r="N1075" s="45"/>
      <c r="O1075" s="45"/>
      <c r="P1075" s="45"/>
      <c r="Q1075" s="45"/>
      <c r="R1075" s="45"/>
    </row>
    <row r="1076" spans="1:18" x14ac:dyDescent="0.25">
      <c r="A1076" s="45"/>
      <c r="B1076" s="47"/>
      <c r="C1076" s="47"/>
      <c r="D1076" s="47"/>
      <c r="E1076" s="45"/>
      <c r="F1076" s="45"/>
      <c r="G1076" s="45"/>
      <c r="H1076" s="45"/>
      <c r="I1076" s="45"/>
      <c r="J1076" s="45"/>
      <c r="K1076" s="45"/>
      <c r="L1076" s="45"/>
      <c r="M1076" s="45"/>
      <c r="N1076" s="45"/>
      <c r="O1076" s="45"/>
      <c r="P1076" s="45"/>
      <c r="Q1076" s="45"/>
      <c r="R1076" s="45"/>
    </row>
    <row r="1077" spans="1:18" x14ac:dyDescent="0.25">
      <c r="A1077" s="45"/>
      <c r="B1077" s="47"/>
      <c r="C1077" s="47"/>
      <c r="D1077" s="47"/>
      <c r="E1077" s="45"/>
      <c r="F1077" s="45"/>
      <c r="G1077" s="45"/>
      <c r="H1077" s="45"/>
      <c r="I1077" s="45"/>
      <c r="J1077" s="45"/>
      <c r="K1077" s="45"/>
      <c r="L1077" s="45"/>
      <c r="M1077" s="45"/>
      <c r="N1077" s="45"/>
      <c r="O1077" s="45"/>
      <c r="P1077" s="45"/>
      <c r="Q1077" s="45"/>
      <c r="R1077" s="45"/>
    </row>
    <row r="1078" spans="1:18" x14ac:dyDescent="0.25">
      <c r="A1078" s="45"/>
      <c r="B1078" s="47"/>
      <c r="C1078" s="47"/>
      <c r="D1078" s="47"/>
      <c r="E1078" s="45"/>
      <c r="F1078" s="45"/>
      <c r="G1078" s="45"/>
      <c r="H1078" s="45"/>
      <c r="I1078" s="45"/>
      <c r="J1078" s="45"/>
      <c r="K1078" s="45"/>
      <c r="L1078" s="45"/>
      <c r="M1078" s="45"/>
      <c r="N1078" s="45"/>
      <c r="O1078" s="45"/>
      <c r="P1078" s="45"/>
      <c r="Q1078" s="45"/>
      <c r="R1078" s="45"/>
    </row>
    <row r="1079" spans="1:18" x14ac:dyDescent="0.25">
      <c r="A1079" s="45"/>
      <c r="B1079" s="47"/>
      <c r="C1079" s="47"/>
      <c r="D1079" s="47"/>
      <c r="E1079" s="45"/>
      <c r="F1079" s="45"/>
      <c r="G1079" s="45"/>
      <c r="H1079" s="45"/>
      <c r="I1079" s="45"/>
      <c r="J1079" s="45"/>
      <c r="K1079" s="45"/>
      <c r="L1079" s="45"/>
      <c r="M1079" s="45"/>
      <c r="N1079" s="45"/>
      <c r="O1079" s="45"/>
      <c r="P1079" s="45"/>
      <c r="Q1079" s="45"/>
      <c r="R1079" s="45"/>
    </row>
    <row r="1080" spans="1:18" x14ac:dyDescent="0.25">
      <c r="A1080" s="45"/>
      <c r="B1080" s="47"/>
      <c r="C1080" s="47"/>
      <c r="D1080" s="47"/>
      <c r="E1080" s="45"/>
      <c r="F1080" s="45"/>
      <c r="G1080" s="45"/>
      <c r="H1080" s="45"/>
      <c r="I1080" s="45"/>
      <c r="J1080" s="45"/>
      <c r="K1080" s="45"/>
      <c r="L1080" s="45"/>
      <c r="M1080" s="45"/>
      <c r="N1080" s="45"/>
      <c r="O1080" s="45"/>
      <c r="P1080" s="45"/>
      <c r="Q1080" s="45"/>
      <c r="R1080" s="45"/>
    </row>
    <row r="1081" spans="1:18" x14ac:dyDescent="0.25">
      <c r="A1081" s="45"/>
      <c r="B1081" s="47"/>
      <c r="C1081" s="47"/>
      <c r="D1081" s="47"/>
      <c r="E1081" s="45"/>
      <c r="F1081" s="45"/>
      <c r="G1081" s="45"/>
      <c r="H1081" s="45"/>
      <c r="I1081" s="45"/>
      <c r="J1081" s="45"/>
      <c r="K1081" s="45"/>
      <c r="L1081" s="45"/>
      <c r="M1081" s="45"/>
      <c r="N1081" s="45"/>
      <c r="O1081" s="45"/>
      <c r="P1081" s="45"/>
      <c r="Q1081" s="45"/>
      <c r="R1081" s="45"/>
    </row>
    <row r="1082" spans="1:18" x14ac:dyDescent="0.25">
      <c r="A1082" s="45"/>
      <c r="B1082" s="47"/>
      <c r="C1082" s="47"/>
      <c r="D1082" s="47"/>
      <c r="E1082" s="45"/>
      <c r="F1082" s="45"/>
      <c r="G1082" s="45"/>
      <c r="H1082" s="45"/>
      <c r="I1082" s="45"/>
      <c r="J1082" s="45"/>
      <c r="K1082" s="45"/>
      <c r="L1082" s="45"/>
      <c r="M1082" s="45"/>
      <c r="N1082" s="45"/>
      <c r="O1082" s="45"/>
      <c r="P1082" s="45"/>
      <c r="Q1082" s="45"/>
      <c r="R1082" s="45"/>
    </row>
    <row r="1083" spans="1:18" x14ac:dyDescent="0.25">
      <c r="A1083" s="45"/>
      <c r="B1083" s="47"/>
      <c r="C1083" s="47"/>
      <c r="D1083" s="47"/>
      <c r="E1083" s="45"/>
      <c r="F1083" s="45"/>
      <c r="G1083" s="45"/>
      <c r="H1083" s="45"/>
      <c r="I1083" s="45"/>
      <c r="J1083" s="45"/>
      <c r="K1083" s="45"/>
      <c r="L1083" s="45"/>
      <c r="M1083" s="45"/>
      <c r="N1083" s="45"/>
      <c r="O1083" s="45"/>
      <c r="P1083" s="45"/>
      <c r="Q1083" s="45"/>
      <c r="R1083" s="45"/>
    </row>
    <row r="1084" spans="1:18" x14ac:dyDescent="0.25">
      <c r="A1084" s="45"/>
      <c r="B1084" s="47"/>
      <c r="C1084" s="47"/>
      <c r="D1084" s="47"/>
      <c r="E1084" s="45"/>
      <c r="F1084" s="45"/>
      <c r="G1084" s="45"/>
      <c r="H1084" s="45"/>
      <c r="I1084" s="45"/>
      <c r="J1084" s="45"/>
      <c r="K1084" s="45"/>
      <c r="L1084" s="45"/>
      <c r="M1084" s="45"/>
      <c r="N1084" s="45"/>
      <c r="O1084" s="45"/>
      <c r="P1084" s="45"/>
      <c r="Q1084" s="45"/>
      <c r="R1084" s="45"/>
    </row>
    <row r="1085" spans="1:18" x14ac:dyDescent="0.25">
      <c r="A1085" s="45"/>
      <c r="B1085" s="47"/>
      <c r="C1085" s="47"/>
      <c r="D1085" s="47"/>
      <c r="E1085" s="45"/>
      <c r="F1085" s="45"/>
      <c r="G1085" s="45"/>
      <c r="H1085" s="45"/>
      <c r="I1085" s="45"/>
      <c r="J1085" s="45"/>
      <c r="K1085" s="45"/>
      <c r="L1085" s="45"/>
      <c r="M1085" s="45"/>
      <c r="N1085" s="45"/>
      <c r="O1085" s="45"/>
      <c r="P1085" s="45"/>
      <c r="Q1085" s="45"/>
      <c r="R1085" s="45"/>
    </row>
    <row r="1086" spans="1:18" x14ac:dyDescent="0.25">
      <c r="A1086" s="45"/>
      <c r="B1086" s="47"/>
      <c r="C1086" s="47"/>
      <c r="D1086" s="47"/>
      <c r="E1086" s="45"/>
      <c r="F1086" s="45"/>
      <c r="G1086" s="45"/>
      <c r="H1086" s="45"/>
      <c r="I1086" s="45"/>
      <c r="J1086" s="45"/>
      <c r="K1086" s="45"/>
      <c r="L1086" s="45"/>
      <c r="M1086" s="45"/>
      <c r="N1086" s="45"/>
      <c r="O1086" s="45"/>
      <c r="P1086" s="45"/>
      <c r="Q1086" s="45"/>
      <c r="R1086" s="45"/>
    </row>
    <row r="1087" spans="1:18" x14ac:dyDescent="0.25">
      <c r="A1087" s="45"/>
      <c r="B1087" s="47"/>
      <c r="C1087" s="47"/>
      <c r="D1087" s="47"/>
      <c r="E1087" s="45"/>
      <c r="F1087" s="45"/>
      <c r="G1087" s="45"/>
      <c r="H1087" s="45"/>
      <c r="I1087" s="45"/>
      <c r="J1087" s="45"/>
      <c r="K1087" s="45"/>
      <c r="L1087" s="45"/>
      <c r="M1087" s="45"/>
      <c r="N1087" s="45"/>
      <c r="O1087" s="45"/>
      <c r="P1087" s="45"/>
      <c r="Q1087" s="45"/>
      <c r="R1087" s="45"/>
    </row>
    <row r="1088" spans="1:18" x14ac:dyDescent="0.25">
      <c r="A1088" s="45"/>
      <c r="B1088" s="47"/>
      <c r="C1088" s="47"/>
      <c r="D1088" s="47"/>
      <c r="E1088" s="45"/>
      <c r="F1088" s="45"/>
      <c r="G1088" s="45"/>
      <c r="H1088" s="45"/>
      <c r="I1088" s="45"/>
      <c r="J1088" s="45"/>
      <c r="K1088" s="45"/>
      <c r="L1088" s="45"/>
      <c r="M1088" s="45"/>
      <c r="N1088" s="45"/>
      <c r="O1088" s="45"/>
      <c r="P1088" s="45"/>
      <c r="Q1088" s="45"/>
      <c r="R1088" s="45"/>
    </row>
    <row r="1089" spans="1:18" x14ac:dyDescent="0.25">
      <c r="A1089" s="45"/>
      <c r="B1089" s="47"/>
      <c r="C1089" s="47"/>
      <c r="D1089" s="47"/>
      <c r="E1089" s="45"/>
      <c r="F1089" s="45"/>
      <c r="G1089" s="45"/>
      <c r="H1089" s="45"/>
      <c r="I1089" s="45"/>
      <c r="J1089" s="45"/>
      <c r="K1089" s="45"/>
      <c r="L1089" s="45"/>
      <c r="M1089" s="45"/>
      <c r="N1089" s="45"/>
      <c r="O1089" s="45"/>
      <c r="P1089" s="45"/>
      <c r="Q1089" s="45"/>
      <c r="R1089" s="45"/>
    </row>
    <row r="1090" spans="1:18" x14ac:dyDescent="0.25">
      <c r="A1090" s="45"/>
      <c r="B1090" s="47"/>
      <c r="C1090" s="47"/>
      <c r="D1090" s="47"/>
      <c r="E1090" s="45"/>
      <c r="F1090" s="45"/>
      <c r="G1090" s="45"/>
      <c r="H1090" s="45"/>
      <c r="I1090" s="45"/>
      <c r="J1090" s="45"/>
      <c r="K1090" s="45"/>
      <c r="L1090" s="45"/>
      <c r="M1090" s="45"/>
      <c r="N1090" s="45"/>
      <c r="O1090" s="45"/>
      <c r="P1090" s="45"/>
      <c r="Q1090" s="45"/>
      <c r="R1090" s="45"/>
    </row>
    <row r="1091" spans="1:18" x14ac:dyDescent="0.25">
      <c r="A1091" s="45"/>
      <c r="B1091" s="47"/>
      <c r="C1091" s="47"/>
      <c r="D1091" s="47"/>
      <c r="E1091" s="45"/>
      <c r="F1091" s="45"/>
      <c r="G1091" s="45"/>
      <c r="H1091" s="45"/>
      <c r="I1091" s="45"/>
      <c r="J1091" s="45"/>
      <c r="K1091" s="45"/>
      <c r="L1091" s="45"/>
      <c r="M1091" s="45"/>
      <c r="N1091" s="45"/>
      <c r="O1091" s="45"/>
      <c r="P1091" s="45"/>
      <c r="Q1091" s="45"/>
      <c r="R1091" s="45"/>
    </row>
    <row r="1092" spans="1:18" x14ac:dyDescent="0.25">
      <c r="A1092" s="45"/>
      <c r="B1092" s="47"/>
      <c r="C1092" s="47"/>
      <c r="D1092" s="47"/>
      <c r="E1092" s="45"/>
      <c r="F1092" s="45"/>
      <c r="G1092" s="45"/>
      <c r="H1092" s="45"/>
      <c r="I1092" s="45"/>
      <c r="J1092" s="45"/>
      <c r="K1092" s="45"/>
      <c r="L1092" s="45"/>
      <c r="M1092" s="45"/>
      <c r="N1092" s="45"/>
      <c r="O1092" s="45"/>
      <c r="P1092" s="45"/>
      <c r="Q1092" s="45"/>
      <c r="R1092" s="45"/>
    </row>
    <row r="1093" spans="1:18" x14ac:dyDescent="0.25">
      <c r="A1093" s="45"/>
      <c r="B1093" s="47"/>
      <c r="C1093" s="47"/>
      <c r="D1093" s="47"/>
      <c r="E1093" s="45"/>
      <c r="F1093" s="45"/>
      <c r="G1093" s="45"/>
      <c r="H1093" s="45"/>
      <c r="I1093" s="45"/>
      <c r="J1093" s="45"/>
      <c r="K1093" s="45"/>
      <c r="L1093" s="45"/>
      <c r="M1093" s="45"/>
      <c r="N1093" s="45"/>
      <c r="O1093" s="45"/>
      <c r="P1093" s="45"/>
      <c r="Q1093" s="45"/>
      <c r="R1093" s="45"/>
    </row>
    <row r="1094" spans="1:18" x14ac:dyDescent="0.25">
      <c r="A1094" s="45"/>
      <c r="B1094" s="47"/>
      <c r="C1094" s="47"/>
      <c r="D1094" s="47"/>
      <c r="E1094" s="45"/>
      <c r="F1094" s="45"/>
      <c r="G1094" s="45"/>
      <c r="H1094" s="45"/>
      <c r="I1094" s="45"/>
      <c r="J1094" s="45"/>
      <c r="K1094" s="45"/>
      <c r="L1094" s="45"/>
      <c r="M1094" s="45"/>
      <c r="N1094" s="45"/>
      <c r="O1094" s="45"/>
      <c r="P1094" s="45"/>
      <c r="Q1094" s="45"/>
      <c r="R1094" s="45"/>
    </row>
    <row r="1095" spans="1:18" x14ac:dyDescent="0.25">
      <c r="A1095" s="45"/>
      <c r="B1095" s="47"/>
      <c r="C1095" s="47"/>
      <c r="D1095" s="47"/>
      <c r="E1095" s="45"/>
      <c r="F1095" s="45"/>
      <c r="G1095" s="45"/>
      <c r="H1095" s="45"/>
      <c r="I1095" s="45"/>
      <c r="J1095" s="45"/>
      <c r="K1095" s="45"/>
      <c r="L1095" s="45"/>
      <c r="M1095" s="45"/>
      <c r="N1095" s="45"/>
      <c r="O1095" s="45"/>
      <c r="P1095" s="45"/>
      <c r="Q1095" s="45"/>
      <c r="R1095" s="45"/>
    </row>
    <row r="1096" spans="1:18" x14ac:dyDescent="0.25">
      <c r="A1096" s="45"/>
      <c r="B1096" s="47"/>
      <c r="C1096" s="47"/>
      <c r="D1096" s="47"/>
      <c r="E1096" s="45"/>
      <c r="F1096" s="45"/>
      <c r="G1096" s="45"/>
      <c r="H1096" s="45"/>
      <c r="I1096" s="45"/>
      <c r="J1096" s="45"/>
      <c r="K1096" s="45"/>
      <c r="L1096" s="45"/>
      <c r="M1096" s="45"/>
      <c r="N1096" s="45"/>
      <c r="O1096" s="45"/>
      <c r="P1096" s="45"/>
      <c r="Q1096" s="45"/>
      <c r="R1096" s="45"/>
    </row>
    <row r="1097" spans="1:18" x14ac:dyDescent="0.25">
      <c r="A1097" s="45"/>
      <c r="B1097" s="47"/>
      <c r="C1097" s="47"/>
      <c r="D1097" s="47"/>
      <c r="E1097" s="45"/>
      <c r="F1097" s="45"/>
      <c r="G1097" s="45"/>
      <c r="H1097" s="45"/>
      <c r="I1097" s="45"/>
      <c r="J1097" s="45"/>
      <c r="K1097" s="45"/>
      <c r="L1097" s="45"/>
      <c r="M1097" s="45"/>
      <c r="N1097" s="45"/>
      <c r="O1097" s="45"/>
      <c r="P1097" s="45"/>
      <c r="Q1097" s="45"/>
      <c r="R1097" s="45"/>
    </row>
    <row r="1098" spans="1:18" x14ac:dyDescent="0.25">
      <c r="A1098" s="45"/>
      <c r="B1098" s="47"/>
      <c r="C1098" s="47"/>
      <c r="D1098" s="47"/>
      <c r="E1098" s="45"/>
      <c r="F1098" s="45"/>
      <c r="G1098" s="45"/>
      <c r="H1098" s="45"/>
      <c r="I1098" s="45"/>
      <c r="J1098" s="45"/>
      <c r="K1098" s="45"/>
      <c r="L1098" s="45"/>
      <c r="M1098" s="45"/>
      <c r="N1098" s="45"/>
      <c r="O1098" s="45"/>
      <c r="P1098" s="45"/>
      <c r="Q1098" s="45"/>
      <c r="R1098" s="45"/>
    </row>
    <row r="1099" spans="1:18" x14ac:dyDescent="0.25">
      <c r="A1099" s="45"/>
      <c r="B1099" s="47"/>
      <c r="C1099" s="47"/>
      <c r="D1099" s="47"/>
      <c r="E1099" s="45"/>
      <c r="F1099" s="45"/>
      <c r="G1099" s="45"/>
      <c r="H1099" s="45"/>
      <c r="I1099" s="45"/>
      <c r="J1099" s="45"/>
      <c r="K1099" s="45"/>
      <c r="L1099" s="45"/>
      <c r="M1099" s="45"/>
      <c r="N1099" s="45"/>
      <c r="O1099" s="45"/>
      <c r="P1099" s="45"/>
      <c r="Q1099" s="45"/>
      <c r="R1099" s="45"/>
    </row>
    <row r="1100" spans="1:18" x14ac:dyDescent="0.25">
      <c r="A1100" s="45"/>
      <c r="B1100" s="47"/>
      <c r="C1100" s="47"/>
      <c r="D1100" s="47"/>
      <c r="E1100" s="45"/>
      <c r="F1100" s="45"/>
      <c r="G1100" s="45"/>
      <c r="H1100" s="45"/>
      <c r="I1100" s="45"/>
      <c r="J1100" s="45"/>
      <c r="K1100" s="45"/>
      <c r="L1100" s="45"/>
      <c r="M1100" s="45"/>
      <c r="N1100" s="45"/>
      <c r="O1100" s="45"/>
      <c r="P1100" s="45"/>
      <c r="Q1100" s="45"/>
      <c r="R1100" s="45"/>
    </row>
    <row r="1101" spans="1:18" x14ac:dyDescent="0.25">
      <c r="A1101" s="45"/>
      <c r="B1101" s="47"/>
      <c r="C1101" s="47"/>
      <c r="D1101" s="47"/>
      <c r="E1101" s="45"/>
      <c r="F1101" s="45"/>
      <c r="G1101" s="45"/>
      <c r="H1101" s="45"/>
      <c r="I1101" s="45"/>
      <c r="J1101" s="45"/>
      <c r="K1101" s="45"/>
      <c r="L1101" s="45"/>
      <c r="M1101" s="45"/>
      <c r="N1101" s="45"/>
      <c r="O1101" s="45"/>
      <c r="P1101" s="45"/>
      <c r="Q1101" s="45"/>
      <c r="R1101" s="45"/>
    </row>
    <row r="1102" spans="1:18" x14ac:dyDescent="0.25">
      <c r="A1102" s="45"/>
      <c r="B1102" s="47"/>
      <c r="C1102" s="47"/>
      <c r="D1102" s="47"/>
      <c r="E1102" s="45"/>
      <c r="F1102" s="45"/>
      <c r="G1102" s="45"/>
      <c r="H1102" s="45"/>
      <c r="I1102" s="45"/>
      <c r="J1102" s="45"/>
      <c r="K1102" s="45"/>
      <c r="L1102" s="45"/>
      <c r="M1102" s="45"/>
      <c r="N1102" s="45"/>
      <c r="O1102" s="45"/>
      <c r="P1102" s="45"/>
      <c r="Q1102" s="45"/>
      <c r="R1102" s="45"/>
    </row>
    <row r="1103" spans="1:18" x14ac:dyDescent="0.25">
      <c r="A1103" s="45"/>
      <c r="B1103" s="47"/>
      <c r="C1103" s="47"/>
      <c r="D1103" s="47"/>
      <c r="E1103" s="45"/>
      <c r="F1103" s="45"/>
      <c r="G1103" s="45"/>
      <c r="H1103" s="45"/>
      <c r="I1103" s="45"/>
      <c r="J1103" s="45"/>
      <c r="K1103" s="45"/>
      <c r="L1103" s="45"/>
      <c r="M1103" s="45"/>
      <c r="N1103" s="45"/>
      <c r="O1103" s="45"/>
      <c r="P1103" s="45"/>
      <c r="Q1103" s="45"/>
      <c r="R1103" s="45"/>
    </row>
    <row r="1104" spans="1:18" x14ac:dyDescent="0.25">
      <c r="A1104" s="45"/>
      <c r="B1104" s="47"/>
      <c r="C1104" s="47"/>
      <c r="D1104" s="47"/>
      <c r="E1104" s="45"/>
      <c r="F1104" s="45"/>
      <c r="G1104" s="45"/>
      <c r="H1104" s="45"/>
      <c r="I1104" s="45"/>
      <c r="J1104" s="45"/>
      <c r="K1104" s="45"/>
      <c r="L1104" s="45"/>
      <c r="M1104" s="45"/>
      <c r="N1104" s="45"/>
      <c r="O1104" s="45"/>
      <c r="P1104" s="45"/>
      <c r="Q1104" s="45"/>
      <c r="R1104" s="45"/>
    </row>
    <row r="1105" spans="1:18" x14ac:dyDescent="0.25">
      <c r="A1105" s="45"/>
      <c r="B1105" s="47"/>
      <c r="C1105" s="47"/>
      <c r="D1105" s="47"/>
      <c r="E1105" s="45"/>
      <c r="F1105" s="45"/>
      <c r="G1105" s="45"/>
      <c r="H1105" s="45"/>
      <c r="I1105" s="45"/>
      <c r="J1105" s="45"/>
      <c r="K1105" s="45"/>
      <c r="L1105" s="45"/>
      <c r="M1105" s="45"/>
      <c r="N1105" s="45"/>
      <c r="O1105" s="45"/>
      <c r="P1105" s="45"/>
      <c r="Q1105" s="45"/>
      <c r="R1105" s="45"/>
    </row>
    <row r="1106" spans="1:18" x14ac:dyDescent="0.25">
      <c r="A1106" s="45"/>
      <c r="B1106" s="47"/>
      <c r="C1106" s="47"/>
      <c r="D1106" s="47"/>
      <c r="E1106" s="45"/>
      <c r="F1106" s="45"/>
      <c r="G1106" s="45"/>
      <c r="H1106" s="45"/>
      <c r="I1106" s="45"/>
      <c r="J1106" s="45"/>
      <c r="K1106" s="45"/>
      <c r="L1106" s="45"/>
      <c r="M1106" s="45"/>
      <c r="N1106" s="45"/>
      <c r="O1106" s="45"/>
      <c r="P1106" s="45"/>
      <c r="Q1106" s="45"/>
      <c r="R1106" s="45"/>
    </row>
    <row r="1107" spans="1:18" x14ac:dyDescent="0.25">
      <c r="A1107" s="45"/>
      <c r="B1107" s="47"/>
      <c r="C1107" s="47"/>
      <c r="D1107" s="47"/>
      <c r="E1107" s="45"/>
      <c r="F1107" s="45"/>
      <c r="G1107" s="45"/>
      <c r="H1107" s="45"/>
      <c r="I1107" s="45"/>
      <c r="J1107" s="45"/>
      <c r="K1107" s="45"/>
      <c r="L1107" s="45"/>
      <c r="M1107" s="45"/>
      <c r="N1107" s="45"/>
      <c r="O1107" s="45"/>
      <c r="P1107" s="45"/>
      <c r="Q1107" s="45"/>
      <c r="R1107" s="45"/>
    </row>
    <row r="1108" spans="1:18" x14ac:dyDescent="0.25">
      <c r="A1108" s="45"/>
      <c r="B1108" s="47"/>
      <c r="C1108" s="47"/>
      <c r="D1108" s="47"/>
      <c r="E1108" s="45"/>
      <c r="F1108" s="45"/>
      <c r="G1108" s="45"/>
      <c r="H1108" s="45"/>
      <c r="I1108" s="45"/>
      <c r="J1108" s="45"/>
      <c r="K1108" s="45"/>
      <c r="L1108" s="45"/>
      <c r="M1108" s="45"/>
      <c r="N1108" s="45"/>
      <c r="O1108" s="45"/>
      <c r="P1108" s="45"/>
      <c r="Q1108" s="45"/>
      <c r="R1108" s="45"/>
    </row>
    <row r="1109" spans="1:18" x14ac:dyDescent="0.25">
      <c r="A1109" s="45"/>
      <c r="B1109" s="47"/>
      <c r="C1109" s="47"/>
      <c r="D1109" s="47"/>
      <c r="E1109" s="45"/>
      <c r="F1109" s="45"/>
      <c r="G1109" s="45"/>
      <c r="H1109" s="45"/>
      <c r="I1109" s="45"/>
      <c r="J1109" s="45"/>
      <c r="K1109" s="45"/>
      <c r="L1109" s="45"/>
      <c r="M1109" s="45"/>
      <c r="N1109" s="45"/>
      <c r="O1109" s="45"/>
      <c r="P1109" s="45"/>
      <c r="Q1109" s="45"/>
      <c r="R1109" s="45"/>
    </row>
    <row r="1110" spans="1:18" x14ac:dyDescent="0.25">
      <c r="A1110" s="45"/>
      <c r="B1110" s="47"/>
      <c r="C1110" s="47"/>
      <c r="D1110" s="47"/>
      <c r="E1110" s="45"/>
      <c r="F1110" s="45"/>
      <c r="G1110" s="45"/>
      <c r="H1110" s="45"/>
      <c r="I1110" s="45"/>
      <c r="J1110" s="45"/>
      <c r="K1110" s="45"/>
      <c r="L1110" s="45"/>
      <c r="M1110" s="45"/>
      <c r="N1110" s="45"/>
      <c r="O1110" s="45"/>
      <c r="P1110" s="45"/>
      <c r="Q1110" s="45"/>
      <c r="R1110" s="45"/>
    </row>
    <row r="1111" spans="1:18" x14ac:dyDescent="0.25">
      <c r="A1111" s="45"/>
      <c r="B1111" s="47"/>
      <c r="C1111" s="47"/>
      <c r="D1111" s="47"/>
      <c r="E1111" s="45"/>
      <c r="F1111" s="45"/>
      <c r="G1111" s="45"/>
      <c r="H1111" s="45"/>
      <c r="I1111" s="45"/>
      <c r="J1111" s="45"/>
      <c r="K1111" s="45"/>
      <c r="L1111" s="45"/>
      <c r="M1111" s="45"/>
      <c r="N1111" s="45"/>
      <c r="O1111" s="45"/>
      <c r="P1111" s="45"/>
      <c r="Q1111" s="45"/>
      <c r="R1111" s="45"/>
    </row>
    <row r="1112" spans="1:18" x14ac:dyDescent="0.25">
      <c r="A1112" s="45"/>
      <c r="B1112" s="47"/>
      <c r="C1112" s="47"/>
      <c r="D1112" s="47"/>
      <c r="E1112" s="45"/>
      <c r="F1112" s="45"/>
      <c r="G1112" s="45"/>
      <c r="H1112" s="45"/>
      <c r="I1112" s="45"/>
      <c r="J1112" s="45"/>
      <c r="K1112" s="45"/>
      <c r="L1112" s="45"/>
      <c r="M1112" s="45"/>
      <c r="N1112" s="45"/>
      <c r="O1112" s="45"/>
      <c r="P1112" s="45"/>
      <c r="Q1112" s="45"/>
      <c r="R1112" s="45"/>
    </row>
    <row r="1113" spans="1:18" x14ac:dyDescent="0.25">
      <c r="A1113" s="45"/>
      <c r="B1113" s="47"/>
      <c r="C1113" s="47"/>
      <c r="D1113" s="47"/>
      <c r="E1113" s="45"/>
      <c r="F1113" s="45"/>
      <c r="G1113" s="45"/>
      <c r="H1113" s="45"/>
      <c r="I1113" s="45"/>
      <c r="J1113" s="45"/>
      <c r="K1113" s="45"/>
      <c r="L1113" s="45"/>
      <c r="M1113" s="45"/>
      <c r="N1113" s="45"/>
      <c r="O1113" s="45"/>
      <c r="P1113" s="45"/>
      <c r="Q1113" s="45"/>
      <c r="R1113" s="45"/>
    </row>
    <row r="1114" spans="1:18" x14ac:dyDescent="0.25">
      <c r="A1114" s="45"/>
      <c r="B1114" s="47"/>
      <c r="C1114" s="47"/>
      <c r="D1114" s="47"/>
      <c r="E1114" s="45"/>
      <c r="F1114" s="45"/>
      <c r="G1114" s="45"/>
      <c r="H1114" s="45"/>
      <c r="I1114" s="45"/>
      <c r="J1114" s="45"/>
      <c r="K1114" s="45"/>
      <c r="L1114" s="45"/>
      <c r="M1114" s="45"/>
      <c r="N1114" s="45"/>
      <c r="O1114" s="45"/>
      <c r="P1114" s="45"/>
      <c r="Q1114" s="45"/>
      <c r="R1114" s="45"/>
    </row>
    <row r="1115" spans="1:18" x14ac:dyDescent="0.25">
      <c r="A1115" s="45"/>
      <c r="B1115" s="47"/>
      <c r="C1115" s="47"/>
      <c r="D1115" s="47"/>
      <c r="E1115" s="45"/>
      <c r="F1115" s="45"/>
      <c r="G1115" s="45"/>
      <c r="H1115" s="45"/>
      <c r="I1115" s="45"/>
      <c r="J1115" s="45"/>
      <c r="K1115" s="45"/>
      <c r="L1115" s="45"/>
      <c r="M1115" s="45"/>
      <c r="N1115" s="45"/>
      <c r="O1115" s="45"/>
      <c r="P1115" s="45"/>
      <c r="Q1115" s="45"/>
      <c r="R1115" s="45"/>
    </row>
    <row r="1116" spans="1:18" x14ac:dyDescent="0.25">
      <c r="A1116" s="45"/>
      <c r="B1116" s="47"/>
      <c r="C1116" s="47"/>
      <c r="D1116" s="47"/>
      <c r="E1116" s="45"/>
      <c r="F1116" s="45"/>
      <c r="G1116" s="45"/>
      <c r="H1116" s="45"/>
      <c r="I1116" s="45"/>
      <c r="J1116" s="45"/>
      <c r="K1116" s="45"/>
      <c r="L1116" s="45"/>
      <c r="M1116" s="45"/>
      <c r="N1116" s="45"/>
      <c r="O1116" s="45"/>
      <c r="P1116" s="45"/>
      <c r="Q1116" s="45"/>
      <c r="R1116" s="45"/>
    </row>
    <row r="1117" spans="1:18" x14ac:dyDescent="0.25">
      <c r="A1117" s="45"/>
      <c r="B1117" s="47"/>
      <c r="C1117" s="47"/>
      <c r="D1117" s="47"/>
      <c r="E1117" s="45"/>
      <c r="F1117" s="45"/>
      <c r="G1117" s="45"/>
      <c r="H1117" s="45"/>
      <c r="I1117" s="45"/>
      <c r="J1117" s="45"/>
      <c r="K1117" s="45"/>
      <c r="L1117" s="45"/>
      <c r="M1117" s="45"/>
      <c r="N1117" s="45"/>
      <c r="O1117" s="45"/>
      <c r="P1117" s="45"/>
      <c r="Q1117" s="45"/>
      <c r="R1117" s="45"/>
    </row>
    <row r="1118" spans="1:18" x14ac:dyDescent="0.25">
      <c r="A1118" s="45"/>
      <c r="B1118" s="47"/>
      <c r="C1118" s="47"/>
      <c r="D1118" s="47"/>
      <c r="E1118" s="45"/>
      <c r="F1118" s="45"/>
      <c r="G1118" s="45"/>
      <c r="H1118" s="45"/>
      <c r="I1118" s="45"/>
      <c r="J1118" s="45"/>
      <c r="K1118" s="45"/>
      <c r="L1118" s="45"/>
      <c r="M1118" s="45"/>
      <c r="N1118" s="45"/>
      <c r="O1118" s="45"/>
      <c r="P1118" s="45"/>
      <c r="Q1118" s="45"/>
      <c r="R1118" s="45"/>
    </row>
    <row r="1119" spans="1:18" x14ac:dyDescent="0.25">
      <c r="A1119" s="45"/>
      <c r="B1119" s="47"/>
      <c r="C1119" s="47"/>
      <c r="D1119" s="47"/>
      <c r="E1119" s="45"/>
      <c r="F1119" s="45"/>
      <c r="G1119" s="45"/>
      <c r="H1119" s="45"/>
      <c r="I1119" s="45"/>
      <c r="J1119" s="45"/>
      <c r="K1119" s="45"/>
      <c r="L1119" s="45"/>
      <c r="M1119" s="45"/>
      <c r="N1119" s="45"/>
      <c r="O1119" s="45"/>
      <c r="P1119" s="45"/>
      <c r="Q1119" s="45"/>
      <c r="R1119" s="45"/>
    </row>
    <row r="1120" spans="1:18" x14ac:dyDescent="0.25">
      <c r="A1120" s="45"/>
      <c r="B1120" s="47"/>
      <c r="C1120" s="47"/>
      <c r="D1120" s="47"/>
      <c r="E1120" s="45"/>
      <c r="F1120" s="45"/>
      <c r="G1120" s="45"/>
      <c r="H1120" s="45"/>
      <c r="I1120" s="45"/>
      <c r="J1120" s="45"/>
      <c r="K1120" s="45"/>
      <c r="L1120" s="45"/>
      <c r="M1120" s="45"/>
      <c r="N1120" s="45"/>
      <c r="O1120" s="45"/>
      <c r="P1120" s="45"/>
      <c r="Q1120" s="45"/>
      <c r="R1120" s="45"/>
    </row>
    <row r="1121" spans="1:18" x14ac:dyDescent="0.25">
      <c r="A1121" s="45"/>
      <c r="B1121" s="47"/>
      <c r="C1121" s="47"/>
      <c r="D1121" s="47"/>
      <c r="E1121" s="45"/>
      <c r="F1121" s="45"/>
      <c r="G1121" s="45"/>
      <c r="H1121" s="45"/>
      <c r="I1121" s="45"/>
      <c r="J1121" s="45"/>
      <c r="K1121" s="45"/>
      <c r="L1121" s="45"/>
      <c r="M1121" s="45"/>
      <c r="N1121" s="45"/>
      <c r="O1121" s="45"/>
      <c r="P1121" s="45"/>
      <c r="Q1121" s="45"/>
      <c r="R1121" s="45"/>
    </row>
    <row r="1122" spans="1:18" x14ac:dyDescent="0.25">
      <c r="A1122" s="45"/>
      <c r="B1122" s="47"/>
      <c r="C1122" s="47"/>
      <c r="D1122" s="47"/>
      <c r="E1122" s="45"/>
      <c r="F1122" s="45"/>
      <c r="G1122" s="45"/>
      <c r="H1122" s="45"/>
      <c r="I1122" s="45"/>
      <c r="J1122" s="45"/>
      <c r="K1122" s="45"/>
      <c r="L1122" s="45"/>
      <c r="M1122" s="45"/>
      <c r="N1122" s="45"/>
      <c r="O1122" s="45"/>
      <c r="P1122" s="45"/>
      <c r="Q1122" s="45"/>
      <c r="R1122" s="45"/>
    </row>
    <row r="1123" spans="1:18" x14ac:dyDescent="0.25">
      <c r="A1123" s="45"/>
      <c r="B1123" s="47"/>
      <c r="C1123" s="47"/>
      <c r="D1123" s="47"/>
      <c r="E1123" s="45"/>
      <c r="F1123" s="45"/>
      <c r="G1123" s="45"/>
      <c r="H1123" s="45"/>
      <c r="I1123" s="45"/>
      <c r="J1123" s="45"/>
      <c r="K1123" s="45"/>
      <c r="L1123" s="45"/>
      <c r="M1123" s="45"/>
      <c r="N1123" s="45"/>
      <c r="O1123" s="45"/>
      <c r="P1123" s="45"/>
      <c r="Q1123" s="45"/>
      <c r="R1123" s="45"/>
    </row>
    <row r="1124" spans="1:18" x14ac:dyDescent="0.25">
      <c r="A1124" s="45"/>
      <c r="B1124" s="47"/>
      <c r="C1124" s="47"/>
      <c r="D1124" s="47"/>
      <c r="E1124" s="45"/>
      <c r="F1124" s="45"/>
      <c r="G1124" s="45"/>
      <c r="H1124" s="45"/>
      <c r="I1124" s="45"/>
      <c r="J1124" s="45"/>
      <c r="K1124" s="45"/>
      <c r="L1124" s="45"/>
      <c r="M1124" s="45"/>
      <c r="N1124" s="45"/>
      <c r="O1124" s="45"/>
      <c r="P1124" s="45"/>
      <c r="Q1124" s="45"/>
      <c r="R1124" s="45"/>
    </row>
    <row r="1125" spans="1:18" x14ac:dyDescent="0.25">
      <c r="A1125" s="45"/>
      <c r="B1125" s="47"/>
      <c r="C1125" s="47"/>
      <c r="D1125" s="47"/>
      <c r="E1125" s="45"/>
      <c r="F1125" s="45"/>
      <c r="G1125" s="45"/>
      <c r="H1125" s="45"/>
      <c r="I1125" s="45"/>
      <c r="J1125" s="45"/>
      <c r="K1125" s="45"/>
      <c r="L1125" s="45"/>
      <c r="M1125" s="45"/>
      <c r="N1125" s="45"/>
      <c r="O1125" s="45"/>
      <c r="P1125" s="45"/>
      <c r="Q1125" s="45"/>
      <c r="R1125" s="45"/>
    </row>
    <row r="1126" spans="1:18" x14ac:dyDescent="0.25">
      <c r="A1126" s="45"/>
      <c r="B1126" s="47"/>
      <c r="C1126" s="47"/>
      <c r="D1126" s="47"/>
      <c r="E1126" s="45"/>
      <c r="F1126" s="45"/>
      <c r="G1126" s="45"/>
      <c r="H1126" s="45"/>
      <c r="I1126" s="45"/>
      <c r="J1126" s="45"/>
      <c r="K1126" s="45"/>
      <c r="L1126" s="45"/>
      <c r="M1126" s="45"/>
      <c r="N1126" s="45"/>
      <c r="O1126" s="45"/>
      <c r="P1126" s="45"/>
      <c r="Q1126" s="45"/>
      <c r="R1126" s="45"/>
    </row>
    <row r="1127" spans="1:18" x14ac:dyDescent="0.25">
      <c r="A1127" s="45"/>
      <c r="B1127" s="47"/>
      <c r="C1127" s="47"/>
      <c r="D1127" s="47"/>
      <c r="E1127" s="45"/>
      <c r="F1127" s="45"/>
      <c r="G1127" s="45"/>
      <c r="H1127" s="45"/>
      <c r="I1127" s="45"/>
      <c r="J1127" s="45"/>
      <c r="K1127" s="45"/>
      <c r="L1127" s="45"/>
      <c r="M1127" s="45"/>
      <c r="N1127" s="45"/>
      <c r="O1127" s="45"/>
      <c r="P1127" s="45"/>
      <c r="Q1127" s="45"/>
      <c r="R1127" s="45"/>
    </row>
    <row r="1128" spans="1:18" x14ac:dyDescent="0.25">
      <c r="A1128" s="45"/>
      <c r="B1128" s="47"/>
      <c r="C1128" s="47"/>
      <c r="D1128" s="47"/>
      <c r="E1128" s="45"/>
      <c r="F1128" s="45"/>
      <c r="G1128" s="45"/>
      <c r="H1128" s="45"/>
      <c r="I1128" s="45"/>
      <c r="J1128" s="45"/>
      <c r="K1128" s="45"/>
      <c r="L1128" s="45"/>
      <c r="M1128" s="45"/>
      <c r="N1128" s="45"/>
      <c r="O1128" s="45"/>
      <c r="P1128" s="45"/>
      <c r="Q1128" s="45"/>
      <c r="R1128" s="45"/>
    </row>
    <row r="1129" spans="1:18" x14ac:dyDescent="0.25">
      <c r="A1129" s="45"/>
      <c r="B1129" s="47"/>
      <c r="C1129" s="47"/>
      <c r="D1129" s="47"/>
      <c r="E1129" s="45"/>
      <c r="F1129" s="45"/>
      <c r="G1129" s="45"/>
      <c r="H1129" s="45"/>
      <c r="I1129" s="45"/>
      <c r="J1129" s="45"/>
      <c r="K1129" s="45"/>
      <c r="L1129" s="45"/>
      <c r="M1129" s="45"/>
      <c r="N1129" s="45"/>
      <c r="O1129" s="45"/>
      <c r="P1129" s="45"/>
      <c r="Q1129" s="45"/>
      <c r="R1129" s="45"/>
    </row>
    <row r="1130" spans="1:18" x14ac:dyDescent="0.25">
      <c r="A1130" s="45"/>
      <c r="B1130" s="47"/>
      <c r="C1130" s="47"/>
      <c r="D1130" s="47"/>
      <c r="E1130" s="45"/>
      <c r="F1130" s="45"/>
      <c r="G1130" s="45"/>
      <c r="H1130" s="45"/>
      <c r="I1130" s="45"/>
      <c r="J1130" s="45"/>
      <c r="K1130" s="45"/>
      <c r="L1130" s="45"/>
      <c r="M1130" s="45"/>
      <c r="N1130" s="45"/>
      <c r="O1130" s="45"/>
      <c r="P1130" s="45"/>
      <c r="Q1130" s="45"/>
      <c r="R1130" s="45"/>
    </row>
    <row r="1131" spans="1:18" x14ac:dyDescent="0.25">
      <c r="A1131" s="45"/>
      <c r="B1131" s="47"/>
      <c r="C1131" s="47"/>
      <c r="D1131" s="47"/>
      <c r="E1131" s="45"/>
      <c r="F1131" s="45"/>
      <c r="G1131" s="45"/>
      <c r="H1131" s="45"/>
      <c r="I1131" s="45"/>
      <c r="J1131" s="45"/>
      <c r="K1131" s="45"/>
      <c r="L1131" s="45"/>
      <c r="M1131" s="45"/>
      <c r="N1131" s="45"/>
      <c r="O1131" s="45"/>
      <c r="P1131" s="45"/>
      <c r="Q1131" s="45"/>
      <c r="R1131" s="45"/>
    </row>
    <row r="1132" spans="1:18" x14ac:dyDescent="0.25">
      <c r="A1132" s="45"/>
      <c r="B1132" s="47"/>
      <c r="C1132" s="47"/>
      <c r="D1132" s="47"/>
      <c r="E1132" s="45"/>
      <c r="F1132" s="45"/>
      <c r="G1132" s="45"/>
      <c r="H1132" s="45"/>
      <c r="I1132" s="45"/>
      <c r="J1132" s="45"/>
      <c r="K1132" s="45"/>
      <c r="L1132" s="45"/>
      <c r="M1132" s="45"/>
      <c r="N1132" s="45"/>
      <c r="O1132" s="45"/>
      <c r="P1132" s="45"/>
      <c r="Q1132" s="45"/>
      <c r="R1132" s="45"/>
    </row>
    <row r="1133" spans="1:18" x14ac:dyDescent="0.25">
      <c r="A1133" s="45"/>
      <c r="B1133" s="47"/>
      <c r="C1133" s="47"/>
      <c r="D1133" s="47"/>
      <c r="E1133" s="45"/>
      <c r="F1133" s="45"/>
      <c r="G1133" s="45"/>
      <c r="H1133" s="45"/>
      <c r="I1133" s="45"/>
      <c r="J1133" s="45"/>
      <c r="K1133" s="45"/>
      <c r="L1133" s="45"/>
      <c r="M1133" s="45"/>
      <c r="N1133" s="45"/>
      <c r="O1133" s="45"/>
      <c r="P1133" s="45"/>
      <c r="Q1133" s="45"/>
      <c r="R1133" s="45"/>
    </row>
    <row r="1134" spans="1:18" x14ac:dyDescent="0.25">
      <c r="A1134" s="45"/>
      <c r="B1134" s="47"/>
      <c r="C1134" s="47"/>
      <c r="D1134" s="47"/>
      <c r="E1134" s="45"/>
      <c r="F1134" s="45"/>
      <c r="G1134" s="45"/>
      <c r="H1134" s="45"/>
      <c r="I1134" s="45"/>
      <c r="J1134" s="45"/>
      <c r="K1134" s="45"/>
      <c r="L1134" s="45"/>
      <c r="M1134" s="45"/>
      <c r="N1134" s="45"/>
      <c r="O1134" s="45"/>
      <c r="P1134" s="45"/>
      <c r="Q1134" s="45"/>
      <c r="R1134" s="45"/>
    </row>
    <row r="1135" spans="1:18" x14ac:dyDescent="0.25">
      <c r="A1135" s="45"/>
      <c r="B1135" s="47"/>
      <c r="C1135" s="47"/>
      <c r="D1135" s="47"/>
      <c r="E1135" s="45"/>
      <c r="F1135" s="45"/>
      <c r="G1135" s="45"/>
      <c r="H1135" s="45"/>
      <c r="I1135" s="45"/>
      <c r="J1135" s="45"/>
      <c r="K1135" s="45"/>
      <c r="L1135" s="45"/>
      <c r="M1135" s="45"/>
      <c r="N1135" s="45"/>
      <c r="O1135" s="45"/>
      <c r="P1135" s="45"/>
      <c r="Q1135" s="45"/>
      <c r="R1135" s="45"/>
    </row>
    <row r="1136" spans="1:18" x14ac:dyDescent="0.25">
      <c r="A1136" s="45"/>
      <c r="B1136" s="47"/>
      <c r="C1136" s="47"/>
      <c r="D1136" s="47"/>
      <c r="E1136" s="45"/>
      <c r="F1136" s="45"/>
      <c r="G1136" s="45"/>
      <c r="H1136" s="45"/>
      <c r="I1136" s="45"/>
      <c r="J1136" s="45"/>
      <c r="K1136" s="45"/>
      <c r="L1136" s="45"/>
      <c r="M1136" s="45"/>
      <c r="N1136" s="45"/>
      <c r="O1136" s="45"/>
      <c r="P1136" s="45"/>
      <c r="Q1136" s="45"/>
      <c r="R1136" s="45"/>
    </row>
    <row r="1137" spans="1:18" x14ac:dyDescent="0.25">
      <c r="A1137" s="45"/>
      <c r="B1137" s="47"/>
      <c r="C1137" s="47"/>
      <c r="D1137" s="47"/>
      <c r="E1137" s="45"/>
      <c r="F1137" s="45"/>
      <c r="G1137" s="45"/>
      <c r="H1137" s="45"/>
      <c r="I1137" s="45"/>
      <c r="J1137" s="45"/>
      <c r="K1137" s="45"/>
      <c r="L1137" s="45"/>
      <c r="M1137" s="45"/>
      <c r="N1137" s="45"/>
      <c r="O1137" s="45"/>
      <c r="P1137" s="45"/>
      <c r="Q1137" s="45"/>
      <c r="R1137" s="45"/>
    </row>
    <row r="1138" spans="1:18" x14ac:dyDescent="0.25">
      <c r="A1138" s="45"/>
      <c r="B1138" s="47"/>
      <c r="C1138" s="47"/>
      <c r="D1138" s="47"/>
      <c r="E1138" s="45"/>
      <c r="F1138" s="45"/>
      <c r="G1138" s="45"/>
      <c r="H1138" s="45"/>
      <c r="I1138" s="45"/>
      <c r="J1138" s="45"/>
      <c r="K1138" s="45"/>
      <c r="L1138" s="45"/>
      <c r="M1138" s="45"/>
      <c r="N1138" s="45"/>
      <c r="O1138" s="45"/>
      <c r="P1138" s="45"/>
      <c r="Q1138" s="45"/>
      <c r="R1138" s="45"/>
    </row>
    <row r="1139" spans="1:18" x14ac:dyDescent="0.25">
      <c r="A1139" s="45"/>
      <c r="B1139" s="47"/>
      <c r="C1139" s="47"/>
      <c r="D1139" s="47"/>
      <c r="E1139" s="45"/>
      <c r="F1139" s="45"/>
      <c r="G1139" s="45"/>
      <c r="H1139" s="45"/>
      <c r="I1139" s="45"/>
      <c r="J1139" s="45"/>
      <c r="K1139" s="45"/>
      <c r="L1139" s="45"/>
      <c r="M1139" s="45"/>
      <c r="N1139" s="45"/>
      <c r="O1139" s="45"/>
      <c r="P1139" s="45"/>
      <c r="Q1139" s="45"/>
      <c r="R1139" s="45"/>
    </row>
    <row r="1140" spans="1:18" x14ac:dyDescent="0.25">
      <c r="A1140" s="45"/>
      <c r="B1140" s="47"/>
      <c r="C1140" s="47"/>
      <c r="D1140" s="47"/>
      <c r="E1140" s="45"/>
      <c r="F1140" s="45"/>
      <c r="G1140" s="45"/>
      <c r="H1140" s="45"/>
      <c r="I1140" s="45"/>
      <c r="J1140" s="45"/>
      <c r="K1140" s="45"/>
      <c r="L1140" s="45"/>
      <c r="M1140" s="45"/>
      <c r="N1140" s="45"/>
      <c r="O1140" s="45"/>
      <c r="P1140" s="45"/>
      <c r="Q1140" s="45"/>
      <c r="R1140" s="45"/>
    </row>
    <row r="1141" spans="1:18" x14ac:dyDescent="0.25">
      <c r="A1141" s="45"/>
      <c r="B1141" s="47"/>
      <c r="C1141" s="47"/>
      <c r="D1141" s="47"/>
      <c r="E1141" s="45"/>
      <c r="F1141" s="45"/>
      <c r="G1141" s="45"/>
      <c r="H1141" s="45"/>
      <c r="I1141" s="45"/>
      <c r="J1141" s="45"/>
      <c r="K1141" s="45"/>
      <c r="L1141" s="45"/>
      <c r="M1141" s="45"/>
      <c r="N1141" s="45"/>
      <c r="O1141" s="45"/>
      <c r="P1141" s="45"/>
      <c r="Q1141" s="45"/>
      <c r="R1141" s="45"/>
    </row>
    <row r="1142" spans="1:18" x14ac:dyDescent="0.25">
      <c r="A1142" s="45"/>
      <c r="B1142" s="47"/>
      <c r="C1142" s="47"/>
      <c r="D1142" s="47"/>
      <c r="E1142" s="45"/>
      <c r="F1142" s="45"/>
      <c r="G1142" s="45"/>
      <c r="H1142" s="45"/>
      <c r="I1142" s="45"/>
      <c r="J1142" s="45"/>
      <c r="K1142" s="45"/>
      <c r="L1142" s="45"/>
      <c r="M1142" s="45"/>
      <c r="N1142" s="45"/>
      <c r="O1142" s="45"/>
      <c r="P1142" s="45"/>
      <c r="Q1142" s="45"/>
      <c r="R1142" s="45"/>
    </row>
    <row r="1143" spans="1:18" x14ac:dyDescent="0.25">
      <c r="A1143" s="45"/>
      <c r="B1143" s="47"/>
      <c r="C1143" s="47"/>
      <c r="D1143" s="47"/>
      <c r="E1143" s="45"/>
      <c r="F1143" s="45"/>
      <c r="G1143" s="45"/>
      <c r="H1143" s="45"/>
      <c r="I1143" s="45"/>
      <c r="J1143" s="45"/>
      <c r="K1143" s="45"/>
      <c r="L1143" s="45"/>
      <c r="M1143" s="45"/>
      <c r="N1143" s="45"/>
      <c r="O1143" s="45"/>
      <c r="P1143" s="45"/>
      <c r="Q1143" s="45"/>
      <c r="R1143" s="45"/>
    </row>
    <row r="1144" spans="1:18" x14ac:dyDescent="0.25">
      <c r="A1144" s="45"/>
      <c r="B1144" s="47"/>
      <c r="C1144" s="47"/>
      <c r="D1144" s="47"/>
      <c r="E1144" s="45"/>
      <c r="F1144" s="45"/>
      <c r="G1144" s="45"/>
      <c r="H1144" s="45"/>
      <c r="I1144" s="45"/>
      <c r="J1144" s="45"/>
      <c r="K1144" s="45"/>
      <c r="L1144" s="45"/>
      <c r="M1144" s="45"/>
      <c r="N1144" s="45"/>
      <c r="O1144" s="45"/>
      <c r="P1144" s="45"/>
      <c r="Q1144" s="45"/>
      <c r="R1144" s="45"/>
    </row>
    <row r="1145" spans="1:18" x14ac:dyDescent="0.25">
      <c r="A1145" s="45"/>
      <c r="B1145" s="47"/>
      <c r="C1145" s="47"/>
      <c r="D1145" s="47"/>
      <c r="E1145" s="45"/>
      <c r="F1145" s="45"/>
      <c r="G1145" s="45"/>
      <c r="H1145" s="45"/>
      <c r="I1145" s="45"/>
      <c r="J1145" s="45"/>
      <c r="K1145" s="45"/>
      <c r="L1145" s="45"/>
      <c r="M1145" s="45"/>
      <c r="N1145" s="45"/>
      <c r="O1145" s="45"/>
      <c r="P1145" s="45"/>
      <c r="Q1145" s="45"/>
      <c r="R1145" s="45"/>
    </row>
    <row r="1146" spans="1:18" x14ac:dyDescent="0.25">
      <c r="A1146" s="45"/>
      <c r="B1146" s="47"/>
      <c r="C1146" s="47"/>
      <c r="D1146" s="47"/>
      <c r="E1146" s="45"/>
      <c r="F1146" s="45"/>
      <c r="G1146" s="45"/>
      <c r="H1146" s="45"/>
      <c r="I1146" s="45"/>
      <c r="J1146" s="45"/>
      <c r="K1146" s="45"/>
      <c r="L1146" s="45"/>
      <c r="M1146" s="45"/>
      <c r="N1146" s="45"/>
      <c r="O1146" s="45"/>
      <c r="P1146" s="45"/>
      <c r="Q1146" s="45"/>
      <c r="R1146" s="45"/>
    </row>
    <row r="1147" spans="1:18" x14ac:dyDescent="0.25">
      <c r="A1147" s="45"/>
      <c r="B1147" s="47"/>
      <c r="C1147" s="47"/>
      <c r="D1147" s="47"/>
      <c r="E1147" s="45"/>
      <c r="F1147" s="45"/>
      <c r="G1147" s="45"/>
      <c r="H1147" s="45"/>
      <c r="I1147" s="45"/>
      <c r="J1147" s="45"/>
      <c r="K1147" s="45"/>
      <c r="L1147" s="45"/>
      <c r="M1147" s="45"/>
      <c r="N1147" s="45"/>
      <c r="O1147" s="45"/>
      <c r="P1147" s="45"/>
      <c r="Q1147" s="45"/>
      <c r="R1147" s="45"/>
    </row>
    <row r="1148" spans="1:18" x14ac:dyDescent="0.25">
      <c r="A1148" s="45"/>
      <c r="B1148" s="47"/>
      <c r="C1148" s="47"/>
      <c r="D1148" s="47"/>
      <c r="E1148" s="45"/>
      <c r="F1148" s="45"/>
      <c r="G1148" s="45"/>
      <c r="H1148" s="45"/>
      <c r="I1148" s="45"/>
      <c r="J1148" s="45"/>
      <c r="K1148" s="45"/>
      <c r="L1148" s="45"/>
      <c r="M1148" s="45"/>
      <c r="N1148" s="45"/>
      <c r="O1148" s="45"/>
      <c r="P1148" s="45"/>
      <c r="Q1148" s="45"/>
      <c r="R1148" s="45"/>
    </row>
    <row r="1149" spans="1:18" x14ac:dyDescent="0.25">
      <c r="A1149" s="45"/>
      <c r="B1149" s="47"/>
      <c r="C1149" s="47"/>
      <c r="D1149" s="47"/>
      <c r="E1149" s="45"/>
      <c r="F1149" s="45"/>
      <c r="G1149" s="45"/>
      <c r="H1149" s="45"/>
      <c r="I1149" s="45"/>
      <c r="J1149" s="45"/>
      <c r="K1149" s="45"/>
      <c r="L1149" s="45"/>
      <c r="M1149" s="45"/>
      <c r="N1149" s="45"/>
      <c r="O1149" s="45"/>
      <c r="P1149" s="45"/>
      <c r="Q1149" s="45"/>
      <c r="R1149" s="45"/>
    </row>
    <row r="1150" spans="1:18" x14ac:dyDescent="0.25">
      <c r="A1150" s="45"/>
      <c r="B1150" s="47"/>
      <c r="C1150" s="47"/>
      <c r="D1150" s="47"/>
      <c r="E1150" s="45"/>
      <c r="F1150" s="45"/>
      <c r="G1150" s="45"/>
      <c r="H1150" s="45"/>
      <c r="I1150" s="45"/>
      <c r="J1150" s="45"/>
      <c r="K1150" s="45"/>
      <c r="L1150" s="45"/>
      <c r="M1150" s="45"/>
      <c r="N1150" s="45"/>
      <c r="O1150" s="45"/>
      <c r="P1150" s="45"/>
      <c r="Q1150" s="45"/>
      <c r="R1150" s="45"/>
    </row>
    <row r="1151" spans="1:18" x14ac:dyDescent="0.25">
      <c r="A1151" s="45"/>
      <c r="B1151" s="47"/>
      <c r="C1151" s="47"/>
      <c r="D1151" s="47"/>
      <c r="E1151" s="45"/>
      <c r="F1151" s="45"/>
      <c r="G1151" s="45"/>
      <c r="H1151" s="45"/>
      <c r="I1151" s="45"/>
      <c r="J1151" s="45"/>
      <c r="K1151" s="45"/>
      <c r="L1151" s="45"/>
      <c r="M1151" s="45"/>
      <c r="N1151" s="45"/>
      <c r="O1151" s="45"/>
      <c r="P1151" s="45"/>
      <c r="Q1151" s="45"/>
      <c r="R1151" s="45"/>
    </row>
    <row r="1152" spans="1:18" x14ac:dyDescent="0.25">
      <c r="A1152" s="45"/>
      <c r="B1152" s="47"/>
      <c r="C1152" s="47"/>
      <c r="D1152" s="47"/>
      <c r="E1152" s="45"/>
      <c r="F1152" s="45"/>
      <c r="G1152" s="45"/>
      <c r="H1152" s="45"/>
      <c r="I1152" s="45"/>
      <c r="J1152" s="45"/>
      <c r="K1152" s="45"/>
      <c r="L1152" s="45"/>
      <c r="M1152" s="45"/>
      <c r="N1152" s="45"/>
      <c r="O1152" s="45"/>
      <c r="P1152" s="45"/>
      <c r="Q1152" s="45"/>
      <c r="R1152" s="45"/>
    </row>
    <row r="1153" spans="1:18" x14ac:dyDescent="0.25">
      <c r="A1153" s="45"/>
      <c r="B1153" s="47"/>
      <c r="C1153" s="47"/>
      <c r="D1153" s="47"/>
      <c r="E1153" s="45"/>
      <c r="F1153" s="45"/>
      <c r="G1153" s="45"/>
      <c r="H1153" s="45"/>
      <c r="I1153" s="45"/>
      <c r="J1153" s="45"/>
      <c r="K1153" s="45"/>
      <c r="L1153" s="45"/>
      <c r="M1153" s="45"/>
      <c r="N1153" s="45"/>
      <c r="O1153" s="45"/>
      <c r="P1153" s="45"/>
      <c r="Q1153" s="45"/>
      <c r="R1153" s="45"/>
    </row>
    <row r="1154" spans="1:18" x14ac:dyDescent="0.25">
      <c r="A1154" s="45"/>
      <c r="B1154" s="47"/>
      <c r="C1154" s="47"/>
      <c r="D1154" s="47"/>
      <c r="E1154" s="45"/>
      <c r="F1154" s="45"/>
      <c r="G1154" s="45"/>
      <c r="H1154" s="45"/>
      <c r="I1154" s="45"/>
      <c r="J1154" s="45"/>
      <c r="K1154" s="45"/>
      <c r="L1154" s="45"/>
      <c r="M1154" s="45"/>
      <c r="N1154" s="45"/>
      <c r="O1154" s="45"/>
      <c r="P1154" s="45"/>
      <c r="Q1154" s="45"/>
      <c r="R1154" s="45"/>
    </row>
    <row r="1155" spans="1:18" x14ac:dyDescent="0.25">
      <c r="A1155" s="45"/>
      <c r="B1155" s="47"/>
      <c r="C1155" s="47"/>
      <c r="D1155" s="47"/>
      <c r="E1155" s="45"/>
      <c r="F1155" s="45"/>
      <c r="G1155" s="45"/>
      <c r="H1155" s="45"/>
      <c r="I1155" s="45"/>
      <c r="J1155" s="45"/>
      <c r="K1155" s="45"/>
      <c r="L1155" s="45"/>
      <c r="M1155" s="45"/>
      <c r="N1155" s="45"/>
      <c r="O1155" s="45"/>
      <c r="P1155" s="45"/>
      <c r="Q1155" s="45"/>
      <c r="R1155" s="45"/>
    </row>
    <row r="1156" spans="1:18" x14ac:dyDescent="0.25">
      <c r="A1156" s="45"/>
      <c r="B1156" s="47"/>
      <c r="C1156" s="47"/>
      <c r="D1156" s="47"/>
      <c r="E1156" s="45"/>
      <c r="F1156" s="45"/>
      <c r="G1156" s="45"/>
      <c r="H1156" s="45"/>
      <c r="I1156" s="45"/>
      <c r="J1156" s="45"/>
      <c r="K1156" s="45"/>
      <c r="L1156" s="45"/>
      <c r="M1156" s="45"/>
      <c r="N1156" s="45"/>
      <c r="O1156" s="45"/>
      <c r="P1156" s="45"/>
      <c r="Q1156" s="45"/>
      <c r="R1156" s="45"/>
    </row>
    <row r="1157" spans="1:18" x14ac:dyDescent="0.25">
      <c r="A1157" s="45"/>
      <c r="B1157" s="47"/>
      <c r="C1157" s="47"/>
      <c r="D1157" s="47"/>
      <c r="E1157" s="45"/>
      <c r="F1157" s="45"/>
      <c r="G1157" s="45"/>
      <c r="H1157" s="45"/>
      <c r="I1157" s="45"/>
      <c r="J1157" s="45"/>
      <c r="K1157" s="45"/>
      <c r="L1157" s="45"/>
      <c r="M1157" s="45"/>
      <c r="N1157" s="45"/>
      <c r="O1157" s="45"/>
      <c r="P1157" s="45"/>
      <c r="Q1157" s="45"/>
      <c r="R1157" s="45"/>
    </row>
    <row r="1158" spans="1:18" x14ac:dyDescent="0.25">
      <c r="A1158" s="45"/>
      <c r="B1158" s="47"/>
      <c r="C1158" s="47"/>
      <c r="D1158" s="47"/>
      <c r="E1158" s="45"/>
      <c r="F1158" s="45"/>
      <c r="G1158" s="45"/>
      <c r="H1158" s="45"/>
      <c r="I1158" s="45"/>
      <c r="J1158" s="45"/>
      <c r="K1158" s="45"/>
      <c r="L1158" s="45"/>
      <c r="M1158" s="45"/>
      <c r="N1158" s="45"/>
      <c r="O1158" s="45"/>
      <c r="P1158" s="45"/>
      <c r="Q1158" s="45"/>
      <c r="R1158" s="45"/>
    </row>
    <row r="1159" spans="1:18" x14ac:dyDescent="0.25">
      <c r="A1159" s="45"/>
      <c r="B1159" s="47"/>
      <c r="C1159" s="47"/>
      <c r="D1159" s="47"/>
      <c r="E1159" s="45"/>
      <c r="F1159" s="45"/>
      <c r="G1159" s="45"/>
      <c r="H1159" s="45"/>
      <c r="I1159" s="45"/>
      <c r="J1159" s="45"/>
      <c r="K1159" s="45"/>
      <c r="L1159" s="45"/>
      <c r="M1159" s="45"/>
      <c r="N1159" s="45"/>
      <c r="O1159" s="45"/>
      <c r="P1159" s="45"/>
      <c r="Q1159" s="45"/>
      <c r="R1159" s="45"/>
    </row>
    <row r="1160" spans="1:18" x14ac:dyDescent="0.25">
      <c r="A1160" s="45"/>
      <c r="B1160" s="47"/>
      <c r="C1160" s="47"/>
      <c r="D1160" s="47"/>
      <c r="E1160" s="45"/>
      <c r="F1160" s="45"/>
      <c r="G1160" s="45"/>
      <c r="H1160" s="45"/>
      <c r="I1160" s="45"/>
      <c r="J1160" s="45"/>
      <c r="K1160" s="45"/>
      <c r="L1160" s="45"/>
      <c r="M1160" s="45"/>
      <c r="N1160" s="45"/>
      <c r="O1160" s="45"/>
      <c r="P1160" s="45"/>
      <c r="Q1160" s="45"/>
      <c r="R1160" s="45"/>
    </row>
    <row r="1161" spans="1:18" x14ac:dyDescent="0.25">
      <c r="A1161" s="45"/>
      <c r="B1161" s="47"/>
      <c r="C1161" s="47"/>
      <c r="D1161" s="47"/>
      <c r="E1161" s="45"/>
      <c r="F1161" s="45"/>
      <c r="G1161" s="45"/>
      <c r="H1161" s="45"/>
      <c r="I1161" s="45"/>
      <c r="J1161" s="45"/>
      <c r="K1161" s="45"/>
      <c r="L1161" s="45"/>
      <c r="M1161" s="45"/>
      <c r="N1161" s="45"/>
      <c r="O1161" s="45"/>
      <c r="P1161" s="45"/>
      <c r="Q1161" s="45"/>
      <c r="R1161" s="45"/>
    </row>
    <row r="1162" spans="1:18" x14ac:dyDescent="0.25">
      <c r="A1162" s="45"/>
      <c r="B1162" s="47"/>
      <c r="C1162" s="47"/>
      <c r="D1162" s="47"/>
      <c r="E1162" s="45"/>
      <c r="F1162" s="45"/>
      <c r="G1162" s="45"/>
      <c r="H1162" s="45"/>
      <c r="I1162" s="45"/>
      <c r="J1162" s="45"/>
      <c r="K1162" s="45"/>
      <c r="L1162" s="45"/>
      <c r="M1162" s="45"/>
      <c r="N1162" s="45"/>
      <c r="O1162" s="45"/>
      <c r="P1162" s="45"/>
      <c r="Q1162" s="45"/>
      <c r="R1162" s="45"/>
    </row>
    <row r="1163" spans="1:18" x14ac:dyDescent="0.25">
      <c r="A1163" s="45"/>
      <c r="B1163" s="47"/>
      <c r="C1163" s="47"/>
      <c r="D1163" s="47"/>
      <c r="E1163" s="45"/>
      <c r="F1163" s="45"/>
      <c r="G1163" s="45"/>
      <c r="H1163" s="45"/>
      <c r="I1163" s="45"/>
      <c r="J1163" s="45"/>
      <c r="K1163" s="45"/>
      <c r="L1163" s="45"/>
      <c r="M1163" s="45"/>
      <c r="N1163" s="45"/>
      <c r="O1163" s="45"/>
      <c r="P1163" s="45"/>
      <c r="Q1163" s="45"/>
      <c r="R1163" s="45"/>
    </row>
    <row r="1164" spans="1:18" x14ac:dyDescent="0.25">
      <c r="A1164" s="45"/>
      <c r="B1164" s="47"/>
      <c r="C1164" s="47"/>
      <c r="D1164" s="47"/>
      <c r="E1164" s="45"/>
      <c r="F1164" s="45"/>
      <c r="G1164" s="45"/>
      <c r="H1164" s="45"/>
      <c r="I1164" s="45"/>
      <c r="J1164" s="45"/>
      <c r="K1164" s="45"/>
      <c r="L1164" s="45"/>
      <c r="M1164" s="45"/>
      <c r="N1164" s="45"/>
      <c r="O1164" s="45"/>
      <c r="P1164" s="45"/>
      <c r="Q1164" s="45"/>
      <c r="R1164" s="45"/>
    </row>
    <row r="1165" spans="1:18" x14ac:dyDescent="0.25">
      <c r="A1165" s="45"/>
      <c r="B1165" s="47"/>
      <c r="C1165" s="47"/>
      <c r="D1165" s="47"/>
      <c r="E1165" s="45"/>
      <c r="F1165" s="45"/>
      <c r="G1165" s="45"/>
      <c r="H1165" s="45"/>
      <c r="I1165" s="45"/>
      <c r="J1165" s="45"/>
      <c r="K1165" s="45"/>
      <c r="L1165" s="45"/>
      <c r="M1165" s="45"/>
      <c r="N1165" s="45"/>
      <c r="O1165" s="45"/>
      <c r="P1165" s="45"/>
      <c r="Q1165" s="45"/>
      <c r="R1165" s="45"/>
    </row>
    <row r="1166" spans="1:18" x14ac:dyDescent="0.25">
      <c r="A1166" s="45"/>
      <c r="B1166" s="47"/>
      <c r="C1166" s="47"/>
      <c r="D1166" s="47"/>
      <c r="E1166" s="45"/>
      <c r="F1166" s="45"/>
      <c r="G1166" s="45"/>
      <c r="H1166" s="45"/>
      <c r="I1166" s="45"/>
      <c r="J1166" s="45"/>
      <c r="K1166" s="45"/>
      <c r="L1166" s="45"/>
      <c r="M1166" s="45"/>
      <c r="N1166" s="45"/>
      <c r="O1166" s="45"/>
      <c r="P1166" s="45"/>
      <c r="Q1166" s="45"/>
      <c r="R1166" s="45"/>
    </row>
    <row r="1167" spans="1:18" x14ac:dyDescent="0.25">
      <c r="A1167" s="45"/>
      <c r="B1167" s="47"/>
      <c r="C1167" s="47"/>
      <c r="D1167" s="47"/>
      <c r="E1167" s="45"/>
      <c r="F1167" s="45"/>
      <c r="G1167" s="45"/>
      <c r="H1167" s="45"/>
      <c r="I1167" s="45"/>
      <c r="J1167" s="45"/>
      <c r="K1167" s="45"/>
      <c r="L1167" s="45"/>
      <c r="M1167" s="45"/>
      <c r="N1167" s="45"/>
      <c r="O1167" s="45"/>
      <c r="P1167" s="45"/>
      <c r="Q1167" s="45"/>
      <c r="R1167" s="45"/>
    </row>
    <row r="1168" spans="1:18" x14ac:dyDescent="0.25">
      <c r="A1168" s="45"/>
      <c r="B1168" s="47"/>
      <c r="C1168" s="47"/>
      <c r="D1168" s="47"/>
      <c r="E1168" s="45"/>
      <c r="F1168" s="45"/>
      <c r="G1168" s="45"/>
      <c r="H1168" s="45"/>
      <c r="I1168" s="45"/>
      <c r="J1168" s="45"/>
      <c r="K1168" s="45"/>
      <c r="L1168" s="45"/>
      <c r="M1168" s="45"/>
      <c r="N1168" s="45"/>
      <c r="O1168" s="45"/>
      <c r="P1168" s="45"/>
      <c r="Q1168" s="45"/>
      <c r="R1168" s="45"/>
    </row>
    <row r="1169" spans="1:18" x14ac:dyDescent="0.25">
      <c r="A1169" s="45"/>
      <c r="B1169" s="47"/>
      <c r="C1169" s="47"/>
      <c r="D1169" s="47"/>
      <c r="E1169" s="45"/>
      <c r="F1169" s="45"/>
      <c r="G1169" s="45"/>
      <c r="H1169" s="45"/>
      <c r="I1169" s="45"/>
      <c r="J1169" s="45"/>
      <c r="K1169" s="45"/>
      <c r="L1169" s="45"/>
      <c r="M1169" s="45"/>
      <c r="N1169" s="45"/>
      <c r="O1169" s="45"/>
      <c r="P1169" s="45"/>
      <c r="Q1169" s="45"/>
      <c r="R1169" s="45"/>
    </row>
    <row r="1170" spans="1:18" x14ac:dyDescent="0.25">
      <c r="A1170" s="45"/>
      <c r="B1170" s="47"/>
      <c r="C1170" s="47"/>
      <c r="D1170" s="47"/>
      <c r="E1170" s="45"/>
      <c r="F1170" s="45"/>
      <c r="G1170" s="45"/>
      <c r="H1170" s="45"/>
      <c r="I1170" s="45"/>
      <c r="J1170" s="45"/>
      <c r="K1170" s="45"/>
      <c r="L1170" s="45"/>
      <c r="M1170" s="45"/>
      <c r="N1170" s="45"/>
      <c r="O1170" s="45"/>
      <c r="P1170" s="45"/>
      <c r="Q1170" s="45"/>
      <c r="R1170" s="45"/>
    </row>
    <row r="1171" spans="1:18" x14ac:dyDescent="0.25">
      <c r="A1171" s="45"/>
      <c r="B1171" s="47"/>
      <c r="C1171" s="47"/>
      <c r="D1171" s="47"/>
      <c r="E1171" s="45"/>
      <c r="F1171" s="45"/>
      <c r="G1171" s="45"/>
      <c r="H1171" s="45"/>
      <c r="I1171" s="45"/>
      <c r="J1171" s="45"/>
      <c r="K1171" s="45"/>
      <c r="L1171" s="45"/>
      <c r="M1171" s="45"/>
      <c r="N1171" s="45"/>
      <c r="O1171" s="45"/>
      <c r="P1171" s="45"/>
      <c r="Q1171" s="45"/>
      <c r="R1171" s="45"/>
    </row>
    <row r="1172" spans="1:18" x14ac:dyDescent="0.25">
      <c r="A1172" s="45"/>
      <c r="B1172" s="47"/>
      <c r="C1172" s="47"/>
      <c r="D1172" s="47"/>
      <c r="E1172" s="45"/>
      <c r="F1172" s="45"/>
      <c r="G1172" s="45"/>
      <c r="H1172" s="45"/>
      <c r="I1172" s="45"/>
      <c r="J1172" s="45"/>
      <c r="K1172" s="45"/>
      <c r="L1172" s="45"/>
      <c r="M1172" s="45"/>
      <c r="N1172" s="45"/>
      <c r="O1172" s="45"/>
      <c r="P1172" s="45"/>
      <c r="Q1172" s="45"/>
      <c r="R1172" s="45"/>
    </row>
    <row r="1173" spans="1:18" x14ac:dyDescent="0.25">
      <c r="A1173" s="45"/>
      <c r="B1173" s="47"/>
      <c r="C1173" s="47"/>
      <c r="D1173" s="47"/>
      <c r="E1173" s="45"/>
      <c r="F1173" s="45"/>
      <c r="G1173" s="45"/>
      <c r="H1173" s="45"/>
      <c r="I1173" s="45"/>
      <c r="J1173" s="45"/>
      <c r="K1173" s="45"/>
      <c r="L1173" s="45"/>
      <c r="M1173" s="45"/>
      <c r="N1173" s="45"/>
      <c r="O1173" s="45"/>
      <c r="P1173" s="45"/>
      <c r="Q1173" s="45"/>
      <c r="R1173" s="45"/>
    </row>
    <row r="1174" spans="1:18" x14ac:dyDescent="0.25">
      <c r="A1174" s="45"/>
      <c r="B1174" s="47"/>
      <c r="C1174" s="47"/>
      <c r="D1174" s="47"/>
      <c r="E1174" s="45"/>
      <c r="F1174" s="45"/>
      <c r="G1174" s="45"/>
      <c r="H1174" s="45"/>
      <c r="I1174" s="45"/>
      <c r="J1174" s="45"/>
      <c r="K1174" s="45"/>
      <c r="L1174" s="45"/>
      <c r="M1174" s="45"/>
      <c r="N1174" s="45"/>
      <c r="O1174" s="45"/>
      <c r="P1174" s="45"/>
      <c r="Q1174" s="45"/>
      <c r="R1174" s="45"/>
    </row>
    <row r="1175" spans="1:18" x14ac:dyDescent="0.25">
      <c r="A1175" s="45"/>
      <c r="B1175" s="47"/>
      <c r="C1175" s="47"/>
      <c r="D1175" s="47"/>
      <c r="E1175" s="45"/>
      <c r="F1175" s="45"/>
      <c r="G1175" s="45"/>
      <c r="H1175" s="45"/>
      <c r="I1175" s="45"/>
      <c r="J1175" s="45"/>
      <c r="K1175" s="45"/>
      <c r="L1175" s="45"/>
      <c r="M1175" s="45"/>
      <c r="N1175" s="45"/>
      <c r="O1175" s="45"/>
      <c r="P1175" s="45"/>
      <c r="Q1175" s="45"/>
      <c r="R1175" s="45"/>
    </row>
    <row r="1176" spans="1:18" x14ac:dyDescent="0.25">
      <c r="A1176" s="45"/>
      <c r="B1176" s="47"/>
      <c r="C1176" s="47"/>
      <c r="D1176" s="47"/>
      <c r="E1176" s="45"/>
      <c r="F1176" s="45"/>
      <c r="G1176" s="45"/>
      <c r="H1176" s="45"/>
      <c r="I1176" s="45"/>
      <c r="J1176" s="45"/>
      <c r="K1176" s="45"/>
      <c r="L1176" s="45"/>
      <c r="M1176" s="45"/>
      <c r="N1176" s="45"/>
      <c r="O1176" s="45"/>
      <c r="P1176" s="45"/>
      <c r="Q1176" s="45"/>
      <c r="R1176" s="45"/>
    </row>
    <row r="1177" spans="1:18" x14ac:dyDescent="0.25">
      <c r="A1177" s="45"/>
      <c r="B1177" s="47"/>
      <c r="C1177" s="47"/>
      <c r="D1177" s="47"/>
      <c r="E1177" s="45"/>
      <c r="F1177" s="45"/>
      <c r="G1177" s="45"/>
      <c r="H1177" s="45"/>
      <c r="I1177" s="45"/>
      <c r="J1177" s="45"/>
      <c r="K1177" s="45"/>
      <c r="L1177" s="45"/>
      <c r="M1177" s="45"/>
      <c r="N1177" s="45"/>
      <c r="O1177" s="45"/>
      <c r="P1177" s="45"/>
      <c r="Q1177" s="45"/>
      <c r="R1177" s="45"/>
    </row>
    <row r="1178" spans="1:18" x14ac:dyDescent="0.25">
      <c r="A1178" s="45"/>
      <c r="B1178" s="47"/>
      <c r="C1178" s="47"/>
      <c r="D1178" s="47"/>
      <c r="E1178" s="45"/>
      <c r="F1178" s="45"/>
      <c r="G1178" s="45"/>
      <c r="H1178" s="45"/>
      <c r="I1178" s="45"/>
      <c r="J1178" s="45"/>
      <c r="K1178" s="45"/>
      <c r="L1178" s="45"/>
      <c r="M1178" s="45"/>
      <c r="N1178" s="45"/>
      <c r="O1178" s="45"/>
      <c r="P1178" s="45"/>
      <c r="Q1178" s="45"/>
      <c r="R1178" s="45"/>
    </row>
    <row r="1179" spans="1:18" x14ac:dyDescent="0.25">
      <c r="A1179" s="45"/>
      <c r="B1179" s="47"/>
      <c r="C1179" s="47"/>
      <c r="D1179" s="47"/>
      <c r="E1179" s="45"/>
      <c r="F1179" s="45"/>
      <c r="G1179" s="45"/>
      <c r="H1179" s="45"/>
      <c r="I1179" s="45"/>
      <c r="J1179" s="45"/>
      <c r="K1179" s="45"/>
      <c r="L1179" s="45"/>
      <c r="M1179" s="45"/>
      <c r="N1179" s="45"/>
      <c r="O1179" s="45"/>
      <c r="P1179" s="45"/>
      <c r="Q1179" s="45"/>
      <c r="R1179" s="45"/>
    </row>
    <row r="1180" spans="1:18" x14ac:dyDescent="0.25">
      <c r="A1180" s="45"/>
      <c r="B1180" s="47"/>
      <c r="C1180" s="47"/>
      <c r="D1180" s="47"/>
      <c r="E1180" s="45"/>
      <c r="F1180" s="45"/>
      <c r="G1180" s="45"/>
      <c r="H1180" s="45"/>
      <c r="I1180" s="45"/>
      <c r="J1180" s="45"/>
      <c r="K1180" s="45"/>
      <c r="L1180" s="45"/>
      <c r="M1180" s="45"/>
      <c r="N1180" s="45"/>
      <c r="O1180" s="45"/>
      <c r="P1180" s="45"/>
      <c r="Q1180" s="45"/>
      <c r="R1180" s="45"/>
    </row>
    <row r="1181" spans="1:18" x14ac:dyDescent="0.25">
      <c r="A1181" s="45"/>
      <c r="B1181" s="47"/>
      <c r="C1181" s="47"/>
      <c r="D1181" s="47"/>
      <c r="E1181" s="45"/>
      <c r="F1181" s="45"/>
      <c r="G1181" s="45"/>
      <c r="H1181" s="45"/>
      <c r="I1181" s="45"/>
      <c r="J1181" s="45"/>
      <c r="K1181" s="45"/>
      <c r="L1181" s="45"/>
      <c r="M1181" s="45"/>
      <c r="N1181" s="45"/>
      <c r="O1181" s="45"/>
      <c r="P1181" s="45"/>
      <c r="Q1181" s="45"/>
      <c r="R1181" s="45"/>
    </row>
    <row r="1182" spans="1:18" x14ac:dyDescent="0.25">
      <c r="A1182" s="45"/>
      <c r="B1182" s="47"/>
      <c r="C1182" s="47"/>
      <c r="D1182" s="47"/>
      <c r="E1182" s="45"/>
      <c r="F1182" s="45"/>
      <c r="G1182" s="45"/>
      <c r="H1182" s="45"/>
      <c r="I1182" s="45"/>
      <c r="J1182" s="45"/>
      <c r="K1182" s="45"/>
      <c r="L1182" s="45"/>
      <c r="M1182" s="45"/>
      <c r="N1182" s="45"/>
      <c r="O1182" s="45"/>
      <c r="P1182" s="45"/>
      <c r="Q1182" s="45"/>
      <c r="R1182" s="45"/>
    </row>
    <row r="1183" spans="1:18" x14ac:dyDescent="0.25">
      <c r="A1183" s="45"/>
      <c r="B1183" s="47"/>
      <c r="C1183" s="47"/>
      <c r="D1183" s="47"/>
      <c r="E1183" s="45"/>
      <c r="F1183" s="45"/>
      <c r="G1183" s="45"/>
      <c r="H1183" s="45"/>
      <c r="I1183" s="45"/>
      <c r="J1183" s="45"/>
      <c r="K1183" s="45"/>
      <c r="L1183" s="45"/>
      <c r="M1183" s="45"/>
      <c r="N1183" s="45"/>
      <c r="O1183" s="45"/>
      <c r="P1183" s="45"/>
      <c r="Q1183" s="45"/>
      <c r="R1183" s="45"/>
    </row>
    <row r="1184" spans="1:18" x14ac:dyDescent="0.25">
      <c r="A1184" s="45"/>
      <c r="B1184" s="47"/>
      <c r="C1184" s="47"/>
      <c r="D1184" s="47"/>
      <c r="E1184" s="45"/>
      <c r="F1184" s="45"/>
      <c r="G1184" s="45"/>
      <c r="H1184" s="45"/>
      <c r="I1184" s="45"/>
      <c r="J1184" s="45"/>
      <c r="K1184" s="45"/>
      <c r="L1184" s="45"/>
      <c r="M1184" s="45"/>
      <c r="N1184" s="45"/>
      <c r="O1184" s="45"/>
      <c r="P1184" s="45"/>
      <c r="Q1184" s="45"/>
      <c r="R1184" s="45"/>
    </row>
    <row r="1185" spans="1:18" x14ac:dyDescent="0.25">
      <c r="A1185" s="45"/>
      <c r="B1185" s="47"/>
      <c r="C1185" s="47"/>
      <c r="D1185" s="47"/>
      <c r="E1185" s="45"/>
      <c r="F1185" s="45"/>
      <c r="G1185" s="45"/>
      <c r="H1185" s="45"/>
      <c r="I1185" s="45"/>
      <c r="J1185" s="45"/>
      <c r="K1185" s="45"/>
      <c r="L1185" s="45"/>
      <c r="M1185" s="45"/>
      <c r="N1185" s="45"/>
      <c r="O1185" s="45"/>
      <c r="P1185" s="45"/>
      <c r="Q1185" s="45"/>
      <c r="R1185" s="45"/>
    </row>
    <row r="1186" spans="1:18" x14ac:dyDescent="0.25">
      <c r="A1186" s="45"/>
      <c r="B1186" s="47"/>
      <c r="C1186" s="47"/>
      <c r="D1186" s="47"/>
      <c r="E1186" s="45"/>
      <c r="F1186" s="45"/>
      <c r="G1186" s="45"/>
      <c r="H1186" s="45"/>
      <c r="I1186" s="45"/>
      <c r="J1186" s="45"/>
      <c r="K1186" s="45"/>
      <c r="L1186" s="45"/>
      <c r="M1186" s="45"/>
      <c r="N1186" s="45"/>
      <c r="O1186" s="45"/>
      <c r="P1186" s="45"/>
      <c r="Q1186" s="45"/>
      <c r="R1186" s="45"/>
    </row>
    <row r="1187" spans="1:18" x14ac:dyDescent="0.25">
      <c r="A1187" s="45"/>
      <c r="B1187" s="47"/>
      <c r="C1187" s="47"/>
      <c r="D1187" s="47"/>
      <c r="E1187" s="45"/>
      <c r="F1187" s="45"/>
      <c r="G1187" s="45"/>
      <c r="H1187" s="45"/>
      <c r="I1187" s="45"/>
      <c r="J1187" s="45"/>
      <c r="K1187" s="45"/>
      <c r="L1187" s="45"/>
      <c r="M1187" s="45"/>
      <c r="N1187" s="45"/>
      <c r="O1187" s="45"/>
      <c r="P1187" s="45"/>
      <c r="Q1187" s="45"/>
      <c r="R1187" s="45"/>
    </row>
    <row r="1188" spans="1:18" x14ac:dyDescent="0.25">
      <c r="A1188" s="45"/>
      <c r="B1188" s="47"/>
      <c r="C1188" s="47"/>
      <c r="D1188" s="47"/>
      <c r="E1188" s="45"/>
      <c r="F1188" s="45"/>
      <c r="G1188" s="45"/>
      <c r="H1188" s="45"/>
      <c r="I1188" s="45"/>
      <c r="J1188" s="45"/>
      <c r="K1188" s="45"/>
      <c r="L1188" s="45"/>
      <c r="M1188" s="45"/>
      <c r="N1188" s="45"/>
      <c r="O1188" s="45"/>
      <c r="P1188" s="45"/>
      <c r="Q1188" s="45"/>
      <c r="R1188" s="45"/>
    </row>
    <row r="1189" spans="1:18" x14ac:dyDescent="0.25">
      <c r="A1189" s="45"/>
      <c r="B1189" s="47"/>
      <c r="C1189" s="47"/>
      <c r="D1189" s="47"/>
      <c r="E1189" s="45"/>
      <c r="F1189" s="45"/>
      <c r="G1189" s="45"/>
      <c r="H1189" s="45"/>
      <c r="I1189" s="45"/>
      <c r="J1189" s="45"/>
      <c r="K1189" s="45"/>
      <c r="L1189" s="45"/>
      <c r="M1189" s="45"/>
      <c r="N1189" s="45"/>
      <c r="O1189" s="45"/>
      <c r="P1189" s="45"/>
      <c r="Q1189" s="45"/>
      <c r="R1189" s="45"/>
    </row>
    <row r="1190" spans="1:18" x14ac:dyDescent="0.25">
      <c r="A1190" s="45"/>
      <c r="B1190" s="47"/>
      <c r="C1190" s="47"/>
      <c r="D1190" s="47"/>
      <c r="E1190" s="45"/>
      <c r="F1190" s="45"/>
      <c r="G1190" s="45"/>
      <c r="H1190" s="45"/>
      <c r="I1190" s="45"/>
      <c r="J1190" s="45"/>
      <c r="K1190" s="45"/>
      <c r="L1190" s="45"/>
      <c r="M1190" s="45"/>
      <c r="N1190" s="45"/>
      <c r="O1190" s="45"/>
      <c r="P1190" s="45"/>
      <c r="Q1190" s="45"/>
      <c r="R1190" s="45"/>
    </row>
    <row r="1191" spans="1:18" x14ac:dyDescent="0.25">
      <c r="A1191" s="45"/>
      <c r="B1191" s="47"/>
      <c r="C1191" s="47"/>
      <c r="D1191" s="47"/>
      <c r="E1191" s="45"/>
      <c r="F1191" s="45"/>
      <c r="G1191" s="45"/>
      <c r="H1191" s="45"/>
      <c r="I1191" s="45"/>
      <c r="J1191" s="45"/>
      <c r="K1191" s="45"/>
      <c r="L1191" s="45"/>
      <c r="M1191" s="45"/>
      <c r="N1191" s="45"/>
      <c r="O1191" s="45"/>
      <c r="P1191" s="45"/>
      <c r="Q1191" s="45"/>
      <c r="R1191" s="45"/>
    </row>
    <row r="1192" spans="1:18" x14ac:dyDescent="0.25">
      <c r="A1192" s="45"/>
      <c r="B1192" s="47"/>
      <c r="C1192" s="47"/>
      <c r="D1192" s="47"/>
      <c r="E1192" s="45"/>
      <c r="F1192" s="45"/>
      <c r="G1192" s="45"/>
      <c r="H1192" s="45"/>
      <c r="I1192" s="45"/>
      <c r="J1192" s="45"/>
      <c r="K1192" s="45"/>
      <c r="L1192" s="45"/>
      <c r="M1192" s="45"/>
      <c r="N1192" s="45"/>
      <c r="O1192" s="45"/>
      <c r="P1192" s="45"/>
      <c r="Q1192" s="45"/>
      <c r="R1192" s="45"/>
    </row>
    <row r="1193" spans="1:18" x14ac:dyDescent="0.25">
      <c r="A1193" s="45"/>
      <c r="B1193" s="47"/>
      <c r="C1193" s="47"/>
      <c r="D1193" s="47"/>
      <c r="E1193" s="45"/>
      <c r="F1193" s="45"/>
      <c r="G1193" s="45"/>
      <c r="H1193" s="45"/>
      <c r="I1193" s="45"/>
      <c r="J1193" s="45"/>
      <c r="K1193" s="45"/>
      <c r="L1193" s="45"/>
      <c r="M1193" s="45"/>
      <c r="N1193" s="45"/>
      <c r="O1193" s="45"/>
      <c r="P1193" s="45"/>
      <c r="Q1193" s="45"/>
      <c r="R1193" s="45"/>
    </row>
    <row r="1194" spans="1:18" x14ac:dyDescent="0.25">
      <c r="A1194" s="45"/>
      <c r="B1194" s="47"/>
      <c r="C1194" s="47"/>
      <c r="D1194" s="47"/>
      <c r="E1194" s="45"/>
      <c r="F1194" s="45"/>
      <c r="G1194" s="45"/>
      <c r="H1194" s="45"/>
      <c r="I1194" s="45"/>
      <c r="J1194" s="45"/>
      <c r="K1194" s="45"/>
      <c r="L1194" s="45"/>
      <c r="M1194" s="45"/>
      <c r="N1194" s="45"/>
      <c r="O1194" s="45"/>
      <c r="P1194" s="45"/>
      <c r="Q1194" s="45"/>
      <c r="R1194" s="45"/>
    </row>
    <row r="1195" spans="1:18" x14ac:dyDescent="0.25">
      <c r="A1195" s="45"/>
      <c r="B1195" s="47"/>
      <c r="C1195" s="47"/>
      <c r="D1195" s="47"/>
      <c r="E1195" s="45"/>
      <c r="F1195" s="45"/>
      <c r="G1195" s="45"/>
      <c r="H1195" s="45"/>
      <c r="I1195" s="45"/>
      <c r="J1195" s="45"/>
      <c r="K1195" s="45"/>
      <c r="L1195" s="45"/>
      <c r="M1195" s="45"/>
      <c r="N1195" s="45"/>
      <c r="O1195" s="45"/>
      <c r="P1195" s="45"/>
      <c r="Q1195" s="45"/>
      <c r="R1195" s="45"/>
    </row>
    <row r="1196" spans="1:18" x14ac:dyDescent="0.25">
      <c r="A1196" s="45"/>
      <c r="B1196" s="47"/>
      <c r="C1196" s="47"/>
      <c r="D1196" s="47"/>
      <c r="E1196" s="45"/>
      <c r="F1196" s="45"/>
      <c r="G1196" s="45"/>
      <c r="H1196" s="45"/>
      <c r="I1196" s="45"/>
      <c r="J1196" s="45"/>
      <c r="K1196" s="45"/>
      <c r="L1196" s="45"/>
      <c r="M1196" s="45"/>
      <c r="N1196" s="45"/>
      <c r="O1196" s="45"/>
      <c r="P1196" s="45"/>
      <c r="Q1196" s="45"/>
      <c r="R1196" s="45"/>
    </row>
    <row r="1197" spans="1:18" x14ac:dyDescent="0.25">
      <c r="A1197" s="45"/>
      <c r="B1197" s="47"/>
      <c r="C1197" s="47"/>
      <c r="D1197" s="47"/>
      <c r="E1197" s="45"/>
      <c r="F1197" s="45"/>
      <c r="G1197" s="45"/>
      <c r="H1197" s="45"/>
      <c r="I1197" s="45"/>
      <c r="J1197" s="45"/>
      <c r="K1197" s="45"/>
      <c r="L1197" s="45"/>
      <c r="M1197" s="45"/>
      <c r="N1197" s="45"/>
      <c r="O1197" s="45"/>
      <c r="P1197" s="45"/>
      <c r="Q1197" s="45"/>
      <c r="R1197" s="45"/>
    </row>
    <row r="1198" spans="1:18" x14ac:dyDescent="0.25">
      <c r="A1198" s="45"/>
      <c r="B1198" s="47"/>
      <c r="C1198" s="47"/>
      <c r="D1198" s="47"/>
      <c r="E1198" s="45"/>
      <c r="F1198" s="45"/>
      <c r="G1198" s="45"/>
      <c r="H1198" s="45"/>
      <c r="I1198" s="45"/>
      <c r="J1198" s="45"/>
      <c r="K1198" s="45"/>
      <c r="L1198" s="45"/>
      <c r="M1198" s="45"/>
      <c r="N1198" s="45"/>
      <c r="O1198" s="45"/>
      <c r="P1198" s="45"/>
      <c r="Q1198" s="45"/>
      <c r="R1198" s="45"/>
    </row>
    <row r="1199" spans="1:18" x14ac:dyDescent="0.25">
      <c r="A1199" s="45"/>
      <c r="B1199" s="47"/>
      <c r="C1199" s="47"/>
      <c r="D1199" s="47"/>
      <c r="E1199" s="45"/>
      <c r="F1199" s="45"/>
      <c r="G1199" s="45"/>
      <c r="H1199" s="45"/>
      <c r="I1199" s="45"/>
      <c r="J1199" s="45"/>
      <c r="K1199" s="45"/>
      <c r="L1199" s="45"/>
      <c r="M1199" s="45"/>
      <c r="N1199" s="45"/>
      <c r="O1199" s="45"/>
      <c r="P1199" s="45"/>
      <c r="Q1199" s="45"/>
      <c r="R1199" s="45"/>
    </row>
    <row r="1200" spans="1:18" x14ac:dyDescent="0.25">
      <c r="A1200" s="45"/>
      <c r="B1200" s="47"/>
      <c r="C1200" s="47"/>
      <c r="D1200" s="47"/>
      <c r="E1200" s="45"/>
      <c r="F1200" s="45"/>
      <c r="G1200" s="45"/>
      <c r="H1200" s="45"/>
      <c r="I1200" s="45"/>
      <c r="J1200" s="45"/>
      <c r="K1200" s="45"/>
      <c r="L1200" s="45"/>
      <c r="M1200" s="45"/>
      <c r="N1200" s="45"/>
      <c r="O1200" s="45"/>
      <c r="P1200" s="45"/>
      <c r="Q1200" s="45"/>
      <c r="R1200" s="45"/>
    </row>
    <row r="1201" spans="1:18" x14ac:dyDescent="0.25">
      <c r="A1201" s="45"/>
      <c r="B1201" s="47"/>
      <c r="C1201" s="47"/>
      <c r="D1201" s="47"/>
      <c r="E1201" s="45"/>
      <c r="F1201" s="45"/>
      <c r="G1201" s="45"/>
      <c r="H1201" s="45"/>
      <c r="I1201" s="45"/>
      <c r="J1201" s="45"/>
      <c r="K1201" s="45"/>
      <c r="L1201" s="45"/>
      <c r="M1201" s="45"/>
      <c r="N1201" s="45"/>
      <c r="O1201" s="45"/>
      <c r="P1201" s="45"/>
      <c r="Q1201" s="45"/>
      <c r="R1201" s="45"/>
    </row>
    <row r="1202" spans="1:18" x14ac:dyDescent="0.25">
      <c r="A1202" s="45"/>
      <c r="B1202" s="47"/>
      <c r="C1202" s="47"/>
      <c r="D1202" s="47"/>
      <c r="E1202" s="45"/>
      <c r="F1202" s="45"/>
      <c r="G1202" s="45"/>
      <c r="H1202" s="45"/>
      <c r="I1202" s="45"/>
      <c r="J1202" s="45"/>
      <c r="K1202" s="45"/>
      <c r="L1202" s="45"/>
      <c r="M1202" s="45"/>
      <c r="N1202" s="45"/>
      <c r="O1202" s="45"/>
      <c r="P1202" s="45"/>
      <c r="Q1202" s="45"/>
      <c r="R1202" s="45"/>
    </row>
    <row r="1203" spans="1:18" x14ac:dyDescent="0.25">
      <c r="A1203" s="45"/>
      <c r="B1203" s="47"/>
      <c r="C1203" s="47"/>
      <c r="D1203" s="47"/>
      <c r="E1203" s="45"/>
      <c r="F1203" s="45"/>
      <c r="G1203" s="45"/>
      <c r="H1203" s="45"/>
      <c r="I1203" s="45"/>
      <c r="J1203" s="45"/>
      <c r="K1203" s="45"/>
      <c r="L1203" s="45"/>
      <c r="M1203" s="45"/>
      <c r="N1203" s="45"/>
      <c r="O1203" s="45"/>
      <c r="P1203" s="45"/>
      <c r="Q1203" s="45"/>
      <c r="R1203" s="45"/>
    </row>
    <row r="1204" spans="1:18" x14ac:dyDescent="0.25">
      <c r="A1204" s="45"/>
      <c r="B1204" s="47"/>
      <c r="C1204" s="47"/>
      <c r="D1204" s="47"/>
      <c r="E1204" s="45"/>
      <c r="F1204" s="45"/>
      <c r="G1204" s="45"/>
      <c r="H1204" s="45"/>
      <c r="I1204" s="45"/>
      <c r="J1204" s="45"/>
      <c r="K1204" s="45"/>
      <c r="L1204" s="45"/>
      <c r="M1204" s="45"/>
      <c r="N1204" s="45"/>
      <c r="O1204" s="45"/>
      <c r="P1204" s="45"/>
      <c r="Q1204" s="45"/>
      <c r="R1204" s="45"/>
    </row>
    <row r="1205" spans="1:18" x14ac:dyDescent="0.25">
      <c r="A1205" s="45"/>
      <c r="B1205" s="47"/>
      <c r="C1205" s="47"/>
      <c r="D1205" s="47"/>
      <c r="E1205" s="45"/>
      <c r="F1205" s="45"/>
      <c r="G1205" s="45"/>
      <c r="H1205" s="45"/>
      <c r="I1205" s="45"/>
      <c r="J1205" s="45"/>
      <c r="K1205" s="45"/>
      <c r="L1205" s="45"/>
      <c r="M1205" s="45"/>
      <c r="N1205" s="45"/>
      <c r="O1205" s="45"/>
      <c r="P1205" s="45"/>
      <c r="Q1205" s="45"/>
      <c r="R1205" s="45"/>
    </row>
    <row r="1206" spans="1:18" x14ac:dyDescent="0.25">
      <c r="A1206" s="45"/>
      <c r="B1206" s="47"/>
      <c r="C1206" s="47"/>
      <c r="D1206" s="47"/>
      <c r="E1206" s="45"/>
      <c r="F1206" s="45"/>
      <c r="G1206" s="45"/>
      <c r="H1206" s="45"/>
      <c r="I1206" s="45"/>
      <c r="J1206" s="45"/>
      <c r="K1206" s="45"/>
      <c r="L1206" s="45"/>
      <c r="M1206" s="45"/>
      <c r="N1206" s="45"/>
      <c r="O1206" s="45"/>
      <c r="P1206" s="45"/>
      <c r="Q1206" s="45"/>
      <c r="R1206" s="45"/>
    </row>
    <row r="1207" spans="1:18" x14ac:dyDescent="0.25">
      <c r="A1207" s="45"/>
      <c r="B1207" s="47"/>
      <c r="C1207" s="47"/>
      <c r="D1207" s="47"/>
      <c r="E1207" s="45"/>
      <c r="F1207" s="45"/>
      <c r="G1207" s="45"/>
      <c r="H1207" s="45"/>
      <c r="I1207" s="45"/>
      <c r="J1207" s="45"/>
      <c r="K1207" s="45"/>
      <c r="L1207" s="45"/>
      <c r="M1207" s="45"/>
      <c r="N1207" s="45"/>
      <c r="O1207" s="45"/>
      <c r="P1207" s="45"/>
      <c r="Q1207" s="45"/>
      <c r="R1207" s="45"/>
    </row>
    <row r="1208" spans="1:18" x14ac:dyDescent="0.25">
      <c r="A1208" s="45"/>
      <c r="B1208" s="47"/>
      <c r="C1208" s="47"/>
      <c r="D1208" s="47"/>
      <c r="E1208" s="45"/>
      <c r="F1208" s="45"/>
      <c r="G1208" s="45"/>
      <c r="H1208" s="45"/>
      <c r="I1208" s="45"/>
      <c r="J1208" s="45"/>
      <c r="K1208" s="45"/>
      <c r="L1208" s="45"/>
      <c r="M1208" s="45"/>
      <c r="N1208" s="45"/>
      <c r="O1208" s="45"/>
      <c r="P1208" s="45"/>
      <c r="Q1208" s="45"/>
      <c r="R1208" s="45"/>
    </row>
    <row r="1209" spans="1:18" x14ac:dyDescent="0.25">
      <c r="A1209" s="45"/>
      <c r="B1209" s="47"/>
      <c r="C1209" s="47"/>
      <c r="D1209" s="47"/>
      <c r="E1209" s="45"/>
      <c r="F1209" s="45"/>
      <c r="G1209" s="45"/>
      <c r="H1209" s="45"/>
      <c r="I1209" s="45"/>
      <c r="J1209" s="45"/>
      <c r="K1209" s="45"/>
      <c r="L1209" s="45"/>
      <c r="M1209" s="45"/>
      <c r="N1209" s="45"/>
      <c r="O1209" s="45"/>
      <c r="P1209" s="45"/>
      <c r="Q1209" s="45"/>
      <c r="R1209" s="45"/>
    </row>
    <row r="1210" spans="1:18" x14ac:dyDescent="0.25">
      <c r="A1210" s="45"/>
      <c r="B1210" s="47"/>
      <c r="C1210" s="47"/>
      <c r="D1210" s="47"/>
      <c r="E1210" s="45"/>
      <c r="F1210" s="45"/>
      <c r="G1210" s="45"/>
      <c r="H1210" s="45"/>
      <c r="I1210" s="45"/>
      <c r="J1210" s="45"/>
      <c r="K1210" s="45"/>
      <c r="L1210" s="45"/>
      <c r="M1210" s="45"/>
      <c r="N1210" s="45"/>
      <c r="O1210" s="45"/>
      <c r="P1210" s="45"/>
      <c r="Q1210" s="45"/>
      <c r="R1210" s="45"/>
    </row>
    <row r="1211" spans="1:18" x14ac:dyDescent="0.25">
      <c r="A1211" s="45"/>
      <c r="B1211" s="47"/>
      <c r="C1211" s="47"/>
      <c r="D1211" s="47"/>
      <c r="E1211" s="45"/>
      <c r="F1211" s="45"/>
      <c r="G1211" s="45"/>
      <c r="H1211" s="45"/>
      <c r="I1211" s="45"/>
      <c r="J1211" s="45"/>
      <c r="K1211" s="45"/>
      <c r="L1211" s="45"/>
      <c r="M1211" s="45"/>
      <c r="N1211" s="45"/>
      <c r="O1211" s="45"/>
      <c r="P1211" s="45"/>
      <c r="Q1211" s="45"/>
      <c r="R1211" s="45"/>
    </row>
    <row r="1212" spans="1:18" x14ac:dyDescent="0.25">
      <c r="A1212" s="45"/>
      <c r="B1212" s="47"/>
      <c r="C1212" s="47"/>
      <c r="D1212" s="47"/>
      <c r="E1212" s="45"/>
      <c r="F1212" s="45"/>
      <c r="G1212" s="45"/>
      <c r="H1212" s="45"/>
      <c r="I1212" s="45"/>
      <c r="J1212" s="45"/>
      <c r="K1212" s="45"/>
      <c r="L1212" s="45"/>
      <c r="M1212" s="45"/>
      <c r="N1212" s="45"/>
      <c r="O1212" s="45"/>
      <c r="P1212" s="45"/>
      <c r="Q1212" s="45"/>
      <c r="R1212" s="45"/>
    </row>
    <row r="1213" spans="1:18" x14ac:dyDescent="0.25">
      <c r="A1213" s="45"/>
      <c r="B1213" s="47"/>
      <c r="C1213" s="47"/>
      <c r="D1213" s="47"/>
      <c r="E1213" s="45"/>
      <c r="F1213" s="45"/>
      <c r="G1213" s="45"/>
      <c r="H1213" s="45"/>
      <c r="I1213" s="45"/>
      <c r="J1213" s="45"/>
      <c r="K1213" s="45"/>
      <c r="L1213" s="45"/>
      <c r="M1213" s="45"/>
      <c r="N1213" s="45"/>
      <c r="O1213" s="45"/>
      <c r="P1213" s="45"/>
      <c r="Q1213" s="45"/>
      <c r="R1213" s="45"/>
    </row>
    <row r="1214" spans="1:18" x14ac:dyDescent="0.25">
      <c r="A1214" s="45"/>
      <c r="B1214" s="47"/>
      <c r="C1214" s="47"/>
      <c r="D1214" s="47"/>
      <c r="E1214" s="45"/>
      <c r="F1214" s="45"/>
      <c r="G1214" s="45"/>
      <c r="H1214" s="45"/>
      <c r="I1214" s="45"/>
      <c r="J1214" s="45"/>
      <c r="K1214" s="45"/>
      <c r="L1214" s="45"/>
      <c r="M1214" s="45"/>
      <c r="N1214" s="45"/>
      <c r="O1214" s="45"/>
      <c r="P1214" s="45"/>
      <c r="Q1214" s="45"/>
      <c r="R1214" s="45"/>
    </row>
    <row r="1215" spans="1:18" x14ac:dyDescent="0.25">
      <c r="A1215" s="45"/>
      <c r="B1215" s="47"/>
      <c r="C1215" s="47"/>
      <c r="D1215" s="47"/>
      <c r="E1215" s="45"/>
      <c r="F1215" s="45"/>
      <c r="G1215" s="45"/>
      <c r="H1215" s="45"/>
      <c r="I1215" s="45"/>
      <c r="J1215" s="45"/>
      <c r="K1215" s="45"/>
      <c r="L1215" s="45"/>
      <c r="M1215" s="45"/>
      <c r="N1215" s="45"/>
      <c r="O1215" s="45"/>
      <c r="P1215" s="45"/>
      <c r="Q1215" s="45"/>
      <c r="R1215" s="45"/>
    </row>
    <row r="1216" spans="1:18" x14ac:dyDescent="0.25">
      <c r="A1216" s="45"/>
      <c r="B1216" s="47"/>
      <c r="C1216" s="47"/>
      <c r="D1216" s="47"/>
      <c r="E1216" s="45"/>
      <c r="F1216" s="45"/>
      <c r="G1216" s="45"/>
      <c r="H1216" s="45"/>
      <c r="I1216" s="45"/>
      <c r="J1216" s="45"/>
      <c r="K1216" s="45"/>
      <c r="L1216" s="45"/>
      <c r="M1216" s="45"/>
      <c r="N1216" s="45"/>
      <c r="O1216" s="45"/>
      <c r="P1216" s="45"/>
      <c r="Q1216" s="45"/>
      <c r="R1216" s="45"/>
    </row>
    <row r="1217" spans="1:18" x14ac:dyDescent="0.25">
      <c r="A1217" s="45"/>
      <c r="B1217" s="47"/>
      <c r="C1217" s="47"/>
      <c r="D1217" s="47"/>
      <c r="E1217" s="45"/>
      <c r="F1217" s="45"/>
      <c r="G1217" s="45"/>
      <c r="H1217" s="45"/>
      <c r="I1217" s="45"/>
      <c r="J1217" s="45"/>
      <c r="K1217" s="45"/>
      <c r="L1217" s="45"/>
      <c r="M1217" s="45"/>
      <c r="N1217" s="45"/>
      <c r="O1217" s="45"/>
      <c r="P1217" s="45"/>
      <c r="Q1217" s="45"/>
      <c r="R1217" s="45"/>
    </row>
    <row r="1218" spans="1:18" x14ac:dyDescent="0.25">
      <c r="A1218" s="45"/>
      <c r="B1218" s="47"/>
      <c r="C1218" s="47"/>
      <c r="D1218" s="47"/>
      <c r="E1218" s="45"/>
      <c r="F1218" s="45"/>
      <c r="G1218" s="45"/>
      <c r="H1218" s="45"/>
      <c r="I1218" s="45"/>
      <c r="J1218" s="45"/>
      <c r="K1218" s="45"/>
      <c r="L1218" s="45"/>
      <c r="M1218" s="45"/>
      <c r="N1218" s="45"/>
      <c r="O1218" s="45"/>
      <c r="P1218" s="45"/>
      <c r="Q1218" s="45"/>
      <c r="R1218" s="45"/>
    </row>
    <row r="1219" spans="1:18" x14ac:dyDescent="0.25">
      <c r="A1219" s="45"/>
      <c r="B1219" s="47"/>
      <c r="C1219" s="47"/>
      <c r="D1219" s="47"/>
      <c r="E1219" s="45"/>
      <c r="F1219" s="45"/>
      <c r="G1219" s="45"/>
      <c r="H1219" s="45"/>
      <c r="I1219" s="45"/>
      <c r="J1219" s="45"/>
      <c r="K1219" s="45"/>
      <c r="L1219" s="45"/>
      <c r="M1219" s="45"/>
      <c r="N1219" s="45"/>
      <c r="O1219" s="45"/>
      <c r="P1219" s="45"/>
      <c r="Q1219" s="45"/>
      <c r="R1219" s="45"/>
    </row>
    <row r="1220" spans="1:18" x14ac:dyDescent="0.25">
      <c r="A1220" s="45"/>
      <c r="B1220" s="47"/>
      <c r="C1220" s="47"/>
      <c r="D1220" s="47"/>
      <c r="E1220" s="45"/>
      <c r="F1220" s="45"/>
      <c r="G1220" s="45"/>
      <c r="H1220" s="45"/>
      <c r="I1220" s="45"/>
      <c r="J1220" s="45"/>
      <c r="K1220" s="45"/>
      <c r="L1220" s="45"/>
      <c r="M1220" s="45"/>
      <c r="N1220" s="45"/>
      <c r="O1220" s="45"/>
      <c r="P1220" s="45"/>
      <c r="Q1220" s="45"/>
      <c r="R1220" s="45"/>
    </row>
    <row r="1221" spans="1:18" x14ac:dyDescent="0.25">
      <c r="A1221" s="45"/>
      <c r="B1221" s="47"/>
      <c r="C1221" s="47"/>
      <c r="D1221" s="47"/>
      <c r="E1221" s="45"/>
      <c r="F1221" s="45"/>
      <c r="G1221" s="45"/>
      <c r="H1221" s="45"/>
      <c r="I1221" s="45"/>
      <c r="J1221" s="45"/>
      <c r="K1221" s="45"/>
      <c r="L1221" s="45"/>
      <c r="M1221" s="45"/>
      <c r="N1221" s="45"/>
      <c r="O1221" s="45"/>
      <c r="P1221" s="45"/>
      <c r="Q1221" s="45"/>
      <c r="R1221" s="45"/>
    </row>
    <row r="1222" spans="1:18" x14ac:dyDescent="0.25">
      <c r="A1222" s="45"/>
      <c r="B1222" s="47"/>
      <c r="C1222" s="47"/>
      <c r="D1222" s="47"/>
      <c r="E1222" s="45"/>
      <c r="F1222" s="45"/>
      <c r="G1222" s="45"/>
      <c r="H1222" s="45"/>
      <c r="I1222" s="45"/>
      <c r="J1222" s="45"/>
      <c r="K1222" s="45"/>
      <c r="L1222" s="45"/>
      <c r="M1222" s="45"/>
      <c r="N1222" s="45"/>
      <c r="O1222" s="45"/>
      <c r="P1222" s="45"/>
      <c r="Q1222" s="45"/>
      <c r="R1222" s="45"/>
    </row>
    <row r="1223" spans="1:18" x14ac:dyDescent="0.25">
      <c r="A1223" s="45"/>
      <c r="B1223" s="47"/>
      <c r="C1223" s="47"/>
      <c r="D1223" s="47"/>
      <c r="E1223" s="45"/>
      <c r="F1223" s="45"/>
      <c r="G1223" s="45"/>
      <c r="H1223" s="45"/>
      <c r="I1223" s="45"/>
      <c r="J1223" s="45"/>
      <c r="K1223" s="45"/>
      <c r="L1223" s="45"/>
      <c r="M1223" s="45"/>
      <c r="N1223" s="45"/>
      <c r="O1223" s="45"/>
      <c r="P1223" s="45"/>
      <c r="Q1223" s="45"/>
      <c r="R1223" s="45"/>
    </row>
    <row r="1224" spans="1:18" x14ac:dyDescent="0.25">
      <c r="A1224" s="45"/>
      <c r="B1224" s="47"/>
      <c r="C1224" s="47"/>
      <c r="D1224" s="47"/>
      <c r="E1224" s="45"/>
      <c r="F1224" s="45"/>
      <c r="G1224" s="45"/>
      <c r="H1224" s="45"/>
      <c r="I1224" s="45"/>
      <c r="J1224" s="45"/>
      <c r="K1224" s="45"/>
      <c r="L1224" s="45"/>
      <c r="M1224" s="45"/>
      <c r="N1224" s="45"/>
      <c r="O1224" s="45"/>
      <c r="P1224" s="45"/>
      <c r="Q1224" s="45"/>
      <c r="R1224" s="45"/>
    </row>
    <row r="1225" spans="1:18" x14ac:dyDescent="0.25">
      <c r="A1225" s="45"/>
      <c r="B1225" s="47"/>
      <c r="C1225" s="47"/>
      <c r="D1225" s="47"/>
      <c r="E1225" s="45"/>
      <c r="F1225" s="45"/>
      <c r="G1225" s="45"/>
      <c r="H1225" s="45"/>
      <c r="I1225" s="45"/>
      <c r="J1225" s="45"/>
      <c r="K1225" s="45"/>
      <c r="L1225" s="45"/>
      <c r="M1225" s="45"/>
      <c r="N1225" s="45"/>
      <c r="O1225" s="45"/>
      <c r="P1225" s="45"/>
      <c r="Q1225" s="45"/>
      <c r="R1225" s="45"/>
    </row>
    <row r="1226" spans="1:18" x14ac:dyDescent="0.25">
      <c r="A1226" s="45"/>
      <c r="B1226" s="47"/>
      <c r="C1226" s="47"/>
      <c r="D1226" s="47"/>
      <c r="E1226" s="45"/>
      <c r="F1226" s="45"/>
      <c r="G1226" s="45"/>
      <c r="H1226" s="45"/>
      <c r="I1226" s="45"/>
      <c r="J1226" s="45"/>
      <c r="K1226" s="45"/>
      <c r="L1226" s="45"/>
      <c r="M1226" s="45"/>
      <c r="N1226" s="45"/>
      <c r="O1226" s="45"/>
      <c r="P1226" s="45"/>
      <c r="Q1226" s="45"/>
      <c r="R1226" s="45"/>
    </row>
    <row r="1227" spans="1:18" x14ac:dyDescent="0.25">
      <c r="A1227" s="45"/>
      <c r="B1227" s="47"/>
      <c r="C1227" s="47"/>
      <c r="D1227" s="47"/>
      <c r="E1227" s="45"/>
      <c r="F1227" s="45"/>
      <c r="G1227" s="45"/>
      <c r="H1227" s="45"/>
      <c r="I1227" s="45"/>
      <c r="J1227" s="45"/>
      <c r="K1227" s="45"/>
      <c r="L1227" s="45"/>
      <c r="M1227" s="45"/>
      <c r="N1227" s="45"/>
      <c r="O1227" s="45"/>
      <c r="P1227" s="45"/>
      <c r="Q1227" s="45"/>
      <c r="R1227" s="45"/>
    </row>
    <row r="1228" spans="1:18" x14ac:dyDescent="0.25">
      <c r="A1228" s="45"/>
      <c r="B1228" s="47"/>
      <c r="C1228" s="47"/>
      <c r="D1228" s="47"/>
      <c r="E1228" s="45"/>
      <c r="F1228" s="45"/>
      <c r="G1228" s="45"/>
      <c r="H1228" s="45"/>
      <c r="I1228" s="45"/>
      <c r="J1228" s="45"/>
      <c r="K1228" s="45"/>
      <c r="L1228" s="45"/>
      <c r="M1228" s="45"/>
      <c r="N1228" s="45"/>
      <c r="O1228" s="45"/>
      <c r="P1228" s="45"/>
      <c r="Q1228" s="45"/>
      <c r="R1228" s="45"/>
    </row>
    <row r="1229" spans="1:18" x14ac:dyDescent="0.25">
      <c r="A1229" s="45"/>
      <c r="B1229" s="47"/>
      <c r="C1229" s="47"/>
      <c r="D1229" s="47"/>
      <c r="E1229" s="45"/>
      <c r="F1229" s="45"/>
      <c r="G1229" s="45"/>
      <c r="H1229" s="45"/>
      <c r="I1229" s="45"/>
      <c r="J1229" s="45"/>
      <c r="K1229" s="45"/>
      <c r="L1229" s="45"/>
      <c r="M1229" s="45"/>
      <c r="N1229" s="45"/>
      <c r="O1229" s="45"/>
      <c r="P1229" s="45"/>
      <c r="Q1229" s="45"/>
      <c r="R1229" s="45"/>
    </row>
    <row r="1230" spans="1:18" x14ac:dyDescent="0.25">
      <c r="A1230" s="45"/>
      <c r="B1230" s="47"/>
      <c r="C1230" s="47"/>
      <c r="D1230" s="47"/>
      <c r="E1230" s="45"/>
      <c r="F1230" s="45"/>
      <c r="G1230" s="45"/>
      <c r="H1230" s="45"/>
      <c r="I1230" s="45"/>
      <c r="J1230" s="45"/>
      <c r="K1230" s="45"/>
      <c r="L1230" s="45"/>
      <c r="M1230" s="45"/>
      <c r="N1230" s="45"/>
      <c r="O1230" s="45"/>
      <c r="P1230" s="45"/>
      <c r="Q1230" s="45"/>
      <c r="R1230" s="45"/>
    </row>
    <row r="1231" spans="1:18" x14ac:dyDescent="0.25">
      <c r="A1231" s="45"/>
      <c r="B1231" s="47"/>
      <c r="C1231" s="47"/>
      <c r="D1231" s="47"/>
      <c r="E1231" s="45"/>
      <c r="F1231" s="45"/>
      <c r="G1231" s="45"/>
      <c r="H1231" s="45"/>
      <c r="I1231" s="45"/>
      <c r="J1231" s="45"/>
      <c r="K1231" s="45"/>
      <c r="L1231" s="45"/>
      <c r="M1231" s="45"/>
      <c r="N1231" s="45"/>
      <c r="O1231" s="45"/>
      <c r="P1231" s="45"/>
      <c r="Q1231" s="45"/>
      <c r="R1231" s="45"/>
    </row>
    <row r="1232" spans="1:18" x14ac:dyDescent="0.25">
      <c r="A1232" s="45"/>
      <c r="B1232" s="47"/>
      <c r="C1232" s="47"/>
      <c r="D1232" s="47"/>
      <c r="E1232" s="45"/>
      <c r="F1232" s="45"/>
      <c r="G1232" s="45"/>
      <c r="H1232" s="45"/>
      <c r="I1232" s="45"/>
      <c r="J1232" s="45"/>
      <c r="K1232" s="45"/>
      <c r="L1232" s="45"/>
      <c r="M1232" s="45"/>
      <c r="N1232" s="45"/>
      <c r="O1232" s="45"/>
      <c r="P1232" s="45"/>
      <c r="Q1232" s="45"/>
      <c r="R1232" s="45"/>
    </row>
    <row r="1233" spans="1:18" x14ac:dyDescent="0.25">
      <c r="A1233" s="45"/>
      <c r="B1233" s="47"/>
      <c r="C1233" s="47"/>
      <c r="D1233" s="47"/>
      <c r="E1233" s="45"/>
      <c r="F1233" s="45"/>
      <c r="G1233" s="45"/>
      <c r="H1233" s="45"/>
      <c r="I1233" s="45"/>
      <c r="J1233" s="45"/>
      <c r="K1233" s="45"/>
      <c r="L1233" s="45"/>
      <c r="M1233" s="45"/>
      <c r="N1233" s="45"/>
      <c r="O1233" s="45"/>
      <c r="P1233" s="45"/>
      <c r="Q1233" s="45"/>
      <c r="R1233" s="45"/>
    </row>
    <row r="1234" spans="1:18" x14ac:dyDescent="0.25">
      <c r="A1234" s="45"/>
      <c r="B1234" s="47"/>
      <c r="C1234" s="47"/>
      <c r="D1234" s="47"/>
      <c r="E1234" s="45"/>
      <c r="F1234" s="45"/>
      <c r="G1234" s="45"/>
      <c r="H1234" s="45"/>
      <c r="I1234" s="45"/>
      <c r="J1234" s="45"/>
      <c r="K1234" s="45"/>
      <c r="L1234" s="45"/>
      <c r="M1234" s="45"/>
      <c r="N1234" s="45"/>
      <c r="O1234" s="45"/>
      <c r="P1234" s="45"/>
      <c r="Q1234" s="45"/>
      <c r="R1234" s="45"/>
    </row>
    <row r="1235" spans="1:18" x14ac:dyDescent="0.25">
      <c r="A1235" s="45"/>
      <c r="B1235" s="47"/>
      <c r="C1235" s="47"/>
      <c r="D1235" s="47"/>
      <c r="E1235" s="45"/>
      <c r="F1235" s="45"/>
      <c r="G1235" s="45"/>
      <c r="H1235" s="45"/>
      <c r="I1235" s="45"/>
      <c r="J1235" s="45"/>
      <c r="K1235" s="45"/>
      <c r="L1235" s="45"/>
      <c r="M1235" s="45"/>
      <c r="N1235" s="45"/>
      <c r="O1235" s="45"/>
      <c r="P1235" s="45"/>
      <c r="Q1235" s="45"/>
      <c r="R1235" s="45"/>
    </row>
    <row r="1236" spans="1:18" x14ac:dyDescent="0.25">
      <c r="A1236" s="45"/>
      <c r="B1236" s="47"/>
      <c r="C1236" s="47"/>
      <c r="D1236" s="47"/>
      <c r="E1236" s="45"/>
      <c r="F1236" s="45"/>
      <c r="G1236" s="45"/>
      <c r="H1236" s="45"/>
      <c r="I1236" s="45"/>
      <c r="J1236" s="45"/>
      <c r="K1236" s="45"/>
      <c r="L1236" s="45"/>
      <c r="M1236" s="45"/>
      <c r="N1236" s="45"/>
      <c r="O1236" s="45"/>
      <c r="P1236" s="45"/>
      <c r="Q1236" s="45"/>
      <c r="R1236" s="45"/>
    </row>
    <row r="1237" spans="1:18" x14ac:dyDescent="0.25">
      <c r="A1237" s="45"/>
      <c r="B1237" s="47"/>
      <c r="C1237" s="47"/>
      <c r="D1237" s="47"/>
      <c r="E1237" s="45"/>
      <c r="F1237" s="45"/>
      <c r="G1237" s="45"/>
      <c r="H1237" s="45"/>
      <c r="I1237" s="45"/>
      <c r="J1237" s="45"/>
      <c r="K1237" s="45"/>
      <c r="L1237" s="45"/>
      <c r="M1237" s="45"/>
      <c r="N1237" s="45"/>
      <c r="O1237" s="45"/>
      <c r="P1237" s="45"/>
      <c r="Q1237" s="45"/>
      <c r="R1237" s="45"/>
    </row>
    <row r="1238" spans="1:18" x14ac:dyDescent="0.25">
      <c r="A1238" s="45"/>
      <c r="B1238" s="47"/>
      <c r="C1238" s="47"/>
      <c r="D1238" s="47"/>
      <c r="E1238" s="45"/>
      <c r="F1238" s="45"/>
      <c r="G1238" s="45"/>
      <c r="H1238" s="45"/>
      <c r="I1238" s="45"/>
      <c r="J1238" s="45"/>
      <c r="K1238" s="45"/>
      <c r="L1238" s="45"/>
      <c r="M1238" s="45"/>
      <c r="N1238" s="45"/>
      <c r="O1238" s="45"/>
      <c r="P1238" s="45"/>
      <c r="Q1238" s="45"/>
      <c r="R1238" s="45"/>
    </row>
    <row r="1239" spans="1:18" x14ac:dyDescent="0.25">
      <c r="A1239" s="45"/>
      <c r="B1239" s="47"/>
      <c r="C1239" s="47"/>
      <c r="D1239" s="47"/>
      <c r="E1239" s="45"/>
      <c r="F1239" s="45"/>
      <c r="G1239" s="45"/>
      <c r="H1239" s="45"/>
      <c r="I1239" s="45"/>
      <c r="J1239" s="45"/>
      <c r="K1239" s="45"/>
      <c r="L1239" s="45"/>
      <c r="M1239" s="45"/>
      <c r="N1239" s="45"/>
      <c r="O1239" s="45"/>
      <c r="P1239" s="45"/>
      <c r="Q1239" s="45"/>
      <c r="R1239" s="45"/>
    </row>
    <row r="1240" spans="1:18" x14ac:dyDescent="0.25">
      <c r="A1240" s="45"/>
      <c r="B1240" s="47"/>
      <c r="C1240" s="47"/>
      <c r="D1240" s="47"/>
      <c r="E1240" s="45"/>
      <c r="F1240" s="45"/>
      <c r="G1240" s="45"/>
      <c r="H1240" s="45"/>
      <c r="I1240" s="45"/>
      <c r="J1240" s="45"/>
      <c r="K1240" s="45"/>
      <c r="L1240" s="45"/>
      <c r="M1240" s="45"/>
      <c r="N1240" s="45"/>
      <c r="O1240" s="45"/>
      <c r="P1240" s="45"/>
      <c r="Q1240" s="45"/>
      <c r="R1240" s="45"/>
    </row>
    <row r="1241" spans="1:18" x14ac:dyDescent="0.25">
      <c r="A1241" s="45"/>
      <c r="B1241" s="47"/>
      <c r="C1241" s="47"/>
      <c r="D1241" s="47"/>
      <c r="E1241" s="45"/>
      <c r="F1241" s="45"/>
      <c r="G1241" s="45"/>
      <c r="H1241" s="45"/>
      <c r="I1241" s="45"/>
      <c r="J1241" s="45"/>
      <c r="K1241" s="45"/>
      <c r="L1241" s="45"/>
      <c r="M1241" s="45"/>
      <c r="N1241" s="45"/>
      <c r="O1241" s="45"/>
      <c r="P1241" s="45"/>
      <c r="Q1241" s="45"/>
      <c r="R1241" s="45"/>
    </row>
    <row r="1242" spans="1:18" x14ac:dyDescent="0.25">
      <c r="A1242" s="45"/>
      <c r="B1242" s="47"/>
      <c r="C1242" s="47"/>
      <c r="D1242" s="47"/>
      <c r="E1242" s="45"/>
      <c r="F1242" s="45"/>
      <c r="G1242" s="45"/>
      <c r="H1242" s="45"/>
      <c r="I1242" s="45"/>
      <c r="J1242" s="45"/>
      <c r="K1242" s="45"/>
      <c r="L1242" s="45"/>
      <c r="M1242" s="45"/>
      <c r="N1242" s="45"/>
      <c r="O1242" s="45"/>
      <c r="P1242" s="45"/>
      <c r="Q1242" s="45"/>
      <c r="R1242" s="45"/>
    </row>
    <row r="1243" spans="1:18" x14ac:dyDescent="0.25">
      <c r="A1243" s="45"/>
      <c r="B1243" s="47"/>
      <c r="C1243" s="47"/>
      <c r="D1243" s="47"/>
      <c r="E1243" s="45"/>
      <c r="F1243" s="45"/>
      <c r="G1243" s="45"/>
      <c r="H1243" s="45"/>
      <c r="I1243" s="45"/>
      <c r="J1243" s="45"/>
      <c r="K1243" s="45"/>
      <c r="L1243" s="45"/>
      <c r="M1243" s="45"/>
      <c r="N1243" s="45"/>
      <c r="O1243" s="45"/>
      <c r="P1243" s="45"/>
      <c r="Q1243" s="45"/>
      <c r="R1243" s="45"/>
    </row>
    <row r="1244" spans="1:18" x14ac:dyDescent="0.25">
      <c r="A1244" s="45"/>
      <c r="B1244" s="47"/>
      <c r="C1244" s="47"/>
      <c r="D1244" s="47"/>
      <c r="E1244" s="45"/>
      <c r="F1244" s="45"/>
      <c r="G1244" s="45"/>
      <c r="H1244" s="45"/>
      <c r="I1244" s="45"/>
      <c r="J1244" s="45"/>
      <c r="K1244" s="45"/>
      <c r="L1244" s="45"/>
      <c r="M1244" s="45"/>
      <c r="N1244" s="45"/>
      <c r="O1244" s="45"/>
      <c r="P1244" s="45"/>
      <c r="Q1244" s="45"/>
      <c r="R1244" s="45"/>
    </row>
    <row r="1245" spans="1:18" x14ac:dyDescent="0.25">
      <c r="A1245" s="45"/>
      <c r="B1245" s="47"/>
      <c r="C1245" s="47"/>
      <c r="D1245" s="47"/>
      <c r="E1245" s="45"/>
      <c r="F1245" s="45"/>
      <c r="G1245" s="45"/>
      <c r="H1245" s="45"/>
      <c r="I1245" s="45"/>
      <c r="J1245" s="45"/>
      <c r="K1245" s="45"/>
      <c r="L1245" s="45"/>
      <c r="M1245" s="45"/>
      <c r="N1245" s="45"/>
      <c r="O1245" s="45"/>
      <c r="P1245" s="45"/>
      <c r="Q1245" s="45"/>
      <c r="R1245" s="45"/>
    </row>
    <row r="1246" spans="1:18" x14ac:dyDescent="0.25">
      <c r="A1246" s="45"/>
      <c r="B1246" s="47"/>
      <c r="C1246" s="47"/>
      <c r="D1246" s="47"/>
      <c r="E1246" s="45"/>
      <c r="F1246" s="45"/>
      <c r="G1246" s="45"/>
      <c r="H1246" s="45"/>
      <c r="I1246" s="45"/>
      <c r="J1246" s="45"/>
      <c r="K1246" s="45"/>
      <c r="L1246" s="45"/>
      <c r="M1246" s="45"/>
      <c r="N1246" s="45"/>
      <c r="O1246" s="45"/>
      <c r="P1246" s="45"/>
      <c r="Q1246" s="45"/>
      <c r="R1246" s="45"/>
    </row>
    <row r="1247" spans="1:18" x14ac:dyDescent="0.25">
      <c r="A1247" s="45"/>
      <c r="B1247" s="47"/>
      <c r="C1247" s="47"/>
      <c r="D1247" s="47"/>
      <c r="E1247" s="45"/>
      <c r="F1247" s="45"/>
      <c r="G1247" s="45"/>
      <c r="H1247" s="45"/>
      <c r="I1247" s="45"/>
      <c r="J1247" s="45"/>
      <c r="K1247" s="45"/>
      <c r="L1247" s="45"/>
      <c r="M1247" s="45"/>
      <c r="N1247" s="45"/>
      <c r="O1247" s="45"/>
      <c r="P1247" s="45"/>
      <c r="Q1247" s="45"/>
      <c r="R1247" s="45"/>
    </row>
    <row r="1248" spans="1:18" x14ac:dyDescent="0.25">
      <c r="A1248" s="45"/>
      <c r="B1248" s="47"/>
      <c r="C1248" s="47"/>
      <c r="D1248" s="47"/>
      <c r="E1248" s="45"/>
      <c r="F1248" s="45"/>
      <c r="G1248" s="45"/>
      <c r="H1248" s="45"/>
      <c r="I1248" s="45"/>
      <c r="J1248" s="45"/>
      <c r="K1248" s="45"/>
      <c r="L1248" s="45"/>
      <c r="M1248" s="45"/>
      <c r="N1248" s="45"/>
      <c r="O1248" s="45"/>
      <c r="P1248" s="45"/>
      <c r="Q1248" s="45"/>
      <c r="R1248" s="45"/>
    </row>
    <row r="1249" spans="1:18" x14ac:dyDescent="0.25">
      <c r="A1249" s="45"/>
      <c r="B1249" s="47"/>
      <c r="C1249" s="47"/>
      <c r="D1249" s="47"/>
      <c r="E1249" s="45"/>
      <c r="F1249" s="45"/>
      <c r="G1249" s="45"/>
      <c r="H1249" s="45"/>
      <c r="I1249" s="45"/>
      <c r="J1249" s="45"/>
      <c r="K1249" s="45"/>
      <c r="L1249" s="45"/>
      <c r="M1249" s="45"/>
      <c r="N1249" s="45"/>
      <c r="O1249" s="45"/>
      <c r="P1249" s="45"/>
      <c r="Q1249" s="45"/>
      <c r="R1249" s="45"/>
    </row>
    <row r="1250" spans="1:18" x14ac:dyDescent="0.25">
      <c r="A1250" s="45"/>
      <c r="B1250" s="47"/>
      <c r="C1250" s="47"/>
      <c r="D1250" s="47"/>
      <c r="E1250" s="45"/>
      <c r="F1250" s="45"/>
      <c r="G1250" s="45"/>
      <c r="H1250" s="45"/>
      <c r="I1250" s="45"/>
      <c r="J1250" s="45"/>
      <c r="K1250" s="45"/>
      <c r="L1250" s="45"/>
      <c r="M1250" s="45"/>
      <c r="N1250" s="45"/>
      <c r="O1250" s="45"/>
      <c r="P1250" s="45"/>
      <c r="Q1250" s="45"/>
      <c r="R1250" s="45"/>
    </row>
    <row r="1251" spans="1:18" x14ac:dyDescent="0.25">
      <c r="A1251" s="45"/>
      <c r="B1251" s="47"/>
      <c r="C1251" s="47"/>
      <c r="D1251" s="47"/>
      <c r="E1251" s="45"/>
      <c r="F1251" s="45"/>
      <c r="G1251" s="45"/>
      <c r="H1251" s="45"/>
      <c r="I1251" s="45"/>
      <c r="J1251" s="45"/>
      <c r="K1251" s="45"/>
      <c r="L1251" s="45"/>
      <c r="M1251" s="45"/>
      <c r="N1251" s="45"/>
      <c r="O1251" s="45"/>
      <c r="P1251" s="45"/>
      <c r="Q1251" s="45"/>
      <c r="R1251" s="45"/>
    </row>
    <row r="1252" spans="1:18" x14ac:dyDescent="0.25">
      <c r="A1252" s="45"/>
      <c r="B1252" s="47"/>
      <c r="C1252" s="47"/>
      <c r="D1252" s="47"/>
      <c r="E1252" s="45"/>
      <c r="F1252" s="45"/>
      <c r="G1252" s="45"/>
      <c r="H1252" s="45"/>
      <c r="I1252" s="45"/>
      <c r="J1252" s="45"/>
      <c r="K1252" s="45"/>
      <c r="L1252" s="45"/>
      <c r="M1252" s="45"/>
      <c r="N1252" s="45"/>
      <c r="O1252" s="45"/>
      <c r="P1252" s="45"/>
      <c r="Q1252" s="45"/>
      <c r="R1252" s="45"/>
    </row>
    <row r="1253" spans="1:18" x14ac:dyDescent="0.25">
      <c r="A1253" s="45"/>
      <c r="B1253" s="47"/>
      <c r="C1253" s="47"/>
      <c r="D1253" s="47"/>
      <c r="E1253" s="45"/>
      <c r="F1253" s="45"/>
      <c r="G1253" s="45"/>
      <c r="H1253" s="45"/>
      <c r="I1253" s="45"/>
      <c r="J1253" s="45"/>
      <c r="K1253" s="45"/>
      <c r="L1253" s="45"/>
      <c r="M1253" s="45"/>
      <c r="N1253" s="45"/>
      <c r="O1253" s="45"/>
      <c r="P1253" s="45"/>
      <c r="Q1253" s="45"/>
      <c r="R1253" s="45"/>
    </row>
    <row r="1254" spans="1:18" x14ac:dyDescent="0.25">
      <c r="A1254" s="45"/>
      <c r="B1254" s="47"/>
      <c r="C1254" s="47"/>
      <c r="D1254" s="47"/>
      <c r="E1254" s="45"/>
      <c r="F1254" s="45"/>
      <c r="G1254" s="45"/>
      <c r="H1254" s="45"/>
      <c r="I1254" s="45"/>
      <c r="J1254" s="45"/>
      <c r="K1254" s="45"/>
      <c r="L1254" s="45"/>
      <c r="M1254" s="45"/>
      <c r="N1254" s="45"/>
      <c r="O1254" s="45"/>
      <c r="P1254" s="45"/>
      <c r="Q1254" s="45"/>
      <c r="R1254" s="45"/>
    </row>
    <row r="1255" spans="1:18" x14ac:dyDescent="0.25">
      <c r="A1255" s="45"/>
      <c r="B1255" s="47"/>
      <c r="C1255" s="47"/>
      <c r="D1255" s="47"/>
      <c r="E1255" s="45"/>
      <c r="F1255" s="45"/>
      <c r="G1255" s="45"/>
      <c r="H1255" s="45"/>
      <c r="I1255" s="45"/>
      <c r="J1255" s="45"/>
      <c r="K1255" s="45"/>
      <c r="L1255" s="45"/>
      <c r="M1255" s="45"/>
      <c r="N1255" s="45"/>
      <c r="O1255" s="45"/>
      <c r="P1255" s="45"/>
      <c r="Q1255" s="45"/>
      <c r="R1255" s="45"/>
    </row>
    <row r="1256" spans="1:18" x14ac:dyDescent="0.25">
      <c r="A1256" s="45"/>
      <c r="B1256" s="47"/>
      <c r="C1256" s="47"/>
      <c r="D1256" s="47"/>
      <c r="E1256" s="45"/>
      <c r="F1256" s="45"/>
      <c r="G1256" s="45"/>
      <c r="H1256" s="45"/>
      <c r="I1256" s="45"/>
      <c r="J1256" s="45"/>
      <c r="K1256" s="45"/>
      <c r="L1256" s="45"/>
      <c r="M1256" s="45"/>
      <c r="N1256" s="45"/>
      <c r="O1256" s="45"/>
      <c r="P1256" s="45"/>
      <c r="Q1256" s="45"/>
      <c r="R1256" s="45"/>
    </row>
    <row r="1257" spans="1:18" x14ac:dyDescent="0.25">
      <c r="A1257" s="45"/>
      <c r="B1257" s="47"/>
      <c r="C1257" s="47"/>
      <c r="D1257" s="47"/>
      <c r="E1257" s="45"/>
      <c r="F1257" s="45"/>
      <c r="G1257" s="45"/>
      <c r="H1257" s="45"/>
      <c r="I1257" s="45"/>
      <c r="J1257" s="45"/>
      <c r="K1257" s="45"/>
      <c r="L1257" s="45"/>
      <c r="M1257" s="45"/>
      <c r="N1257" s="45"/>
      <c r="O1257" s="45"/>
      <c r="P1257" s="45"/>
      <c r="Q1257" s="45"/>
      <c r="R1257" s="45"/>
    </row>
    <row r="1258" spans="1:18" x14ac:dyDescent="0.25">
      <c r="A1258" s="45"/>
      <c r="B1258" s="47"/>
      <c r="C1258" s="47"/>
      <c r="D1258" s="47"/>
      <c r="E1258" s="45"/>
      <c r="F1258" s="45"/>
      <c r="G1258" s="45"/>
      <c r="H1258" s="45"/>
      <c r="I1258" s="45"/>
      <c r="J1258" s="45"/>
      <c r="K1258" s="45"/>
      <c r="L1258" s="45"/>
      <c r="M1258" s="45"/>
      <c r="N1258" s="45"/>
      <c r="O1258" s="45"/>
      <c r="P1258" s="45"/>
      <c r="Q1258" s="45"/>
      <c r="R1258" s="45"/>
    </row>
    <row r="1259" spans="1:18" x14ac:dyDescent="0.25">
      <c r="A1259" s="45"/>
      <c r="B1259" s="47"/>
      <c r="C1259" s="47"/>
      <c r="D1259" s="47"/>
      <c r="E1259" s="45"/>
      <c r="F1259" s="45"/>
      <c r="G1259" s="45"/>
      <c r="H1259" s="45"/>
      <c r="I1259" s="45"/>
      <c r="J1259" s="45"/>
      <c r="K1259" s="45"/>
      <c r="L1259" s="45"/>
      <c r="M1259" s="45"/>
      <c r="N1259" s="45"/>
      <c r="O1259" s="45"/>
      <c r="P1259" s="45"/>
      <c r="Q1259" s="45"/>
      <c r="R1259" s="45"/>
    </row>
    <row r="1260" spans="1:18" x14ac:dyDescent="0.25">
      <c r="A1260" s="45"/>
      <c r="B1260" s="47"/>
      <c r="C1260" s="47"/>
      <c r="D1260" s="47"/>
      <c r="E1260" s="45"/>
      <c r="F1260" s="45"/>
      <c r="G1260" s="45"/>
      <c r="H1260" s="45"/>
      <c r="I1260" s="45"/>
      <c r="J1260" s="45"/>
      <c r="K1260" s="45"/>
      <c r="L1260" s="45"/>
      <c r="M1260" s="45"/>
      <c r="N1260" s="45"/>
      <c r="O1260" s="45"/>
      <c r="P1260" s="45"/>
      <c r="Q1260" s="45"/>
      <c r="R1260" s="45"/>
    </row>
    <row r="1261" spans="1:18" x14ac:dyDescent="0.25">
      <c r="A1261" s="45"/>
      <c r="B1261" s="47"/>
      <c r="C1261" s="47"/>
      <c r="D1261" s="47"/>
      <c r="E1261" s="45"/>
      <c r="F1261" s="45"/>
      <c r="G1261" s="45"/>
      <c r="H1261" s="45"/>
      <c r="I1261" s="45"/>
      <c r="J1261" s="45"/>
      <c r="K1261" s="45"/>
      <c r="L1261" s="45"/>
      <c r="M1261" s="45"/>
      <c r="N1261" s="45"/>
      <c r="O1261" s="45"/>
      <c r="P1261" s="45"/>
      <c r="Q1261" s="45"/>
      <c r="R1261" s="45"/>
    </row>
    <row r="1262" spans="1:18" x14ac:dyDescent="0.25">
      <c r="A1262" s="45"/>
      <c r="B1262" s="47"/>
      <c r="C1262" s="47"/>
      <c r="D1262" s="47"/>
      <c r="E1262" s="45"/>
      <c r="F1262" s="45"/>
      <c r="G1262" s="45"/>
      <c r="H1262" s="45"/>
      <c r="I1262" s="45"/>
      <c r="J1262" s="45"/>
      <c r="K1262" s="45"/>
      <c r="L1262" s="45"/>
      <c r="M1262" s="45"/>
      <c r="N1262" s="45"/>
      <c r="O1262" s="45"/>
      <c r="P1262" s="45"/>
      <c r="Q1262" s="45"/>
      <c r="R1262" s="45"/>
    </row>
    <row r="1263" spans="1:18" x14ac:dyDescent="0.25">
      <c r="A1263" s="45"/>
      <c r="B1263" s="47"/>
      <c r="C1263" s="47"/>
      <c r="D1263" s="47"/>
      <c r="E1263" s="45"/>
      <c r="F1263" s="45"/>
      <c r="G1263" s="45"/>
      <c r="H1263" s="45"/>
      <c r="I1263" s="45"/>
      <c r="J1263" s="45"/>
      <c r="K1263" s="45"/>
      <c r="L1263" s="45"/>
      <c r="M1263" s="45"/>
      <c r="N1263" s="45"/>
      <c r="O1263" s="45"/>
      <c r="P1263" s="45"/>
      <c r="Q1263" s="45"/>
      <c r="R1263" s="45"/>
    </row>
    <row r="1264" spans="1:18" x14ac:dyDescent="0.25">
      <c r="A1264" s="45"/>
      <c r="B1264" s="47"/>
      <c r="C1264" s="47"/>
      <c r="D1264" s="47"/>
      <c r="E1264" s="45"/>
      <c r="F1264" s="45"/>
      <c r="G1264" s="45"/>
      <c r="H1264" s="45"/>
      <c r="I1264" s="45"/>
      <c r="J1264" s="45"/>
      <c r="K1264" s="45"/>
      <c r="L1264" s="45"/>
      <c r="M1264" s="45"/>
      <c r="N1264" s="45"/>
      <c r="O1264" s="45"/>
      <c r="P1264" s="45"/>
      <c r="Q1264" s="45"/>
      <c r="R1264" s="45"/>
    </row>
    <row r="1265" spans="1:18" x14ac:dyDescent="0.25">
      <c r="A1265" s="45"/>
      <c r="B1265" s="47"/>
      <c r="C1265" s="47"/>
      <c r="D1265" s="47"/>
      <c r="E1265" s="45"/>
      <c r="F1265" s="45"/>
      <c r="G1265" s="45"/>
      <c r="H1265" s="45"/>
      <c r="I1265" s="45"/>
      <c r="J1265" s="45"/>
      <c r="K1265" s="45"/>
      <c r="L1265" s="45"/>
      <c r="M1265" s="45"/>
      <c r="N1265" s="45"/>
      <c r="O1265" s="45"/>
      <c r="P1265" s="45"/>
      <c r="Q1265" s="45"/>
      <c r="R1265" s="45"/>
    </row>
    <row r="1266" spans="1:18" x14ac:dyDescent="0.25">
      <c r="A1266" s="45"/>
      <c r="B1266" s="47"/>
      <c r="C1266" s="47"/>
      <c r="D1266" s="47"/>
      <c r="E1266" s="45"/>
      <c r="F1266" s="45"/>
      <c r="G1266" s="45"/>
      <c r="H1266" s="45"/>
      <c r="I1266" s="45"/>
      <c r="J1266" s="45"/>
      <c r="K1266" s="45"/>
      <c r="L1266" s="45"/>
      <c r="M1266" s="45"/>
      <c r="N1266" s="45"/>
      <c r="O1266" s="45"/>
      <c r="P1266" s="45"/>
      <c r="Q1266" s="45"/>
      <c r="R1266" s="45"/>
    </row>
    <row r="1267" spans="1:18" x14ac:dyDescent="0.25">
      <c r="A1267" s="45"/>
      <c r="B1267" s="47"/>
      <c r="C1267" s="47"/>
      <c r="D1267" s="47"/>
      <c r="E1267" s="45"/>
      <c r="F1267" s="45"/>
      <c r="G1267" s="45"/>
      <c r="H1267" s="45"/>
      <c r="I1267" s="45"/>
      <c r="J1267" s="45"/>
      <c r="K1267" s="45"/>
      <c r="L1267" s="45"/>
      <c r="M1267" s="45"/>
      <c r="N1267" s="45"/>
      <c r="O1267" s="45"/>
      <c r="P1267" s="45"/>
      <c r="Q1267" s="45"/>
      <c r="R1267" s="45"/>
    </row>
    <row r="1268" spans="1:18" x14ac:dyDescent="0.25">
      <c r="A1268" s="45"/>
      <c r="B1268" s="47"/>
      <c r="C1268" s="47"/>
      <c r="D1268" s="47"/>
      <c r="E1268" s="45"/>
      <c r="F1268" s="45"/>
      <c r="G1268" s="45"/>
      <c r="H1268" s="45"/>
      <c r="I1268" s="45"/>
      <c r="J1268" s="45"/>
      <c r="K1268" s="45"/>
      <c r="L1268" s="45"/>
      <c r="M1268" s="45"/>
      <c r="N1268" s="45"/>
      <c r="O1268" s="45"/>
      <c r="P1268" s="45"/>
      <c r="Q1268" s="45"/>
      <c r="R1268" s="45"/>
    </row>
    <row r="1269" spans="1:18" x14ac:dyDescent="0.25">
      <c r="A1269" s="45"/>
      <c r="B1269" s="47"/>
      <c r="C1269" s="47"/>
      <c r="D1269" s="47"/>
      <c r="E1269" s="45"/>
      <c r="F1269" s="45"/>
      <c r="G1269" s="45"/>
      <c r="H1269" s="45"/>
      <c r="I1269" s="45"/>
      <c r="J1269" s="45"/>
      <c r="K1269" s="45"/>
      <c r="L1269" s="45"/>
      <c r="M1269" s="45"/>
      <c r="N1269" s="45"/>
      <c r="O1269" s="45"/>
      <c r="P1269" s="45"/>
      <c r="Q1269" s="45"/>
      <c r="R1269" s="45"/>
    </row>
    <row r="1270" spans="1:18" x14ac:dyDescent="0.25">
      <c r="A1270" s="45"/>
      <c r="B1270" s="47"/>
      <c r="C1270" s="47"/>
      <c r="D1270" s="47"/>
      <c r="E1270" s="45"/>
      <c r="F1270" s="45"/>
      <c r="G1270" s="45"/>
      <c r="H1270" s="45"/>
      <c r="I1270" s="45"/>
      <c r="J1270" s="45"/>
      <c r="K1270" s="45"/>
      <c r="L1270" s="45"/>
      <c r="M1270" s="45"/>
      <c r="N1270" s="45"/>
      <c r="O1270" s="45"/>
      <c r="P1270" s="45"/>
      <c r="Q1270" s="45"/>
      <c r="R1270" s="45"/>
    </row>
    <row r="1271" spans="1:18" x14ac:dyDescent="0.25">
      <c r="A1271" s="45"/>
      <c r="B1271" s="47"/>
      <c r="C1271" s="47"/>
      <c r="D1271" s="47"/>
      <c r="E1271" s="45"/>
      <c r="F1271" s="45"/>
      <c r="G1271" s="45"/>
      <c r="H1271" s="45"/>
      <c r="I1271" s="45"/>
      <c r="J1271" s="45"/>
      <c r="K1271" s="45"/>
      <c r="L1271" s="45"/>
      <c r="M1271" s="45"/>
      <c r="N1271" s="45"/>
      <c r="O1271" s="45"/>
      <c r="P1271" s="45"/>
      <c r="Q1271" s="45"/>
      <c r="R1271" s="45"/>
    </row>
    <row r="1272" spans="1:18" x14ac:dyDescent="0.25">
      <c r="A1272" s="45"/>
      <c r="B1272" s="47"/>
      <c r="C1272" s="47"/>
      <c r="D1272" s="47"/>
      <c r="E1272" s="45"/>
      <c r="F1272" s="45"/>
      <c r="G1272" s="45"/>
      <c r="H1272" s="45"/>
      <c r="I1272" s="45"/>
      <c r="J1272" s="45"/>
      <c r="K1272" s="45"/>
      <c r="L1272" s="45"/>
      <c r="M1272" s="45"/>
      <c r="N1272" s="45"/>
      <c r="O1272" s="45"/>
      <c r="P1272" s="45"/>
      <c r="Q1272" s="45"/>
      <c r="R1272" s="45"/>
    </row>
    <row r="1273" spans="1:18" x14ac:dyDescent="0.25">
      <c r="A1273" s="45"/>
      <c r="B1273" s="47"/>
      <c r="C1273" s="47"/>
      <c r="D1273" s="47"/>
      <c r="E1273" s="45"/>
      <c r="F1273" s="45"/>
      <c r="G1273" s="45"/>
      <c r="H1273" s="45"/>
      <c r="I1273" s="45"/>
      <c r="J1273" s="45"/>
      <c r="K1273" s="45"/>
      <c r="L1273" s="45"/>
      <c r="M1273" s="45"/>
      <c r="N1273" s="45"/>
      <c r="O1273" s="45"/>
      <c r="P1273" s="45"/>
      <c r="Q1273" s="45"/>
      <c r="R1273" s="45"/>
    </row>
    <row r="1274" spans="1:18" x14ac:dyDescent="0.25">
      <c r="A1274" s="45"/>
      <c r="B1274" s="47"/>
      <c r="C1274" s="47"/>
      <c r="D1274" s="47"/>
      <c r="E1274" s="45"/>
      <c r="F1274" s="45"/>
      <c r="G1274" s="45"/>
      <c r="H1274" s="45"/>
      <c r="I1274" s="45"/>
      <c r="J1274" s="45"/>
      <c r="K1274" s="45"/>
      <c r="L1274" s="45"/>
      <c r="M1274" s="45"/>
      <c r="N1274" s="45"/>
      <c r="O1274" s="45"/>
      <c r="P1274" s="45"/>
      <c r="Q1274" s="45"/>
      <c r="R1274" s="45"/>
    </row>
    <row r="1275" spans="1:18" x14ac:dyDescent="0.25">
      <c r="A1275" s="45"/>
      <c r="B1275" s="47"/>
      <c r="C1275" s="47"/>
      <c r="D1275" s="47"/>
      <c r="E1275" s="45"/>
      <c r="F1275" s="45"/>
      <c r="G1275" s="45"/>
      <c r="H1275" s="45"/>
      <c r="I1275" s="45"/>
      <c r="J1275" s="45"/>
      <c r="K1275" s="45"/>
      <c r="L1275" s="45"/>
      <c r="M1275" s="45"/>
      <c r="N1275" s="45"/>
      <c r="O1275" s="45"/>
      <c r="P1275" s="45"/>
      <c r="Q1275" s="45"/>
      <c r="R1275" s="45"/>
    </row>
    <row r="1276" spans="1:18" x14ac:dyDescent="0.25">
      <c r="A1276" s="45"/>
      <c r="B1276" s="47"/>
      <c r="C1276" s="47"/>
      <c r="D1276" s="47"/>
      <c r="E1276" s="45"/>
      <c r="F1276" s="45"/>
      <c r="G1276" s="45"/>
      <c r="H1276" s="45"/>
      <c r="I1276" s="45"/>
      <c r="J1276" s="45"/>
      <c r="K1276" s="45"/>
      <c r="L1276" s="45"/>
      <c r="M1276" s="45"/>
      <c r="N1276" s="45"/>
      <c r="O1276" s="45"/>
      <c r="P1276" s="45"/>
      <c r="Q1276" s="45"/>
      <c r="R1276" s="45"/>
    </row>
    <row r="1277" spans="1:18" x14ac:dyDescent="0.25">
      <c r="A1277" s="45"/>
      <c r="B1277" s="47"/>
      <c r="C1277" s="47"/>
      <c r="D1277" s="47"/>
      <c r="E1277" s="45"/>
      <c r="F1277" s="45"/>
      <c r="G1277" s="45"/>
      <c r="H1277" s="45"/>
      <c r="I1277" s="45"/>
      <c r="J1277" s="45"/>
      <c r="K1277" s="45"/>
      <c r="L1277" s="45"/>
      <c r="M1277" s="45"/>
      <c r="N1277" s="45"/>
      <c r="O1277" s="45"/>
      <c r="P1277" s="45"/>
      <c r="Q1277" s="45"/>
      <c r="R1277" s="45"/>
    </row>
    <row r="1278" spans="1:18" x14ac:dyDescent="0.25">
      <c r="A1278" s="45"/>
      <c r="B1278" s="47"/>
      <c r="C1278" s="47"/>
      <c r="D1278" s="47"/>
      <c r="E1278" s="45"/>
      <c r="F1278" s="45"/>
      <c r="G1278" s="45"/>
      <c r="H1278" s="45"/>
      <c r="I1278" s="45"/>
      <c r="J1278" s="45"/>
      <c r="K1278" s="45"/>
      <c r="L1278" s="45"/>
      <c r="M1278" s="45"/>
      <c r="N1278" s="45"/>
      <c r="O1278" s="45"/>
      <c r="P1278" s="45"/>
      <c r="Q1278" s="45"/>
      <c r="R1278" s="45"/>
    </row>
    <row r="1279" spans="1:18" x14ac:dyDescent="0.25">
      <c r="A1279" s="45"/>
      <c r="B1279" s="47"/>
      <c r="C1279" s="47"/>
      <c r="D1279" s="47"/>
      <c r="E1279" s="45"/>
      <c r="F1279" s="45"/>
      <c r="G1279" s="45"/>
      <c r="H1279" s="45"/>
      <c r="I1279" s="45"/>
      <c r="J1279" s="45"/>
      <c r="K1279" s="45"/>
      <c r="L1279" s="45"/>
      <c r="M1279" s="45"/>
      <c r="N1279" s="45"/>
      <c r="O1279" s="45"/>
      <c r="P1279" s="45"/>
      <c r="Q1279" s="45"/>
      <c r="R1279" s="45"/>
    </row>
    <row r="1280" spans="1:18" x14ac:dyDescent="0.25">
      <c r="A1280" s="45"/>
      <c r="B1280" s="47"/>
      <c r="C1280" s="47"/>
      <c r="D1280" s="47"/>
      <c r="E1280" s="45"/>
      <c r="F1280" s="45"/>
      <c r="G1280" s="45"/>
      <c r="H1280" s="45"/>
      <c r="I1280" s="45"/>
      <c r="J1280" s="45"/>
      <c r="K1280" s="45"/>
      <c r="L1280" s="45"/>
      <c r="M1280" s="45"/>
      <c r="N1280" s="45"/>
      <c r="O1280" s="45"/>
      <c r="P1280" s="45"/>
      <c r="Q1280" s="45"/>
      <c r="R1280" s="45"/>
    </row>
    <row r="1281" spans="1:18" x14ac:dyDescent="0.25">
      <c r="A1281" s="45"/>
      <c r="B1281" s="47"/>
      <c r="C1281" s="47"/>
      <c r="D1281" s="47"/>
      <c r="E1281" s="45"/>
      <c r="F1281" s="45"/>
      <c r="G1281" s="45"/>
      <c r="H1281" s="45"/>
      <c r="I1281" s="45"/>
      <c r="J1281" s="45"/>
      <c r="K1281" s="45"/>
      <c r="L1281" s="45"/>
      <c r="M1281" s="45"/>
      <c r="N1281" s="45"/>
      <c r="O1281" s="45"/>
      <c r="P1281" s="45"/>
      <c r="Q1281" s="45"/>
      <c r="R1281" s="45"/>
    </row>
    <row r="1282" spans="1:18" x14ac:dyDescent="0.25">
      <c r="A1282" s="45"/>
      <c r="B1282" s="47"/>
      <c r="C1282" s="47"/>
      <c r="D1282" s="47"/>
      <c r="E1282" s="45"/>
      <c r="F1282" s="45"/>
      <c r="G1282" s="45"/>
      <c r="H1282" s="45"/>
      <c r="I1282" s="45"/>
      <c r="J1282" s="45"/>
      <c r="K1282" s="45"/>
      <c r="L1282" s="45"/>
      <c r="M1282" s="45"/>
      <c r="N1282" s="45"/>
      <c r="O1282" s="45"/>
      <c r="P1282" s="45"/>
      <c r="Q1282" s="45"/>
      <c r="R1282" s="45"/>
    </row>
    <row r="1283" spans="1:18" x14ac:dyDescent="0.25">
      <c r="A1283" s="45"/>
      <c r="B1283" s="47"/>
      <c r="C1283" s="47"/>
      <c r="D1283" s="47"/>
      <c r="E1283" s="45"/>
      <c r="F1283" s="45"/>
      <c r="G1283" s="45"/>
      <c r="H1283" s="45"/>
      <c r="I1283" s="45"/>
      <c r="J1283" s="45"/>
      <c r="K1283" s="45"/>
      <c r="L1283" s="45"/>
      <c r="M1283" s="45"/>
      <c r="N1283" s="45"/>
      <c r="O1283" s="45"/>
      <c r="P1283" s="45"/>
      <c r="Q1283" s="45"/>
      <c r="R1283" s="45"/>
    </row>
    <row r="1284" spans="1:18" x14ac:dyDescent="0.25">
      <c r="A1284" s="45"/>
      <c r="B1284" s="47"/>
      <c r="C1284" s="47"/>
      <c r="D1284" s="47"/>
      <c r="E1284" s="45"/>
      <c r="F1284" s="45"/>
      <c r="G1284" s="45"/>
      <c r="H1284" s="45"/>
      <c r="I1284" s="45"/>
      <c r="J1284" s="45"/>
      <c r="K1284" s="45"/>
      <c r="L1284" s="45"/>
      <c r="M1284" s="45"/>
      <c r="N1284" s="45"/>
      <c r="O1284" s="45"/>
      <c r="P1284" s="45"/>
      <c r="Q1284" s="45"/>
      <c r="R1284" s="45"/>
    </row>
    <row r="1285" spans="1:18" x14ac:dyDescent="0.25">
      <c r="A1285" s="45"/>
      <c r="B1285" s="47"/>
      <c r="C1285" s="47"/>
      <c r="D1285" s="47"/>
      <c r="E1285" s="45"/>
      <c r="F1285" s="45"/>
      <c r="G1285" s="45"/>
      <c r="H1285" s="45"/>
      <c r="I1285" s="45"/>
      <c r="J1285" s="45"/>
      <c r="K1285" s="45"/>
      <c r="L1285" s="45"/>
      <c r="M1285" s="45"/>
      <c r="N1285" s="45"/>
      <c r="O1285" s="45"/>
      <c r="P1285" s="45"/>
      <c r="Q1285" s="45"/>
      <c r="R1285" s="45"/>
    </row>
  </sheetData>
  <sheetProtection algorithmName="SHA-512" hashValue="RjWtwESfNnLl6MOsaiKGI9ozeXnPgulQ3UlmHnAijC/chymvUfglABPBb5l7O1bhkxJkCeG6C7w2EN6yXH2WLQ==" saltValue="tUPuOWXuWoCSAzH7YhAgwQ==" spinCount="100000" sheet="1" objects="1" insertRows="0"/>
  <mergeCells count="14">
    <mergeCell ref="G11:I11"/>
    <mergeCell ref="J11:L11"/>
    <mergeCell ref="M11:O11"/>
    <mergeCell ref="P11:R11"/>
    <mergeCell ref="A10:D10"/>
    <mergeCell ref="E10:F10"/>
    <mergeCell ref="G10:L10"/>
    <mergeCell ref="M10:R10"/>
    <mergeCell ref="A11:A12"/>
    <mergeCell ref="B11:B12"/>
    <mergeCell ref="C11:C12"/>
    <mergeCell ref="D11:D12"/>
    <mergeCell ref="E11:E12"/>
    <mergeCell ref="F11:F12"/>
  </mergeCells>
  <phoneticPr fontId="25" type="noConversion"/>
  <pageMargins left="0.7" right="0.7" top="0.75" bottom="0.75" header="0.3" footer="0.3"/>
  <pageSetup orientation="portrait" r:id="rId1"/>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4DC20-30D5-4063-BCB6-8581BBF396FD}">
  <sheetPr>
    <tabColor rgb="FF0070C0"/>
  </sheetPr>
  <dimension ref="A9:N499"/>
  <sheetViews>
    <sheetView tabSelected="1" topLeftCell="C8" workbookViewId="0">
      <selection activeCell="J41" sqref="J41"/>
    </sheetView>
  </sheetViews>
  <sheetFormatPr defaultRowHeight="15" x14ac:dyDescent="0.25"/>
  <cols>
    <col min="1" max="1" width="22.5703125" style="1" customWidth="1"/>
    <col min="2" max="2" width="30.5703125" customWidth="1"/>
    <col min="3" max="3" width="17.140625" style="4" customWidth="1"/>
    <col min="4" max="4" width="53.140625" bestFit="1" customWidth="1"/>
    <col min="5" max="5" width="19.140625" style="1" hidden="1" customWidth="1"/>
    <col min="6" max="7" width="20.5703125" style="73" customWidth="1"/>
    <col min="8" max="8" width="46.5703125" customWidth="1"/>
    <col min="9" max="14" width="18.5703125" style="1" customWidth="1"/>
  </cols>
  <sheetData>
    <row r="9" spans="1:14" ht="20.100000000000001" customHeight="1" thickBot="1" x14ac:dyDescent="0.35">
      <c r="A9" s="45"/>
      <c r="B9" s="47"/>
      <c r="C9" s="46"/>
      <c r="D9" s="47"/>
      <c r="E9" s="45"/>
      <c r="F9" s="48"/>
      <c r="G9" s="48"/>
      <c r="H9" s="47"/>
      <c r="I9" s="917" t="s">
        <v>1250</v>
      </c>
      <c r="J9" s="918"/>
      <c r="K9" s="918"/>
      <c r="L9" s="918"/>
      <c r="M9" s="918"/>
      <c r="N9" s="919"/>
    </row>
    <row r="10" spans="1:14" ht="18.75" thickBot="1" x14ac:dyDescent="0.3">
      <c r="A10" s="920" t="s">
        <v>1302</v>
      </c>
      <c r="B10" s="922" t="s">
        <v>1304</v>
      </c>
      <c r="C10" s="924" t="s">
        <v>113</v>
      </c>
      <c r="D10" s="925"/>
      <c r="E10" s="926"/>
      <c r="F10" s="927" t="s">
        <v>1338</v>
      </c>
      <c r="G10" s="928"/>
      <c r="H10" s="929"/>
      <c r="I10" s="833" t="s">
        <v>1339</v>
      </c>
      <c r="J10" s="834"/>
      <c r="K10" s="835"/>
      <c r="L10" s="836" t="s">
        <v>1340</v>
      </c>
      <c r="M10" s="837"/>
      <c r="N10" s="838"/>
    </row>
    <row r="11" spans="1:14" ht="20.100000000000001" customHeight="1" thickBot="1" x14ac:dyDescent="0.3">
      <c r="A11" s="921"/>
      <c r="B11" s="923"/>
      <c r="C11" s="49" t="s">
        <v>1258</v>
      </c>
      <c r="D11" s="50" t="s">
        <v>116</v>
      </c>
      <c r="E11" s="51" t="s">
        <v>1259</v>
      </c>
      <c r="F11" s="91" t="s">
        <v>1341</v>
      </c>
      <c r="G11" s="92" t="s">
        <v>1342</v>
      </c>
      <c r="H11" s="52" t="s">
        <v>1257</v>
      </c>
      <c r="I11" s="53" t="s">
        <v>1172</v>
      </c>
      <c r="J11" s="54" t="s">
        <v>1262</v>
      </c>
      <c r="K11" s="55" t="s">
        <v>1174</v>
      </c>
      <c r="L11" s="56" t="s">
        <v>1172</v>
      </c>
      <c r="M11" s="93" t="s">
        <v>1262</v>
      </c>
      <c r="N11" s="7" t="s">
        <v>1174</v>
      </c>
    </row>
    <row r="12" spans="1:14" x14ac:dyDescent="0.25">
      <c r="A12" s="57" t="s">
        <v>1343</v>
      </c>
      <c r="B12" s="77" t="s">
        <v>1310</v>
      </c>
      <c r="C12" s="94" t="s">
        <v>763</v>
      </c>
      <c r="D12" s="58" t="str">
        <f>IFERROR(IF(C12="No CAS","",INDEX('DEQ Pollutant List'!$C$7:$C$611,MATCH('5. Pollutant Emissions - MB'!C12,'DEQ Pollutant List'!$B$7:$B$611,0))),"")</f>
        <v/>
      </c>
      <c r="E12" s="13" t="str">
        <f>IFERROR(IF(OR($C12="",$C12="No CAS"),INDEX('DEQ Pollutant List'!$A$7:$A$611,MATCH($D12,'DEQ Pollutant List'!$C$7:$C$611,0)),INDEX('DEQ Pollutant List'!$A$7:$A$611,MATCH($C12,'DEQ Pollutant List'!$B$7:$B$611,0))),"")</f>
        <v/>
      </c>
      <c r="F12" s="95">
        <v>0</v>
      </c>
      <c r="G12" s="96">
        <v>0.35</v>
      </c>
      <c r="H12" s="59"/>
      <c r="I12" s="60">
        <f>(INDEX('4. Material Balance Activities'!$G:$G,MATCH($B12,'4. Material Balance Activities'!$C:$C,0))-INDEX('4. Material Balance Activities'!$M:$M,MATCH($B12,'4. Material Balance Activities'!$C:$C,0)))*$G12*(1-$F12)</f>
        <v>3500</v>
      </c>
      <c r="J12" s="61">
        <f>(INDEX('4. Material Balance Activities'!$H:$H,MATCH($B12,'4. Material Balance Activities'!$C:$C,0))-INDEX('4. Material Balance Activities'!$N:$N,MATCH($B12,'4. Material Balance Activities'!$C:$C,0)))*$G12*(1-$F12)</f>
        <v>3989.9999999999995</v>
      </c>
      <c r="K12" s="97">
        <f>(INDEX('4. Material Balance Activities'!$I:$I,MATCH($B12,'4. Material Balance Activities'!$C:$C,0))-INDEX('4. Material Balance Activities'!$O:$O,MATCH($B12,'4. Material Balance Activities'!$C:$C,0)))*$G12*(1-$F12)</f>
        <v>5250</v>
      </c>
      <c r="L12" s="60">
        <f>(INDEX('4. Material Balance Activities'!$J:$J,MATCH($B12,'4. Material Balance Activities'!$C:$C,0))-INDEX('4. Material Balance Activities'!$P:$P,MATCH($B12,'4. Material Balance Activities'!$C:$C,0)))*$G12*(1-$F12)</f>
        <v>10.85</v>
      </c>
      <c r="M12" s="61">
        <f>(INDEX('4. Material Balance Activities'!$K:$K,MATCH($B12,'4. Material Balance Activities'!$C:$C,0))-INDEX('4. Material Balance Activities'!$Q:$Q,MATCH($B12,'4. Material Balance Activities'!$C:$C,0)))*$G12*(1-$F12)</f>
        <v>11.549999999999999</v>
      </c>
      <c r="N12" s="98">
        <f>(INDEX('4. Material Balance Activities'!$L:$L,MATCH($B12,'4. Material Balance Activities'!$C:$C,0))-INDEX('4. Material Balance Activities'!$R:$R,MATCH($B12,'4. Material Balance Activities'!$C:$C,0)))*$G12*(1-$F12)</f>
        <v>13.299999999999999</v>
      </c>
    </row>
    <row r="13" spans="1:14" x14ac:dyDescent="0.25">
      <c r="A13" s="57" t="s">
        <v>1343</v>
      </c>
      <c r="B13" s="77" t="s">
        <v>1310</v>
      </c>
      <c r="C13" s="99" t="s">
        <v>1344</v>
      </c>
      <c r="D13" s="11" t="str">
        <f>IFERROR(IF(C13="No CAS","",INDEX('DEQ Pollutant List'!$C$7:$C$611,MATCH('5. Pollutant Emissions - MB'!C13,'DEQ Pollutant List'!$B$7:$B$611,0))),"")</f>
        <v/>
      </c>
      <c r="E13" s="13" t="str">
        <f>IFERROR(IF(OR($C13="",$C13="No CAS"),INDEX('DEQ Pollutant List'!$A$7:$A$611,MATCH($D13,'DEQ Pollutant List'!$C$7:$C$611,0)),INDEX('DEQ Pollutant List'!$A$7:$A$611,MATCH($C13,'DEQ Pollutant List'!$B$7:$B$611,0))),"")</f>
        <v/>
      </c>
      <c r="F13" s="95">
        <v>0</v>
      </c>
      <c r="G13" s="96">
        <v>0.48</v>
      </c>
      <c r="H13" s="59"/>
      <c r="I13" s="62">
        <f>(INDEX('4. Material Balance Activities'!$G:$G,MATCH($B13,'4. Material Balance Activities'!$C:$C,0))-INDEX('4. Material Balance Activities'!$M:$M,MATCH($B13,'4. Material Balance Activities'!$C:$C,0)))*$G13*(1-$F13)</f>
        <v>4800</v>
      </c>
      <c r="J13" s="63">
        <f>(INDEX('4. Material Balance Activities'!$H:$H,MATCH($B13,'4. Material Balance Activities'!$C:$C,0))-INDEX('4. Material Balance Activities'!$N:$N,MATCH($B13,'4. Material Balance Activities'!$C:$C,0)))*$G13*(1-$F13)</f>
        <v>5472</v>
      </c>
      <c r="K13" s="100">
        <f>(INDEX('4. Material Balance Activities'!$I:$I,MATCH($B13,'4. Material Balance Activities'!$C:$C,0))-INDEX('4. Material Balance Activities'!$O:$O,MATCH($B13,'4. Material Balance Activities'!$C:$C,0)))*$G13*(1-$F13)</f>
        <v>7200</v>
      </c>
      <c r="L13" s="62">
        <f>(INDEX('4. Material Balance Activities'!$J:$J,MATCH($B13,'4. Material Balance Activities'!$C:$C,0))-INDEX('4. Material Balance Activities'!$P:$P,MATCH($B13,'4. Material Balance Activities'!$C:$C,0)))*$G13*(1-$F13)</f>
        <v>14.879999999999999</v>
      </c>
      <c r="M13" s="63">
        <f>(INDEX('4. Material Balance Activities'!$K:$K,MATCH($B13,'4. Material Balance Activities'!$C:$C,0))-INDEX('4. Material Balance Activities'!$Q:$Q,MATCH($B13,'4. Material Balance Activities'!$C:$C,0)))*$G13*(1-$F13)</f>
        <v>15.84</v>
      </c>
      <c r="N13" s="13">
        <f>(INDEX('4. Material Balance Activities'!$L:$L,MATCH($B13,'4. Material Balance Activities'!$C:$C,0))-INDEX('4. Material Balance Activities'!$R:$R,MATCH($B13,'4. Material Balance Activities'!$C:$C,0)))*$G13*(1-$F13)</f>
        <v>18.239999999999998</v>
      </c>
    </row>
    <row r="14" spans="1:14" x14ac:dyDescent="0.25">
      <c r="A14" s="57" t="s">
        <v>1343</v>
      </c>
      <c r="B14" s="77" t="s">
        <v>1310</v>
      </c>
      <c r="C14" s="99" t="s">
        <v>55</v>
      </c>
      <c r="D14" s="11" t="str">
        <f>IFERROR(IF(C14="No CAS","",INDEX('DEQ Pollutant List'!$C$7:$C$611,MATCH('5. Pollutant Emissions - MB'!C14,'DEQ Pollutant List'!$B$7:$B$611,0))),"")</f>
        <v/>
      </c>
      <c r="E14" s="13" t="str">
        <f>IFERROR(IF(OR($C14="",$C14="No CAS"),INDEX('DEQ Pollutant List'!$A$7:$A$611,MATCH($D14,'DEQ Pollutant List'!$C$7:$C$611,0)),INDEX('DEQ Pollutant List'!$A$7:$A$611,MATCH($C14,'DEQ Pollutant List'!$B$7:$B$611,0))),"")</f>
        <v/>
      </c>
      <c r="F14" s="95">
        <f>1-((1-0.72)*(1-0.99))</f>
        <v>0.99719999999999998</v>
      </c>
      <c r="G14" s="96">
        <v>0.05</v>
      </c>
      <c r="H14" s="59" t="s">
        <v>1345</v>
      </c>
      <c r="I14" s="62">
        <f>(INDEX('4. Material Balance Activities'!$G:$G,MATCH($B14,'4. Material Balance Activities'!$C:$C,0))-INDEX('4. Material Balance Activities'!$M:$M,MATCH($B14,'4. Material Balance Activities'!$C:$C,0)))*$G14*(1-$F14)</f>
        <v>1.4000000000000123</v>
      </c>
      <c r="J14" s="63">
        <f>(INDEX('4. Material Balance Activities'!$H:$H,MATCH($B14,'4. Material Balance Activities'!$C:$C,0))-INDEX('4. Material Balance Activities'!$N:$N,MATCH($B14,'4. Material Balance Activities'!$C:$C,0)))*$G14*(1-$F14)</f>
        <v>1.5960000000000141</v>
      </c>
      <c r="K14" s="100">
        <f>(INDEX('4. Material Balance Activities'!$I:$I,MATCH($B14,'4. Material Balance Activities'!$C:$C,0))-INDEX('4. Material Balance Activities'!$O:$O,MATCH($B14,'4. Material Balance Activities'!$C:$C,0)))*$G14*(1-$F14)</f>
        <v>2.1000000000000183</v>
      </c>
      <c r="L14" s="62">
        <f>(INDEX('4. Material Balance Activities'!$J:$J,MATCH($B14,'4. Material Balance Activities'!$C:$C,0))-INDEX('4. Material Balance Activities'!$P:$P,MATCH($B14,'4. Material Balance Activities'!$C:$C,0)))*$G14*(1-$F14)</f>
        <v>4.3400000000000383E-3</v>
      </c>
      <c r="M14" s="63">
        <f>(INDEX('4. Material Balance Activities'!$K:$K,MATCH($B14,'4. Material Balance Activities'!$C:$C,0))-INDEX('4. Material Balance Activities'!$Q:$Q,MATCH($B14,'4. Material Balance Activities'!$C:$C,0)))*$G14*(1-$F14)</f>
        <v>4.6200000000000407E-3</v>
      </c>
      <c r="N14" s="100">
        <f>(INDEX('4. Material Balance Activities'!$L:$L,MATCH($B14,'4. Material Balance Activities'!$C:$C,0))-INDEX('4. Material Balance Activities'!$R:$R,MATCH($B14,'4. Material Balance Activities'!$C:$C,0)))*$G14*(1-$F14)</f>
        <v>5.3200000000000469E-3</v>
      </c>
    </row>
    <row r="15" spans="1:14" x14ac:dyDescent="0.25">
      <c r="A15" s="57" t="s">
        <v>1343</v>
      </c>
      <c r="B15" s="77" t="s">
        <v>1313</v>
      </c>
      <c r="C15" s="99" t="s">
        <v>1346</v>
      </c>
      <c r="D15" s="11" t="str">
        <f>IFERROR(IF(C15="No CAS","",INDEX('DEQ Pollutant List'!$C$7:$C$611,MATCH('5. Pollutant Emissions - MB'!C15,'DEQ Pollutant List'!$B$7:$B$611,0))),"")</f>
        <v/>
      </c>
      <c r="E15" s="13" t="str">
        <f>IFERROR(IF(OR($C15="",$C15="No CAS"),INDEX('DEQ Pollutant List'!$A$7:$A$611,MATCH($D15,'DEQ Pollutant List'!$C$7:$C$611,0)),INDEX('DEQ Pollutant List'!$A$7:$A$611,MATCH($C15,'DEQ Pollutant List'!$B$7:$B$611,0))),"")</f>
        <v/>
      </c>
      <c r="F15" s="95">
        <v>0</v>
      </c>
      <c r="G15" s="96">
        <v>5.0000000000000001E-3</v>
      </c>
      <c r="H15" s="59"/>
      <c r="I15" s="62">
        <f>(INDEX('4. Material Balance Activities'!$G:$G,MATCH($B15,'4. Material Balance Activities'!$C:$C,0))-INDEX('4. Material Balance Activities'!$M:$M,MATCH($B15,'4. Material Balance Activities'!$C:$C,0)))*$G15*(1-$F15)</f>
        <v>4.6749999999999998</v>
      </c>
      <c r="J15" s="63">
        <f>(INDEX('4. Material Balance Activities'!$H:$H,MATCH($B15,'4. Material Balance Activities'!$C:$C,0))-INDEX('4. Material Balance Activities'!$N:$N,MATCH($B15,'4. Material Balance Activities'!$C:$C,0)))*$G15*(1-$F15)</f>
        <v>5.8500000000000005</v>
      </c>
      <c r="K15" s="100">
        <f>(INDEX('4. Material Balance Activities'!$I:$I,MATCH($B15,'4. Material Balance Activities'!$C:$C,0))-INDEX('4. Material Balance Activities'!$O:$O,MATCH($B15,'4. Material Balance Activities'!$C:$C,0)))*$G15*(1-$F15)</f>
        <v>7.3</v>
      </c>
      <c r="L15" s="62">
        <f>(INDEX('4. Material Balance Activities'!$J:$J,MATCH($B15,'4. Material Balance Activities'!$C:$C,0))-INDEX('4. Material Balance Activities'!$P:$P,MATCH($B15,'4. Material Balance Activities'!$C:$C,0)))*$G15*(1-$F15)</f>
        <v>2.2499999999999999E-2</v>
      </c>
      <c r="M15" s="63">
        <f>(INDEX('4. Material Balance Activities'!$K:$K,MATCH($B15,'4. Material Balance Activities'!$C:$C,0))-INDEX('4. Material Balance Activities'!$Q:$Q,MATCH($B15,'4. Material Balance Activities'!$C:$C,0)))*$G15*(1-$F15)</f>
        <v>4.4999999999999998E-2</v>
      </c>
      <c r="N15" s="100">
        <f>(INDEX('4. Material Balance Activities'!$L:$L,MATCH($B15,'4. Material Balance Activities'!$C:$C,0))-INDEX('4. Material Balance Activities'!$R:$R,MATCH($B15,'4. Material Balance Activities'!$C:$C,0)))*$G15*(1-$F15)</f>
        <v>6.5000000000000002E-2</v>
      </c>
    </row>
    <row r="16" spans="1:14" x14ac:dyDescent="0.25">
      <c r="A16" s="57" t="s">
        <v>1343</v>
      </c>
      <c r="B16" s="77" t="s">
        <v>1313</v>
      </c>
      <c r="C16" s="99" t="s">
        <v>1276</v>
      </c>
      <c r="D16" s="11" t="str">
        <f>IFERROR(IF(C16="No CAS","",INDEX('DEQ Pollutant List'!$C$7:$C$611,MATCH('5. Pollutant Emissions - MB'!C16,'DEQ Pollutant List'!$B$7:$B$611,0))),"")</f>
        <v/>
      </c>
      <c r="E16" s="13" t="str">
        <f>IFERROR(IF(OR($C16="",$C16="No CAS"),INDEX('DEQ Pollutant List'!$A$7:$A$611,MATCH($D16,'DEQ Pollutant List'!$C$7:$C$611,0)),INDEX('DEQ Pollutant List'!$A$7:$A$611,MATCH($C16,'DEQ Pollutant List'!$B$7:$B$611,0))),"")</f>
        <v/>
      </c>
      <c r="F16" s="95">
        <v>0</v>
      </c>
      <c r="G16" s="96">
        <v>0.7</v>
      </c>
      <c r="H16" s="59"/>
      <c r="I16" s="62">
        <f>(INDEX('4. Material Balance Activities'!$G:$G,MATCH($B16,'4. Material Balance Activities'!$C:$C,0))-INDEX('4. Material Balance Activities'!$M:$M,MATCH($B16,'4. Material Balance Activities'!$C:$C,0)))*$G16*(1-$F16)</f>
        <v>654.5</v>
      </c>
      <c r="J16" s="63">
        <f>(INDEX('4. Material Balance Activities'!$H:$H,MATCH($B16,'4. Material Balance Activities'!$C:$C,0))-INDEX('4. Material Balance Activities'!$N:$N,MATCH($B16,'4. Material Balance Activities'!$C:$C,0)))*$G16*(1-$F16)</f>
        <v>819</v>
      </c>
      <c r="K16" s="100">
        <f>(INDEX('4. Material Balance Activities'!$I:$I,MATCH($B16,'4. Material Balance Activities'!$C:$C,0))-INDEX('4. Material Balance Activities'!$O:$O,MATCH($B16,'4. Material Balance Activities'!$C:$C,0)))*$G16*(1-$F16)</f>
        <v>1021.9999999999999</v>
      </c>
      <c r="L16" s="62">
        <f>(INDEX('4. Material Balance Activities'!$J:$J,MATCH($B16,'4. Material Balance Activities'!$C:$C,0))-INDEX('4. Material Balance Activities'!$P:$P,MATCH($B16,'4. Material Balance Activities'!$C:$C,0)))*$G16*(1-$F16)</f>
        <v>3.15</v>
      </c>
      <c r="M16" s="63">
        <f>(INDEX('4. Material Balance Activities'!$K:$K,MATCH($B16,'4. Material Balance Activities'!$C:$C,0))-INDEX('4. Material Balance Activities'!$Q:$Q,MATCH($B16,'4. Material Balance Activities'!$C:$C,0)))*$G16*(1-$F16)</f>
        <v>6.3</v>
      </c>
      <c r="N16" s="100">
        <f>(INDEX('4. Material Balance Activities'!$L:$L,MATCH($B16,'4. Material Balance Activities'!$C:$C,0))-INDEX('4. Material Balance Activities'!$R:$R,MATCH($B16,'4. Material Balance Activities'!$C:$C,0)))*$G16*(1-$F16)</f>
        <v>9.1</v>
      </c>
    </row>
    <row r="17" spans="1:14" x14ac:dyDescent="0.25">
      <c r="A17" s="57" t="s">
        <v>1343</v>
      </c>
      <c r="B17" s="77" t="s">
        <v>1313</v>
      </c>
      <c r="C17" s="99" t="s">
        <v>311</v>
      </c>
      <c r="D17" s="11" t="str">
        <f>IFERROR(IF(C17="No CAS","",INDEX('DEQ Pollutant List'!$C$7:$C$611,MATCH('5. Pollutant Emissions - MB'!C17,'DEQ Pollutant List'!$B$7:$B$611,0))),"")</f>
        <v/>
      </c>
      <c r="E17" s="13" t="str">
        <f>IFERROR(IF(OR($C17="",$C17="No CAS"),INDEX('DEQ Pollutant List'!$A$7:$A$611,MATCH($D17,'DEQ Pollutant List'!$C$7:$C$611,0)),INDEX('DEQ Pollutant List'!$A$7:$A$611,MATCH($C17,'DEQ Pollutant List'!$B$7:$B$611,0))),"")</f>
        <v/>
      </c>
      <c r="F17" s="95">
        <f>1-((1-0.72)*(1-0.99))</f>
        <v>0.99719999999999998</v>
      </c>
      <c r="G17" s="96">
        <v>0.05</v>
      </c>
      <c r="H17" s="59" t="s">
        <v>1345</v>
      </c>
      <c r="I17" s="62">
        <f>(INDEX('4. Material Balance Activities'!$G:$G,MATCH($B17,'4. Material Balance Activities'!$C:$C,0))-INDEX('4. Material Balance Activities'!$M:$M,MATCH($B17,'4. Material Balance Activities'!$C:$C,0)))*$G17*(1-$F17)</f>
        <v>0.13090000000000115</v>
      </c>
      <c r="J17" s="63">
        <f>(INDEX('4. Material Balance Activities'!$H:$H,MATCH($B17,'4. Material Balance Activities'!$C:$C,0))-INDEX('4. Material Balance Activities'!$N:$N,MATCH($B17,'4. Material Balance Activities'!$C:$C,0)))*$G17*(1-$F17)</f>
        <v>0.16380000000000144</v>
      </c>
      <c r="K17" s="100">
        <f>(INDEX('4. Material Balance Activities'!$I:$I,MATCH($B17,'4. Material Balance Activities'!$C:$C,0))-INDEX('4. Material Balance Activities'!$O:$O,MATCH($B17,'4. Material Balance Activities'!$C:$C,0)))*$G17*(1-$F17)</f>
        <v>0.2044000000000018</v>
      </c>
      <c r="L17" s="62">
        <f>(INDEX('4. Material Balance Activities'!$J:$J,MATCH($B17,'4. Material Balance Activities'!$C:$C,0))-INDEX('4. Material Balance Activities'!$P:$P,MATCH($B17,'4. Material Balance Activities'!$C:$C,0)))*$G17*(1-$F17)</f>
        <v>6.3000000000000556E-4</v>
      </c>
      <c r="M17" s="63">
        <f>(INDEX('4. Material Balance Activities'!$K:$K,MATCH($B17,'4. Material Balance Activities'!$C:$C,0))-INDEX('4. Material Balance Activities'!$Q:$Q,MATCH($B17,'4. Material Balance Activities'!$C:$C,0)))*$G17*(1-$F17)</f>
        <v>1.2600000000000111E-3</v>
      </c>
      <c r="N17" s="100">
        <f>(INDEX('4. Material Balance Activities'!$L:$L,MATCH($B17,'4. Material Balance Activities'!$C:$C,0))-INDEX('4. Material Balance Activities'!$R:$R,MATCH($B17,'4. Material Balance Activities'!$C:$C,0)))*$G17*(1-$F17)</f>
        <v>1.820000000000016E-3</v>
      </c>
    </row>
    <row r="18" spans="1:14" ht="15.75" thickBot="1" x14ac:dyDescent="0.3">
      <c r="A18" s="17"/>
      <c r="B18" s="85"/>
      <c r="C18" s="101"/>
      <c r="D18" s="19"/>
      <c r="E18" s="13" t="str">
        <f>IFERROR(IF(OR($C18="",$C18="No CAS"),INDEX('DEQ Pollutant List'!$A$7:$A$611,MATCH($D18,'DEQ Pollutant List'!$C$7:$C$611,0)),INDEX('DEQ Pollutant List'!$A$7:$A$611,MATCH($C18,'DEQ Pollutant List'!$B$7:$B$611,0))),"")</f>
        <v/>
      </c>
      <c r="F18" s="102"/>
      <c r="G18" s="103"/>
      <c r="H18" s="65"/>
      <c r="I18" s="64"/>
      <c r="J18" s="66"/>
      <c r="K18" s="21"/>
      <c r="L18" s="64"/>
      <c r="M18" s="66"/>
      <c r="N18" s="21"/>
    </row>
    <row r="19" spans="1:14" s="2" customFormat="1" ht="15.75" thickBot="1" x14ac:dyDescent="0.3">
      <c r="A19" s="134" t="s">
        <v>1314</v>
      </c>
      <c r="B19" s="253" t="s">
        <v>123</v>
      </c>
      <c r="C19" s="254" t="s">
        <v>125</v>
      </c>
      <c r="D19" s="123" t="str">
        <f>'Maintenance Activities SDS'!J4</f>
        <v>Zinc oxide</v>
      </c>
      <c r="E19" s="151"/>
      <c r="F19" s="247">
        <v>0</v>
      </c>
      <c r="G19" s="248">
        <f>'Maintenance Activities SDS'!L4</f>
        <v>0.01</v>
      </c>
      <c r="H19" s="256"/>
      <c r="I19" s="260">
        <f>'4. Material Balance Activities'!G16*'5. Pollutant Emissions - MB'!$G$19</f>
        <v>0.11892201344127547</v>
      </c>
      <c r="J19" s="257">
        <f>'4. Material Balance Activities'!H16*'5. Pollutant Emissions - MB'!$G$19</f>
        <v>0.11892201344127547</v>
      </c>
      <c r="K19" s="267">
        <f>'4. Material Balance Activities'!I16*'5. Pollutant Emissions - MB'!$G$19</f>
        <v>0.11892201344127547</v>
      </c>
      <c r="L19" s="264">
        <f>'4. Material Balance Activities'!J16*'5. Pollutant Emissions - MB'!$G$19</f>
        <v>2.4775419466932388E-3</v>
      </c>
      <c r="M19" s="266">
        <f>'4. Material Balance Activities'!K16*'5. Pollutant Emissions - MB'!$G$19</f>
        <v>2.4775419466932388E-3</v>
      </c>
      <c r="N19" s="264">
        <f>'4. Material Balance Activities'!L16*'5. Pollutant Emissions - MB'!$G$19</f>
        <v>2.4775419466932388E-3</v>
      </c>
    </row>
    <row r="20" spans="1:14" s="138" customFormat="1" x14ac:dyDescent="0.25">
      <c r="A20" s="307" t="s">
        <v>1327</v>
      </c>
      <c r="B20" s="252" t="s">
        <v>138</v>
      </c>
      <c r="C20" s="254" t="s">
        <v>142</v>
      </c>
      <c r="D20" s="272" t="str">
        <f>'Maintenance Activities SDS'!J8</f>
        <v>Barium and compounds</v>
      </c>
      <c r="E20" s="269"/>
      <c r="F20" s="247">
        <v>0</v>
      </c>
      <c r="G20" s="248">
        <f>'Maintenance Activities SDS'!L8</f>
        <v>0.1</v>
      </c>
      <c r="H20" s="256"/>
      <c r="I20" s="261">
        <f>'4. Material Balance Activities'!G19*$G$20</f>
        <v>1.4833956413464362</v>
      </c>
      <c r="J20" s="258">
        <f>'4. Material Balance Activities'!H19*$G$20</f>
        <v>1.4833956413464362</v>
      </c>
      <c r="K20" s="249">
        <f>'4. Material Balance Activities'!I19*$G$20</f>
        <v>1.4833956413464362</v>
      </c>
      <c r="L20" s="265">
        <f>'4. Material Balance Activities'!J19*$G$20</f>
        <v>3.0904075861384085E-2</v>
      </c>
      <c r="M20" s="250">
        <f>'4. Material Balance Activities'!K19*$G$20</f>
        <v>3.0904075861384085E-2</v>
      </c>
      <c r="N20" s="265">
        <f>'4. Material Balance Activities'!L19*$G$20</f>
        <v>3.0904075861384085E-2</v>
      </c>
    </row>
    <row r="21" spans="1:14" s="2" customFormat="1" x14ac:dyDescent="0.25">
      <c r="A21" s="134" t="s">
        <v>1327</v>
      </c>
      <c r="B21" s="252" t="s">
        <v>138</v>
      </c>
      <c r="C21" s="255">
        <v>89</v>
      </c>
      <c r="D21" s="117" t="str">
        <f>'Maintenance Activities SDS'!J10</f>
        <v>Carbon black extracts</v>
      </c>
      <c r="E21" s="151"/>
      <c r="F21" s="132">
        <v>0</v>
      </c>
      <c r="G21" s="137">
        <f>'Maintenance Activities SDS'!L10</f>
        <v>2.5000000000000001E-2</v>
      </c>
      <c r="H21" s="252"/>
      <c r="I21" s="262">
        <f>'4. Material Balance Activities'!G19*'5. Pollutant Emissions - MB'!$G$21</f>
        <v>0.37084891033660905</v>
      </c>
      <c r="J21" s="259">
        <f>'4. Material Balance Activities'!H19*'5. Pollutant Emissions - MB'!$G$21</f>
        <v>0.37084891033660905</v>
      </c>
      <c r="K21" s="268">
        <f>'4. Material Balance Activities'!I19*'5. Pollutant Emissions - MB'!$G$21</f>
        <v>0.37084891033660905</v>
      </c>
      <c r="L21" s="251">
        <f>'4. Material Balance Activities'!J19*'5. Pollutant Emissions - MB'!$G$21</f>
        <v>7.7260189653460213E-3</v>
      </c>
      <c r="M21" s="263">
        <f>'4. Material Balance Activities'!K19*'5. Pollutant Emissions - MB'!$G$21</f>
        <v>7.7260189653460213E-3</v>
      </c>
      <c r="N21" s="251">
        <f>'4. Material Balance Activities'!L19*'5. Pollutant Emissions - MB'!$G$21</f>
        <v>7.7260189653460213E-3</v>
      </c>
    </row>
    <row r="22" spans="1:14" s="2" customFormat="1" ht="15.75" thickBot="1" x14ac:dyDescent="0.3">
      <c r="A22" s="134" t="s">
        <v>1327</v>
      </c>
      <c r="B22" s="252" t="s">
        <v>138</v>
      </c>
      <c r="C22" s="255" t="s">
        <v>147</v>
      </c>
      <c r="D22" s="117" t="str">
        <f>'Maintenance Activities SDS'!J11</f>
        <v>Cobalt and compounds</v>
      </c>
      <c r="E22" s="151"/>
      <c r="F22" s="132">
        <v>0</v>
      </c>
      <c r="G22" s="137">
        <f>'Maintenance Activities SDS'!L11</f>
        <v>0.01</v>
      </c>
      <c r="H22" s="252"/>
      <c r="I22" s="262">
        <f>'4. Material Balance Activities'!G19*'5. Pollutant Emissions - MB'!$G$22</f>
        <v>0.14833956413464361</v>
      </c>
      <c r="J22" s="259">
        <f>'4. Material Balance Activities'!H19*'5. Pollutant Emissions - MB'!$G$22</f>
        <v>0.14833956413464361</v>
      </c>
      <c r="K22" s="268">
        <f>'4. Material Balance Activities'!I19*'5. Pollutant Emissions - MB'!$G$22</f>
        <v>0.14833956413464361</v>
      </c>
      <c r="L22" s="251">
        <f>'4. Material Balance Activities'!J19*'5. Pollutant Emissions - MB'!$G$22</f>
        <v>3.0904075861384085E-3</v>
      </c>
      <c r="M22" s="263">
        <f>'4. Material Balance Activities'!K19*'5. Pollutant Emissions - MB'!$G$22</f>
        <v>3.0904075861384085E-3</v>
      </c>
      <c r="N22" s="251">
        <f>'4. Material Balance Activities'!L19*'5. Pollutant Emissions - MB'!$G$22</f>
        <v>3.0904075861384085E-3</v>
      </c>
    </row>
    <row r="23" spans="1:14" ht="15.75" thickBot="1" x14ac:dyDescent="0.3">
      <c r="A23" s="191" t="s">
        <v>1319</v>
      </c>
      <c r="B23" s="214" t="s">
        <v>127</v>
      </c>
      <c r="C23" s="324"/>
      <c r="D23" s="196" t="s">
        <v>1293</v>
      </c>
      <c r="E23" s="309"/>
      <c r="F23" s="310"/>
      <c r="G23" s="311"/>
      <c r="H23" s="312"/>
      <c r="I23" s="313"/>
      <c r="J23" s="254"/>
      <c r="K23" s="309"/>
      <c r="L23" s="254"/>
      <c r="M23" s="314"/>
      <c r="N23" s="254"/>
    </row>
    <row r="24" spans="1:14" ht="15.75" thickBot="1" x14ac:dyDescent="0.3">
      <c r="A24" s="593" t="s">
        <v>1323</v>
      </c>
      <c r="B24" s="315" t="s">
        <v>133</v>
      </c>
      <c r="C24" s="325"/>
      <c r="D24" s="326" t="s">
        <v>1293</v>
      </c>
      <c r="E24" s="316"/>
      <c r="F24" s="317"/>
      <c r="G24" s="318"/>
      <c r="H24" s="319"/>
      <c r="I24" s="320"/>
      <c r="J24" s="321"/>
      <c r="K24" s="316"/>
      <c r="L24" s="321"/>
      <c r="M24" s="322"/>
      <c r="N24" s="321"/>
    </row>
    <row r="25" spans="1:14" ht="15.75" thickBot="1" x14ac:dyDescent="0.3">
      <c r="A25" s="191" t="s">
        <v>1331</v>
      </c>
      <c r="B25" s="306" t="s">
        <v>154</v>
      </c>
      <c r="C25" s="323"/>
      <c r="D25" s="196" t="s">
        <v>1293</v>
      </c>
      <c r="E25" s="269"/>
      <c r="F25" s="247"/>
      <c r="G25" s="248"/>
      <c r="H25" s="256"/>
      <c r="I25" s="307"/>
      <c r="J25" s="191"/>
      <c r="K25" s="308"/>
      <c r="L25" s="191"/>
      <c r="M25" s="195"/>
      <c r="N25" s="191"/>
    </row>
    <row r="26" spans="1:14" x14ac:dyDescent="0.25">
      <c r="A26" s="191" t="s">
        <v>1334</v>
      </c>
      <c r="B26" s="306" t="s">
        <v>157</v>
      </c>
      <c r="C26" s="323"/>
      <c r="D26" s="196" t="s">
        <v>1293</v>
      </c>
      <c r="E26" s="269"/>
      <c r="F26" s="247"/>
      <c r="G26" s="248"/>
      <c r="H26" s="256"/>
      <c r="I26" s="307"/>
      <c r="J26" s="191"/>
      <c r="K26" s="308"/>
      <c r="L26" s="191"/>
      <c r="M26" s="195"/>
      <c r="N26" s="191"/>
    </row>
    <row r="39" spans="2:8" x14ac:dyDescent="0.25">
      <c r="B39" s="1"/>
      <c r="C39" s="1"/>
      <c r="D39" s="1"/>
      <c r="F39" s="1"/>
      <c r="G39" s="1"/>
      <c r="H39" s="1"/>
    </row>
    <row r="40" spans="2:8" x14ac:dyDescent="0.25">
      <c r="B40" s="1"/>
      <c r="C40" s="1"/>
      <c r="D40" s="1"/>
      <c r="F40" s="1"/>
      <c r="G40" s="1"/>
      <c r="H40" s="1"/>
    </row>
    <row r="41" spans="2:8" x14ac:dyDescent="0.25">
      <c r="B41" s="1"/>
      <c r="C41" s="1"/>
      <c r="D41" s="1"/>
      <c r="F41" s="1"/>
      <c r="G41" s="1"/>
      <c r="H41" s="1"/>
    </row>
    <row r="42" spans="2:8" x14ac:dyDescent="0.25">
      <c r="B42" s="1"/>
      <c r="C42" s="1"/>
      <c r="D42" s="1"/>
      <c r="F42" s="1"/>
      <c r="G42" s="1"/>
      <c r="H42" s="1"/>
    </row>
    <row r="43" spans="2:8" x14ac:dyDescent="0.25">
      <c r="B43" s="1"/>
      <c r="C43" s="1"/>
      <c r="D43" s="1"/>
      <c r="F43" s="1"/>
      <c r="G43" s="1"/>
      <c r="H43" s="1"/>
    </row>
    <row r="61" spans="1:14" x14ac:dyDescent="0.25">
      <c r="A61" s="25"/>
      <c r="B61" s="87"/>
      <c r="C61" s="104"/>
      <c r="D61" s="27"/>
      <c r="E61" s="13" t="str">
        <f>IFERROR(IF(OR($C61="",$C61="No CAS"),INDEX('DEQ Pollutant List'!$A$7:$A$611,MATCH($D61,'DEQ Pollutant List'!$C$7:$C$611,0)),INDEX('DEQ Pollutant List'!$A$7:$A$611,MATCH($C61,'DEQ Pollutant List'!$B$7:$B$611,0))),"")</f>
        <v/>
      </c>
      <c r="F61" s="105"/>
      <c r="G61" s="106"/>
      <c r="H61" s="68"/>
      <c r="I61" s="67"/>
      <c r="J61" s="69"/>
      <c r="K61" s="29"/>
      <c r="L61" s="67"/>
      <c r="M61" s="69"/>
      <c r="N61" s="29"/>
    </row>
    <row r="62" spans="1:14" x14ac:dyDescent="0.25">
      <c r="A62" s="25"/>
      <c r="B62" s="87"/>
      <c r="C62" s="104"/>
      <c r="D62" s="27" t="str">
        <f>IFERROR(IF(C62="No CAS","",INDEX('DEQ Pollutant List'!$C$7:$C$611,MATCH('5. Pollutant Emissions - MB'!C62,'DEQ Pollutant List'!$B$7:$B$611,0))),"")</f>
        <v/>
      </c>
      <c r="E62" s="13" t="str">
        <f>IFERROR(IF(OR($C62="",$C62="No CAS"),INDEX('DEQ Pollutant List'!$A$7:$A$611,MATCH($D62,'DEQ Pollutant List'!$C$7:$C$611,0)),INDEX('DEQ Pollutant List'!$A$7:$A$611,MATCH($C62,'DEQ Pollutant List'!$B$7:$B$611,0))),"")</f>
        <v/>
      </c>
      <c r="F62" s="105"/>
      <c r="G62" s="106"/>
      <c r="H62" s="68"/>
      <c r="I62" s="67"/>
      <c r="J62" s="69"/>
      <c r="K62" s="29"/>
      <c r="L62" s="67"/>
      <c r="M62" s="69"/>
      <c r="N62" s="29"/>
    </row>
    <row r="63" spans="1:14" x14ac:dyDescent="0.25">
      <c r="A63" s="25"/>
      <c r="B63" s="87"/>
      <c r="C63" s="104"/>
      <c r="D63" s="27" t="str">
        <f>IFERROR(IF(C63="No CAS","",INDEX('DEQ Pollutant List'!$C$7:$C$611,MATCH('5. Pollutant Emissions - MB'!C63,'DEQ Pollutant List'!$B$7:$B$611,0))),"")</f>
        <v/>
      </c>
      <c r="E63" s="13" t="str">
        <f>IFERROR(IF(OR($C63="",$C63="No CAS"),INDEX('DEQ Pollutant List'!$A$7:$A$611,MATCH($D63,'DEQ Pollutant List'!$C$7:$C$611,0)),INDEX('DEQ Pollutant List'!$A$7:$A$611,MATCH($C63,'DEQ Pollutant List'!$B$7:$B$611,0))),"")</f>
        <v/>
      </c>
      <c r="F63" s="105"/>
      <c r="G63" s="106"/>
      <c r="H63" s="68"/>
      <c r="I63" s="67"/>
      <c r="J63" s="69"/>
      <c r="K63" s="29"/>
      <c r="L63" s="67"/>
      <c r="M63" s="69"/>
      <c r="N63" s="29"/>
    </row>
    <row r="64" spans="1:14" x14ac:dyDescent="0.25">
      <c r="A64" s="25"/>
      <c r="B64" s="87"/>
      <c r="C64" s="104"/>
      <c r="D64" s="27" t="str">
        <f>IFERROR(IF(C64="No CAS","",INDEX('DEQ Pollutant List'!$C$7:$C$611,MATCH('5. Pollutant Emissions - MB'!C64,'DEQ Pollutant List'!$B$7:$B$611,0))),"")</f>
        <v/>
      </c>
      <c r="E64" s="13" t="str">
        <f>IFERROR(IF(OR($C64="",$C64="No CAS"),INDEX('DEQ Pollutant List'!$A$7:$A$611,MATCH($D64,'DEQ Pollutant List'!$C$7:$C$611,0)),INDEX('DEQ Pollutant List'!$A$7:$A$611,MATCH($C64,'DEQ Pollutant List'!$B$7:$B$611,0))),"")</f>
        <v/>
      </c>
      <c r="F64" s="105"/>
      <c r="G64" s="106"/>
      <c r="H64" s="68"/>
      <c r="I64" s="67"/>
      <c r="J64" s="69"/>
      <c r="K64" s="29"/>
      <c r="L64" s="67"/>
      <c r="M64" s="69"/>
      <c r="N64" s="29"/>
    </row>
    <row r="65" spans="1:14" x14ac:dyDescent="0.25">
      <c r="A65" s="25"/>
      <c r="B65" s="87"/>
      <c r="C65" s="104"/>
      <c r="D65" s="27" t="str">
        <f>IFERROR(IF(C65="No CAS","",INDEX('DEQ Pollutant List'!$C$7:$C$611,MATCH('5. Pollutant Emissions - MB'!C65,'DEQ Pollutant List'!$B$7:$B$611,0))),"")</f>
        <v/>
      </c>
      <c r="E65" s="13" t="str">
        <f>IFERROR(IF(OR($C65="",$C65="No CAS"),INDEX('DEQ Pollutant List'!$A$7:$A$611,MATCH($D65,'DEQ Pollutant List'!$C$7:$C$611,0)),INDEX('DEQ Pollutant List'!$A$7:$A$611,MATCH($C65,'DEQ Pollutant List'!$B$7:$B$611,0))),"")</f>
        <v/>
      </c>
      <c r="F65" s="105"/>
      <c r="G65" s="106"/>
      <c r="H65" s="68"/>
      <c r="I65" s="67"/>
      <c r="J65" s="69"/>
      <c r="K65" s="29"/>
      <c r="L65" s="67"/>
      <c r="M65" s="69"/>
      <c r="N65" s="29"/>
    </row>
    <row r="66" spans="1:14" x14ac:dyDescent="0.25">
      <c r="A66" s="25"/>
      <c r="B66" s="87"/>
      <c r="C66" s="104"/>
      <c r="D66" s="27" t="str">
        <f>IFERROR(IF(C66="No CAS","",INDEX('DEQ Pollutant List'!$C$7:$C$611,MATCH('5. Pollutant Emissions - MB'!C66,'DEQ Pollutant List'!$B$7:$B$611,0))),"")</f>
        <v/>
      </c>
      <c r="E66" s="13" t="str">
        <f>IFERROR(IF(OR($C66="",$C66="No CAS"),INDEX('DEQ Pollutant List'!$A$7:$A$611,MATCH($D66,'DEQ Pollutant List'!$C$7:$C$611,0)),INDEX('DEQ Pollutant List'!$A$7:$A$611,MATCH($C66,'DEQ Pollutant List'!$B$7:$B$611,0))),"")</f>
        <v/>
      </c>
      <c r="F66" s="105"/>
      <c r="G66" s="106"/>
      <c r="H66" s="68"/>
      <c r="I66" s="67"/>
      <c r="J66" s="69"/>
      <c r="K66" s="29"/>
      <c r="L66" s="67"/>
      <c r="M66" s="69"/>
      <c r="N66" s="29"/>
    </row>
    <row r="67" spans="1:14" x14ac:dyDescent="0.25">
      <c r="A67" s="25"/>
      <c r="B67" s="87"/>
      <c r="C67" s="104"/>
      <c r="D67" s="27" t="str">
        <f>IFERROR(IF(C67="No CAS","",INDEX('DEQ Pollutant List'!$C$7:$C$611,MATCH('5. Pollutant Emissions - MB'!C67,'DEQ Pollutant List'!$B$7:$B$611,0))),"")</f>
        <v/>
      </c>
      <c r="E67" s="13" t="str">
        <f>IFERROR(IF(OR($C67="",$C67="No CAS"),INDEX('DEQ Pollutant List'!$A$7:$A$611,MATCH($D67,'DEQ Pollutant List'!$C$7:$C$611,0)),INDEX('DEQ Pollutant List'!$A$7:$A$611,MATCH($C67,'DEQ Pollutant List'!$B$7:$B$611,0))),"")</f>
        <v/>
      </c>
      <c r="F67" s="105"/>
      <c r="G67" s="106"/>
      <c r="H67" s="68"/>
      <c r="I67" s="67"/>
      <c r="J67" s="69"/>
      <c r="K67" s="29"/>
      <c r="L67" s="67"/>
      <c r="M67" s="69"/>
      <c r="N67" s="29"/>
    </row>
    <row r="68" spans="1:14" x14ac:dyDescent="0.25">
      <c r="A68" s="25"/>
      <c r="B68" s="87"/>
      <c r="C68" s="104"/>
      <c r="D68" s="27" t="str">
        <f>IFERROR(IF(C68="No CAS","",INDEX('DEQ Pollutant List'!$C$7:$C$611,MATCH('5. Pollutant Emissions - MB'!C68,'DEQ Pollutant List'!$B$7:$B$611,0))),"")</f>
        <v/>
      </c>
      <c r="E68" s="13" t="str">
        <f>IFERROR(IF(OR($C68="",$C68="No CAS"),INDEX('DEQ Pollutant List'!$A$7:$A$611,MATCH($D68,'DEQ Pollutant List'!$C$7:$C$611,0)),INDEX('DEQ Pollutant List'!$A$7:$A$611,MATCH($C68,'DEQ Pollutant List'!$B$7:$B$611,0))),"")</f>
        <v/>
      </c>
      <c r="F68" s="105"/>
      <c r="G68" s="106"/>
      <c r="H68" s="68"/>
      <c r="I68" s="67"/>
      <c r="J68" s="69"/>
      <c r="K68" s="29"/>
      <c r="L68" s="67"/>
      <c r="M68" s="69"/>
      <c r="N68" s="29"/>
    </row>
    <row r="69" spans="1:14" x14ac:dyDescent="0.25">
      <c r="A69" s="25"/>
      <c r="B69" s="87"/>
      <c r="C69" s="104"/>
      <c r="D69" s="27" t="str">
        <f>IFERROR(IF(C69="No CAS","",INDEX('DEQ Pollutant List'!$C$7:$C$611,MATCH('5. Pollutant Emissions - MB'!C69,'DEQ Pollutant List'!$B$7:$B$611,0))),"")</f>
        <v/>
      </c>
      <c r="E69" s="13" t="str">
        <f>IFERROR(IF(OR($C69="",$C69="No CAS"),INDEX('DEQ Pollutant List'!$A$7:$A$611,MATCH($D69,'DEQ Pollutant List'!$C$7:$C$611,0)),INDEX('DEQ Pollutant List'!$A$7:$A$611,MATCH($C69,'DEQ Pollutant List'!$B$7:$B$611,0))),"")</f>
        <v/>
      </c>
      <c r="F69" s="105"/>
      <c r="G69" s="106"/>
      <c r="H69" s="68"/>
      <c r="I69" s="67"/>
      <c r="J69" s="69"/>
      <c r="K69" s="29"/>
      <c r="L69" s="67"/>
      <c r="M69" s="69"/>
      <c r="N69" s="29"/>
    </row>
    <row r="70" spans="1:14" x14ac:dyDescent="0.25">
      <c r="A70" s="25"/>
      <c r="B70" s="87"/>
      <c r="C70" s="104"/>
      <c r="D70" s="27" t="str">
        <f>IFERROR(IF(C70="No CAS","",INDEX('DEQ Pollutant List'!$C$7:$C$611,MATCH('5. Pollutant Emissions - MB'!C70,'DEQ Pollutant List'!$B$7:$B$611,0))),"")</f>
        <v/>
      </c>
      <c r="E70" s="13" t="str">
        <f>IFERROR(IF(OR($C70="",$C70="No CAS"),INDEX('DEQ Pollutant List'!$A$7:$A$611,MATCH($D70,'DEQ Pollutant List'!$C$7:$C$611,0)),INDEX('DEQ Pollutant List'!$A$7:$A$611,MATCH($C70,'DEQ Pollutant List'!$B$7:$B$611,0))),"")</f>
        <v/>
      </c>
      <c r="F70" s="105"/>
      <c r="G70" s="106"/>
      <c r="H70" s="68"/>
      <c r="I70" s="67"/>
      <c r="J70" s="69"/>
      <c r="K70" s="29"/>
      <c r="L70" s="67"/>
      <c r="M70" s="69"/>
      <c r="N70" s="29"/>
    </row>
    <row r="71" spans="1:14" x14ac:dyDescent="0.25">
      <c r="A71" s="25"/>
      <c r="B71" s="87"/>
      <c r="C71" s="104"/>
      <c r="D71" s="27" t="str">
        <f>IFERROR(IF(C71="No CAS","",INDEX('DEQ Pollutant List'!$C$7:$C$611,MATCH('5. Pollutant Emissions - MB'!C71,'DEQ Pollutant List'!$B$7:$B$611,0))),"")</f>
        <v/>
      </c>
      <c r="E71" s="13" t="str">
        <f>IFERROR(IF(OR($C71="",$C71="No CAS"),INDEX('DEQ Pollutant List'!$A$7:$A$611,MATCH($D71,'DEQ Pollutant List'!$C$7:$C$611,0)),INDEX('DEQ Pollutant List'!$A$7:$A$611,MATCH($C71,'DEQ Pollutant List'!$B$7:$B$611,0))),"")</f>
        <v/>
      </c>
      <c r="F71" s="105"/>
      <c r="G71" s="106"/>
      <c r="H71" s="68"/>
      <c r="I71" s="67"/>
      <c r="J71" s="69"/>
      <c r="K71" s="29"/>
      <c r="L71" s="67"/>
      <c r="M71" s="69"/>
      <c r="N71" s="29"/>
    </row>
    <row r="72" spans="1:14" x14ac:dyDescent="0.25">
      <c r="A72" s="25"/>
      <c r="B72" s="87"/>
      <c r="C72" s="104"/>
      <c r="D72" s="27" t="str">
        <f>IFERROR(IF(C72="No CAS","",INDEX('DEQ Pollutant List'!$C$7:$C$611,MATCH('5. Pollutant Emissions - MB'!C72,'DEQ Pollutant List'!$B$7:$B$611,0))),"")</f>
        <v/>
      </c>
      <c r="E72" s="13" t="str">
        <f>IFERROR(IF(OR($C72="",$C72="No CAS"),INDEX('DEQ Pollutant List'!$A$7:$A$611,MATCH($D72,'DEQ Pollutant List'!$C$7:$C$611,0)),INDEX('DEQ Pollutant List'!$A$7:$A$611,MATCH($C72,'DEQ Pollutant List'!$B$7:$B$611,0))),"")</f>
        <v/>
      </c>
      <c r="F72" s="105"/>
      <c r="G72" s="106"/>
      <c r="H72" s="68"/>
      <c r="I72" s="67"/>
      <c r="J72" s="69"/>
      <c r="K72" s="29"/>
      <c r="L72" s="67"/>
      <c r="M72" s="69"/>
      <c r="N72" s="29"/>
    </row>
    <row r="73" spans="1:14" x14ac:dyDescent="0.25">
      <c r="A73" s="25"/>
      <c r="B73" s="87"/>
      <c r="C73" s="104"/>
      <c r="D73" s="27" t="str">
        <f>IFERROR(IF(C73="No CAS","",INDEX('DEQ Pollutant List'!$C$7:$C$611,MATCH('5. Pollutant Emissions - MB'!C73,'DEQ Pollutant List'!$B$7:$B$611,0))),"")</f>
        <v/>
      </c>
      <c r="E73" s="13" t="str">
        <f>IFERROR(IF(OR($C73="",$C73="No CAS"),INDEX('DEQ Pollutant List'!$A$7:$A$611,MATCH($D73,'DEQ Pollutant List'!$C$7:$C$611,0)),INDEX('DEQ Pollutant List'!$A$7:$A$611,MATCH($C73,'DEQ Pollutant List'!$B$7:$B$611,0))),"")</f>
        <v/>
      </c>
      <c r="F73" s="105"/>
      <c r="G73" s="106"/>
      <c r="H73" s="68"/>
      <c r="I73" s="67"/>
      <c r="J73" s="69"/>
      <c r="K73" s="29"/>
      <c r="L73" s="67"/>
      <c r="M73" s="69"/>
      <c r="N73" s="29"/>
    </row>
    <row r="74" spans="1:14" x14ac:dyDescent="0.25">
      <c r="A74" s="25"/>
      <c r="B74" s="87"/>
      <c r="C74" s="104"/>
      <c r="D74" s="27" t="str">
        <f>IFERROR(IF(C74="No CAS","",INDEX('DEQ Pollutant List'!$C$7:$C$611,MATCH('5. Pollutant Emissions - MB'!C74,'DEQ Pollutant List'!$B$7:$B$611,0))),"")</f>
        <v/>
      </c>
      <c r="E74" s="13" t="str">
        <f>IFERROR(IF(OR($C74="",$C74="No CAS"),INDEX('DEQ Pollutant List'!$A$7:$A$611,MATCH($D74,'DEQ Pollutant List'!$C$7:$C$611,0)),INDEX('DEQ Pollutant List'!$A$7:$A$611,MATCH($C74,'DEQ Pollutant List'!$B$7:$B$611,0))),"")</f>
        <v/>
      </c>
      <c r="F74" s="105"/>
      <c r="G74" s="106"/>
      <c r="H74" s="68"/>
      <c r="I74" s="67"/>
      <c r="J74" s="69"/>
      <c r="K74" s="29"/>
      <c r="L74" s="67"/>
      <c r="M74" s="69"/>
      <c r="N74" s="29"/>
    </row>
    <row r="75" spans="1:14" x14ac:dyDescent="0.25">
      <c r="A75" s="25"/>
      <c r="B75" s="87"/>
      <c r="C75" s="104"/>
      <c r="D75" s="27" t="str">
        <f>IFERROR(IF(C75="No CAS","",INDEX('DEQ Pollutant List'!$C$7:$C$611,MATCH('5. Pollutant Emissions - MB'!C75,'DEQ Pollutant List'!$B$7:$B$611,0))),"")</f>
        <v/>
      </c>
      <c r="E75" s="13" t="str">
        <f>IFERROR(IF(OR($C75="",$C75="No CAS"),INDEX('DEQ Pollutant List'!$A$7:$A$611,MATCH($D75,'DEQ Pollutant List'!$C$7:$C$611,0)),INDEX('DEQ Pollutant List'!$A$7:$A$611,MATCH($C75,'DEQ Pollutant List'!$B$7:$B$611,0))),"")</f>
        <v/>
      </c>
      <c r="F75" s="105"/>
      <c r="G75" s="106"/>
      <c r="H75" s="68"/>
      <c r="I75" s="67"/>
      <c r="J75" s="69"/>
      <c r="K75" s="29"/>
      <c r="L75" s="67"/>
      <c r="M75" s="69"/>
      <c r="N75" s="29"/>
    </row>
    <row r="76" spans="1:14" x14ac:dyDescent="0.25">
      <c r="A76" s="25"/>
      <c r="B76" s="87"/>
      <c r="C76" s="104"/>
      <c r="D76" s="27" t="str">
        <f>IFERROR(IF(C76="No CAS","",INDEX('DEQ Pollutant List'!$C$7:$C$611,MATCH('5. Pollutant Emissions - MB'!C76,'DEQ Pollutant List'!$B$7:$B$611,0))),"")</f>
        <v/>
      </c>
      <c r="E76" s="13" t="str">
        <f>IFERROR(IF(OR($C76="",$C76="No CAS"),INDEX('DEQ Pollutant List'!$A$7:$A$611,MATCH($D76,'DEQ Pollutant List'!$C$7:$C$611,0)),INDEX('DEQ Pollutant List'!$A$7:$A$611,MATCH($C76,'DEQ Pollutant List'!$B$7:$B$611,0))),"")</f>
        <v/>
      </c>
      <c r="F76" s="105"/>
      <c r="G76" s="106"/>
      <c r="H76" s="68"/>
      <c r="I76" s="67"/>
      <c r="J76" s="69"/>
      <c r="K76" s="29"/>
      <c r="L76" s="67"/>
      <c r="M76" s="69"/>
      <c r="N76" s="29"/>
    </row>
    <row r="77" spans="1:14" x14ac:dyDescent="0.25">
      <c r="A77" s="25"/>
      <c r="B77" s="87"/>
      <c r="C77" s="104"/>
      <c r="D77" s="27" t="str">
        <f>IFERROR(IF(C77="No CAS","",INDEX('DEQ Pollutant List'!$C$7:$C$611,MATCH('5. Pollutant Emissions - MB'!C77,'DEQ Pollutant List'!$B$7:$B$611,0))),"")</f>
        <v/>
      </c>
      <c r="E77" s="13" t="str">
        <f>IFERROR(IF(OR($C77="",$C77="No CAS"),INDEX('DEQ Pollutant List'!$A$7:$A$611,MATCH($D77,'DEQ Pollutant List'!$C$7:$C$611,0)),INDEX('DEQ Pollutant List'!$A$7:$A$611,MATCH($C77,'DEQ Pollutant List'!$B$7:$B$611,0))),"")</f>
        <v/>
      </c>
      <c r="F77" s="105"/>
      <c r="G77" s="106"/>
      <c r="H77" s="68"/>
      <c r="I77" s="67"/>
      <c r="J77" s="69"/>
      <c r="K77" s="29"/>
      <c r="L77" s="67"/>
      <c r="M77" s="69"/>
      <c r="N77" s="29"/>
    </row>
    <row r="78" spans="1:14" x14ac:dyDescent="0.25">
      <c r="A78" s="25"/>
      <c r="B78" s="87"/>
      <c r="C78" s="104"/>
      <c r="D78" s="27" t="str">
        <f>IFERROR(IF(C78="No CAS","",INDEX('DEQ Pollutant List'!$C$7:$C$611,MATCH('5. Pollutant Emissions - MB'!C78,'DEQ Pollutant List'!$B$7:$B$611,0))),"")</f>
        <v/>
      </c>
      <c r="E78" s="13" t="str">
        <f>IFERROR(IF(OR($C78="",$C78="No CAS"),INDEX('DEQ Pollutant List'!$A$7:$A$611,MATCH($D78,'DEQ Pollutant List'!$C$7:$C$611,0)),INDEX('DEQ Pollutant List'!$A$7:$A$611,MATCH($C78,'DEQ Pollutant List'!$B$7:$B$611,0))),"")</f>
        <v/>
      </c>
      <c r="F78" s="105"/>
      <c r="G78" s="106"/>
      <c r="H78" s="68"/>
      <c r="I78" s="67"/>
      <c r="J78" s="69"/>
      <c r="K78" s="29"/>
      <c r="L78" s="67"/>
      <c r="M78" s="69"/>
      <c r="N78" s="29"/>
    </row>
    <row r="79" spans="1:14" x14ac:dyDescent="0.25">
      <c r="A79" s="25"/>
      <c r="B79" s="87"/>
      <c r="C79" s="104"/>
      <c r="D79" s="27" t="str">
        <f>IFERROR(IF(C79="No CAS","",INDEX('DEQ Pollutant List'!$C$7:$C$611,MATCH('5. Pollutant Emissions - MB'!C79,'DEQ Pollutant List'!$B$7:$B$611,0))),"")</f>
        <v/>
      </c>
      <c r="E79" s="13" t="str">
        <f>IFERROR(IF(OR($C79="",$C79="No CAS"),INDEX('DEQ Pollutant List'!$A$7:$A$611,MATCH($D79,'DEQ Pollutant List'!$C$7:$C$611,0)),INDEX('DEQ Pollutant List'!$A$7:$A$611,MATCH($C79,'DEQ Pollutant List'!$B$7:$B$611,0))),"")</f>
        <v/>
      </c>
      <c r="F79" s="105"/>
      <c r="G79" s="106"/>
      <c r="H79" s="68"/>
      <c r="I79" s="67"/>
      <c r="J79" s="69"/>
      <c r="K79" s="29"/>
      <c r="L79" s="67"/>
      <c r="M79" s="69"/>
      <c r="N79" s="29"/>
    </row>
    <row r="80" spans="1:14" x14ac:dyDescent="0.25">
      <c r="A80" s="25"/>
      <c r="B80" s="87"/>
      <c r="C80" s="104"/>
      <c r="D80" s="27" t="str">
        <f>IFERROR(IF(C80="No CAS","",INDEX('DEQ Pollutant List'!$C$7:$C$611,MATCH('5. Pollutant Emissions - MB'!C80,'DEQ Pollutant List'!$B$7:$B$611,0))),"")</f>
        <v/>
      </c>
      <c r="E80" s="13" t="str">
        <f>IFERROR(IF(OR($C80="",$C80="No CAS"),INDEX('DEQ Pollutant List'!$A$7:$A$611,MATCH($D80,'DEQ Pollutant List'!$C$7:$C$611,0)),INDEX('DEQ Pollutant List'!$A$7:$A$611,MATCH($C80,'DEQ Pollutant List'!$B$7:$B$611,0))),"")</f>
        <v/>
      </c>
      <c r="F80" s="105"/>
      <c r="G80" s="106"/>
      <c r="H80" s="68"/>
      <c r="I80" s="67"/>
      <c r="J80" s="69"/>
      <c r="K80" s="29"/>
      <c r="L80" s="67"/>
      <c r="M80" s="69"/>
      <c r="N80" s="29"/>
    </row>
    <row r="81" spans="1:14" x14ac:dyDescent="0.25">
      <c r="A81" s="25"/>
      <c r="B81" s="87"/>
      <c r="C81" s="104"/>
      <c r="D81" s="27" t="str">
        <f>IFERROR(IF(C81="No CAS","",INDEX('DEQ Pollutant List'!$C$7:$C$611,MATCH('5. Pollutant Emissions - MB'!C81,'DEQ Pollutant List'!$B$7:$B$611,0))),"")</f>
        <v/>
      </c>
      <c r="E81" s="13" t="str">
        <f>IFERROR(IF(OR($C81="",$C81="No CAS"),INDEX('DEQ Pollutant List'!$A$7:$A$611,MATCH($D81,'DEQ Pollutant List'!$C$7:$C$611,0)),INDEX('DEQ Pollutant List'!$A$7:$A$611,MATCH($C81,'DEQ Pollutant List'!$B$7:$B$611,0))),"")</f>
        <v/>
      </c>
      <c r="F81" s="105"/>
      <c r="G81" s="106"/>
      <c r="H81" s="68"/>
      <c r="I81" s="67"/>
      <c r="J81" s="69"/>
      <c r="K81" s="29"/>
      <c r="L81" s="67"/>
      <c r="M81" s="69"/>
      <c r="N81" s="29"/>
    </row>
    <row r="82" spans="1:14" x14ac:dyDescent="0.25">
      <c r="A82" s="25"/>
      <c r="B82" s="87"/>
      <c r="C82" s="104"/>
      <c r="D82" s="27" t="str">
        <f>IFERROR(IF(C82="No CAS","",INDEX('DEQ Pollutant List'!$C$7:$C$611,MATCH('5. Pollutant Emissions - MB'!C82,'DEQ Pollutant List'!$B$7:$B$611,0))),"")</f>
        <v/>
      </c>
      <c r="E82" s="13" t="str">
        <f>IFERROR(IF(OR($C82="",$C82="No CAS"),INDEX('DEQ Pollutant List'!$A$7:$A$611,MATCH($D82,'DEQ Pollutant List'!$C$7:$C$611,0)),INDEX('DEQ Pollutant List'!$A$7:$A$611,MATCH($C82,'DEQ Pollutant List'!$B$7:$B$611,0))),"")</f>
        <v/>
      </c>
      <c r="F82" s="105"/>
      <c r="G82" s="106"/>
      <c r="H82" s="68"/>
      <c r="I82" s="67"/>
      <c r="J82" s="69"/>
      <c r="K82" s="29"/>
      <c r="L82" s="67"/>
      <c r="M82" s="69"/>
      <c r="N82" s="29"/>
    </row>
    <row r="83" spans="1:14" x14ac:dyDescent="0.25">
      <c r="A83" s="25"/>
      <c r="B83" s="87"/>
      <c r="C83" s="104"/>
      <c r="D83" s="27" t="str">
        <f>IFERROR(IF(C83="No CAS","",INDEX('DEQ Pollutant List'!$C$7:$C$611,MATCH('5. Pollutant Emissions - MB'!C83,'DEQ Pollutant List'!$B$7:$B$611,0))),"")</f>
        <v/>
      </c>
      <c r="E83" s="13" t="str">
        <f>IFERROR(IF(OR($C83="",$C83="No CAS"),INDEX('DEQ Pollutant List'!$A$7:$A$611,MATCH($D83,'DEQ Pollutant List'!$C$7:$C$611,0)),INDEX('DEQ Pollutant List'!$A$7:$A$611,MATCH($C83,'DEQ Pollutant List'!$B$7:$B$611,0))),"")</f>
        <v/>
      </c>
      <c r="F83" s="105"/>
      <c r="G83" s="106"/>
      <c r="H83" s="68"/>
      <c r="I83" s="67"/>
      <c r="J83" s="69"/>
      <c r="K83" s="29"/>
      <c r="L83" s="67"/>
      <c r="M83" s="69"/>
      <c r="N83" s="29"/>
    </row>
    <row r="84" spans="1:14" x14ac:dyDescent="0.25">
      <c r="A84" s="25"/>
      <c r="B84" s="87"/>
      <c r="C84" s="104"/>
      <c r="D84" s="27" t="str">
        <f>IFERROR(IF(C84="No CAS","",INDEX('DEQ Pollutant List'!$C$7:$C$611,MATCH('5. Pollutant Emissions - MB'!C84,'DEQ Pollutant List'!$B$7:$B$611,0))),"")</f>
        <v/>
      </c>
      <c r="E84" s="13" t="str">
        <f>IFERROR(IF(OR($C84="",$C84="No CAS"),INDEX('DEQ Pollutant List'!$A$7:$A$611,MATCH($D84,'DEQ Pollutant List'!$C$7:$C$611,0)),INDEX('DEQ Pollutant List'!$A$7:$A$611,MATCH($C84,'DEQ Pollutant List'!$B$7:$B$611,0))),"")</f>
        <v/>
      </c>
      <c r="F84" s="105"/>
      <c r="G84" s="106"/>
      <c r="H84" s="68"/>
      <c r="I84" s="67"/>
      <c r="J84" s="69"/>
      <c r="K84" s="29"/>
      <c r="L84" s="67"/>
      <c r="M84" s="69"/>
      <c r="N84" s="29"/>
    </row>
    <row r="85" spans="1:14" x14ac:dyDescent="0.25">
      <c r="A85" s="25"/>
      <c r="B85" s="87"/>
      <c r="C85" s="104"/>
      <c r="D85" s="27" t="str">
        <f>IFERROR(IF(C85="No CAS","",INDEX('DEQ Pollutant List'!$C$7:$C$611,MATCH('5. Pollutant Emissions - MB'!C85,'DEQ Pollutant List'!$B$7:$B$611,0))),"")</f>
        <v/>
      </c>
      <c r="E85" s="13" t="str">
        <f>IFERROR(IF(OR($C85="",$C85="No CAS"),INDEX('DEQ Pollutant List'!$A$7:$A$611,MATCH($D85,'DEQ Pollutant List'!$C$7:$C$611,0)),INDEX('DEQ Pollutant List'!$A$7:$A$611,MATCH($C85,'DEQ Pollutant List'!$B$7:$B$611,0))),"")</f>
        <v/>
      </c>
      <c r="F85" s="105"/>
      <c r="G85" s="106"/>
      <c r="H85" s="68"/>
      <c r="I85" s="67"/>
      <c r="J85" s="69"/>
      <c r="K85" s="29"/>
      <c r="L85" s="67"/>
      <c r="M85" s="69"/>
      <c r="N85" s="29"/>
    </row>
    <row r="86" spans="1:14" x14ac:dyDescent="0.25">
      <c r="A86" s="25"/>
      <c r="B86" s="87"/>
      <c r="C86" s="104"/>
      <c r="D86" s="27" t="str">
        <f>IFERROR(IF(C86="No CAS","",INDEX('DEQ Pollutant List'!$C$7:$C$611,MATCH('5. Pollutant Emissions - MB'!C86,'DEQ Pollutant List'!$B$7:$B$611,0))),"")</f>
        <v/>
      </c>
      <c r="E86" s="13" t="str">
        <f>IFERROR(IF(OR($C86="",$C86="No CAS"),INDEX('DEQ Pollutant List'!$A$7:$A$611,MATCH($D86,'DEQ Pollutant List'!$C$7:$C$611,0)),INDEX('DEQ Pollutant List'!$A$7:$A$611,MATCH($C86,'DEQ Pollutant List'!$B$7:$B$611,0))),"")</f>
        <v/>
      </c>
      <c r="F86" s="105"/>
      <c r="G86" s="106"/>
      <c r="H86" s="68"/>
      <c r="I86" s="67"/>
      <c r="J86" s="69"/>
      <c r="K86" s="29"/>
      <c r="L86" s="67"/>
      <c r="M86" s="69"/>
      <c r="N86" s="29"/>
    </row>
    <row r="87" spans="1:14" x14ac:dyDescent="0.25">
      <c r="A87" s="25"/>
      <c r="B87" s="87"/>
      <c r="C87" s="104"/>
      <c r="D87" s="27" t="str">
        <f>IFERROR(IF(C87="No CAS","",INDEX('DEQ Pollutant List'!$C$7:$C$611,MATCH('5. Pollutant Emissions - MB'!C87,'DEQ Pollutant List'!$B$7:$B$611,0))),"")</f>
        <v/>
      </c>
      <c r="E87" s="13" t="str">
        <f>IFERROR(IF(OR($C87="",$C87="No CAS"),INDEX('DEQ Pollutant List'!$A$7:$A$611,MATCH($D87,'DEQ Pollutant List'!$C$7:$C$611,0)),INDEX('DEQ Pollutant List'!$A$7:$A$611,MATCH($C87,'DEQ Pollutant List'!$B$7:$B$611,0))),"")</f>
        <v/>
      </c>
      <c r="F87" s="105"/>
      <c r="G87" s="106"/>
      <c r="H87" s="68"/>
      <c r="I87" s="67"/>
      <c r="J87" s="69"/>
      <c r="K87" s="29"/>
      <c r="L87" s="67"/>
      <c r="M87" s="69"/>
      <c r="N87" s="29"/>
    </row>
    <row r="88" spans="1:14" x14ac:dyDescent="0.25">
      <c r="A88" s="25"/>
      <c r="B88" s="87"/>
      <c r="C88" s="104"/>
      <c r="D88" s="27" t="str">
        <f>IFERROR(IF(C88="No CAS","",INDEX('DEQ Pollutant List'!$C$7:$C$611,MATCH('5. Pollutant Emissions - MB'!C88,'DEQ Pollutant List'!$B$7:$B$611,0))),"")</f>
        <v/>
      </c>
      <c r="E88" s="13" t="str">
        <f>IFERROR(IF(OR($C88="",$C88="No CAS"),INDEX('DEQ Pollutant List'!$A$7:$A$611,MATCH($D88,'DEQ Pollutant List'!$C$7:$C$611,0)),INDEX('DEQ Pollutant List'!$A$7:$A$611,MATCH($C88,'DEQ Pollutant List'!$B$7:$B$611,0))),"")</f>
        <v/>
      </c>
      <c r="F88" s="105"/>
      <c r="G88" s="106"/>
      <c r="H88" s="68"/>
      <c r="I88" s="67"/>
      <c r="J88" s="69"/>
      <c r="K88" s="29"/>
      <c r="L88" s="67"/>
      <c r="M88" s="69"/>
      <c r="N88" s="29"/>
    </row>
    <row r="89" spans="1:14" x14ac:dyDescent="0.25">
      <c r="A89" s="25"/>
      <c r="B89" s="87"/>
      <c r="C89" s="104"/>
      <c r="D89" s="27" t="str">
        <f>IFERROR(IF(C89="No CAS","",INDEX('DEQ Pollutant List'!$C$7:$C$611,MATCH('5. Pollutant Emissions - MB'!C89,'DEQ Pollutant List'!$B$7:$B$611,0))),"")</f>
        <v/>
      </c>
      <c r="E89" s="13" t="str">
        <f>IFERROR(IF(OR($C89="",$C89="No CAS"),INDEX('DEQ Pollutant List'!$A$7:$A$611,MATCH($D89,'DEQ Pollutant List'!$C$7:$C$611,0)),INDEX('DEQ Pollutant List'!$A$7:$A$611,MATCH($C89,'DEQ Pollutant List'!$B$7:$B$611,0))),"")</f>
        <v/>
      </c>
      <c r="F89" s="105"/>
      <c r="G89" s="106"/>
      <c r="H89" s="68"/>
      <c r="I89" s="67"/>
      <c r="J89" s="69"/>
      <c r="K89" s="29"/>
      <c r="L89" s="67"/>
      <c r="M89" s="69"/>
      <c r="N89" s="29"/>
    </row>
    <row r="90" spans="1:14" x14ac:dyDescent="0.25">
      <c r="A90" s="25"/>
      <c r="B90" s="87"/>
      <c r="C90" s="104"/>
      <c r="D90" s="27" t="str">
        <f>IFERROR(IF(C90="No CAS","",INDEX('DEQ Pollutant List'!$C$7:$C$611,MATCH('5. Pollutant Emissions - MB'!C90,'DEQ Pollutant List'!$B$7:$B$611,0))),"")</f>
        <v/>
      </c>
      <c r="E90" s="13" t="str">
        <f>IFERROR(IF(OR($C90="",$C90="No CAS"),INDEX('DEQ Pollutant List'!$A$7:$A$611,MATCH($D90,'DEQ Pollutant List'!$C$7:$C$611,0)),INDEX('DEQ Pollutant List'!$A$7:$A$611,MATCH($C90,'DEQ Pollutant List'!$B$7:$B$611,0))),"")</f>
        <v/>
      </c>
      <c r="F90" s="105"/>
      <c r="G90" s="106"/>
      <c r="H90" s="68"/>
      <c r="I90" s="67"/>
      <c r="J90" s="69"/>
      <c r="K90" s="29"/>
      <c r="L90" s="67"/>
      <c r="M90" s="69"/>
      <c r="N90" s="29"/>
    </row>
    <row r="91" spans="1:14" x14ac:dyDescent="0.25">
      <c r="A91" s="25"/>
      <c r="B91" s="87"/>
      <c r="C91" s="104"/>
      <c r="D91" s="27" t="str">
        <f>IFERROR(IF(C91="No CAS","",INDEX('DEQ Pollutant List'!$C$7:$C$611,MATCH('5. Pollutant Emissions - MB'!C91,'DEQ Pollutant List'!$B$7:$B$611,0))),"")</f>
        <v/>
      </c>
      <c r="E91" s="13" t="str">
        <f>IFERROR(IF(OR($C91="",$C91="No CAS"),INDEX('DEQ Pollutant List'!$A$7:$A$611,MATCH($D91,'DEQ Pollutant List'!$C$7:$C$611,0)),INDEX('DEQ Pollutant List'!$A$7:$A$611,MATCH($C91,'DEQ Pollutant List'!$B$7:$B$611,0))),"")</f>
        <v/>
      </c>
      <c r="F91" s="105"/>
      <c r="G91" s="106"/>
      <c r="H91" s="68"/>
      <c r="I91" s="67"/>
      <c r="J91" s="69"/>
      <c r="K91" s="29"/>
      <c r="L91" s="67"/>
      <c r="M91" s="69"/>
      <c r="N91" s="29"/>
    </row>
    <row r="92" spans="1:14" x14ac:dyDescent="0.25">
      <c r="A92" s="25"/>
      <c r="B92" s="87"/>
      <c r="C92" s="104"/>
      <c r="D92" s="27" t="str">
        <f>IFERROR(IF(C92="No CAS","",INDEX('DEQ Pollutant List'!$C$7:$C$611,MATCH('5. Pollutant Emissions - MB'!C92,'DEQ Pollutant List'!$B$7:$B$611,0))),"")</f>
        <v/>
      </c>
      <c r="E92" s="13" t="str">
        <f>IFERROR(IF(OR($C92="",$C92="No CAS"),INDEX('DEQ Pollutant List'!$A$7:$A$611,MATCH($D92,'DEQ Pollutant List'!$C$7:$C$611,0)),INDEX('DEQ Pollutant List'!$A$7:$A$611,MATCH($C92,'DEQ Pollutant List'!$B$7:$B$611,0))),"")</f>
        <v/>
      </c>
      <c r="F92" s="105"/>
      <c r="G92" s="106"/>
      <c r="H92" s="68"/>
      <c r="I92" s="67"/>
      <c r="J92" s="69"/>
      <c r="K92" s="29"/>
      <c r="L92" s="67"/>
      <c r="M92" s="69"/>
      <c r="N92" s="29"/>
    </row>
    <row r="93" spans="1:14" x14ac:dyDescent="0.25">
      <c r="A93" s="25"/>
      <c r="B93" s="87"/>
      <c r="C93" s="104"/>
      <c r="D93" s="27" t="str">
        <f>IFERROR(IF(C93="No CAS","",INDEX('DEQ Pollutant List'!$C$7:$C$611,MATCH('5. Pollutant Emissions - MB'!C93,'DEQ Pollutant List'!$B$7:$B$611,0))),"")</f>
        <v/>
      </c>
      <c r="E93" s="13" t="str">
        <f>IFERROR(IF(OR($C93="",$C93="No CAS"),INDEX('DEQ Pollutant List'!$A$7:$A$611,MATCH($D93,'DEQ Pollutant List'!$C$7:$C$611,0)),INDEX('DEQ Pollutant List'!$A$7:$A$611,MATCH($C93,'DEQ Pollutant List'!$B$7:$B$611,0))),"")</f>
        <v/>
      </c>
      <c r="F93" s="105"/>
      <c r="G93" s="106"/>
      <c r="H93" s="68"/>
      <c r="I93" s="67"/>
      <c r="J93" s="69"/>
      <c r="K93" s="29"/>
      <c r="L93" s="67"/>
      <c r="M93" s="69"/>
      <c r="N93" s="29"/>
    </row>
    <row r="94" spans="1:14" x14ac:dyDescent="0.25">
      <c r="A94" s="25"/>
      <c r="B94" s="87"/>
      <c r="C94" s="104"/>
      <c r="D94" s="27" t="str">
        <f>IFERROR(IF(C94="No CAS","",INDEX('DEQ Pollutant List'!$C$7:$C$611,MATCH('5. Pollutant Emissions - MB'!C94,'DEQ Pollutant List'!$B$7:$B$611,0))),"")</f>
        <v/>
      </c>
      <c r="E94" s="13" t="str">
        <f>IFERROR(IF(OR($C94="",$C94="No CAS"),INDEX('DEQ Pollutant List'!$A$7:$A$611,MATCH($D94,'DEQ Pollutant List'!$C$7:$C$611,0)),INDEX('DEQ Pollutant List'!$A$7:$A$611,MATCH($C94,'DEQ Pollutant List'!$B$7:$B$611,0))),"")</f>
        <v/>
      </c>
      <c r="F94" s="105"/>
      <c r="G94" s="106"/>
      <c r="H94" s="68"/>
      <c r="I94" s="67"/>
      <c r="J94" s="69"/>
      <c r="K94" s="29"/>
      <c r="L94" s="67"/>
      <c r="M94" s="69"/>
      <c r="N94" s="29"/>
    </row>
    <row r="95" spans="1:14" x14ac:dyDescent="0.25">
      <c r="A95" s="25"/>
      <c r="B95" s="87"/>
      <c r="C95" s="104"/>
      <c r="D95" s="27" t="str">
        <f>IFERROR(IF(C95="No CAS","",INDEX('DEQ Pollutant List'!$C$7:$C$611,MATCH('5. Pollutant Emissions - MB'!C95,'DEQ Pollutant List'!$B$7:$B$611,0))),"")</f>
        <v/>
      </c>
      <c r="E95" s="13" t="str">
        <f>IFERROR(IF(OR($C95="",$C95="No CAS"),INDEX('DEQ Pollutant List'!$A$7:$A$611,MATCH($D95,'DEQ Pollutant List'!$C$7:$C$611,0)),INDEX('DEQ Pollutant List'!$A$7:$A$611,MATCH($C95,'DEQ Pollutant List'!$B$7:$B$611,0))),"")</f>
        <v/>
      </c>
      <c r="F95" s="105"/>
      <c r="G95" s="106"/>
      <c r="H95" s="68"/>
      <c r="I95" s="67"/>
      <c r="J95" s="69"/>
      <c r="K95" s="29"/>
      <c r="L95" s="67"/>
      <c r="M95" s="69"/>
      <c r="N95" s="29"/>
    </row>
    <row r="96" spans="1:14" x14ac:dyDescent="0.25">
      <c r="A96" s="25"/>
      <c r="B96" s="87"/>
      <c r="C96" s="104"/>
      <c r="D96" s="27" t="str">
        <f>IFERROR(IF(C96="No CAS","",INDEX('DEQ Pollutant List'!$C$7:$C$611,MATCH('5. Pollutant Emissions - MB'!C96,'DEQ Pollutant List'!$B$7:$B$611,0))),"")</f>
        <v/>
      </c>
      <c r="E96" s="13" t="str">
        <f>IFERROR(IF(OR($C96="",$C96="No CAS"),INDEX('DEQ Pollutant List'!$A$7:$A$611,MATCH($D96,'DEQ Pollutant List'!$C$7:$C$611,0)),INDEX('DEQ Pollutant List'!$A$7:$A$611,MATCH($C96,'DEQ Pollutant List'!$B$7:$B$611,0))),"")</f>
        <v/>
      </c>
      <c r="F96" s="105"/>
      <c r="G96" s="106"/>
      <c r="H96" s="68"/>
      <c r="I96" s="67"/>
      <c r="J96" s="69"/>
      <c r="K96" s="29"/>
      <c r="L96" s="67"/>
      <c r="M96" s="69"/>
      <c r="N96" s="29"/>
    </row>
    <row r="97" spans="1:14" x14ac:dyDescent="0.25">
      <c r="A97" s="25"/>
      <c r="B97" s="87"/>
      <c r="C97" s="104"/>
      <c r="D97" s="27" t="str">
        <f>IFERROR(IF(C97="No CAS","",INDEX('DEQ Pollutant List'!$C$7:$C$611,MATCH('5. Pollutant Emissions - MB'!C97,'DEQ Pollutant List'!$B$7:$B$611,0))),"")</f>
        <v/>
      </c>
      <c r="E97" s="13" t="str">
        <f>IFERROR(IF(OR($C97="",$C97="No CAS"),INDEX('DEQ Pollutant List'!$A$7:$A$611,MATCH($D97,'DEQ Pollutant List'!$C$7:$C$611,0)),INDEX('DEQ Pollutant List'!$A$7:$A$611,MATCH($C97,'DEQ Pollutant List'!$B$7:$B$611,0))),"")</f>
        <v/>
      </c>
      <c r="F97" s="105"/>
      <c r="G97" s="106"/>
      <c r="H97" s="68"/>
      <c r="I97" s="67"/>
      <c r="J97" s="69"/>
      <c r="K97" s="29"/>
      <c r="L97" s="67"/>
      <c r="M97" s="69"/>
      <c r="N97" s="29"/>
    </row>
    <row r="98" spans="1:14" x14ac:dyDescent="0.25">
      <c r="A98" s="25"/>
      <c r="B98" s="87"/>
      <c r="C98" s="104"/>
      <c r="D98" s="27" t="str">
        <f>IFERROR(IF(C98="No CAS","",INDEX('DEQ Pollutant List'!$C$7:$C$611,MATCH('5. Pollutant Emissions - MB'!C98,'DEQ Pollutant List'!$B$7:$B$611,0))),"")</f>
        <v/>
      </c>
      <c r="E98" s="13" t="str">
        <f>IFERROR(IF(OR($C98="",$C98="No CAS"),INDEX('DEQ Pollutant List'!$A$7:$A$611,MATCH($D98,'DEQ Pollutant List'!$C$7:$C$611,0)),INDEX('DEQ Pollutant List'!$A$7:$A$611,MATCH($C98,'DEQ Pollutant List'!$B$7:$B$611,0))),"")</f>
        <v/>
      </c>
      <c r="F98" s="105"/>
      <c r="G98" s="106"/>
      <c r="H98" s="68"/>
      <c r="I98" s="67"/>
      <c r="J98" s="69"/>
      <c r="K98" s="29"/>
      <c r="L98" s="67"/>
      <c r="M98" s="69"/>
      <c r="N98" s="29"/>
    </row>
    <row r="99" spans="1:14" x14ac:dyDescent="0.25">
      <c r="A99" s="25"/>
      <c r="B99" s="87"/>
      <c r="C99" s="104"/>
      <c r="D99" s="27" t="str">
        <f>IFERROR(IF(C99="No CAS","",INDEX('DEQ Pollutant List'!$C$7:$C$611,MATCH('5. Pollutant Emissions - MB'!C99,'DEQ Pollutant List'!$B$7:$B$611,0))),"")</f>
        <v/>
      </c>
      <c r="E99" s="13" t="str">
        <f>IFERROR(IF(OR($C99="",$C99="No CAS"),INDEX('DEQ Pollutant List'!$A$7:$A$611,MATCH($D99,'DEQ Pollutant List'!$C$7:$C$611,0)),INDEX('DEQ Pollutant List'!$A$7:$A$611,MATCH($C99,'DEQ Pollutant List'!$B$7:$B$611,0))),"")</f>
        <v/>
      </c>
      <c r="F99" s="105"/>
      <c r="G99" s="106"/>
      <c r="H99" s="68"/>
      <c r="I99" s="67"/>
      <c r="J99" s="69"/>
      <c r="K99" s="29"/>
      <c r="L99" s="67"/>
      <c r="M99" s="69"/>
      <c r="N99" s="29"/>
    </row>
    <row r="100" spans="1:14" x14ac:dyDescent="0.25">
      <c r="A100" s="25"/>
      <c r="B100" s="87"/>
      <c r="C100" s="104"/>
      <c r="D100" s="27" t="str">
        <f>IFERROR(IF(C100="No CAS","",INDEX('DEQ Pollutant List'!$C$7:$C$611,MATCH('5. Pollutant Emissions - MB'!C100,'DEQ Pollutant List'!$B$7:$B$611,0))),"")</f>
        <v/>
      </c>
      <c r="E100" s="13" t="str">
        <f>IFERROR(IF(OR($C100="",$C100="No CAS"),INDEX('DEQ Pollutant List'!$A$7:$A$611,MATCH($D100,'DEQ Pollutant List'!$C$7:$C$611,0)),INDEX('DEQ Pollutant List'!$A$7:$A$611,MATCH($C100,'DEQ Pollutant List'!$B$7:$B$611,0))),"")</f>
        <v/>
      </c>
      <c r="F100" s="105"/>
      <c r="G100" s="106"/>
      <c r="H100" s="68"/>
      <c r="I100" s="67"/>
      <c r="J100" s="69"/>
      <c r="K100" s="29"/>
      <c r="L100" s="67"/>
      <c r="M100" s="69"/>
      <c r="N100" s="29"/>
    </row>
    <row r="101" spans="1:14" x14ac:dyDescent="0.25">
      <c r="A101" s="25"/>
      <c r="B101" s="87"/>
      <c r="C101" s="104"/>
      <c r="D101" s="27" t="str">
        <f>IFERROR(IF(C101="No CAS","",INDEX('DEQ Pollutant List'!$C$7:$C$611,MATCH('5. Pollutant Emissions - MB'!C101,'DEQ Pollutant List'!$B$7:$B$611,0))),"")</f>
        <v/>
      </c>
      <c r="E101" s="13" t="str">
        <f>IFERROR(IF(OR($C101="",$C101="No CAS"),INDEX('DEQ Pollutant List'!$A$7:$A$611,MATCH($D101,'DEQ Pollutant List'!$C$7:$C$611,0)),INDEX('DEQ Pollutant List'!$A$7:$A$611,MATCH($C101,'DEQ Pollutant List'!$B$7:$B$611,0))),"")</f>
        <v/>
      </c>
      <c r="F101" s="105"/>
      <c r="G101" s="106"/>
      <c r="H101" s="68"/>
      <c r="I101" s="67"/>
      <c r="J101" s="69"/>
      <c r="K101" s="29"/>
      <c r="L101" s="67"/>
      <c r="M101" s="69"/>
      <c r="N101" s="29"/>
    </row>
    <row r="102" spans="1:14" x14ac:dyDescent="0.25">
      <c r="A102" s="25"/>
      <c r="B102" s="87"/>
      <c r="C102" s="104"/>
      <c r="D102" s="27" t="str">
        <f>IFERROR(IF(C102="No CAS","",INDEX('DEQ Pollutant List'!$C$7:$C$611,MATCH('5. Pollutant Emissions - MB'!C102,'DEQ Pollutant List'!$B$7:$B$611,0))),"")</f>
        <v/>
      </c>
      <c r="E102" s="13" t="str">
        <f>IFERROR(IF(OR($C102="",$C102="No CAS"),INDEX('DEQ Pollutant List'!$A$7:$A$611,MATCH($D102,'DEQ Pollutant List'!$C$7:$C$611,0)),INDEX('DEQ Pollutant List'!$A$7:$A$611,MATCH($C102,'DEQ Pollutant List'!$B$7:$B$611,0))),"")</f>
        <v/>
      </c>
      <c r="F102" s="105"/>
      <c r="G102" s="106"/>
      <c r="H102" s="68"/>
      <c r="I102" s="67"/>
      <c r="J102" s="69"/>
      <c r="K102" s="29"/>
      <c r="L102" s="67"/>
      <c r="M102" s="69"/>
      <c r="N102" s="29"/>
    </row>
    <row r="103" spans="1:14" x14ac:dyDescent="0.25">
      <c r="A103" s="25"/>
      <c r="B103" s="87"/>
      <c r="C103" s="104"/>
      <c r="D103" s="27" t="str">
        <f>IFERROR(IF(C103="No CAS","",INDEX('DEQ Pollutant List'!$C$7:$C$611,MATCH('5. Pollutant Emissions - MB'!C103,'DEQ Pollutant List'!$B$7:$B$611,0))),"")</f>
        <v/>
      </c>
      <c r="E103" s="13" t="str">
        <f>IFERROR(IF(OR($C103="",$C103="No CAS"),INDEX('DEQ Pollutant List'!$A$7:$A$611,MATCH($D103,'DEQ Pollutant List'!$C$7:$C$611,0)),INDEX('DEQ Pollutant List'!$A$7:$A$611,MATCH($C103,'DEQ Pollutant List'!$B$7:$B$611,0))),"")</f>
        <v/>
      </c>
      <c r="F103" s="105"/>
      <c r="G103" s="106"/>
      <c r="H103" s="68"/>
      <c r="I103" s="67"/>
      <c r="J103" s="69"/>
      <c r="K103" s="29"/>
      <c r="L103" s="67"/>
      <c r="M103" s="69"/>
      <c r="N103" s="29"/>
    </row>
    <row r="104" spans="1:14" x14ac:dyDescent="0.25">
      <c r="A104" s="25"/>
      <c r="B104" s="87"/>
      <c r="C104" s="104"/>
      <c r="D104" s="27" t="str">
        <f>IFERROR(IF(C104="No CAS","",INDEX('DEQ Pollutant List'!$C$7:$C$611,MATCH('5. Pollutant Emissions - MB'!C104,'DEQ Pollutant List'!$B$7:$B$611,0))),"")</f>
        <v/>
      </c>
      <c r="E104" s="13" t="str">
        <f>IFERROR(IF(OR($C104="",$C104="No CAS"),INDEX('DEQ Pollutant List'!$A$7:$A$611,MATCH($D104,'DEQ Pollutant List'!$C$7:$C$611,0)),INDEX('DEQ Pollutant List'!$A$7:$A$611,MATCH($C104,'DEQ Pollutant List'!$B$7:$B$611,0))),"")</f>
        <v/>
      </c>
      <c r="F104" s="105"/>
      <c r="G104" s="106"/>
      <c r="H104" s="68"/>
      <c r="I104" s="67"/>
      <c r="J104" s="69"/>
      <c r="K104" s="29"/>
      <c r="L104" s="67"/>
      <c r="M104" s="69"/>
      <c r="N104" s="29"/>
    </row>
    <row r="105" spans="1:14" x14ac:dyDescent="0.25">
      <c r="A105" s="25"/>
      <c r="B105" s="87"/>
      <c r="C105" s="104"/>
      <c r="D105" s="27" t="str">
        <f>IFERROR(IF(C105="No CAS","",INDEX('DEQ Pollutant List'!$C$7:$C$611,MATCH('5. Pollutant Emissions - MB'!C105,'DEQ Pollutant List'!$B$7:$B$611,0))),"")</f>
        <v/>
      </c>
      <c r="E105" s="13" t="str">
        <f>IFERROR(IF(OR($C105="",$C105="No CAS"),INDEX('DEQ Pollutant List'!$A$7:$A$611,MATCH($D105,'DEQ Pollutant List'!$C$7:$C$611,0)),INDEX('DEQ Pollutant List'!$A$7:$A$611,MATCH($C105,'DEQ Pollutant List'!$B$7:$B$611,0))),"")</f>
        <v/>
      </c>
      <c r="F105" s="105"/>
      <c r="G105" s="106"/>
      <c r="H105" s="68"/>
      <c r="I105" s="67"/>
      <c r="J105" s="69"/>
      <c r="K105" s="29"/>
      <c r="L105" s="67"/>
      <c r="M105" s="69"/>
      <c r="N105" s="29"/>
    </row>
    <row r="106" spans="1:14" x14ac:dyDescent="0.25">
      <c r="A106" s="25"/>
      <c r="B106" s="87"/>
      <c r="C106" s="104"/>
      <c r="D106" s="27" t="str">
        <f>IFERROR(IF(C106="No CAS","",INDEX('DEQ Pollutant List'!$C$7:$C$611,MATCH('5. Pollutant Emissions - MB'!C106,'DEQ Pollutant List'!$B$7:$B$611,0))),"")</f>
        <v/>
      </c>
      <c r="E106" s="13" t="str">
        <f>IFERROR(IF(OR($C106="",$C106="No CAS"),INDEX('DEQ Pollutant List'!$A$7:$A$611,MATCH($D106,'DEQ Pollutant List'!$C$7:$C$611,0)),INDEX('DEQ Pollutant List'!$A$7:$A$611,MATCH($C106,'DEQ Pollutant List'!$B$7:$B$611,0))),"")</f>
        <v/>
      </c>
      <c r="F106" s="105"/>
      <c r="G106" s="106"/>
      <c r="H106" s="68"/>
      <c r="I106" s="67"/>
      <c r="J106" s="69"/>
      <c r="K106" s="29"/>
      <c r="L106" s="67"/>
      <c r="M106" s="69"/>
      <c r="N106" s="29"/>
    </row>
    <row r="107" spans="1:14" x14ac:dyDescent="0.25">
      <c r="A107" s="25"/>
      <c r="B107" s="87"/>
      <c r="C107" s="104"/>
      <c r="D107" s="27" t="str">
        <f>IFERROR(IF(C107="No CAS","",INDEX('DEQ Pollutant List'!$C$7:$C$611,MATCH('5. Pollutant Emissions - MB'!C107,'DEQ Pollutant List'!$B$7:$B$611,0))),"")</f>
        <v/>
      </c>
      <c r="E107" s="13" t="str">
        <f>IFERROR(IF(OR($C107="",$C107="No CAS"),INDEX('DEQ Pollutant List'!$A$7:$A$611,MATCH($D107,'DEQ Pollutant List'!$C$7:$C$611,0)),INDEX('DEQ Pollutant List'!$A$7:$A$611,MATCH($C107,'DEQ Pollutant List'!$B$7:$B$611,0))),"")</f>
        <v/>
      </c>
      <c r="F107" s="105"/>
      <c r="G107" s="106"/>
      <c r="H107" s="68"/>
      <c r="I107" s="67"/>
      <c r="J107" s="69"/>
      <c r="K107" s="29"/>
      <c r="L107" s="67"/>
      <c r="M107" s="69"/>
      <c r="N107" s="29"/>
    </row>
    <row r="108" spans="1:14" x14ac:dyDescent="0.25">
      <c r="A108" s="25"/>
      <c r="B108" s="87"/>
      <c r="C108" s="104"/>
      <c r="D108" s="27" t="str">
        <f>IFERROR(IF(C108="No CAS","",INDEX('DEQ Pollutant List'!$C$7:$C$611,MATCH('5. Pollutant Emissions - MB'!C108,'DEQ Pollutant List'!$B$7:$B$611,0))),"")</f>
        <v/>
      </c>
      <c r="E108" s="13" t="str">
        <f>IFERROR(IF(OR($C108="",$C108="No CAS"),INDEX('DEQ Pollutant List'!$A$7:$A$611,MATCH($D108,'DEQ Pollutant List'!$C$7:$C$611,0)),INDEX('DEQ Pollutant List'!$A$7:$A$611,MATCH($C108,'DEQ Pollutant List'!$B$7:$B$611,0))),"")</f>
        <v/>
      </c>
      <c r="F108" s="105"/>
      <c r="G108" s="106"/>
      <c r="H108" s="68"/>
      <c r="I108" s="67"/>
      <c r="J108" s="69"/>
      <c r="K108" s="29"/>
      <c r="L108" s="67"/>
      <c r="M108" s="69"/>
      <c r="N108" s="29"/>
    </row>
    <row r="109" spans="1:14" x14ac:dyDescent="0.25">
      <c r="A109" s="25"/>
      <c r="B109" s="87"/>
      <c r="C109" s="104"/>
      <c r="D109" s="27" t="str">
        <f>IFERROR(IF(C109="No CAS","",INDEX('DEQ Pollutant List'!$C$7:$C$611,MATCH('5. Pollutant Emissions - MB'!C109,'DEQ Pollutant List'!$B$7:$B$611,0))),"")</f>
        <v/>
      </c>
      <c r="E109" s="13" t="str">
        <f>IFERROR(IF(OR($C109="",$C109="No CAS"),INDEX('DEQ Pollutant List'!$A$7:$A$611,MATCH($D109,'DEQ Pollutant List'!$C$7:$C$611,0)),INDEX('DEQ Pollutant List'!$A$7:$A$611,MATCH($C109,'DEQ Pollutant List'!$B$7:$B$611,0))),"")</f>
        <v/>
      </c>
      <c r="F109" s="105"/>
      <c r="G109" s="106"/>
      <c r="H109" s="68"/>
      <c r="I109" s="67"/>
      <c r="J109" s="69"/>
      <c r="K109" s="29"/>
      <c r="L109" s="67"/>
      <c r="M109" s="69"/>
      <c r="N109" s="29"/>
    </row>
    <row r="110" spans="1:14" x14ac:dyDescent="0.25">
      <c r="A110" s="25"/>
      <c r="B110" s="87"/>
      <c r="C110" s="104"/>
      <c r="D110" s="27" t="str">
        <f>IFERROR(IF(C110="No CAS","",INDEX('DEQ Pollutant List'!$C$7:$C$611,MATCH('5. Pollutant Emissions - MB'!C110,'DEQ Pollutant List'!$B$7:$B$611,0))),"")</f>
        <v/>
      </c>
      <c r="E110" s="13" t="str">
        <f>IFERROR(IF(OR($C110="",$C110="No CAS"),INDEX('DEQ Pollutant List'!$A$7:$A$611,MATCH($D110,'DEQ Pollutant List'!$C$7:$C$611,0)),INDEX('DEQ Pollutant List'!$A$7:$A$611,MATCH($C110,'DEQ Pollutant List'!$B$7:$B$611,0))),"")</f>
        <v/>
      </c>
      <c r="F110" s="105"/>
      <c r="G110" s="106"/>
      <c r="H110" s="68"/>
      <c r="I110" s="67"/>
      <c r="J110" s="69"/>
      <c r="K110" s="29"/>
      <c r="L110" s="67"/>
      <c r="M110" s="69"/>
      <c r="N110" s="29"/>
    </row>
    <row r="111" spans="1:14" x14ac:dyDescent="0.25">
      <c r="A111" s="25"/>
      <c r="B111" s="87"/>
      <c r="C111" s="104"/>
      <c r="D111" s="27" t="str">
        <f>IFERROR(IF(C111="No CAS","",INDEX('DEQ Pollutant List'!$C$7:$C$611,MATCH('5. Pollutant Emissions - MB'!C111,'DEQ Pollutant List'!$B$7:$B$611,0))),"")</f>
        <v/>
      </c>
      <c r="E111" s="13" t="str">
        <f>IFERROR(IF(OR($C111="",$C111="No CAS"),INDEX('DEQ Pollutant List'!$A$7:$A$611,MATCH($D111,'DEQ Pollutant List'!$C$7:$C$611,0)),INDEX('DEQ Pollutant List'!$A$7:$A$611,MATCH($C111,'DEQ Pollutant List'!$B$7:$B$611,0))),"")</f>
        <v/>
      </c>
      <c r="F111" s="105"/>
      <c r="G111" s="106"/>
      <c r="H111" s="68"/>
      <c r="I111" s="67"/>
      <c r="J111" s="69"/>
      <c r="K111" s="29"/>
      <c r="L111" s="67"/>
      <c r="M111" s="69"/>
      <c r="N111" s="29"/>
    </row>
    <row r="112" spans="1:14" x14ac:dyDescent="0.25">
      <c r="A112" s="25"/>
      <c r="B112" s="87"/>
      <c r="C112" s="104"/>
      <c r="D112" s="27" t="str">
        <f>IFERROR(IF(C112="No CAS","",INDEX('DEQ Pollutant List'!$C$7:$C$611,MATCH('5. Pollutant Emissions - MB'!C112,'DEQ Pollutant List'!$B$7:$B$611,0))),"")</f>
        <v/>
      </c>
      <c r="E112" s="13" t="str">
        <f>IFERROR(IF(OR($C112="",$C112="No CAS"),INDEX('DEQ Pollutant List'!$A$7:$A$611,MATCH($D112,'DEQ Pollutant List'!$C$7:$C$611,0)),INDEX('DEQ Pollutant List'!$A$7:$A$611,MATCH($C112,'DEQ Pollutant List'!$B$7:$B$611,0))),"")</f>
        <v/>
      </c>
      <c r="F112" s="105"/>
      <c r="G112" s="106"/>
      <c r="H112" s="68"/>
      <c r="I112" s="67"/>
      <c r="J112" s="69"/>
      <c r="K112" s="29"/>
      <c r="L112" s="67"/>
      <c r="M112" s="69"/>
      <c r="N112" s="29"/>
    </row>
    <row r="113" spans="1:14" x14ac:dyDescent="0.25">
      <c r="A113" s="25"/>
      <c r="B113" s="87"/>
      <c r="C113" s="104"/>
      <c r="D113" s="27" t="str">
        <f>IFERROR(IF(C113="No CAS","",INDEX('DEQ Pollutant List'!$C$7:$C$611,MATCH('5. Pollutant Emissions - MB'!C113,'DEQ Pollutant List'!$B$7:$B$611,0))),"")</f>
        <v/>
      </c>
      <c r="E113" s="13" t="str">
        <f>IFERROR(IF(OR($C113="",$C113="No CAS"),INDEX('DEQ Pollutant List'!$A$7:$A$611,MATCH($D113,'DEQ Pollutant List'!$C$7:$C$611,0)),INDEX('DEQ Pollutant List'!$A$7:$A$611,MATCH($C113,'DEQ Pollutant List'!$B$7:$B$611,0))),"")</f>
        <v/>
      </c>
      <c r="F113" s="105"/>
      <c r="G113" s="106"/>
      <c r="H113" s="68"/>
      <c r="I113" s="67"/>
      <c r="J113" s="69"/>
      <c r="K113" s="29"/>
      <c r="L113" s="67"/>
      <c r="M113" s="69"/>
      <c r="N113" s="29"/>
    </row>
    <row r="114" spans="1:14" x14ac:dyDescent="0.25">
      <c r="A114" s="25"/>
      <c r="B114" s="87"/>
      <c r="C114" s="104"/>
      <c r="D114" s="27" t="str">
        <f>IFERROR(IF(C114="No CAS","",INDEX('DEQ Pollutant List'!$C$7:$C$611,MATCH('5. Pollutant Emissions - MB'!C114,'DEQ Pollutant List'!$B$7:$B$611,0))),"")</f>
        <v/>
      </c>
      <c r="E114" s="13" t="str">
        <f>IFERROR(IF(OR($C114="",$C114="No CAS"),INDEX('DEQ Pollutant List'!$A$7:$A$611,MATCH($D114,'DEQ Pollutant List'!$C$7:$C$611,0)),INDEX('DEQ Pollutant List'!$A$7:$A$611,MATCH($C114,'DEQ Pollutant List'!$B$7:$B$611,0))),"")</f>
        <v/>
      </c>
      <c r="F114" s="105"/>
      <c r="G114" s="106"/>
      <c r="H114" s="68"/>
      <c r="I114" s="67"/>
      <c r="J114" s="69"/>
      <c r="K114" s="29"/>
      <c r="L114" s="67"/>
      <c r="M114" s="69"/>
      <c r="N114" s="29"/>
    </row>
    <row r="115" spans="1:14" x14ac:dyDescent="0.25">
      <c r="A115" s="25"/>
      <c r="B115" s="87"/>
      <c r="C115" s="104"/>
      <c r="D115" s="27" t="str">
        <f>IFERROR(IF(C115="No CAS","",INDEX('DEQ Pollutant List'!$C$7:$C$611,MATCH('5. Pollutant Emissions - MB'!C115,'DEQ Pollutant List'!$B$7:$B$611,0))),"")</f>
        <v/>
      </c>
      <c r="E115" s="13" t="str">
        <f>IFERROR(IF(OR($C115="",$C115="No CAS"),INDEX('DEQ Pollutant List'!$A$7:$A$611,MATCH($D115,'DEQ Pollutant List'!$C$7:$C$611,0)),INDEX('DEQ Pollutant List'!$A$7:$A$611,MATCH($C115,'DEQ Pollutant List'!$B$7:$B$611,0))),"")</f>
        <v/>
      </c>
      <c r="F115" s="105"/>
      <c r="G115" s="106"/>
      <c r="H115" s="68"/>
      <c r="I115" s="67"/>
      <c r="J115" s="69"/>
      <c r="K115" s="29"/>
      <c r="L115" s="67"/>
      <c r="M115" s="69"/>
      <c r="N115" s="29"/>
    </row>
    <row r="116" spans="1:14" x14ac:dyDescent="0.25">
      <c r="A116" s="25"/>
      <c r="B116" s="87"/>
      <c r="C116" s="104"/>
      <c r="D116" s="27" t="str">
        <f>IFERROR(IF(C116="No CAS","",INDEX('DEQ Pollutant List'!$C$7:$C$611,MATCH('5. Pollutant Emissions - MB'!C116,'DEQ Pollutant List'!$B$7:$B$611,0))),"")</f>
        <v/>
      </c>
      <c r="E116" s="13" t="str">
        <f>IFERROR(IF(OR($C116="",$C116="No CAS"),INDEX('DEQ Pollutant List'!$A$7:$A$611,MATCH($D116,'DEQ Pollutant List'!$C$7:$C$611,0)),INDEX('DEQ Pollutant List'!$A$7:$A$611,MATCH($C116,'DEQ Pollutant List'!$B$7:$B$611,0))),"")</f>
        <v/>
      </c>
      <c r="F116" s="105"/>
      <c r="G116" s="106"/>
      <c r="H116" s="68"/>
      <c r="I116" s="67"/>
      <c r="J116" s="69"/>
      <c r="K116" s="29"/>
      <c r="L116" s="67"/>
      <c r="M116" s="69"/>
      <c r="N116" s="29"/>
    </row>
    <row r="117" spans="1:14" x14ac:dyDescent="0.25">
      <c r="A117" s="25"/>
      <c r="B117" s="87"/>
      <c r="C117" s="104"/>
      <c r="D117" s="27" t="str">
        <f>IFERROR(IF(C117="No CAS","",INDEX('DEQ Pollutant List'!$C$7:$C$611,MATCH('5. Pollutant Emissions - MB'!C117,'DEQ Pollutant List'!$B$7:$B$611,0))),"")</f>
        <v/>
      </c>
      <c r="E117" s="13" t="str">
        <f>IFERROR(IF(OR($C117="",$C117="No CAS"),INDEX('DEQ Pollutant List'!$A$7:$A$611,MATCH($D117,'DEQ Pollutant List'!$C$7:$C$611,0)),INDEX('DEQ Pollutant List'!$A$7:$A$611,MATCH($C117,'DEQ Pollutant List'!$B$7:$B$611,0))),"")</f>
        <v/>
      </c>
      <c r="F117" s="105"/>
      <c r="G117" s="106"/>
      <c r="H117" s="68"/>
      <c r="I117" s="67"/>
      <c r="J117" s="69"/>
      <c r="K117" s="29"/>
      <c r="L117" s="67"/>
      <c r="M117" s="69"/>
      <c r="N117" s="29"/>
    </row>
    <row r="118" spans="1:14" x14ac:dyDescent="0.25">
      <c r="A118" s="25"/>
      <c r="B118" s="87"/>
      <c r="C118" s="104"/>
      <c r="D118" s="27" t="str">
        <f>IFERROR(IF(C118="No CAS","",INDEX('DEQ Pollutant List'!$C$7:$C$611,MATCH('5. Pollutant Emissions - MB'!C118,'DEQ Pollutant List'!$B$7:$B$611,0))),"")</f>
        <v/>
      </c>
      <c r="E118" s="13" t="str">
        <f>IFERROR(IF(OR($C118="",$C118="No CAS"),INDEX('DEQ Pollutant List'!$A$7:$A$611,MATCH($D118,'DEQ Pollutant List'!$C$7:$C$611,0)),INDEX('DEQ Pollutant List'!$A$7:$A$611,MATCH($C118,'DEQ Pollutant List'!$B$7:$B$611,0))),"")</f>
        <v/>
      </c>
      <c r="F118" s="105"/>
      <c r="G118" s="106"/>
      <c r="H118" s="68"/>
      <c r="I118" s="67"/>
      <c r="J118" s="69"/>
      <c r="K118" s="29"/>
      <c r="L118" s="67"/>
      <c r="M118" s="69"/>
      <c r="N118" s="29"/>
    </row>
    <row r="119" spans="1:14" x14ac:dyDescent="0.25">
      <c r="A119" s="25"/>
      <c r="B119" s="87"/>
      <c r="C119" s="104"/>
      <c r="D119" s="27" t="str">
        <f>IFERROR(IF(C119="No CAS","",INDEX('DEQ Pollutant List'!$C$7:$C$611,MATCH('5. Pollutant Emissions - MB'!C119,'DEQ Pollutant List'!$B$7:$B$611,0))),"")</f>
        <v/>
      </c>
      <c r="E119" s="13" t="str">
        <f>IFERROR(IF(OR($C119="",$C119="No CAS"),INDEX('DEQ Pollutant List'!$A$7:$A$611,MATCH($D119,'DEQ Pollutant List'!$C$7:$C$611,0)),INDEX('DEQ Pollutant List'!$A$7:$A$611,MATCH($C119,'DEQ Pollutant List'!$B$7:$B$611,0))),"")</f>
        <v/>
      </c>
      <c r="F119" s="105"/>
      <c r="G119" s="106"/>
      <c r="H119" s="68"/>
      <c r="I119" s="67"/>
      <c r="J119" s="69"/>
      <c r="K119" s="29"/>
      <c r="L119" s="67"/>
      <c r="M119" s="69"/>
      <c r="N119" s="29"/>
    </row>
    <row r="120" spans="1:14" x14ac:dyDescent="0.25">
      <c r="A120" s="25"/>
      <c r="B120" s="87"/>
      <c r="C120" s="104"/>
      <c r="D120" s="27" t="str">
        <f>IFERROR(IF(C120="No CAS","",INDEX('DEQ Pollutant List'!$C$7:$C$611,MATCH('5. Pollutant Emissions - MB'!C120,'DEQ Pollutant List'!$B$7:$B$611,0))),"")</f>
        <v/>
      </c>
      <c r="E120" s="13" t="str">
        <f>IFERROR(IF(OR($C120="",$C120="No CAS"),INDEX('DEQ Pollutant List'!$A$7:$A$611,MATCH($D120,'DEQ Pollutant List'!$C$7:$C$611,0)),INDEX('DEQ Pollutant List'!$A$7:$A$611,MATCH($C120,'DEQ Pollutant List'!$B$7:$B$611,0))),"")</f>
        <v/>
      </c>
      <c r="F120" s="105"/>
      <c r="G120" s="106"/>
      <c r="H120" s="68"/>
      <c r="I120" s="67"/>
      <c r="J120" s="69"/>
      <c r="K120" s="29"/>
      <c r="L120" s="67"/>
      <c r="M120" s="69"/>
      <c r="N120" s="29"/>
    </row>
    <row r="121" spans="1:14" x14ac:dyDescent="0.25">
      <c r="A121" s="25"/>
      <c r="B121" s="87"/>
      <c r="C121" s="104"/>
      <c r="D121" s="27" t="str">
        <f>IFERROR(IF(C121="No CAS","",INDEX('DEQ Pollutant List'!$C$7:$C$611,MATCH('5. Pollutant Emissions - MB'!C121,'DEQ Pollutant List'!$B$7:$B$611,0))),"")</f>
        <v/>
      </c>
      <c r="E121" s="13" t="str">
        <f>IFERROR(IF(OR($C121="",$C121="No CAS"),INDEX('DEQ Pollutant List'!$A$7:$A$611,MATCH($D121,'DEQ Pollutant List'!$C$7:$C$611,0)),INDEX('DEQ Pollutant List'!$A$7:$A$611,MATCH($C121,'DEQ Pollutant List'!$B$7:$B$611,0))),"")</f>
        <v/>
      </c>
      <c r="F121" s="105"/>
      <c r="G121" s="106"/>
      <c r="H121" s="68"/>
      <c r="I121" s="67"/>
      <c r="J121" s="69"/>
      <c r="K121" s="29"/>
      <c r="L121" s="67"/>
      <c r="M121" s="69"/>
      <c r="N121" s="29"/>
    </row>
    <row r="122" spans="1:14" x14ac:dyDescent="0.25">
      <c r="A122" s="25"/>
      <c r="B122" s="87"/>
      <c r="C122" s="104"/>
      <c r="D122" s="27" t="str">
        <f>IFERROR(IF(C122="No CAS","",INDEX('DEQ Pollutant List'!$C$7:$C$611,MATCH('5. Pollutant Emissions - MB'!C122,'DEQ Pollutant List'!$B$7:$B$611,0))),"")</f>
        <v/>
      </c>
      <c r="E122" s="13" t="str">
        <f>IFERROR(IF(OR($C122="",$C122="No CAS"),INDEX('DEQ Pollutant List'!$A$7:$A$611,MATCH($D122,'DEQ Pollutant List'!$C$7:$C$611,0)),INDEX('DEQ Pollutant List'!$A$7:$A$611,MATCH($C122,'DEQ Pollutant List'!$B$7:$B$611,0))),"")</f>
        <v/>
      </c>
      <c r="F122" s="105"/>
      <c r="G122" s="106"/>
      <c r="H122" s="68"/>
      <c r="I122" s="67"/>
      <c r="J122" s="69"/>
      <c r="K122" s="29"/>
      <c r="L122" s="67"/>
      <c r="M122" s="69"/>
      <c r="N122" s="29"/>
    </row>
    <row r="123" spans="1:14" x14ac:dyDescent="0.25">
      <c r="A123" s="25"/>
      <c r="B123" s="87"/>
      <c r="C123" s="104"/>
      <c r="D123" s="27" t="str">
        <f>IFERROR(IF(C123="No CAS","",INDEX('DEQ Pollutant List'!$C$7:$C$611,MATCH('5. Pollutant Emissions - MB'!C123,'DEQ Pollutant List'!$B$7:$B$611,0))),"")</f>
        <v/>
      </c>
      <c r="E123" s="13" t="str">
        <f>IFERROR(IF(OR($C123="",$C123="No CAS"),INDEX('DEQ Pollutant List'!$A$7:$A$611,MATCH($D123,'DEQ Pollutant List'!$C$7:$C$611,0)),INDEX('DEQ Pollutant List'!$A$7:$A$611,MATCH($C123,'DEQ Pollutant List'!$B$7:$B$611,0))),"")</f>
        <v/>
      </c>
      <c r="F123" s="105"/>
      <c r="G123" s="106"/>
      <c r="H123" s="68"/>
      <c r="I123" s="67"/>
      <c r="J123" s="69"/>
      <c r="K123" s="29"/>
      <c r="L123" s="67"/>
      <c r="M123" s="69"/>
      <c r="N123" s="29"/>
    </row>
    <row r="124" spans="1:14" x14ac:dyDescent="0.25">
      <c r="A124" s="25"/>
      <c r="B124" s="87"/>
      <c r="C124" s="104"/>
      <c r="D124" s="27" t="str">
        <f>IFERROR(IF(C124="No CAS","",INDEX('DEQ Pollutant List'!$C$7:$C$611,MATCH('5. Pollutant Emissions - MB'!C124,'DEQ Pollutant List'!$B$7:$B$611,0))),"")</f>
        <v/>
      </c>
      <c r="E124" s="13" t="str">
        <f>IFERROR(IF(OR($C124="",$C124="No CAS"),INDEX('DEQ Pollutant List'!$A$7:$A$611,MATCH($D124,'DEQ Pollutant List'!$C$7:$C$611,0)),INDEX('DEQ Pollutant List'!$A$7:$A$611,MATCH($C124,'DEQ Pollutant List'!$B$7:$B$611,0))),"")</f>
        <v/>
      </c>
      <c r="F124" s="105"/>
      <c r="G124" s="106"/>
      <c r="H124" s="68"/>
      <c r="I124" s="67"/>
      <c r="J124" s="69"/>
      <c r="K124" s="29"/>
      <c r="L124" s="67"/>
      <c r="M124" s="69"/>
      <c r="N124" s="29"/>
    </row>
    <row r="125" spans="1:14" x14ac:dyDescent="0.25">
      <c r="A125" s="25"/>
      <c r="B125" s="87"/>
      <c r="C125" s="104"/>
      <c r="D125" s="27" t="str">
        <f>IFERROR(IF(C125="No CAS","",INDEX('DEQ Pollutant List'!$C$7:$C$611,MATCH('5. Pollutant Emissions - MB'!C125,'DEQ Pollutant List'!$B$7:$B$611,0))),"")</f>
        <v/>
      </c>
      <c r="E125" s="13" t="str">
        <f>IFERROR(IF(OR($C125="",$C125="No CAS"),INDEX('DEQ Pollutant List'!$A$7:$A$611,MATCH($D125,'DEQ Pollutant List'!$C$7:$C$611,0)),INDEX('DEQ Pollutant List'!$A$7:$A$611,MATCH($C125,'DEQ Pollutant List'!$B$7:$B$611,0))),"")</f>
        <v/>
      </c>
      <c r="F125" s="105"/>
      <c r="G125" s="106"/>
      <c r="H125" s="68"/>
      <c r="I125" s="67"/>
      <c r="J125" s="69"/>
      <c r="K125" s="29"/>
      <c r="L125" s="67"/>
      <c r="M125" s="69"/>
      <c r="N125" s="29"/>
    </row>
    <row r="126" spans="1:14" x14ac:dyDescent="0.25">
      <c r="A126" s="25"/>
      <c r="B126" s="87"/>
      <c r="C126" s="104"/>
      <c r="D126" s="27" t="str">
        <f>IFERROR(IF(C126="No CAS","",INDEX('DEQ Pollutant List'!$C$7:$C$611,MATCH('5. Pollutant Emissions - MB'!C126,'DEQ Pollutant List'!$B$7:$B$611,0))),"")</f>
        <v/>
      </c>
      <c r="E126" s="13" t="str">
        <f>IFERROR(IF(OR($C126="",$C126="No CAS"),INDEX('DEQ Pollutant List'!$A$7:$A$611,MATCH($D126,'DEQ Pollutant List'!$C$7:$C$611,0)),INDEX('DEQ Pollutant List'!$A$7:$A$611,MATCH($C126,'DEQ Pollutant List'!$B$7:$B$611,0))),"")</f>
        <v/>
      </c>
      <c r="F126" s="105"/>
      <c r="G126" s="106"/>
      <c r="H126" s="68"/>
      <c r="I126" s="67"/>
      <c r="J126" s="69"/>
      <c r="K126" s="29"/>
      <c r="L126" s="67"/>
      <c r="M126" s="69"/>
      <c r="N126" s="29"/>
    </row>
    <row r="127" spans="1:14" x14ac:dyDescent="0.25">
      <c r="A127" s="25"/>
      <c r="B127" s="87"/>
      <c r="C127" s="104"/>
      <c r="D127" s="27" t="str">
        <f>IFERROR(IF(C127="No CAS","",INDEX('DEQ Pollutant List'!$C$7:$C$611,MATCH('5. Pollutant Emissions - MB'!C127,'DEQ Pollutant List'!$B$7:$B$611,0))),"")</f>
        <v/>
      </c>
      <c r="E127" s="13" t="str">
        <f>IFERROR(IF(OR($C127="",$C127="No CAS"),INDEX('DEQ Pollutant List'!$A$7:$A$611,MATCH($D127,'DEQ Pollutant List'!$C$7:$C$611,0)),INDEX('DEQ Pollutant List'!$A$7:$A$611,MATCH($C127,'DEQ Pollutant List'!$B$7:$B$611,0))),"")</f>
        <v/>
      </c>
      <c r="F127" s="105"/>
      <c r="G127" s="106"/>
      <c r="H127" s="68"/>
      <c r="I127" s="67"/>
      <c r="J127" s="69"/>
      <c r="K127" s="29"/>
      <c r="L127" s="67"/>
      <c r="M127" s="69"/>
      <c r="N127" s="29"/>
    </row>
    <row r="128" spans="1:14" x14ac:dyDescent="0.25">
      <c r="A128" s="25"/>
      <c r="B128" s="87"/>
      <c r="C128" s="104"/>
      <c r="D128" s="27" t="str">
        <f>IFERROR(IF(C128="No CAS","",INDEX('DEQ Pollutant List'!$C$7:$C$611,MATCH('5. Pollutant Emissions - MB'!C128,'DEQ Pollutant List'!$B$7:$B$611,0))),"")</f>
        <v/>
      </c>
      <c r="E128" s="13" t="str">
        <f>IFERROR(IF(OR($C128="",$C128="No CAS"),INDEX('DEQ Pollutant List'!$A$7:$A$611,MATCH($D128,'DEQ Pollutant List'!$C$7:$C$611,0)),INDEX('DEQ Pollutant List'!$A$7:$A$611,MATCH($C128,'DEQ Pollutant List'!$B$7:$B$611,0))),"")</f>
        <v/>
      </c>
      <c r="F128" s="105"/>
      <c r="G128" s="106"/>
      <c r="H128" s="68"/>
      <c r="I128" s="67"/>
      <c r="J128" s="69"/>
      <c r="K128" s="29"/>
      <c r="L128" s="67"/>
      <c r="M128" s="69"/>
      <c r="N128" s="29"/>
    </row>
    <row r="129" spans="1:14" x14ac:dyDescent="0.25">
      <c r="A129" s="25"/>
      <c r="B129" s="87"/>
      <c r="C129" s="104"/>
      <c r="D129" s="27" t="str">
        <f>IFERROR(IF(C129="No CAS","",INDEX('DEQ Pollutant List'!$C$7:$C$611,MATCH('5. Pollutant Emissions - MB'!C129,'DEQ Pollutant List'!$B$7:$B$611,0))),"")</f>
        <v/>
      </c>
      <c r="E129" s="13" t="str">
        <f>IFERROR(IF(OR($C129="",$C129="No CAS"),INDEX('DEQ Pollutant List'!$A$7:$A$611,MATCH($D129,'DEQ Pollutant List'!$C$7:$C$611,0)),INDEX('DEQ Pollutant List'!$A$7:$A$611,MATCH($C129,'DEQ Pollutant List'!$B$7:$B$611,0))),"")</f>
        <v/>
      </c>
      <c r="F129" s="105"/>
      <c r="G129" s="106"/>
      <c r="H129" s="68"/>
      <c r="I129" s="67"/>
      <c r="J129" s="69"/>
      <c r="K129" s="29"/>
      <c r="L129" s="67"/>
      <c r="M129" s="69"/>
      <c r="N129" s="29"/>
    </row>
    <row r="130" spans="1:14" x14ac:dyDescent="0.25">
      <c r="A130" s="25"/>
      <c r="B130" s="87"/>
      <c r="C130" s="104"/>
      <c r="D130" s="27" t="str">
        <f>IFERROR(IF(C130="No CAS","",INDEX('DEQ Pollutant List'!$C$7:$C$611,MATCH('5. Pollutant Emissions - MB'!C130,'DEQ Pollutant List'!$B$7:$B$611,0))),"")</f>
        <v/>
      </c>
      <c r="E130" s="13" t="str">
        <f>IFERROR(IF(OR($C130="",$C130="No CAS"),INDEX('DEQ Pollutant List'!$A$7:$A$611,MATCH($D130,'DEQ Pollutant List'!$C$7:$C$611,0)),INDEX('DEQ Pollutant List'!$A$7:$A$611,MATCH($C130,'DEQ Pollutant List'!$B$7:$B$611,0))),"")</f>
        <v/>
      </c>
      <c r="F130" s="105"/>
      <c r="G130" s="106"/>
      <c r="H130" s="68"/>
      <c r="I130" s="67"/>
      <c r="J130" s="69"/>
      <c r="K130" s="29"/>
      <c r="L130" s="67"/>
      <c r="M130" s="69"/>
      <c r="N130" s="29"/>
    </row>
    <row r="131" spans="1:14" x14ac:dyDescent="0.25">
      <c r="A131" s="25"/>
      <c r="B131" s="87"/>
      <c r="C131" s="104"/>
      <c r="D131" s="27" t="str">
        <f>IFERROR(IF(C131="No CAS","",INDEX('DEQ Pollutant List'!$C$7:$C$611,MATCH('5. Pollutant Emissions - MB'!C131,'DEQ Pollutant List'!$B$7:$B$611,0))),"")</f>
        <v/>
      </c>
      <c r="E131" s="13" t="str">
        <f>IFERROR(IF(OR($C131="",$C131="No CAS"),INDEX('DEQ Pollutant List'!$A$7:$A$611,MATCH($D131,'DEQ Pollutant List'!$C$7:$C$611,0)),INDEX('DEQ Pollutant List'!$A$7:$A$611,MATCH($C131,'DEQ Pollutant List'!$B$7:$B$611,0))),"")</f>
        <v/>
      </c>
      <c r="F131" s="105"/>
      <c r="G131" s="106"/>
      <c r="H131" s="68"/>
      <c r="I131" s="67"/>
      <c r="J131" s="69"/>
      <c r="K131" s="29"/>
      <c r="L131" s="67"/>
      <c r="M131" s="69"/>
      <c r="N131" s="29"/>
    </row>
    <row r="132" spans="1:14" x14ac:dyDescent="0.25">
      <c r="A132" s="25"/>
      <c r="B132" s="87"/>
      <c r="C132" s="104"/>
      <c r="D132" s="27" t="str">
        <f>IFERROR(IF(C132="No CAS","",INDEX('DEQ Pollutant List'!$C$7:$C$611,MATCH('5. Pollutant Emissions - MB'!C132,'DEQ Pollutant List'!$B$7:$B$611,0))),"")</f>
        <v/>
      </c>
      <c r="E132" s="13" t="str">
        <f>IFERROR(IF(OR($C132="",$C132="No CAS"),INDEX('DEQ Pollutant List'!$A$7:$A$611,MATCH($D132,'DEQ Pollutant List'!$C$7:$C$611,0)),INDEX('DEQ Pollutant List'!$A$7:$A$611,MATCH($C132,'DEQ Pollutant List'!$B$7:$B$611,0))),"")</f>
        <v/>
      </c>
      <c r="F132" s="105"/>
      <c r="G132" s="106"/>
      <c r="H132" s="68"/>
      <c r="I132" s="67"/>
      <c r="J132" s="69"/>
      <c r="K132" s="29"/>
      <c r="L132" s="67"/>
      <c r="M132" s="69"/>
      <c r="N132" s="29"/>
    </row>
    <row r="133" spans="1:14" x14ac:dyDescent="0.25">
      <c r="A133" s="25"/>
      <c r="B133" s="87"/>
      <c r="C133" s="104"/>
      <c r="D133" s="27" t="str">
        <f>IFERROR(IF(C133="No CAS","",INDEX('DEQ Pollutant List'!$C$7:$C$611,MATCH('5. Pollutant Emissions - MB'!C133,'DEQ Pollutant List'!$B$7:$B$611,0))),"")</f>
        <v/>
      </c>
      <c r="E133" s="13" t="str">
        <f>IFERROR(IF(OR($C133="",$C133="No CAS"),INDEX('DEQ Pollutant List'!$A$7:$A$611,MATCH($D133,'DEQ Pollutant List'!$C$7:$C$611,0)),INDEX('DEQ Pollutant List'!$A$7:$A$611,MATCH($C133,'DEQ Pollutant List'!$B$7:$B$611,0))),"")</f>
        <v/>
      </c>
      <c r="F133" s="105"/>
      <c r="G133" s="106"/>
      <c r="H133" s="68"/>
      <c r="I133" s="67"/>
      <c r="J133" s="69"/>
      <c r="K133" s="29"/>
      <c r="L133" s="67"/>
      <c r="M133" s="69"/>
      <c r="N133" s="29"/>
    </row>
    <row r="134" spans="1:14" x14ac:dyDescent="0.25">
      <c r="A134" s="25"/>
      <c r="B134" s="87"/>
      <c r="C134" s="104"/>
      <c r="D134" s="27" t="str">
        <f>IFERROR(IF(C134="No CAS","",INDEX('DEQ Pollutant List'!$C$7:$C$611,MATCH('5. Pollutant Emissions - MB'!C134,'DEQ Pollutant List'!$B$7:$B$611,0))),"")</f>
        <v/>
      </c>
      <c r="E134" s="13" t="str">
        <f>IFERROR(IF(OR($C134="",$C134="No CAS"),INDEX('DEQ Pollutant List'!$A$7:$A$611,MATCH($D134,'DEQ Pollutant List'!$C$7:$C$611,0)),INDEX('DEQ Pollutant List'!$A$7:$A$611,MATCH($C134,'DEQ Pollutant List'!$B$7:$B$611,0))),"")</f>
        <v/>
      </c>
      <c r="F134" s="105"/>
      <c r="G134" s="106"/>
      <c r="H134" s="68"/>
      <c r="I134" s="67"/>
      <c r="J134" s="69"/>
      <c r="K134" s="29"/>
      <c r="L134" s="67"/>
      <c r="M134" s="69"/>
      <c r="N134" s="29"/>
    </row>
    <row r="135" spans="1:14" x14ac:dyDescent="0.25">
      <c r="A135" s="25"/>
      <c r="B135" s="87"/>
      <c r="C135" s="104"/>
      <c r="D135" s="27" t="str">
        <f>IFERROR(IF(C135="No CAS","",INDEX('DEQ Pollutant List'!$C$7:$C$611,MATCH('5. Pollutant Emissions - MB'!C135,'DEQ Pollutant List'!$B$7:$B$611,0))),"")</f>
        <v/>
      </c>
      <c r="E135" s="13" t="str">
        <f>IFERROR(IF(OR($C135="",$C135="No CAS"),INDEX('DEQ Pollutant List'!$A$7:$A$611,MATCH($D135,'DEQ Pollutant List'!$C$7:$C$611,0)),INDEX('DEQ Pollutant List'!$A$7:$A$611,MATCH($C135,'DEQ Pollutant List'!$B$7:$B$611,0))),"")</f>
        <v/>
      </c>
      <c r="F135" s="105"/>
      <c r="G135" s="106"/>
      <c r="H135" s="68"/>
      <c r="I135" s="67"/>
      <c r="J135" s="69"/>
      <c r="K135" s="29"/>
      <c r="L135" s="67"/>
      <c r="M135" s="69"/>
      <c r="N135" s="29"/>
    </row>
    <row r="136" spans="1:14" x14ac:dyDescent="0.25">
      <c r="A136" s="25"/>
      <c r="B136" s="87"/>
      <c r="C136" s="104"/>
      <c r="D136" s="27" t="str">
        <f>IFERROR(IF(C136="No CAS","",INDEX('DEQ Pollutant List'!$C$7:$C$611,MATCH('5. Pollutant Emissions - MB'!C136,'DEQ Pollutant List'!$B$7:$B$611,0))),"")</f>
        <v/>
      </c>
      <c r="E136" s="13" t="str">
        <f>IFERROR(IF(OR($C136="",$C136="No CAS"),INDEX('DEQ Pollutant List'!$A$7:$A$611,MATCH($D136,'DEQ Pollutant List'!$C$7:$C$611,0)),INDEX('DEQ Pollutant List'!$A$7:$A$611,MATCH($C136,'DEQ Pollutant List'!$B$7:$B$611,0))),"")</f>
        <v/>
      </c>
      <c r="F136" s="105"/>
      <c r="G136" s="106"/>
      <c r="H136" s="68"/>
      <c r="I136" s="67"/>
      <c r="J136" s="69"/>
      <c r="K136" s="29"/>
      <c r="L136" s="67"/>
      <c r="M136" s="69"/>
      <c r="N136" s="29"/>
    </row>
    <row r="137" spans="1:14" x14ac:dyDescent="0.25">
      <c r="A137" s="25"/>
      <c r="B137" s="87"/>
      <c r="C137" s="104"/>
      <c r="D137" s="27" t="str">
        <f>IFERROR(IF(C137="No CAS","",INDEX('DEQ Pollutant List'!$C$7:$C$611,MATCH('5. Pollutant Emissions - MB'!C137,'DEQ Pollutant List'!$B$7:$B$611,0))),"")</f>
        <v/>
      </c>
      <c r="E137" s="13" t="str">
        <f>IFERROR(IF(OR($C137="",$C137="No CAS"),INDEX('DEQ Pollutant List'!$A$7:$A$611,MATCH($D137,'DEQ Pollutant List'!$C$7:$C$611,0)),INDEX('DEQ Pollutant List'!$A$7:$A$611,MATCH($C137,'DEQ Pollutant List'!$B$7:$B$611,0))),"")</f>
        <v/>
      </c>
      <c r="F137" s="105"/>
      <c r="G137" s="106"/>
      <c r="H137" s="68"/>
      <c r="I137" s="67"/>
      <c r="J137" s="69"/>
      <c r="K137" s="29"/>
      <c r="L137" s="67"/>
      <c r="M137" s="69"/>
      <c r="N137" s="29"/>
    </row>
    <row r="138" spans="1:14" x14ac:dyDescent="0.25">
      <c r="A138" s="25"/>
      <c r="B138" s="87"/>
      <c r="C138" s="104"/>
      <c r="D138" s="27" t="str">
        <f>IFERROR(IF(C138="No CAS","",INDEX('DEQ Pollutant List'!$C$7:$C$611,MATCH('5. Pollutant Emissions - MB'!C138,'DEQ Pollutant List'!$B$7:$B$611,0))),"")</f>
        <v/>
      </c>
      <c r="E138" s="13" t="str">
        <f>IFERROR(IF(OR($C138="",$C138="No CAS"),INDEX('DEQ Pollutant List'!$A$7:$A$611,MATCH($D138,'DEQ Pollutant List'!$C$7:$C$611,0)),INDEX('DEQ Pollutant List'!$A$7:$A$611,MATCH($C138,'DEQ Pollutant List'!$B$7:$B$611,0))),"")</f>
        <v/>
      </c>
      <c r="F138" s="105"/>
      <c r="G138" s="106"/>
      <c r="H138" s="68"/>
      <c r="I138" s="67"/>
      <c r="J138" s="69"/>
      <c r="K138" s="29"/>
      <c r="L138" s="67"/>
      <c r="M138" s="69"/>
      <c r="N138" s="29"/>
    </row>
    <row r="139" spans="1:14" x14ac:dyDescent="0.25">
      <c r="A139" s="25"/>
      <c r="B139" s="87"/>
      <c r="C139" s="104"/>
      <c r="D139" s="27" t="str">
        <f>IFERROR(IF(C139="No CAS","",INDEX('DEQ Pollutant List'!$C$7:$C$611,MATCH('5. Pollutant Emissions - MB'!C139,'DEQ Pollutant List'!$B$7:$B$611,0))),"")</f>
        <v/>
      </c>
      <c r="E139" s="13" t="str">
        <f>IFERROR(IF(OR($C139="",$C139="No CAS"),INDEX('DEQ Pollutant List'!$A$7:$A$611,MATCH($D139,'DEQ Pollutant List'!$C$7:$C$611,0)),INDEX('DEQ Pollutant List'!$A$7:$A$611,MATCH($C139,'DEQ Pollutant List'!$B$7:$B$611,0))),"")</f>
        <v/>
      </c>
      <c r="F139" s="105"/>
      <c r="G139" s="106"/>
      <c r="H139" s="68"/>
      <c r="I139" s="67"/>
      <c r="J139" s="69"/>
      <c r="K139" s="29"/>
      <c r="L139" s="67"/>
      <c r="M139" s="69"/>
      <c r="N139" s="29"/>
    </row>
    <row r="140" spans="1:14" x14ac:dyDescent="0.25">
      <c r="A140" s="25"/>
      <c r="B140" s="87"/>
      <c r="C140" s="104"/>
      <c r="D140" s="27" t="str">
        <f>IFERROR(IF(C140="No CAS","",INDEX('DEQ Pollutant List'!$C$7:$C$611,MATCH('5. Pollutant Emissions - MB'!C140,'DEQ Pollutant List'!$B$7:$B$611,0))),"")</f>
        <v/>
      </c>
      <c r="E140" s="13" t="str">
        <f>IFERROR(IF(OR($C140="",$C140="No CAS"),INDEX('DEQ Pollutant List'!$A$7:$A$611,MATCH($D140,'DEQ Pollutant List'!$C$7:$C$611,0)),INDEX('DEQ Pollutant List'!$A$7:$A$611,MATCH($C140,'DEQ Pollutant List'!$B$7:$B$611,0))),"")</f>
        <v/>
      </c>
      <c r="F140" s="105"/>
      <c r="G140" s="106"/>
      <c r="H140" s="68"/>
      <c r="I140" s="67"/>
      <c r="J140" s="69"/>
      <c r="K140" s="29"/>
      <c r="L140" s="67"/>
      <c r="M140" s="69"/>
      <c r="N140" s="29"/>
    </row>
    <row r="141" spans="1:14" x14ac:dyDescent="0.25">
      <c r="A141" s="25"/>
      <c r="B141" s="87"/>
      <c r="C141" s="104"/>
      <c r="D141" s="27" t="str">
        <f>IFERROR(IF(C141="No CAS","",INDEX('DEQ Pollutant List'!$C$7:$C$611,MATCH('5. Pollutant Emissions - MB'!C141,'DEQ Pollutant List'!$B$7:$B$611,0))),"")</f>
        <v/>
      </c>
      <c r="E141" s="13" t="str">
        <f>IFERROR(IF(OR($C141="",$C141="No CAS"),INDEX('DEQ Pollutant List'!$A$7:$A$611,MATCH($D141,'DEQ Pollutant List'!$C$7:$C$611,0)),INDEX('DEQ Pollutant List'!$A$7:$A$611,MATCH($C141,'DEQ Pollutant List'!$B$7:$B$611,0))),"")</f>
        <v/>
      </c>
      <c r="F141" s="105"/>
      <c r="G141" s="106"/>
      <c r="H141" s="68"/>
      <c r="I141" s="67"/>
      <c r="J141" s="69"/>
      <c r="K141" s="29"/>
      <c r="L141" s="67"/>
      <c r="M141" s="69"/>
      <c r="N141" s="29"/>
    </row>
    <row r="142" spans="1:14" x14ac:dyDescent="0.25">
      <c r="A142" s="25"/>
      <c r="B142" s="87"/>
      <c r="C142" s="104"/>
      <c r="D142" s="27" t="str">
        <f>IFERROR(IF(C142="No CAS","",INDEX('DEQ Pollutant List'!$C$7:$C$611,MATCH('5. Pollutant Emissions - MB'!C142,'DEQ Pollutant List'!$B$7:$B$611,0))),"")</f>
        <v/>
      </c>
      <c r="E142" s="13" t="str">
        <f>IFERROR(IF(OR($C142="",$C142="No CAS"),INDEX('DEQ Pollutant List'!$A$7:$A$611,MATCH($D142,'DEQ Pollutant List'!$C$7:$C$611,0)),INDEX('DEQ Pollutant List'!$A$7:$A$611,MATCH($C142,'DEQ Pollutant List'!$B$7:$B$611,0))),"")</f>
        <v/>
      </c>
      <c r="F142" s="105"/>
      <c r="G142" s="106"/>
      <c r="H142" s="68"/>
      <c r="I142" s="67"/>
      <c r="J142" s="69"/>
      <c r="K142" s="29"/>
      <c r="L142" s="67"/>
      <c r="M142" s="69"/>
      <c r="N142" s="29"/>
    </row>
    <row r="143" spans="1:14" x14ac:dyDescent="0.25">
      <c r="A143" s="25"/>
      <c r="B143" s="87"/>
      <c r="C143" s="104"/>
      <c r="D143" s="27" t="str">
        <f>IFERROR(IF(C143="No CAS","",INDEX('DEQ Pollutant List'!$C$7:$C$611,MATCH('5. Pollutant Emissions - MB'!C143,'DEQ Pollutant List'!$B$7:$B$611,0))),"")</f>
        <v/>
      </c>
      <c r="E143" s="13" t="str">
        <f>IFERROR(IF(OR($C143="",$C143="No CAS"),INDEX('DEQ Pollutant List'!$A$7:$A$611,MATCH($D143,'DEQ Pollutant List'!$C$7:$C$611,0)),INDEX('DEQ Pollutant List'!$A$7:$A$611,MATCH($C143,'DEQ Pollutant List'!$B$7:$B$611,0))),"")</f>
        <v/>
      </c>
      <c r="F143" s="105"/>
      <c r="G143" s="106"/>
      <c r="H143" s="68"/>
      <c r="I143" s="67"/>
      <c r="J143" s="69"/>
      <c r="K143" s="29"/>
      <c r="L143" s="67"/>
      <c r="M143" s="69"/>
      <c r="N143" s="29"/>
    </row>
    <row r="144" spans="1:14" x14ac:dyDescent="0.25">
      <c r="A144" s="25"/>
      <c r="B144" s="87"/>
      <c r="C144" s="104"/>
      <c r="D144" s="27" t="str">
        <f>IFERROR(IF(C144="No CAS","",INDEX('DEQ Pollutant List'!$C$7:$C$611,MATCH('5. Pollutant Emissions - MB'!C144,'DEQ Pollutant List'!$B$7:$B$611,0))),"")</f>
        <v/>
      </c>
      <c r="E144" s="13" t="str">
        <f>IFERROR(IF(OR($C144="",$C144="No CAS"),INDEX('DEQ Pollutant List'!$A$7:$A$611,MATCH($D144,'DEQ Pollutant List'!$C$7:$C$611,0)),INDEX('DEQ Pollutant List'!$A$7:$A$611,MATCH($C144,'DEQ Pollutant List'!$B$7:$B$611,0))),"")</f>
        <v/>
      </c>
      <c r="F144" s="105"/>
      <c r="G144" s="106"/>
      <c r="H144" s="68"/>
      <c r="I144" s="67"/>
      <c r="J144" s="69"/>
      <c r="K144" s="29"/>
      <c r="L144" s="67"/>
      <c r="M144" s="69"/>
      <c r="N144" s="29"/>
    </row>
    <row r="145" spans="1:14" x14ac:dyDescent="0.25">
      <c r="A145" s="25"/>
      <c r="B145" s="87"/>
      <c r="C145" s="104"/>
      <c r="D145" s="27" t="str">
        <f>IFERROR(IF(C145="No CAS","",INDEX('DEQ Pollutant List'!$C$7:$C$611,MATCH('5. Pollutant Emissions - MB'!C145,'DEQ Pollutant List'!$B$7:$B$611,0))),"")</f>
        <v/>
      </c>
      <c r="E145" s="13" t="str">
        <f>IFERROR(IF(OR($C145="",$C145="No CAS"),INDEX('DEQ Pollutant List'!$A$7:$A$611,MATCH($D145,'DEQ Pollutant List'!$C$7:$C$611,0)),INDEX('DEQ Pollutant List'!$A$7:$A$611,MATCH($C145,'DEQ Pollutant List'!$B$7:$B$611,0))),"")</f>
        <v/>
      </c>
      <c r="F145" s="105"/>
      <c r="G145" s="106"/>
      <c r="H145" s="68"/>
      <c r="I145" s="67"/>
      <c r="J145" s="69"/>
      <c r="K145" s="29"/>
      <c r="L145" s="67"/>
      <c r="M145" s="69"/>
      <c r="N145" s="29"/>
    </row>
    <row r="146" spans="1:14" x14ac:dyDescent="0.25">
      <c r="A146" s="25"/>
      <c r="B146" s="87"/>
      <c r="C146" s="104"/>
      <c r="D146" s="27" t="str">
        <f>IFERROR(IF(C146="No CAS","",INDEX('DEQ Pollutant List'!$C$7:$C$611,MATCH('5. Pollutant Emissions - MB'!C146,'DEQ Pollutant List'!$B$7:$B$611,0))),"")</f>
        <v/>
      </c>
      <c r="E146" s="13" t="str">
        <f>IFERROR(IF(OR($C146="",$C146="No CAS"),INDEX('DEQ Pollutant List'!$A$7:$A$611,MATCH($D146,'DEQ Pollutant List'!$C$7:$C$611,0)),INDEX('DEQ Pollutant List'!$A$7:$A$611,MATCH($C146,'DEQ Pollutant List'!$B$7:$B$611,0))),"")</f>
        <v/>
      </c>
      <c r="F146" s="105"/>
      <c r="G146" s="106"/>
      <c r="H146" s="68"/>
      <c r="I146" s="67"/>
      <c r="J146" s="69"/>
      <c r="K146" s="29"/>
      <c r="L146" s="67"/>
      <c r="M146" s="69"/>
      <c r="N146" s="29"/>
    </row>
    <row r="147" spans="1:14" x14ac:dyDescent="0.25">
      <c r="A147" s="25"/>
      <c r="B147" s="87"/>
      <c r="C147" s="104"/>
      <c r="D147" s="27" t="str">
        <f>IFERROR(IF(C147="No CAS","",INDEX('DEQ Pollutant List'!$C$7:$C$611,MATCH('5. Pollutant Emissions - MB'!C147,'DEQ Pollutant List'!$B$7:$B$611,0))),"")</f>
        <v/>
      </c>
      <c r="E147" s="13" t="str">
        <f>IFERROR(IF(OR($C147="",$C147="No CAS"),INDEX('DEQ Pollutant List'!$A$7:$A$611,MATCH($D147,'DEQ Pollutant List'!$C$7:$C$611,0)),INDEX('DEQ Pollutant List'!$A$7:$A$611,MATCH($C147,'DEQ Pollutant List'!$B$7:$B$611,0))),"")</f>
        <v/>
      </c>
      <c r="F147" s="105"/>
      <c r="G147" s="106"/>
      <c r="H147" s="68"/>
      <c r="I147" s="67"/>
      <c r="J147" s="69"/>
      <c r="K147" s="29"/>
      <c r="L147" s="67"/>
      <c r="M147" s="69"/>
      <c r="N147" s="29"/>
    </row>
    <row r="148" spans="1:14" x14ac:dyDescent="0.25">
      <c r="A148" s="25"/>
      <c r="B148" s="87"/>
      <c r="C148" s="104"/>
      <c r="D148" s="27" t="str">
        <f>IFERROR(IF(C148="No CAS","",INDEX('DEQ Pollutant List'!$C$7:$C$611,MATCH('5. Pollutant Emissions - MB'!C148,'DEQ Pollutant List'!$B$7:$B$611,0))),"")</f>
        <v/>
      </c>
      <c r="E148" s="13" t="str">
        <f>IFERROR(IF(OR($C148="",$C148="No CAS"),INDEX('DEQ Pollutant List'!$A$7:$A$611,MATCH($D148,'DEQ Pollutant List'!$C$7:$C$611,0)),INDEX('DEQ Pollutant List'!$A$7:$A$611,MATCH($C148,'DEQ Pollutant List'!$B$7:$B$611,0))),"")</f>
        <v/>
      </c>
      <c r="F148" s="105"/>
      <c r="G148" s="106"/>
      <c r="H148" s="68"/>
      <c r="I148" s="67"/>
      <c r="J148" s="69"/>
      <c r="K148" s="29"/>
      <c r="L148" s="67"/>
      <c r="M148" s="69"/>
      <c r="N148" s="29"/>
    </row>
    <row r="149" spans="1:14" x14ac:dyDescent="0.25">
      <c r="A149" s="25"/>
      <c r="B149" s="87"/>
      <c r="C149" s="104"/>
      <c r="D149" s="27" t="str">
        <f>IFERROR(IF(C149="No CAS","",INDEX('DEQ Pollutant List'!$C$7:$C$611,MATCH('5. Pollutant Emissions - MB'!C149,'DEQ Pollutant List'!$B$7:$B$611,0))),"")</f>
        <v/>
      </c>
      <c r="E149" s="13" t="str">
        <f>IFERROR(IF(OR($C149="",$C149="No CAS"),INDEX('DEQ Pollutant List'!$A$7:$A$611,MATCH($D149,'DEQ Pollutant List'!$C$7:$C$611,0)),INDEX('DEQ Pollutant List'!$A$7:$A$611,MATCH($C149,'DEQ Pollutant List'!$B$7:$B$611,0))),"")</f>
        <v/>
      </c>
      <c r="F149" s="105"/>
      <c r="G149" s="106"/>
      <c r="H149" s="68"/>
      <c r="I149" s="67"/>
      <c r="J149" s="69"/>
      <c r="K149" s="29"/>
      <c r="L149" s="67"/>
      <c r="M149" s="69"/>
      <c r="N149" s="29"/>
    </row>
    <row r="150" spans="1:14" x14ac:dyDescent="0.25">
      <c r="A150" s="25"/>
      <c r="B150" s="87"/>
      <c r="C150" s="104"/>
      <c r="D150" s="27" t="str">
        <f>IFERROR(IF(C150="No CAS","",INDEX('DEQ Pollutant List'!$C$7:$C$611,MATCH('5. Pollutant Emissions - MB'!C150,'DEQ Pollutant List'!$B$7:$B$611,0))),"")</f>
        <v/>
      </c>
      <c r="E150" s="13" t="str">
        <f>IFERROR(IF(OR($C150="",$C150="No CAS"),INDEX('DEQ Pollutant List'!$A$7:$A$611,MATCH($D150,'DEQ Pollutant List'!$C$7:$C$611,0)),INDEX('DEQ Pollutant List'!$A$7:$A$611,MATCH($C150,'DEQ Pollutant List'!$B$7:$B$611,0))),"")</f>
        <v/>
      </c>
      <c r="F150" s="105"/>
      <c r="G150" s="106"/>
      <c r="H150" s="68"/>
      <c r="I150" s="67"/>
      <c r="J150" s="69"/>
      <c r="K150" s="29"/>
      <c r="L150" s="67"/>
      <c r="M150" s="69"/>
      <c r="N150" s="29"/>
    </row>
    <row r="151" spans="1:14" x14ac:dyDescent="0.25">
      <c r="A151" s="25"/>
      <c r="B151" s="87"/>
      <c r="C151" s="104"/>
      <c r="D151" s="27" t="str">
        <f>IFERROR(IF(C151="No CAS","",INDEX('DEQ Pollutant List'!$C$7:$C$611,MATCH('5. Pollutant Emissions - MB'!C151,'DEQ Pollutant List'!$B$7:$B$611,0))),"")</f>
        <v/>
      </c>
      <c r="E151" s="13" t="str">
        <f>IFERROR(IF(OR($C151="",$C151="No CAS"),INDEX('DEQ Pollutant List'!$A$7:$A$611,MATCH($D151,'DEQ Pollutant List'!$C$7:$C$611,0)),INDEX('DEQ Pollutant List'!$A$7:$A$611,MATCH($C151,'DEQ Pollutant List'!$B$7:$B$611,0))),"")</f>
        <v/>
      </c>
      <c r="F151" s="105"/>
      <c r="G151" s="106"/>
      <c r="H151" s="68"/>
      <c r="I151" s="67"/>
      <c r="J151" s="69"/>
      <c r="K151" s="29"/>
      <c r="L151" s="67"/>
      <c r="M151" s="69"/>
      <c r="N151" s="29"/>
    </row>
    <row r="152" spans="1:14" x14ac:dyDescent="0.25">
      <c r="A152" s="25"/>
      <c r="B152" s="87"/>
      <c r="C152" s="104"/>
      <c r="D152" s="27" t="str">
        <f>IFERROR(IF(C152="No CAS","",INDEX('DEQ Pollutant List'!$C$7:$C$611,MATCH('5. Pollutant Emissions - MB'!C152,'DEQ Pollutant List'!$B$7:$B$611,0))),"")</f>
        <v/>
      </c>
      <c r="E152" s="13" t="str">
        <f>IFERROR(IF(OR($C152="",$C152="No CAS"),INDEX('DEQ Pollutant List'!$A$7:$A$611,MATCH($D152,'DEQ Pollutant List'!$C$7:$C$611,0)),INDEX('DEQ Pollutant List'!$A$7:$A$611,MATCH($C152,'DEQ Pollutant List'!$B$7:$B$611,0))),"")</f>
        <v/>
      </c>
      <c r="F152" s="105"/>
      <c r="G152" s="106"/>
      <c r="H152" s="68"/>
      <c r="I152" s="67"/>
      <c r="J152" s="69"/>
      <c r="K152" s="29"/>
      <c r="L152" s="67"/>
      <c r="M152" s="69"/>
      <c r="N152" s="29"/>
    </row>
    <row r="153" spans="1:14" x14ac:dyDescent="0.25">
      <c r="A153" s="25"/>
      <c r="B153" s="87"/>
      <c r="C153" s="104"/>
      <c r="D153" s="27" t="str">
        <f>IFERROR(IF(C153="No CAS","",INDEX('DEQ Pollutant List'!$C$7:$C$611,MATCH('5. Pollutant Emissions - MB'!C153,'DEQ Pollutant List'!$B$7:$B$611,0))),"")</f>
        <v/>
      </c>
      <c r="E153" s="13" t="str">
        <f>IFERROR(IF(OR($C153="",$C153="No CAS"),INDEX('DEQ Pollutant List'!$A$7:$A$611,MATCH($D153,'DEQ Pollutant List'!$C$7:$C$611,0)),INDEX('DEQ Pollutant List'!$A$7:$A$611,MATCH($C153,'DEQ Pollutant List'!$B$7:$B$611,0))),"")</f>
        <v/>
      </c>
      <c r="F153" s="105"/>
      <c r="G153" s="106"/>
      <c r="H153" s="68"/>
      <c r="I153" s="67"/>
      <c r="J153" s="69"/>
      <c r="K153" s="29"/>
      <c r="L153" s="67"/>
      <c r="M153" s="69"/>
      <c r="N153" s="29"/>
    </row>
    <row r="154" spans="1:14" x14ac:dyDescent="0.25">
      <c r="A154" s="25"/>
      <c r="B154" s="87"/>
      <c r="C154" s="104"/>
      <c r="D154" s="27" t="str">
        <f>IFERROR(IF(C154="No CAS","",INDEX('DEQ Pollutant List'!$C$7:$C$611,MATCH('5. Pollutant Emissions - MB'!C154,'DEQ Pollutant List'!$B$7:$B$611,0))),"")</f>
        <v/>
      </c>
      <c r="E154" s="13" t="str">
        <f>IFERROR(IF(OR($C154="",$C154="No CAS"),INDEX('DEQ Pollutant List'!$A$7:$A$611,MATCH($D154,'DEQ Pollutant List'!$C$7:$C$611,0)),INDEX('DEQ Pollutant List'!$A$7:$A$611,MATCH($C154,'DEQ Pollutant List'!$B$7:$B$611,0))),"")</f>
        <v/>
      </c>
      <c r="F154" s="105"/>
      <c r="G154" s="106"/>
      <c r="H154" s="68"/>
      <c r="I154" s="67"/>
      <c r="J154" s="69"/>
      <c r="K154" s="29"/>
      <c r="L154" s="67"/>
      <c r="M154" s="69"/>
      <c r="N154" s="29"/>
    </row>
    <row r="155" spans="1:14" x14ac:dyDescent="0.25">
      <c r="A155" s="25"/>
      <c r="B155" s="87"/>
      <c r="C155" s="104"/>
      <c r="D155" s="27" t="str">
        <f>IFERROR(IF(C155="No CAS","",INDEX('DEQ Pollutant List'!$C$7:$C$611,MATCH('5. Pollutant Emissions - MB'!C155,'DEQ Pollutant List'!$B$7:$B$611,0))),"")</f>
        <v/>
      </c>
      <c r="E155" s="13" t="str">
        <f>IFERROR(IF(OR($C155="",$C155="No CAS"),INDEX('DEQ Pollutant List'!$A$7:$A$611,MATCH($D155,'DEQ Pollutant List'!$C$7:$C$611,0)),INDEX('DEQ Pollutant List'!$A$7:$A$611,MATCH($C155,'DEQ Pollutant List'!$B$7:$B$611,0))),"")</f>
        <v/>
      </c>
      <c r="F155" s="105"/>
      <c r="G155" s="106"/>
      <c r="H155" s="68"/>
      <c r="I155" s="67"/>
      <c r="J155" s="69"/>
      <c r="K155" s="29"/>
      <c r="L155" s="67"/>
      <c r="M155" s="69"/>
      <c r="N155" s="29"/>
    </row>
    <row r="156" spans="1:14" x14ac:dyDescent="0.25">
      <c r="A156" s="25"/>
      <c r="B156" s="87"/>
      <c r="C156" s="104"/>
      <c r="D156" s="27" t="str">
        <f>IFERROR(IF(C156="No CAS","",INDEX('DEQ Pollutant List'!$C$7:$C$611,MATCH('5. Pollutant Emissions - MB'!C156,'DEQ Pollutant List'!$B$7:$B$611,0))),"")</f>
        <v/>
      </c>
      <c r="E156" s="13" t="str">
        <f>IFERROR(IF(OR($C156="",$C156="No CAS"),INDEX('DEQ Pollutant List'!$A$7:$A$611,MATCH($D156,'DEQ Pollutant List'!$C$7:$C$611,0)),INDEX('DEQ Pollutant List'!$A$7:$A$611,MATCH($C156,'DEQ Pollutant List'!$B$7:$B$611,0))),"")</f>
        <v/>
      </c>
      <c r="F156" s="105"/>
      <c r="G156" s="106"/>
      <c r="H156" s="68"/>
      <c r="I156" s="67"/>
      <c r="J156" s="69"/>
      <c r="K156" s="29"/>
      <c r="L156" s="67"/>
      <c r="M156" s="69"/>
      <c r="N156" s="29"/>
    </row>
    <row r="157" spans="1:14" x14ac:dyDescent="0.25">
      <c r="A157" s="25"/>
      <c r="B157" s="87"/>
      <c r="C157" s="104"/>
      <c r="D157" s="27" t="str">
        <f>IFERROR(IF(C157="No CAS","",INDEX('DEQ Pollutant List'!$C$7:$C$611,MATCH('5. Pollutant Emissions - MB'!C157,'DEQ Pollutant List'!$B$7:$B$611,0))),"")</f>
        <v/>
      </c>
      <c r="E157" s="13" t="str">
        <f>IFERROR(IF(OR($C157="",$C157="No CAS"),INDEX('DEQ Pollutant List'!$A$7:$A$611,MATCH($D157,'DEQ Pollutant List'!$C$7:$C$611,0)),INDEX('DEQ Pollutant List'!$A$7:$A$611,MATCH($C157,'DEQ Pollutant List'!$B$7:$B$611,0))),"")</f>
        <v/>
      </c>
      <c r="F157" s="105"/>
      <c r="G157" s="106"/>
      <c r="H157" s="68"/>
      <c r="I157" s="67"/>
      <c r="J157" s="69"/>
      <c r="K157" s="29"/>
      <c r="L157" s="67"/>
      <c r="M157" s="69"/>
      <c r="N157" s="29"/>
    </row>
    <row r="158" spans="1:14" x14ac:dyDescent="0.25">
      <c r="A158" s="25"/>
      <c r="B158" s="87"/>
      <c r="C158" s="104"/>
      <c r="D158" s="27" t="str">
        <f>IFERROR(IF(C158="No CAS","",INDEX('DEQ Pollutant List'!$C$7:$C$611,MATCH('5. Pollutant Emissions - MB'!C158,'DEQ Pollutant List'!$B$7:$B$611,0))),"")</f>
        <v/>
      </c>
      <c r="E158" s="13" t="str">
        <f>IFERROR(IF(OR($C158="",$C158="No CAS"),INDEX('DEQ Pollutant List'!$A$7:$A$611,MATCH($D158,'DEQ Pollutant List'!$C$7:$C$611,0)),INDEX('DEQ Pollutant List'!$A$7:$A$611,MATCH($C158,'DEQ Pollutant List'!$B$7:$B$611,0))),"")</f>
        <v/>
      </c>
      <c r="F158" s="105"/>
      <c r="G158" s="106"/>
      <c r="H158" s="68"/>
      <c r="I158" s="67"/>
      <c r="J158" s="69"/>
      <c r="K158" s="29"/>
      <c r="L158" s="67"/>
      <c r="M158" s="69"/>
      <c r="N158" s="29"/>
    </row>
    <row r="159" spans="1:14" x14ac:dyDescent="0.25">
      <c r="A159" s="25"/>
      <c r="B159" s="87"/>
      <c r="C159" s="104"/>
      <c r="D159" s="27" t="str">
        <f>IFERROR(IF(C159="No CAS","",INDEX('DEQ Pollutant List'!$C$7:$C$611,MATCH('5. Pollutant Emissions - MB'!C159,'DEQ Pollutant List'!$B$7:$B$611,0))),"")</f>
        <v/>
      </c>
      <c r="E159" s="13" t="str">
        <f>IFERROR(IF(OR($C159="",$C159="No CAS"),INDEX('DEQ Pollutant List'!$A$7:$A$611,MATCH($D159,'DEQ Pollutant List'!$C$7:$C$611,0)),INDEX('DEQ Pollutant List'!$A$7:$A$611,MATCH($C159,'DEQ Pollutant List'!$B$7:$B$611,0))),"")</f>
        <v/>
      </c>
      <c r="F159" s="105"/>
      <c r="G159" s="106"/>
      <c r="H159" s="68"/>
      <c r="I159" s="67"/>
      <c r="J159" s="69"/>
      <c r="K159" s="29"/>
      <c r="L159" s="67"/>
      <c r="M159" s="69"/>
      <c r="N159" s="29"/>
    </row>
    <row r="160" spans="1:14" x14ac:dyDescent="0.25">
      <c r="A160" s="25"/>
      <c r="B160" s="87"/>
      <c r="C160" s="104"/>
      <c r="D160" s="27" t="str">
        <f>IFERROR(IF(C160="No CAS","",INDEX('DEQ Pollutant List'!$C$7:$C$611,MATCH('5. Pollutant Emissions - MB'!C160,'DEQ Pollutant List'!$B$7:$B$611,0))),"")</f>
        <v/>
      </c>
      <c r="E160" s="13" t="str">
        <f>IFERROR(IF(OR($C160="",$C160="No CAS"),INDEX('DEQ Pollutant List'!$A$7:$A$611,MATCH($D160,'DEQ Pollutant List'!$C$7:$C$611,0)),INDEX('DEQ Pollutant List'!$A$7:$A$611,MATCH($C160,'DEQ Pollutant List'!$B$7:$B$611,0))),"")</f>
        <v/>
      </c>
      <c r="F160" s="105"/>
      <c r="G160" s="106"/>
      <c r="H160" s="68"/>
      <c r="I160" s="67"/>
      <c r="J160" s="69"/>
      <c r="K160" s="29"/>
      <c r="L160" s="67"/>
      <c r="M160" s="69"/>
      <c r="N160" s="29"/>
    </row>
    <row r="161" spans="1:14" x14ac:dyDescent="0.25">
      <c r="A161" s="25"/>
      <c r="B161" s="87"/>
      <c r="C161" s="104"/>
      <c r="D161" s="27" t="str">
        <f>IFERROR(IF(C161="No CAS","",INDEX('DEQ Pollutant List'!$C$7:$C$611,MATCH('5. Pollutant Emissions - MB'!C161,'DEQ Pollutant List'!$B$7:$B$611,0))),"")</f>
        <v/>
      </c>
      <c r="E161" s="13" t="str">
        <f>IFERROR(IF(OR($C161="",$C161="No CAS"),INDEX('DEQ Pollutant List'!$A$7:$A$611,MATCH($D161,'DEQ Pollutant List'!$C$7:$C$611,0)),INDEX('DEQ Pollutant List'!$A$7:$A$611,MATCH($C161,'DEQ Pollutant List'!$B$7:$B$611,0))),"")</f>
        <v/>
      </c>
      <c r="F161" s="105"/>
      <c r="G161" s="106"/>
      <c r="H161" s="68"/>
      <c r="I161" s="67"/>
      <c r="J161" s="69"/>
      <c r="K161" s="29"/>
      <c r="L161" s="67"/>
      <c r="M161" s="69"/>
      <c r="N161" s="29"/>
    </row>
    <row r="162" spans="1:14" x14ac:dyDescent="0.25">
      <c r="A162" s="25"/>
      <c r="B162" s="87"/>
      <c r="C162" s="104"/>
      <c r="D162" s="27" t="str">
        <f>IFERROR(IF(C162="No CAS","",INDEX('DEQ Pollutant List'!$C$7:$C$611,MATCH('5. Pollutant Emissions - MB'!C162,'DEQ Pollutant List'!$B$7:$B$611,0))),"")</f>
        <v/>
      </c>
      <c r="E162" s="13" t="str">
        <f>IFERROR(IF(OR($C162="",$C162="No CAS"),INDEX('DEQ Pollutant List'!$A$7:$A$611,MATCH($D162,'DEQ Pollutant List'!$C$7:$C$611,0)),INDEX('DEQ Pollutant List'!$A$7:$A$611,MATCH($C162,'DEQ Pollutant List'!$B$7:$B$611,0))),"")</f>
        <v/>
      </c>
      <c r="F162" s="105"/>
      <c r="G162" s="106"/>
      <c r="H162" s="68"/>
      <c r="I162" s="67"/>
      <c r="J162" s="69"/>
      <c r="K162" s="29"/>
      <c r="L162" s="67"/>
      <c r="M162" s="69"/>
      <c r="N162" s="29"/>
    </row>
    <row r="163" spans="1:14" x14ac:dyDescent="0.25">
      <c r="A163" s="25"/>
      <c r="B163" s="87"/>
      <c r="C163" s="104"/>
      <c r="D163" s="27" t="str">
        <f>IFERROR(IF(C163="No CAS","",INDEX('DEQ Pollutant List'!$C$7:$C$611,MATCH('5. Pollutant Emissions - MB'!C163,'DEQ Pollutant List'!$B$7:$B$611,0))),"")</f>
        <v/>
      </c>
      <c r="E163" s="13" t="str">
        <f>IFERROR(IF(OR($C163="",$C163="No CAS"),INDEX('DEQ Pollutant List'!$A$7:$A$611,MATCH($D163,'DEQ Pollutant List'!$C$7:$C$611,0)),INDEX('DEQ Pollutant List'!$A$7:$A$611,MATCH($C163,'DEQ Pollutant List'!$B$7:$B$611,0))),"")</f>
        <v/>
      </c>
      <c r="F163" s="105"/>
      <c r="G163" s="106"/>
      <c r="H163" s="68"/>
      <c r="I163" s="67"/>
      <c r="J163" s="69"/>
      <c r="K163" s="29"/>
      <c r="L163" s="67"/>
      <c r="M163" s="69"/>
      <c r="N163" s="29"/>
    </row>
    <row r="164" spans="1:14" x14ac:dyDescent="0.25">
      <c r="A164" s="25"/>
      <c r="B164" s="87"/>
      <c r="C164" s="104"/>
      <c r="D164" s="27" t="str">
        <f>IFERROR(IF(C164="No CAS","",INDEX('DEQ Pollutant List'!$C$7:$C$611,MATCH('5. Pollutant Emissions - MB'!C164,'DEQ Pollutant List'!$B$7:$B$611,0))),"")</f>
        <v/>
      </c>
      <c r="E164" s="13" t="str">
        <f>IFERROR(IF(OR($C164="",$C164="No CAS"),INDEX('DEQ Pollutant List'!$A$7:$A$611,MATCH($D164,'DEQ Pollutant List'!$C$7:$C$611,0)),INDEX('DEQ Pollutant List'!$A$7:$A$611,MATCH($C164,'DEQ Pollutant List'!$B$7:$B$611,0))),"")</f>
        <v/>
      </c>
      <c r="F164" s="105"/>
      <c r="G164" s="106"/>
      <c r="H164" s="68"/>
      <c r="I164" s="67"/>
      <c r="J164" s="69"/>
      <c r="K164" s="29"/>
      <c r="L164" s="67"/>
      <c r="M164" s="69"/>
      <c r="N164" s="29"/>
    </row>
    <row r="165" spans="1:14" x14ac:dyDescent="0.25">
      <c r="A165" s="25"/>
      <c r="B165" s="87"/>
      <c r="C165" s="104"/>
      <c r="D165" s="27" t="str">
        <f>IFERROR(IF(C165="No CAS","",INDEX('DEQ Pollutant List'!$C$7:$C$611,MATCH('5. Pollutant Emissions - MB'!C165,'DEQ Pollutant List'!$B$7:$B$611,0))),"")</f>
        <v/>
      </c>
      <c r="E165" s="13" t="str">
        <f>IFERROR(IF(OR($C165="",$C165="No CAS"),INDEX('DEQ Pollutant List'!$A$7:$A$611,MATCH($D165,'DEQ Pollutant List'!$C$7:$C$611,0)),INDEX('DEQ Pollutant List'!$A$7:$A$611,MATCH($C165,'DEQ Pollutant List'!$B$7:$B$611,0))),"")</f>
        <v/>
      </c>
      <c r="F165" s="105"/>
      <c r="G165" s="106"/>
      <c r="H165" s="68"/>
      <c r="I165" s="67"/>
      <c r="J165" s="69"/>
      <c r="K165" s="29"/>
      <c r="L165" s="67"/>
      <c r="M165" s="69"/>
      <c r="N165" s="29"/>
    </row>
    <row r="166" spans="1:14" x14ac:dyDescent="0.25">
      <c r="A166" s="25"/>
      <c r="B166" s="87"/>
      <c r="C166" s="104"/>
      <c r="D166" s="27" t="str">
        <f>IFERROR(IF(C166="No CAS","",INDEX('DEQ Pollutant List'!$C$7:$C$611,MATCH('5. Pollutant Emissions - MB'!C166,'DEQ Pollutant List'!$B$7:$B$611,0))),"")</f>
        <v/>
      </c>
      <c r="E166" s="13" t="str">
        <f>IFERROR(IF(OR($C166="",$C166="No CAS"),INDEX('DEQ Pollutant List'!$A$7:$A$611,MATCH($D166,'DEQ Pollutant List'!$C$7:$C$611,0)),INDEX('DEQ Pollutant List'!$A$7:$A$611,MATCH($C166,'DEQ Pollutant List'!$B$7:$B$611,0))),"")</f>
        <v/>
      </c>
      <c r="F166" s="105"/>
      <c r="G166" s="106"/>
      <c r="H166" s="68"/>
      <c r="I166" s="67"/>
      <c r="J166" s="69"/>
      <c r="K166" s="29"/>
      <c r="L166" s="67"/>
      <c r="M166" s="69"/>
      <c r="N166" s="29"/>
    </row>
    <row r="167" spans="1:14" x14ac:dyDescent="0.25">
      <c r="A167" s="25"/>
      <c r="B167" s="87"/>
      <c r="C167" s="104"/>
      <c r="D167" s="27" t="str">
        <f>IFERROR(IF(C167="No CAS","",INDEX('DEQ Pollutant List'!$C$7:$C$611,MATCH('5. Pollutant Emissions - MB'!C167,'DEQ Pollutant List'!$B$7:$B$611,0))),"")</f>
        <v/>
      </c>
      <c r="E167" s="13" t="str">
        <f>IFERROR(IF(OR($C167="",$C167="No CAS"),INDEX('DEQ Pollutant List'!$A$7:$A$611,MATCH($D167,'DEQ Pollutant List'!$C$7:$C$611,0)),INDEX('DEQ Pollutant List'!$A$7:$A$611,MATCH($C167,'DEQ Pollutant List'!$B$7:$B$611,0))),"")</f>
        <v/>
      </c>
      <c r="F167" s="105"/>
      <c r="G167" s="106"/>
      <c r="H167" s="68"/>
      <c r="I167" s="67"/>
      <c r="J167" s="69"/>
      <c r="K167" s="29"/>
      <c r="L167" s="67"/>
      <c r="M167" s="69"/>
      <c r="N167" s="29"/>
    </row>
    <row r="168" spans="1:14" x14ac:dyDescent="0.25">
      <c r="A168" s="25"/>
      <c r="B168" s="87"/>
      <c r="C168" s="104"/>
      <c r="D168" s="27" t="str">
        <f>IFERROR(IF(C168="No CAS","",INDEX('DEQ Pollutant List'!$C$7:$C$611,MATCH('5. Pollutant Emissions - MB'!C168,'DEQ Pollutant List'!$B$7:$B$611,0))),"")</f>
        <v/>
      </c>
      <c r="E168" s="13" t="str">
        <f>IFERROR(IF(OR($C168="",$C168="No CAS"),INDEX('DEQ Pollutant List'!$A$7:$A$611,MATCH($D168,'DEQ Pollutant List'!$C$7:$C$611,0)),INDEX('DEQ Pollutant List'!$A$7:$A$611,MATCH($C168,'DEQ Pollutant List'!$B$7:$B$611,0))),"")</f>
        <v/>
      </c>
      <c r="F168" s="105"/>
      <c r="G168" s="106"/>
      <c r="H168" s="68"/>
      <c r="I168" s="67"/>
      <c r="J168" s="69"/>
      <c r="K168" s="29"/>
      <c r="L168" s="67"/>
      <c r="M168" s="69"/>
      <c r="N168" s="29"/>
    </row>
    <row r="169" spans="1:14" x14ac:dyDescent="0.25">
      <c r="A169" s="25"/>
      <c r="B169" s="87"/>
      <c r="C169" s="104"/>
      <c r="D169" s="27" t="str">
        <f>IFERROR(IF(C169="No CAS","",INDEX('DEQ Pollutant List'!$C$7:$C$611,MATCH('5. Pollutant Emissions - MB'!C169,'DEQ Pollutant List'!$B$7:$B$611,0))),"")</f>
        <v/>
      </c>
      <c r="E169" s="13" t="str">
        <f>IFERROR(IF(OR($C169="",$C169="No CAS"),INDEX('DEQ Pollutant List'!$A$7:$A$611,MATCH($D169,'DEQ Pollutant List'!$C$7:$C$611,0)),INDEX('DEQ Pollutant List'!$A$7:$A$611,MATCH($C169,'DEQ Pollutant List'!$B$7:$B$611,0))),"")</f>
        <v/>
      </c>
      <c r="F169" s="105"/>
      <c r="G169" s="106"/>
      <c r="H169" s="68"/>
      <c r="I169" s="67"/>
      <c r="J169" s="69"/>
      <c r="K169" s="29"/>
      <c r="L169" s="67"/>
      <c r="M169" s="69"/>
      <c r="N169" s="29"/>
    </row>
    <row r="170" spans="1:14" x14ac:dyDescent="0.25">
      <c r="A170" s="25"/>
      <c r="B170" s="87"/>
      <c r="C170" s="104"/>
      <c r="D170" s="27" t="str">
        <f>IFERROR(IF(C170="No CAS","",INDEX('DEQ Pollutant List'!$C$7:$C$611,MATCH('5. Pollutant Emissions - MB'!C170,'DEQ Pollutant List'!$B$7:$B$611,0))),"")</f>
        <v/>
      </c>
      <c r="E170" s="13" t="str">
        <f>IFERROR(IF(OR($C170="",$C170="No CAS"),INDEX('DEQ Pollutant List'!$A$7:$A$611,MATCH($D170,'DEQ Pollutant List'!$C$7:$C$611,0)),INDEX('DEQ Pollutant List'!$A$7:$A$611,MATCH($C170,'DEQ Pollutant List'!$B$7:$B$611,0))),"")</f>
        <v/>
      </c>
      <c r="F170" s="105"/>
      <c r="G170" s="106"/>
      <c r="H170" s="68"/>
      <c r="I170" s="67"/>
      <c r="J170" s="69"/>
      <c r="K170" s="29"/>
      <c r="L170" s="67"/>
      <c r="M170" s="69"/>
      <c r="N170" s="29"/>
    </row>
    <row r="171" spans="1:14" x14ac:dyDescent="0.25">
      <c r="A171" s="25"/>
      <c r="B171" s="87"/>
      <c r="C171" s="104"/>
      <c r="D171" s="27" t="str">
        <f>IFERROR(IF(C171="No CAS","",INDEX('DEQ Pollutant List'!$C$7:$C$611,MATCH('5. Pollutant Emissions - MB'!C171,'DEQ Pollutant List'!$B$7:$B$611,0))),"")</f>
        <v/>
      </c>
      <c r="E171" s="13" t="str">
        <f>IFERROR(IF(OR($C171="",$C171="No CAS"),INDEX('DEQ Pollutant List'!$A$7:$A$611,MATCH($D171,'DEQ Pollutant List'!$C$7:$C$611,0)),INDEX('DEQ Pollutant List'!$A$7:$A$611,MATCH($C171,'DEQ Pollutant List'!$B$7:$B$611,0))),"")</f>
        <v/>
      </c>
      <c r="F171" s="105"/>
      <c r="G171" s="106"/>
      <c r="H171" s="68"/>
      <c r="I171" s="67"/>
      <c r="J171" s="69"/>
      <c r="K171" s="29"/>
      <c r="L171" s="67"/>
      <c r="M171" s="69"/>
      <c r="N171" s="29"/>
    </row>
    <row r="172" spans="1:14" x14ac:dyDescent="0.25">
      <c r="A172" s="25"/>
      <c r="B172" s="87"/>
      <c r="C172" s="104"/>
      <c r="D172" s="27" t="str">
        <f>IFERROR(IF(C172="No CAS","",INDEX('DEQ Pollutant List'!$C$7:$C$611,MATCH('5. Pollutant Emissions - MB'!C172,'DEQ Pollutant List'!$B$7:$B$611,0))),"")</f>
        <v/>
      </c>
      <c r="E172" s="13" t="str">
        <f>IFERROR(IF(OR($C172="",$C172="No CAS"),INDEX('DEQ Pollutant List'!$A$7:$A$611,MATCH($D172,'DEQ Pollutant List'!$C$7:$C$611,0)),INDEX('DEQ Pollutant List'!$A$7:$A$611,MATCH($C172,'DEQ Pollutant List'!$B$7:$B$611,0))),"")</f>
        <v/>
      </c>
      <c r="F172" s="105"/>
      <c r="G172" s="106"/>
      <c r="H172" s="68"/>
      <c r="I172" s="67"/>
      <c r="J172" s="69"/>
      <c r="K172" s="29"/>
      <c r="L172" s="67"/>
      <c r="M172" s="69"/>
      <c r="N172" s="29"/>
    </row>
    <row r="173" spans="1:14" x14ac:dyDescent="0.25">
      <c r="A173" s="25"/>
      <c r="B173" s="87"/>
      <c r="C173" s="104"/>
      <c r="D173" s="27" t="str">
        <f>IFERROR(IF(C173="No CAS","",INDEX('DEQ Pollutant List'!$C$7:$C$611,MATCH('5. Pollutant Emissions - MB'!C173,'DEQ Pollutant List'!$B$7:$B$611,0))),"")</f>
        <v/>
      </c>
      <c r="E173" s="13" t="str">
        <f>IFERROR(IF(OR($C173="",$C173="No CAS"),INDEX('DEQ Pollutant List'!$A$7:$A$611,MATCH($D173,'DEQ Pollutant List'!$C$7:$C$611,0)),INDEX('DEQ Pollutant List'!$A$7:$A$611,MATCH($C173,'DEQ Pollutant List'!$B$7:$B$611,0))),"")</f>
        <v/>
      </c>
      <c r="F173" s="105"/>
      <c r="G173" s="106"/>
      <c r="H173" s="68"/>
      <c r="I173" s="67"/>
      <c r="J173" s="69"/>
      <c r="K173" s="29"/>
      <c r="L173" s="67"/>
      <c r="M173" s="69"/>
      <c r="N173" s="29"/>
    </row>
    <row r="174" spans="1:14" x14ac:dyDescent="0.25">
      <c r="A174" s="25"/>
      <c r="B174" s="87"/>
      <c r="C174" s="104"/>
      <c r="D174" s="27" t="str">
        <f>IFERROR(IF(C174="No CAS","",INDEX('DEQ Pollutant List'!$C$7:$C$611,MATCH('5. Pollutant Emissions - MB'!C174,'DEQ Pollutant List'!$B$7:$B$611,0))),"")</f>
        <v/>
      </c>
      <c r="E174" s="13" t="str">
        <f>IFERROR(IF(OR($C174="",$C174="No CAS"),INDEX('DEQ Pollutant List'!$A$7:$A$611,MATCH($D174,'DEQ Pollutant List'!$C$7:$C$611,0)),INDEX('DEQ Pollutant List'!$A$7:$A$611,MATCH($C174,'DEQ Pollutant List'!$B$7:$B$611,0))),"")</f>
        <v/>
      </c>
      <c r="F174" s="105"/>
      <c r="G174" s="106"/>
      <c r="H174" s="68"/>
      <c r="I174" s="67"/>
      <c r="J174" s="69"/>
      <c r="K174" s="29"/>
      <c r="L174" s="67"/>
      <c r="M174" s="69"/>
      <c r="N174" s="29"/>
    </row>
    <row r="175" spans="1:14" x14ac:dyDescent="0.25">
      <c r="A175" s="25"/>
      <c r="B175" s="87"/>
      <c r="C175" s="104"/>
      <c r="D175" s="27" t="str">
        <f>IFERROR(IF(C175="No CAS","",INDEX('DEQ Pollutant List'!$C$7:$C$611,MATCH('5. Pollutant Emissions - MB'!C175,'DEQ Pollutant List'!$B$7:$B$611,0))),"")</f>
        <v/>
      </c>
      <c r="E175" s="13" t="str">
        <f>IFERROR(IF(OR($C175="",$C175="No CAS"),INDEX('DEQ Pollutant List'!$A$7:$A$611,MATCH($D175,'DEQ Pollutant List'!$C$7:$C$611,0)),INDEX('DEQ Pollutant List'!$A$7:$A$611,MATCH($C175,'DEQ Pollutant List'!$B$7:$B$611,0))),"")</f>
        <v/>
      </c>
      <c r="F175" s="105"/>
      <c r="G175" s="106"/>
      <c r="H175" s="68"/>
      <c r="I175" s="67"/>
      <c r="J175" s="69"/>
      <c r="K175" s="29"/>
      <c r="L175" s="67"/>
      <c r="M175" s="69"/>
      <c r="N175" s="29"/>
    </row>
    <row r="176" spans="1:14" x14ac:dyDescent="0.25">
      <c r="A176" s="25"/>
      <c r="B176" s="87"/>
      <c r="C176" s="104"/>
      <c r="D176" s="27" t="str">
        <f>IFERROR(IF(C176="No CAS","",INDEX('DEQ Pollutant List'!$C$7:$C$611,MATCH('5. Pollutant Emissions - MB'!C176,'DEQ Pollutant List'!$B$7:$B$611,0))),"")</f>
        <v/>
      </c>
      <c r="E176" s="13" t="str">
        <f>IFERROR(IF(OR($C176="",$C176="No CAS"),INDEX('DEQ Pollutant List'!$A$7:$A$611,MATCH($D176,'DEQ Pollutant List'!$C$7:$C$611,0)),INDEX('DEQ Pollutant List'!$A$7:$A$611,MATCH($C176,'DEQ Pollutant List'!$B$7:$B$611,0))),"")</f>
        <v/>
      </c>
      <c r="F176" s="105"/>
      <c r="G176" s="106"/>
      <c r="H176" s="68"/>
      <c r="I176" s="67"/>
      <c r="J176" s="69"/>
      <c r="K176" s="29"/>
      <c r="L176" s="67"/>
      <c r="M176" s="69"/>
      <c r="N176" s="29"/>
    </row>
    <row r="177" spans="1:14" x14ac:dyDescent="0.25">
      <c r="A177" s="25"/>
      <c r="B177" s="87"/>
      <c r="C177" s="104"/>
      <c r="D177" s="27" t="str">
        <f>IFERROR(IF(C177="No CAS","",INDEX('DEQ Pollutant List'!$C$7:$C$611,MATCH('5. Pollutant Emissions - MB'!C177,'DEQ Pollutant List'!$B$7:$B$611,0))),"")</f>
        <v/>
      </c>
      <c r="E177" s="13" t="str">
        <f>IFERROR(IF(OR($C177="",$C177="No CAS"),INDEX('DEQ Pollutant List'!$A$7:$A$611,MATCH($D177,'DEQ Pollutant List'!$C$7:$C$611,0)),INDEX('DEQ Pollutant List'!$A$7:$A$611,MATCH($C177,'DEQ Pollutant List'!$B$7:$B$611,0))),"")</f>
        <v/>
      </c>
      <c r="F177" s="105"/>
      <c r="G177" s="106"/>
      <c r="H177" s="68"/>
      <c r="I177" s="67"/>
      <c r="J177" s="69"/>
      <c r="K177" s="29"/>
      <c r="L177" s="67"/>
      <c r="M177" s="69"/>
      <c r="N177" s="29"/>
    </row>
    <row r="178" spans="1:14" x14ac:dyDescent="0.25">
      <c r="A178" s="25"/>
      <c r="B178" s="87"/>
      <c r="C178" s="104"/>
      <c r="D178" s="27" t="str">
        <f>IFERROR(IF(C178="No CAS","",INDEX('DEQ Pollutant List'!$C$7:$C$611,MATCH('5. Pollutant Emissions - MB'!C178,'DEQ Pollutant List'!$B$7:$B$611,0))),"")</f>
        <v/>
      </c>
      <c r="E178" s="13" t="str">
        <f>IFERROR(IF(OR($C178="",$C178="No CAS"),INDEX('DEQ Pollutant List'!$A$7:$A$611,MATCH($D178,'DEQ Pollutant List'!$C$7:$C$611,0)),INDEX('DEQ Pollutant List'!$A$7:$A$611,MATCH($C178,'DEQ Pollutant List'!$B$7:$B$611,0))),"")</f>
        <v/>
      </c>
      <c r="F178" s="105"/>
      <c r="G178" s="106"/>
      <c r="H178" s="68"/>
      <c r="I178" s="67"/>
      <c r="J178" s="69"/>
      <c r="K178" s="29"/>
      <c r="L178" s="67"/>
      <c r="M178" s="69"/>
      <c r="N178" s="29"/>
    </row>
    <row r="179" spans="1:14" x14ac:dyDescent="0.25">
      <c r="A179" s="25"/>
      <c r="B179" s="87"/>
      <c r="C179" s="104"/>
      <c r="D179" s="27" t="str">
        <f>IFERROR(IF(C179="No CAS","",INDEX('DEQ Pollutant List'!$C$7:$C$611,MATCH('5. Pollutant Emissions - MB'!C179,'DEQ Pollutant List'!$B$7:$B$611,0))),"")</f>
        <v/>
      </c>
      <c r="E179" s="13" t="str">
        <f>IFERROR(IF(OR($C179="",$C179="No CAS"),INDEX('DEQ Pollutant List'!$A$7:$A$611,MATCH($D179,'DEQ Pollutant List'!$C$7:$C$611,0)),INDEX('DEQ Pollutant List'!$A$7:$A$611,MATCH($C179,'DEQ Pollutant List'!$B$7:$B$611,0))),"")</f>
        <v/>
      </c>
      <c r="F179" s="105"/>
      <c r="G179" s="106"/>
      <c r="H179" s="68"/>
      <c r="I179" s="67"/>
      <c r="J179" s="69"/>
      <c r="K179" s="29"/>
      <c r="L179" s="67"/>
      <c r="M179" s="69"/>
      <c r="N179" s="29"/>
    </row>
    <row r="180" spans="1:14" x14ac:dyDescent="0.25">
      <c r="A180" s="25"/>
      <c r="B180" s="87"/>
      <c r="C180" s="104"/>
      <c r="D180" s="27" t="str">
        <f>IFERROR(IF(C180="No CAS","",INDEX('DEQ Pollutant List'!$C$7:$C$611,MATCH('5. Pollutant Emissions - MB'!C180,'DEQ Pollutant List'!$B$7:$B$611,0))),"")</f>
        <v/>
      </c>
      <c r="E180" s="13" t="str">
        <f>IFERROR(IF(OR($C180="",$C180="No CAS"),INDEX('DEQ Pollutant List'!$A$7:$A$611,MATCH($D180,'DEQ Pollutant List'!$C$7:$C$611,0)),INDEX('DEQ Pollutant List'!$A$7:$A$611,MATCH($C180,'DEQ Pollutant List'!$B$7:$B$611,0))),"")</f>
        <v/>
      </c>
      <c r="F180" s="105"/>
      <c r="G180" s="106"/>
      <c r="H180" s="68"/>
      <c r="I180" s="67"/>
      <c r="J180" s="69"/>
      <c r="K180" s="29"/>
      <c r="L180" s="67"/>
      <c r="M180" s="69"/>
      <c r="N180" s="29"/>
    </row>
    <row r="181" spans="1:14" x14ac:dyDescent="0.25">
      <c r="A181" s="25"/>
      <c r="B181" s="87"/>
      <c r="C181" s="104"/>
      <c r="D181" s="27" t="str">
        <f>IFERROR(IF(C181="No CAS","",INDEX('DEQ Pollutant List'!$C$7:$C$611,MATCH('5. Pollutant Emissions - MB'!C181,'DEQ Pollutant List'!$B$7:$B$611,0))),"")</f>
        <v/>
      </c>
      <c r="E181" s="13" t="str">
        <f>IFERROR(IF(OR($C181="",$C181="No CAS"),INDEX('DEQ Pollutant List'!$A$7:$A$611,MATCH($D181,'DEQ Pollutant List'!$C$7:$C$611,0)),INDEX('DEQ Pollutant List'!$A$7:$A$611,MATCH($C181,'DEQ Pollutant List'!$B$7:$B$611,0))),"")</f>
        <v/>
      </c>
      <c r="F181" s="105"/>
      <c r="G181" s="106"/>
      <c r="H181" s="68"/>
      <c r="I181" s="67"/>
      <c r="J181" s="69"/>
      <c r="K181" s="29"/>
      <c r="L181" s="67"/>
      <c r="M181" s="69"/>
      <c r="N181" s="29"/>
    </row>
    <row r="182" spans="1:14" x14ac:dyDescent="0.25">
      <c r="A182" s="25"/>
      <c r="B182" s="87"/>
      <c r="C182" s="104"/>
      <c r="D182" s="27" t="str">
        <f>IFERROR(IF(C182="No CAS","",INDEX('DEQ Pollutant List'!$C$7:$C$611,MATCH('5. Pollutant Emissions - MB'!C182,'DEQ Pollutant List'!$B$7:$B$611,0))),"")</f>
        <v/>
      </c>
      <c r="E182" s="13" t="str">
        <f>IFERROR(IF(OR($C182="",$C182="No CAS"),INDEX('DEQ Pollutant List'!$A$7:$A$611,MATCH($D182,'DEQ Pollutant List'!$C$7:$C$611,0)),INDEX('DEQ Pollutant List'!$A$7:$A$611,MATCH($C182,'DEQ Pollutant List'!$B$7:$B$611,0))),"")</f>
        <v/>
      </c>
      <c r="F182" s="105"/>
      <c r="G182" s="106"/>
      <c r="H182" s="68"/>
      <c r="I182" s="67"/>
      <c r="J182" s="69"/>
      <c r="K182" s="29"/>
      <c r="L182" s="67"/>
      <c r="M182" s="69"/>
      <c r="N182" s="29"/>
    </row>
    <row r="183" spans="1:14" x14ac:dyDescent="0.25">
      <c r="A183" s="25"/>
      <c r="B183" s="87"/>
      <c r="C183" s="104"/>
      <c r="D183" s="27" t="str">
        <f>IFERROR(IF(C183="No CAS","",INDEX('DEQ Pollutant List'!$C$7:$C$611,MATCH('5. Pollutant Emissions - MB'!C183,'DEQ Pollutant List'!$B$7:$B$611,0))),"")</f>
        <v/>
      </c>
      <c r="E183" s="13" t="str">
        <f>IFERROR(IF(OR($C183="",$C183="No CAS"),INDEX('DEQ Pollutant List'!$A$7:$A$611,MATCH($D183,'DEQ Pollutant List'!$C$7:$C$611,0)),INDEX('DEQ Pollutant List'!$A$7:$A$611,MATCH($C183,'DEQ Pollutant List'!$B$7:$B$611,0))),"")</f>
        <v/>
      </c>
      <c r="F183" s="105"/>
      <c r="G183" s="106"/>
      <c r="H183" s="68"/>
      <c r="I183" s="67"/>
      <c r="J183" s="69"/>
      <c r="K183" s="29"/>
      <c r="L183" s="67"/>
      <c r="M183" s="69"/>
      <c r="N183" s="29"/>
    </row>
    <row r="184" spans="1:14" x14ac:dyDescent="0.25">
      <c r="A184" s="25"/>
      <c r="B184" s="87"/>
      <c r="C184" s="104"/>
      <c r="D184" s="27" t="str">
        <f>IFERROR(IF(C184="No CAS","",INDEX('DEQ Pollutant List'!$C$7:$C$611,MATCH('5. Pollutant Emissions - MB'!C184,'DEQ Pollutant List'!$B$7:$B$611,0))),"")</f>
        <v/>
      </c>
      <c r="E184" s="13" t="str">
        <f>IFERROR(IF(OR($C184="",$C184="No CAS"),INDEX('DEQ Pollutant List'!$A$7:$A$611,MATCH($D184,'DEQ Pollutant List'!$C$7:$C$611,0)),INDEX('DEQ Pollutant List'!$A$7:$A$611,MATCH($C184,'DEQ Pollutant List'!$B$7:$B$611,0))),"")</f>
        <v/>
      </c>
      <c r="F184" s="105"/>
      <c r="G184" s="106"/>
      <c r="H184" s="68"/>
      <c r="I184" s="67"/>
      <c r="J184" s="69"/>
      <c r="K184" s="29"/>
      <c r="L184" s="67"/>
      <c r="M184" s="69"/>
      <c r="N184" s="29"/>
    </row>
    <row r="185" spans="1:14" x14ac:dyDescent="0.25">
      <c r="A185" s="25"/>
      <c r="B185" s="87"/>
      <c r="C185" s="104"/>
      <c r="D185" s="27" t="str">
        <f>IFERROR(IF(C185="No CAS","",INDEX('DEQ Pollutant List'!$C$7:$C$611,MATCH('5. Pollutant Emissions - MB'!C185,'DEQ Pollutant List'!$B$7:$B$611,0))),"")</f>
        <v/>
      </c>
      <c r="E185" s="13" t="str">
        <f>IFERROR(IF(OR($C185="",$C185="No CAS"),INDEX('DEQ Pollutant List'!$A$7:$A$611,MATCH($D185,'DEQ Pollutant List'!$C$7:$C$611,0)),INDEX('DEQ Pollutant List'!$A$7:$A$611,MATCH($C185,'DEQ Pollutant List'!$B$7:$B$611,0))),"")</f>
        <v/>
      </c>
      <c r="F185" s="105"/>
      <c r="G185" s="106"/>
      <c r="H185" s="68"/>
      <c r="I185" s="67"/>
      <c r="J185" s="69"/>
      <c r="K185" s="29"/>
      <c r="L185" s="67"/>
      <c r="M185" s="69"/>
      <c r="N185" s="29"/>
    </row>
    <row r="186" spans="1:14" x14ac:dyDescent="0.25">
      <c r="A186" s="25"/>
      <c r="B186" s="87"/>
      <c r="C186" s="104"/>
      <c r="D186" s="27" t="str">
        <f>IFERROR(IF(C186="No CAS","",INDEX('DEQ Pollutant List'!$C$7:$C$611,MATCH('5. Pollutant Emissions - MB'!C186,'DEQ Pollutant List'!$B$7:$B$611,0))),"")</f>
        <v/>
      </c>
      <c r="E186" s="13" t="str">
        <f>IFERROR(IF(OR($C186="",$C186="No CAS"),INDEX('DEQ Pollutant List'!$A$7:$A$611,MATCH($D186,'DEQ Pollutant List'!$C$7:$C$611,0)),INDEX('DEQ Pollutant List'!$A$7:$A$611,MATCH($C186,'DEQ Pollutant List'!$B$7:$B$611,0))),"")</f>
        <v/>
      </c>
      <c r="F186" s="105"/>
      <c r="G186" s="106"/>
      <c r="H186" s="68"/>
      <c r="I186" s="67"/>
      <c r="J186" s="69"/>
      <c r="K186" s="29"/>
      <c r="L186" s="67"/>
      <c r="M186" s="69"/>
      <c r="N186" s="29"/>
    </row>
    <row r="187" spans="1:14" x14ac:dyDescent="0.25">
      <c r="A187" s="25"/>
      <c r="B187" s="87"/>
      <c r="C187" s="104"/>
      <c r="D187" s="27" t="str">
        <f>IFERROR(IF(C187="No CAS","",INDEX('DEQ Pollutant List'!$C$7:$C$611,MATCH('5. Pollutant Emissions - MB'!C187,'DEQ Pollutant List'!$B$7:$B$611,0))),"")</f>
        <v/>
      </c>
      <c r="E187" s="13" t="str">
        <f>IFERROR(IF(OR($C187="",$C187="No CAS"),INDEX('DEQ Pollutant List'!$A$7:$A$611,MATCH($D187,'DEQ Pollutant List'!$C$7:$C$611,0)),INDEX('DEQ Pollutant List'!$A$7:$A$611,MATCH($C187,'DEQ Pollutant List'!$B$7:$B$611,0))),"")</f>
        <v/>
      </c>
      <c r="F187" s="105"/>
      <c r="G187" s="106"/>
      <c r="H187" s="68"/>
      <c r="I187" s="67"/>
      <c r="J187" s="69"/>
      <c r="K187" s="29"/>
      <c r="L187" s="67"/>
      <c r="M187" s="69"/>
      <c r="N187" s="29"/>
    </row>
    <row r="188" spans="1:14" x14ac:dyDescent="0.25">
      <c r="A188" s="25"/>
      <c r="B188" s="87"/>
      <c r="C188" s="104"/>
      <c r="D188" s="27" t="str">
        <f>IFERROR(IF(C188="No CAS","",INDEX('DEQ Pollutant List'!$C$7:$C$611,MATCH('5. Pollutant Emissions - MB'!C188,'DEQ Pollutant List'!$B$7:$B$611,0))),"")</f>
        <v/>
      </c>
      <c r="E188" s="13" t="str">
        <f>IFERROR(IF(OR($C188="",$C188="No CAS"),INDEX('DEQ Pollutant List'!$A$7:$A$611,MATCH($D188,'DEQ Pollutant List'!$C$7:$C$611,0)),INDEX('DEQ Pollutant List'!$A$7:$A$611,MATCH($C188,'DEQ Pollutant List'!$B$7:$B$611,0))),"")</f>
        <v/>
      </c>
      <c r="F188" s="105"/>
      <c r="G188" s="106"/>
      <c r="H188" s="68"/>
      <c r="I188" s="67"/>
      <c r="J188" s="69"/>
      <c r="K188" s="29"/>
      <c r="L188" s="67"/>
      <c r="M188" s="69"/>
      <c r="N188" s="29"/>
    </row>
    <row r="189" spans="1:14" x14ac:dyDescent="0.25">
      <c r="A189" s="25"/>
      <c r="B189" s="87"/>
      <c r="C189" s="104"/>
      <c r="D189" s="27" t="str">
        <f>IFERROR(IF(C189="No CAS","",INDEX('DEQ Pollutant List'!$C$7:$C$611,MATCH('5. Pollutant Emissions - MB'!C189,'DEQ Pollutant List'!$B$7:$B$611,0))),"")</f>
        <v/>
      </c>
      <c r="E189" s="13" t="str">
        <f>IFERROR(IF(OR($C189="",$C189="No CAS"),INDEX('DEQ Pollutant List'!$A$7:$A$611,MATCH($D189,'DEQ Pollutant List'!$C$7:$C$611,0)),INDEX('DEQ Pollutant List'!$A$7:$A$611,MATCH($C189,'DEQ Pollutant List'!$B$7:$B$611,0))),"")</f>
        <v/>
      </c>
      <c r="F189" s="105"/>
      <c r="G189" s="106"/>
      <c r="H189" s="68"/>
      <c r="I189" s="67"/>
      <c r="J189" s="69"/>
      <c r="K189" s="29"/>
      <c r="L189" s="67"/>
      <c r="M189" s="69"/>
      <c r="N189" s="29"/>
    </row>
    <row r="190" spans="1:14" x14ac:dyDescent="0.25">
      <c r="A190" s="25"/>
      <c r="B190" s="87"/>
      <c r="C190" s="104"/>
      <c r="D190" s="27" t="str">
        <f>IFERROR(IF(C190="No CAS","",INDEX('DEQ Pollutant List'!$C$7:$C$611,MATCH('5. Pollutant Emissions - MB'!C190,'DEQ Pollutant List'!$B$7:$B$611,0))),"")</f>
        <v/>
      </c>
      <c r="E190" s="13" t="str">
        <f>IFERROR(IF(OR($C190="",$C190="No CAS"),INDEX('DEQ Pollutant List'!$A$7:$A$611,MATCH($D190,'DEQ Pollutant List'!$C$7:$C$611,0)),INDEX('DEQ Pollutant List'!$A$7:$A$611,MATCH($C190,'DEQ Pollutant List'!$B$7:$B$611,0))),"")</f>
        <v/>
      </c>
      <c r="F190" s="105"/>
      <c r="G190" s="106"/>
      <c r="H190" s="68"/>
      <c r="I190" s="67"/>
      <c r="J190" s="69"/>
      <c r="K190" s="29"/>
      <c r="L190" s="67"/>
      <c r="M190" s="69"/>
      <c r="N190" s="29"/>
    </row>
    <row r="191" spans="1:14" x14ac:dyDescent="0.25">
      <c r="A191" s="25"/>
      <c r="B191" s="87"/>
      <c r="C191" s="104"/>
      <c r="D191" s="27" t="str">
        <f>IFERROR(IF(C191="No CAS","",INDEX('DEQ Pollutant List'!$C$7:$C$611,MATCH('5. Pollutant Emissions - MB'!C191,'DEQ Pollutant List'!$B$7:$B$611,0))),"")</f>
        <v/>
      </c>
      <c r="E191" s="13" t="str">
        <f>IFERROR(IF(OR($C191="",$C191="No CAS"),INDEX('DEQ Pollutant List'!$A$7:$A$611,MATCH($D191,'DEQ Pollutant List'!$C$7:$C$611,0)),INDEX('DEQ Pollutant List'!$A$7:$A$611,MATCH($C191,'DEQ Pollutant List'!$B$7:$B$611,0))),"")</f>
        <v/>
      </c>
      <c r="F191" s="105"/>
      <c r="G191" s="106"/>
      <c r="H191" s="68"/>
      <c r="I191" s="67"/>
      <c r="J191" s="69"/>
      <c r="K191" s="29"/>
      <c r="L191" s="67"/>
      <c r="M191" s="69"/>
      <c r="N191" s="29"/>
    </row>
    <row r="192" spans="1:14" x14ac:dyDescent="0.25">
      <c r="A192" s="25"/>
      <c r="B192" s="87"/>
      <c r="C192" s="104"/>
      <c r="D192" s="27" t="str">
        <f>IFERROR(IF(C192="No CAS","",INDEX('DEQ Pollutant List'!$C$7:$C$611,MATCH('5. Pollutant Emissions - MB'!C192,'DEQ Pollutant List'!$B$7:$B$611,0))),"")</f>
        <v/>
      </c>
      <c r="E192" s="13" t="str">
        <f>IFERROR(IF(OR($C192="",$C192="No CAS"),INDEX('DEQ Pollutant List'!$A$7:$A$611,MATCH($D192,'DEQ Pollutant List'!$C$7:$C$611,0)),INDEX('DEQ Pollutant List'!$A$7:$A$611,MATCH($C192,'DEQ Pollutant List'!$B$7:$B$611,0))),"")</f>
        <v/>
      </c>
      <c r="F192" s="105"/>
      <c r="G192" s="106"/>
      <c r="H192" s="68"/>
      <c r="I192" s="67"/>
      <c r="J192" s="69"/>
      <c r="K192" s="29"/>
      <c r="L192" s="67"/>
      <c r="M192" s="69"/>
      <c r="N192" s="29"/>
    </row>
    <row r="193" spans="1:14" x14ac:dyDescent="0.25">
      <c r="A193" s="25"/>
      <c r="B193" s="87"/>
      <c r="C193" s="104"/>
      <c r="D193" s="27" t="str">
        <f>IFERROR(IF(C193="No CAS","",INDEX('DEQ Pollutant List'!$C$7:$C$611,MATCH('5. Pollutant Emissions - MB'!C193,'DEQ Pollutant List'!$B$7:$B$611,0))),"")</f>
        <v/>
      </c>
      <c r="E193" s="13" t="str">
        <f>IFERROR(IF(OR($C193="",$C193="No CAS"),INDEX('DEQ Pollutant List'!$A$7:$A$611,MATCH($D193,'DEQ Pollutant List'!$C$7:$C$611,0)),INDEX('DEQ Pollutant List'!$A$7:$A$611,MATCH($C193,'DEQ Pollutant List'!$B$7:$B$611,0))),"")</f>
        <v/>
      </c>
      <c r="F193" s="105"/>
      <c r="G193" s="106"/>
      <c r="H193" s="68"/>
      <c r="I193" s="67"/>
      <c r="J193" s="69"/>
      <c r="K193" s="29"/>
      <c r="L193" s="67"/>
      <c r="M193" s="69"/>
      <c r="N193" s="29"/>
    </row>
    <row r="194" spans="1:14" x14ac:dyDescent="0.25">
      <c r="A194" s="25"/>
      <c r="B194" s="87"/>
      <c r="C194" s="104"/>
      <c r="D194" s="27" t="str">
        <f>IFERROR(IF(C194="No CAS","",INDEX('DEQ Pollutant List'!$C$7:$C$611,MATCH('5. Pollutant Emissions - MB'!C194,'DEQ Pollutant List'!$B$7:$B$611,0))),"")</f>
        <v/>
      </c>
      <c r="E194" s="13" t="str">
        <f>IFERROR(IF(OR($C194="",$C194="No CAS"),INDEX('DEQ Pollutant List'!$A$7:$A$611,MATCH($D194,'DEQ Pollutant List'!$C$7:$C$611,0)),INDEX('DEQ Pollutant List'!$A$7:$A$611,MATCH($C194,'DEQ Pollutant List'!$B$7:$B$611,0))),"")</f>
        <v/>
      </c>
      <c r="F194" s="105"/>
      <c r="G194" s="106"/>
      <c r="H194" s="68"/>
      <c r="I194" s="67"/>
      <c r="J194" s="69"/>
      <c r="K194" s="29"/>
      <c r="L194" s="67"/>
      <c r="M194" s="69"/>
      <c r="N194" s="29"/>
    </row>
    <row r="195" spans="1:14" x14ac:dyDescent="0.25">
      <c r="A195" s="25"/>
      <c r="B195" s="87"/>
      <c r="C195" s="104"/>
      <c r="D195" s="27" t="str">
        <f>IFERROR(IF(C195="No CAS","",INDEX('DEQ Pollutant List'!$C$7:$C$611,MATCH('5. Pollutant Emissions - MB'!C195,'DEQ Pollutant List'!$B$7:$B$611,0))),"")</f>
        <v/>
      </c>
      <c r="E195" s="13" t="str">
        <f>IFERROR(IF(OR($C195="",$C195="No CAS"),INDEX('DEQ Pollutant List'!$A$7:$A$611,MATCH($D195,'DEQ Pollutant List'!$C$7:$C$611,0)),INDEX('DEQ Pollutant List'!$A$7:$A$611,MATCH($C195,'DEQ Pollutant List'!$B$7:$B$611,0))),"")</f>
        <v/>
      </c>
      <c r="F195" s="105"/>
      <c r="G195" s="106"/>
      <c r="H195" s="68"/>
      <c r="I195" s="67"/>
      <c r="J195" s="69"/>
      <c r="K195" s="29"/>
      <c r="L195" s="67"/>
      <c r="M195" s="69"/>
      <c r="N195" s="29"/>
    </row>
    <row r="196" spans="1:14" x14ac:dyDescent="0.25">
      <c r="A196" s="25"/>
      <c r="B196" s="87"/>
      <c r="C196" s="104"/>
      <c r="D196" s="27" t="str">
        <f>IFERROR(IF(C196="No CAS","",INDEX('DEQ Pollutant List'!$C$7:$C$611,MATCH('5. Pollutant Emissions - MB'!C196,'DEQ Pollutant List'!$B$7:$B$611,0))),"")</f>
        <v/>
      </c>
      <c r="E196" s="13" t="str">
        <f>IFERROR(IF(OR($C196="",$C196="No CAS"),INDEX('DEQ Pollutant List'!$A$7:$A$611,MATCH($D196,'DEQ Pollutant List'!$C$7:$C$611,0)),INDEX('DEQ Pollutant List'!$A$7:$A$611,MATCH($C196,'DEQ Pollutant List'!$B$7:$B$611,0))),"")</f>
        <v/>
      </c>
      <c r="F196" s="105"/>
      <c r="G196" s="106"/>
      <c r="H196" s="68"/>
      <c r="I196" s="67"/>
      <c r="J196" s="69"/>
      <c r="K196" s="29"/>
      <c r="L196" s="67"/>
      <c r="M196" s="69"/>
      <c r="N196" s="29"/>
    </row>
    <row r="197" spans="1:14" x14ac:dyDescent="0.25">
      <c r="A197" s="25"/>
      <c r="B197" s="87"/>
      <c r="C197" s="104"/>
      <c r="D197" s="27" t="str">
        <f>IFERROR(IF(C197="No CAS","",INDEX('DEQ Pollutant List'!$C$7:$C$611,MATCH('5. Pollutant Emissions - MB'!C197,'DEQ Pollutant List'!$B$7:$B$611,0))),"")</f>
        <v/>
      </c>
      <c r="E197" s="13" t="str">
        <f>IFERROR(IF(OR($C197="",$C197="No CAS"),INDEX('DEQ Pollutant List'!$A$7:$A$611,MATCH($D197,'DEQ Pollutant List'!$C$7:$C$611,0)),INDEX('DEQ Pollutant List'!$A$7:$A$611,MATCH($C197,'DEQ Pollutant List'!$B$7:$B$611,0))),"")</f>
        <v/>
      </c>
      <c r="F197" s="105"/>
      <c r="G197" s="106"/>
      <c r="H197" s="68"/>
      <c r="I197" s="67"/>
      <c r="J197" s="69"/>
      <c r="K197" s="29"/>
      <c r="L197" s="67"/>
      <c r="M197" s="69"/>
      <c r="N197" s="29"/>
    </row>
    <row r="198" spans="1:14" x14ac:dyDescent="0.25">
      <c r="A198" s="25"/>
      <c r="B198" s="87"/>
      <c r="C198" s="104"/>
      <c r="D198" s="27" t="str">
        <f>IFERROR(IF(C198="No CAS","",INDEX('DEQ Pollutant List'!$C$7:$C$611,MATCH('5. Pollutant Emissions - MB'!C198,'DEQ Pollutant List'!$B$7:$B$611,0))),"")</f>
        <v/>
      </c>
      <c r="E198" s="13" t="str">
        <f>IFERROR(IF(OR($C198="",$C198="No CAS"),INDEX('DEQ Pollutant List'!$A$7:$A$611,MATCH($D198,'DEQ Pollutant List'!$C$7:$C$611,0)),INDEX('DEQ Pollutant List'!$A$7:$A$611,MATCH($C198,'DEQ Pollutant List'!$B$7:$B$611,0))),"")</f>
        <v/>
      </c>
      <c r="F198" s="105"/>
      <c r="G198" s="106"/>
      <c r="H198" s="68"/>
      <c r="I198" s="67"/>
      <c r="J198" s="69"/>
      <c r="K198" s="29"/>
      <c r="L198" s="67"/>
      <c r="M198" s="69"/>
      <c r="N198" s="29"/>
    </row>
    <row r="199" spans="1:14" x14ac:dyDescent="0.25">
      <c r="A199" s="25"/>
      <c r="B199" s="87"/>
      <c r="C199" s="104"/>
      <c r="D199" s="27" t="str">
        <f>IFERROR(IF(C199="No CAS","",INDEX('DEQ Pollutant List'!$C$7:$C$611,MATCH('5. Pollutant Emissions - MB'!C199,'DEQ Pollutant List'!$B$7:$B$611,0))),"")</f>
        <v/>
      </c>
      <c r="E199" s="13" t="str">
        <f>IFERROR(IF(OR($C199="",$C199="No CAS"),INDEX('DEQ Pollutant List'!$A$7:$A$611,MATCH($D199,'DEQ Pollutant List'!$C$7:$C$611,0)),INDEX('DEQ Pollutant List'!$A$7:$A$611,MATCH($C199,'DEQ Pollutant List'!$B$7:$B$611,0))),"")</f>
        <v/>
      </c>
      <c r="F199" s="105"/>
      <c r="G199" s="106"/>
      <c r="H199" s="68"/>
      <c r="I199" s="67"/>
      <c r="J199" s="69"/>
      <c r="K199" s="29"/>
      <c r="L199" s="67"/>
      <c r="M199" s="69"/>
      <c r="N199" s="29"/>
    </row>
    <row r="200" spans="1:14" x14ac:dyDescent="0.25">
      <c r="A200" s="25"/>
      <c r="B200" s="87"/>
      <c r="C200" s="104"/>
      <c r="D200" s="27" t="str">
        <f>IFERROR(IF(C200="No CAS","",INDEX('DEQ Pollutant List'!$C$7:$C$611,MATCH('5. Pollutant Emissions - MB'!C200,'DEQ Pollutant List'!$B$7:$B$611,0))),"")</f>
        <v/>
      </c>
      <c r="E200" s="13" t="str">
        <f>IFERROR(IF(OR($C200="",$C200="No CAS"),INDEX('DEQ Pollutant List'!$A$7:$A$611,MATCH($D200,'DEQ Pollutant List'!$C$7:$C$611,0)),INDEX('DEQ Pollutant List'!$A$7:$A$611,MATCH($C200,'DEQ Pollutant List'!$B$7:$B$611,0))),"")</f>
        <v/>
      </c>
      <c r="F200" s="105"/>
      <c r="G200" s="106"/>
      <c r="H200" s="68"/>
      <c r="I200" s="67"/>
      <c r="J200" s="69"/>
      <c r="K200" s="29"/>
      <c r="L200" s="67"/>
      <c r="M200" s="69"/>
      <c r="N200" s="29"/>
    </row>
    <row r="201" spans="1:14" x14ac:dyDescent="0.25">
      <c r="A201" s="25"/>
      <c r="B201" s="87"/>
      <c r="C201" s="104"/>
      <c r="D201" s="27" t="str">
        <f>IFERROR(IF(C201="No CAS","",INDEX('DEQ Pollutant List'!$C$7:$C$611,MATCH('5. Pollutant Emissions - MB'!C201,'DEQ Pollutant List'!$B$7:$B$611,0))),"")</f>
        <v/>
      </c>
      <c r="E201" s="13" t="str">
        <f>IFERROR(IF(OR($C201="",$C201="No CAS"),INDEX('DEQ Pollutant List'!$A$7:$A$611,MATCH($D201,'DEQ Pollutant List'!$C$7:$C$611,0)),INDEX('DEQ Pollutant List'!$A$7:$A$611,MATCH($C201,'DEQ Pollutant List'!$B$7:$B$611,0))),"")</f>
        <v/>
      </c>
      <c r="F201" s="105"/>
      <c r="G201" s="106"/>
      <c r="H201" s="68"/>
      <c r="I201" s="67"/>
      <c r="J201" s="69"/>
      <c r="K201" s="29"/>
      <c r="L201" s="67"/>
      <c r="M201" s="69"/>
      <c r="N201" s="29"/>
    </row>
    <row r="202" spans="1:14" x14ac:dyDescent="0.25">
      <c r="A202" s="25"/>
      <c r="B202" s="87"/>
      <c r="C202" s="104"/>
      <c r="D202" s="27" t="str">
        <f>IFERROR(IF(C202="No CAS","",INDEX('DEQ Pollutant List'!$C$7:$C$611,MATCH('5. Pollutant Emissions - MB'!C202,'DEQ Pollutant List'!$B$7:$B$611,0))),"")</f>
        <v/>
      </c>
      <c r="E202" s="13" t="str">
        <f>IFERROR(IF(OR($C202="",$C202="No CAS"),INDEX('DEQ Pollutant List'!$A$7:$A$611,MATCH($D202,'DEQ Pollutant List'!$C$7:$C$611,0)),INDEX('DEQ Pollutant List'!$A$7:$A$611,MATCH($C202,'DEQ Pollutant List'!$B$7:$B$611,0))),"")</f>
        <v/>
      </c>
      <c r="F202" s="105"/>
      <c r="G202" s="106"/>
      <c r="H202" s="68"/>
      <c r="I202" s="67"/>
      <c r="J202" s="69"/>
      <c r="K202" s="29"/>
      <c r="L202" s="67"/>
      <c r="M202" s="69"/>
      <c r="N202" s="29"/>
    </row>
    <row r="203" spans="1:14" x14ac:dyDescent="0.25">
      <c r="A203" s="25"/>
      <c r="B203" s="87"/>
      <c r="C203" s="104"/>
      <c r="D203" s="27" t="str">
        <f>IFERROR(IF(C203="No CAS","",INDEX('DEQ Pollutant List'!$C$7:$C$611,MATCH('5. Pollutant Emissions - MB'!C203,'DEQ Pollutant List'!$B$7:$B$611,0))),"")</f>
        <v/>
      </c>
      <c r="E203" s="13" t="str">
        <f>IFERROR(IF(OR($C203="",$C203="No CAS"),INDEX('DEQ Pollutant List'!$A$7:$A$611,MATCH($D203,'DEQ Pollutant List'!$C$7:$C$611,0)),INDEX('DEQ Pollutant List'!$A$7:$A$611,MATCH($C203,'DEQ Pollutant List'!$B$7:$B$611,0))),"")</f>
        <v/>
      </c>
      <c r="F203" s="105"/>
      <c r="G203" s="106"/>
      <c r="H203" s="68"/>
      <c r="I203" s="67"/>
      <c r="J203" s="69"/>
      <c r="K203" s="29"/>
      <c r="L203" s="67"/>
      <c r="M203" s="69"/>
      <c r="N203" s="29"/>
    </row>
    <row r="204" spans="1:14" x14ac:dyDescent="0.25">
      <c r="A204" s="25"/>
      <c r="B204" s="87"/>
      <c r="C204" s="104"/>
      <c r="D204" s="27" t="str">
        <f>IFERROR(IF(C204="No CAS","",INDEX('DEQ Pollutant List'!$C$7:$C$611,MATCH('5. Pollutant Emissions - MB'!C204,'DEQ Pollutant List'!$B$7:$B$611,0))),"")</f>
        <v/>
      </c>
      <c r="E204" s="13" t="str">
        <f>IFERROR(IF(OR($C204="",$C204="No CAS"),INDEX('DEQ Pollutant List'!$A$7:$A$611,MATCH($D204,'DEQ Pollutant List'!$C$7:$C$611,0)),INDEX('DEQ Pollutant List'!$A$7:$A$611,MATCH($C204,'DEQ Pollutant List'!$B$7:$B$611,0))),"")</f>
        <v/>
      </c>
      <c r="F204" s="105"/>
      <c r="G204" s="106"/>
      <c r="H204" s="68"/>
      <c r="I204" s="67"/>
      <c r="J204" s="69"/>
      <c r="K204" s="29"/>
      <c r="L204" s="67"/>
      <c r="M204" s="69"/>
      <c r="N204" s="29"/>
    </row>
    <row r="205" spans="1:14" x14ac:dyDescent="0.25">
      <c r="A205" s="25"/>
      <c r="B205" s="87"/>
      <c r="C205" s="104"/>
      <c r="D205" s="27" t="str">
        <f>IFERROR(IF(C205="No CAS","",INDEX('DEQ Pollutant List'!$C$7:$C$611,MATCH('5. Pollutant Emissions - MB'!C205,'DEQ Pollutant List'!$B$7:$B$611,0))),"")</f>
        <v/>
      </c>
      <c r="E205" s="13" t="str">
        <f>IFERROR(IF(OR($C205="",$C205="No CAS"),INDEX('DEQ Pollutant List'!$A$7:$A$611,MATCH($D205,'DEQ Pollutant List'!$C$7:$C$611,0)),INDEX('DEQ Pollutant List'!$A$7:$A$611,MATCH($C205,'DEQ Pollutant List'!$B$7:$B$611,0))),"")</f>
        <v/>
      </c>
      <c r="F205" s="105"/>
      <c r="G205" s="106"/>
      <c r="H205" s="68"/>
      <c r="I205" s="67"/>
      <c r="J205" s="69"/>
      <c r="K205" s="29"/>
      <c r="L205" s="67"/>
      <c r="M205" s="69"/>
      <c r="N205" s="29"/>
    </row>
    <row r="206" spans="1:14" x14ac:dyDescent="0.25">
      <c r="A206" s="25"/>
      <c r="B206" s="87"/>
      <c r="C206" s="104"/>
      <c r="D206" s="27" t="str">
        <f>IFERROR(IF(C206="No CAS","",INDEX('DEQ Pollutant List'!$C$7:$C$611,MATCH('5. Pollutant Emissions - MB'!C206,'DEQ Pollutant List'!$B$7:$B$611,0))),"")</f>
        <v/>
      </c>
      <c r="E206" s="13" t="str">
        <f>IFERROR(IF(OR($C206="",$C206="No CAS"),INDEX('DEQ Pollutant List'!$A$7:$A$611,MATCH($D206,'DEQ Pollutant List'!$C$7:$C$611,0)),INDEX('DEQ Pollutant List'!$A$7:$A$611,MATCH($C206,'DEQ Pollutant List'!$B$7:$B$611,0))),"")</f>
        <v/>
      </c>
      <c r="F206" s="105"/>
      <c r="G206" s="106"/>
      <c r="H206" s="68"/>
      <c r="I206" s="67"/>
      <c r="J206" s="69"/>
      <c r="K206" s="29"/>
      <c r="L206" s="67"/>
      <c r="M206" s="69"/>
      <c r="N206" s="29"/>
    </row>
    <row r="207" spans="1:14" x14ac:dyDescent="0.25">
      <c r="A207" s="25"/>
      <c r="B207" s="87"/>
      <c r="C207" s="104"/>
      <c r="D207" s="27" t="str">
        <f>IFERROR(IF(C207="No CAS","",INDEX('DEQ Pollutant List'!$C$7:$C$611,MATCH('5. Pollutant Emissions - MB'!C207,'DEQ Pollutant List'!$B$7:$B$611,0))),"")</f>
        <v/>
      </c>
      <c r="E207" s="13" t="str">
        <f>IFERROR(IF(OR($C207="",$C207="No CAS"),INDEX('DEQ Pollutant List'!$A$7:$A$611,MATCH($D207,'DEQ Pollutant List'!$C$7:$C$611,0)),INDEX('DEQ Pollutant List'!$A$7:$A$611,MATCH($C207,'DEQ Pollutant List'!$B$7:$B$611,0))),"")</f>
        <v/>
      </c>
      <c r="F207" s="105"/>
      <c r="G207" s="106"/>
      <c r="H207" s="68"/>
      <c r="I207" s="67"/>
      <c r="J207" s="69"/>
      <c r="K207" s="29"/>
      <c r="L207" s="67"/>
      <c r="M207" s="69"/>
      <c r="N207" s="29"/>
    </row>
    <row r="208" spans="1:14" x14ac:dyDescent="0.25">
      <c r="A208" s="25"/>
      <c r="B208" s="87"/>
      <c r="C208" s="104"/>
      <c r="D208" s="27" t="str">
        <f>IFERROR(IF(C208="No CAS","",INDEX('DEQ Pollutant List'!$C$7:$C$611,MATCH('5. Pollutant Emissions - MB'!C208,'DEQ Pollutant List'!$B$7:$B$611,0))),"")</f>
        <v/>
      </c>
      <c r="E208" s="13" t="str">
        <f>IFERROR(IF(OR($C208="",$C208="No CAS"),INDEX('DEQ Pollutant List'!$A$7:$A$611,MATCH($D208,'DEQ Pollutant List'!$C$7:$C$611,0)),INDEX('DEQ Pollutant List'!$A$7:$A$611,MATCH($C208,'DEQ Pollutant List'!$B$7:$B$611,0))),"")</f>
        <v/>
      </c>
      <c r="F208" s="105"/>
      <c r="G208" s="106"/>
      <c r="H208" s="68"/>
      <c r="I208" s="67"/>
      <c r="J208" s="69"/>
      <c r="K208" s="29"/>
      <c r="L208" s="67"/>
      <c r="M208" s="69"/>
      <c r="N208" s="29"/>
    </row>
    <row r="209" spans="1:14" x14ac:dyDescent="0.25">
      <c r="A209" s="25"/>
      <c r="B209" s="87"/>
      <c r="C209" s="104"/>
      <c r="D209" s="27" t="str">
        <f>IFERROR(IF(C209="No CAS","",INDEX('DEQ Pollutant List'!$C$7:$C$611,MATCH('5. Pollutant Emissions - MB'!C209,'DEQ Pollutant List'!$B$7:$B$611,0))),"")</f>
        <v/>
      </c>
      <c r="E209" s="13" t="str">
        <f>IFERROR(IF(OR($C209="",$C209="No CAS"),INDEX('DEQ Pollutant List'!$A$7:$A$611,MATCH($D209,'DEQ Pollutant List'!$C$7:$C$611,0)),INDEX('DEQ Pollutant List'!$A$7:$A$611,MATCH($C209,'DEQ Pollutant List'!$B$7:$B$611,0))),"")</f>
        <v/>
      </c>
      <c r="F209" s="105"/>
      <c r="G209" s="106"/>
      <c r="H209" s="68"/>
      <c r="I209" s="67"/>
      <c r="J209" s="69"/>
      <c r="K209" s="29"/>
      <c r="L209" s="67"/>
      <c r="M209" s="69"/>
      <c r="N209" s="29"/>
    </row>
    <row r="210" spans="1:14" x14ac:dyDescent="0.25">
      <c r="A210" s="25"/>
      <c r="B210" s="87"/>
      <c r="C210" s="104"/>
      <c r="D210" s="27" t="str">
        <f>IFERROR(IF(C210="No CAS","",INDEX('DEQ Pollutant List'!$C$7:$C$611,MATCH('5. Pollutant Emissions - MB'!C210,'DEQ Pollutant List'!$B$7:$B$611,0))),"")</f>
        <v/>
      </c>
      <c r="E210" s="13" t="str">
        <f>IFERROR(IF(OR($C210="",$C210="No CAS"),INDEX('DEQ Pollutant List'!$A$7:$A$611,MATCH($D210,'DEQ Pollutant List'!$C$7:$C$611,0)),INDEX('DEQ Pollutant List'!$A$7:$A$611,MATCH($C210,'DEQ Pollutant List'!$B$7:$B$611,0))),"")</f>
        <v/>
      </c>
      <c r="F210" s="105"/>
      <c r="G210" s="106"/>
      <c r="H210" s="68"/>
      <c r="I210" s="67"/>
      <c r="J210" s="69"/>
      <c r="K210" s="29"/>
      <c r="L210" s="67"/>
      <c r="M210" s="69"/>
      <c r="N210" s="29"/>
    </row>
    <row r="211" spans="1:14" x14ac:dyDescent="0.25">
      <c r="A211" s="25"/>
      <c r="B211" s="87"/>
      <c r="C211" s="104"/>
      <c r="D211" s="27" t="str">
        <f>IFERROR(IF(C211="No CAS","",INDEX('DEQ Pollutant List'!$C$7:$C$611,MATCH('5. Pollutant Emissions - MB'!C211,'DEQ Pollutant List'!$B$7:$B$611,0))),"")</f>
        <v/>
      </c>
      <c r="E211" s="13" t="str">
        <f>IFERROR(IF(OR($C211="",$C211="No CAS"),INDEX('DEQ Pollutant List'!$A$7:$A$611,MATCH($D211,'DEQ Pollutant List'!$C$7:$C$611,0)),INDEX('DEQ Pollutant List'!$A$7:$A$611,MATCH($C211,'DEQ Pollutant List'!$B$7:$B$611,0))),"")</f>
        <v/>
      </c>
      <c r="F211" s="105"/>
      <c r="G211" s="106"/>
      <c r="H211" s="68"/>
      <c r="I211" s="67"/>
      <c r="J211" s="69"/>
      <c r="K211" s="29"/>
      <c r="L211" s="67"/>
      <c r="M211" s="69"/>
      <c r="N211" s="29"/>
    </row>
    <row r="212" spans="1:14" x14ac:dyDescent="0.25">
      <c r="A212" s="25"/>
      <c r="B212" s="87"/>
      <c r="C212" s="104"/>
      <c r="D212" s="27" t="str">
        <f>IFERROR(IF(C212="No CAS","",INDEX('DEQ Pollutant List'!$C$7:$C$611,MATCH('5. Pollutant Emissions - MB'!C212,'DEQ Pollutant List'!$B$7:$B$611,0))),"")</f>
        <v/>
      </c>
      <c r="E212" s="13" t="str">
        <f>IFERROR(IF(OR($C212="",$C212="No CAS"),INDEX('DEQ Pollutant List'!$A$7:$A$611,MATCH($D212,'DEQ Pollutant List'!$C$7:$C$611,0)),INDEX('DEQ Pollutant List'!$A$7:$A$611,MATCH($C212,'DEQ Pollutant List'!$B$7:$B$611,0))),"")</f>
        <v/>
      </c>
      <c r="F212" s="105"/>
      <c r="G212" s="106"/>
      <c r="H212" s="68"/>
      <c r="I212" s="67"/>
      <c r="J212" s="69"/>
      <c r="K212" s="29"/>
      <c r="L212" s="67"/>
      <c r="M212" s="69"/>
      <c r="N212" s="29"/>
    </row>
    <row r="213" spans="1:14" x14ac:dyDescent="0.25">
      <c r="A213" s="25"/>
      <c r="B213" s="87"/>
      <c r="C213" s="104"/>
      <c r="D213" s="27" t="str">
        <f>IFERROR(IF(C213="No CAS","",INDEX('DEQ Pollutant List'!$C$7:$C$611,MATCH('5. Pollutant Emissions - MB'!C213,'DEQ Pollutant List'!$B$7:$B$611,0))),"")</f>
        <v/>
      </c>
      <c r="E213" s="13" t="str">
        <f>IFERROR(IF(OR($C213="",$C213="No CAS"),INDEX('DEQ Pollutant List'!$A$7:$A$611,MATCH($D213,'DEQ Pollutant List'!$C$7:$C$611,0)),INDEX('DEQ Pollutant List'!$A$7:$A$611,MATCH($C213,'DEQ Pollutant List'!$B$7:$B$611,0))),"")</f>
        <v/>
      </c>
      <c r="F213" s="105"/>
      <c r="G213" s="106"/>
      <c r="H213" s="68"/>
      <c r="I213" s="67"/>
      <c r="J213" s="69"/>
      <c r="K213" s="29"/>
      <c r="L213" s="67"/>
      <c r="M213" s="69"/>
      <c r="N213" s="29"/>
    </row>
    <row r="214" spans="1:14" x14ac:dyDescent="0.25">
      <c r="A214" s="25"/>
      <c r="B214" s="87"/>
      <c r="C214" s="104"/>
      <c r="D214" s="27" t="str">
        <f>IFERROR(IF(C214="No CAS","",INDEX('DEQ Pollutant List'!$C$7:$C$611,MATCH('5. Pollutant Emissions - MB'!C214,'DEQ Pollutant List'!$B$7:$B$611,0))),"")</f>
        <v/>
      </c>
      <c r="E214" s="13" t="str">
        <f>IFERROR(IF(OR($C214="",$C214="No CAS"),INDEX('DEQ Pollutant List'!$A$7:$A$611,MATCH($D214,'DEQ Pollutant List'!$C$7:$C$611,0)),INDEX('DEQ Pollutant List'!$A$7:$A$611,MATCH($C214,'DEQ Pollutant List'!$B$7:$B$611,0))),"")</f>
        <v/>
      </c>
      <c r="F214" s="105"/>
      <c r="G214" s="106"/>
      <c r="H214" s="68"/>
      <c r="I214" s="67"/>
      <c r="J214" s="69"/>
      <c r="K214" s="29"/>
      <c r="L214" s="67"/>
      <c r="M214" s="69"/>
      <c r="N214" s="29"/>
    </row>
    <row r="215" spans="1:14" x14ac:dyDescent="0.25">
      <c r="A215" s="25"/>
      <c r="B215" s="87"/>
      <c r="C215" s="104"/>
      <c r="D215" s="27" t="str">
        <f>IFERROR(IF(C215="No CAS","",INDEX('DEQ Pollutant List'!$C$7:$C$611,MATCH('5. Pollutant Emissions - MB'!C215,'DEQ Pollutant List'!$B$7:$B$611,0))),"")</f>
        <v/>
      </c>
      <c r="E215" s="13" t="str">
        <f>IFERROR(IF(OR($C215="",$C215="No CAS"),INDEX('DEQ Pollutant List'!$A$7:$A$611,MATCH($D215,'DEQ Pollutant List'!$C$7:$C$611,0)),INDEX('DEQ Pollutant List'!$A$7:$A$611,MATCH($C215,'DEQ Pollutant List'!$B$7:$B$611,0))),"")</f>
        <v/>
      </c>
      <c r="F215" s="105"/>
      <c r="G215" s="106"/>
      <c r="H215" s="68"/>
      <c r="I215" s="67"/>
      <c r="J215" s="69"/>
      <c r="K215" s="29"/>
      <c r="L215" s="67"/>
      <c r="M215" s="69"/>
      <c r="N215" s="29"/>
    </row>
    <row r="216" spans="1:14" x14ac:dyDescent="0.25">
      <c r="A216" s="25"/>
      <c r="B216" s="87"/>
      <c r="C216" s="104"/>
      <c r="D216" s="27" t="str">
        <f>IFERROR(IF(C216="No CAS","",INDEX('DEQ Pollutant List'!$C$7:$C$611,MATCH('5. Pollutant Emissions - MB'!C216,'DEQ Pollutant List'!$B$7:$B$611,0))),"")</f>
        <v/>
      </c>
      <c r="E216" s="13" t="str">
        <f>IFERROR(IF(OR($C216="",$C216="No CAS"),INDEX('DEQ Pollutant List'!$A$7:$A$611,MATCH($D216,'DEQ Pollutant List'!$C$7:$C$611,0)),INDEX('DEQ Pollutant List'!$A$7:$A$611,MATCH($C216,'DEQ Pollutant List'!$B$7:$B$611,0))),"")</f>
        <v/>
      </c>
      <c r="F216" s="105"/>
      <c r="G216" s="106"/>
      <c r="H216" s="68"/>
      <c r="I216" s="67"/>
      <c r="J216" s="69"/>
      <c r="K216" s="29"/>
      <c r="L216" s="67"/>
      <c r="M216" s="69"/>
      <c r="N216" s="29"/>
    </row>
    <row r="217" spans="1:14" x14ac:dyDescent="0.25">
      <c r="A217" s="25"/>
      <c r="B217" s="87"/>
      <c r="C217" s="104"/>
      <c r="D217" s="27" t="str">
        <f>IFERROR(IF(C217="No CAS","",INDEX('DEQ Pollutant List'!$C$7:$C$611,MATCH('5. Pollutant Emissions - MB'!C217,'DEQ Pollutant List'!$B$7:$B$611,0))),"")</f>
        <v/>
      </c>
      <c r="E217" s="13" t="str">
        <f>IFERROR(IF(OR($C217="",$C217="No CAS"),INDEX('DEQ Pollutant List'!$A$7:$A$611,MATCH($D217,'DEQ Pollutant List'!$C$7:$C$611,0)),INDEX('DEQ Pollutant List'!$A$7:$A$611,MATCH($C217,'DEQ Pollutant List'!$B$7:$B$611,0))),"")</f>
        <v/>
      </c>
      <c r="F217" s="105"/>
      <c r="G217" s="106"/>
      <c r="H217" s="68"/>
      <c r="I217" s="67"/>
      <c r="J217" s="69"/>
      <c r="K217" s="29"/>
      <c r="L217" s="67"/>
      <c r="M217" s="69"/>
      <c r="N217" s="29"/>
    </row>
    <row r="218" spans="1:14" x14ac:dyDescent="0.25">
      <c r="A218" s="25"/>
      <c r="B218" s="87"/>
      <c r="C218" s="104"/>
      <c r="D218" s="27" t="str">
        <f>IFERROR(IF(C218="No CAS","",INDEX('DEQ Pollutant List'!$C$7:$C$611,MATCH('5. Pollutant Emissions - MB'!C218,'DEQ Pollutant List'!$B$7:$B$611,0))),"")</f>
        <v/>
      </c>
      <c r="E218" s="13" t="str">
        <f>IFERROR(IF(OR($C218="",$C218="No CAS"),INDEX('DEQ Pollutant List'!$A$7:$A$611,MATCH($D218,'DEQ Pollutant List'!$C$7:$C$611,0)),INDEX('DEQ Pollutant List'!$A$7:$A$611,MATCH($C218,'DEQ Pollutant List'!$B$7:$B$611,0))),"")</f>
        <v/>
      </c>
      <c r="F218" s="105"/>
      <c r="G218" s="106"/>
      <c r="H218" s="68"/>
      <c r="I218" s="67"/>
      <c r="J218" s="69"/>
      <c r="K218" s="29"/>
      <c r="L218" s="67"/>
      <c r="M218" s="69"/>
      <c r="N218" s="29"/>
    </row>
    <row r="219" spans="1:14" x14ac:dyDescent="0.25">
      <c r="A219" s="25"/>
      <c r="B219" s="87"/>
      <c r="C219" s="104"/>
      <c r="D219" s="27" t="str">
        <f>IFERROR(IF(C219="No CAS","",INDEX('DEQ Pollutant List'!$C$7:$C$611,MATCH('5. Pollutant Emissions - MB'!C219,'DEQ Pollutant List'!$B$7:$B$611,0))),"")</f>
        <v/>
      </c>
      <c r="E219" s="13" t="str">
        <f>IFERROR(IF(OR($C219="",$C219="No CAS"),INDEX('DEQ Pollutant List'!$A$7:$A$611,MATCH($D219,'DEQ Pollutant List'!$C$7:$C$611,0)),INDEX('DEQ Pollutant List'!$A$7:$A$611,MATCH($C219,'DEQ Pollutant List'!$B$7:$B$611,0))),"")</f>
        <v/>
      </c>
      <c r="F219" s="105"/>
      <c r="G219" s="106"/>
      <c r="H219" s="68"/>
      <c r="I219" s="67"/>
      <c r="J219" s="69"/>
      <c r="K219" s="29"/>
      <c r="L219" s="67"/>
      <c r="M219" s="69"/>
      <c r="N219" s="29"/>
    </row>
    <row r="220" spans="1:14" x14ac:dyDescent="0.25">
      <c r="A220" s="25"/>
      <c r="B220" s="87"/>
      <c r="C220" s="104"/>
      <c r="D220" s="27" t="str">
        <f>IFERROR(IF(C220="No CAS","",INDEX('DEQ Pollutant List'!$C$7:$C$611,MATCH('5. Pollutant Emissions - MB'!C220,'DEQ Pollutant List'!$B$7:$B$611,0))),"")</f>
        <v/>
      </c>
      <c r="E220" s="13" t="str">
        <f>IFERROR(IF(OR($C220="",$C220="No CAS"),INDEX('DEQ Pollutant List'!$A$7:$A$611,MATCH($D220,'DEQ Pollutant List'!$C$7:$C$611,0)),INDEX('DEQ Pollutant List'!$A$7:$A$611,MATCH($C220,'DEQ Pollutant List'!$B$7:$B$611,0))),"")</f>
        <v/>
      </c>
      <c r="F220" s="105"/>
      <c r="G220" s="106"/>
      <c r="H220" s="68"/>
      <c r="I220" s="67"/>
      <c r="J220" s="69"/>
      <c r="K220" s="29"/>
      <c r="L220" s="67"/>
      <c r="M220" s="69"/>
      <c r="N220" s="29"/>
    </row>
    <row r="221" spans="1:14" x14ac:dyDescent="0.25">
      <c r="A221" s="25"/>
      <c r="B221" s="87"/>
      <c r="C221" s="104"/>
      <c r="D221" s="27" t="str">
        <f>IFERROR(IF(C221="No CAS","",INDEX('DEQ Pollutant List'!$C$7:$C$611,MATCH('5. Pollutant Emissions - MB'!C221,'DEQ Pollutant List'!$B$7:$B$611,0))),"")</f>
        <v/>
      </c>
      <c r="E221" s="13" t="str">
        <f>IFERROR(IF(OR($C221="",$C221="No CAS"),INDEX('DEQ Pollutant List'!$A$7:$A$611,MATCH($D221,'DEQ Pollutant List'!$C$7:$C$611,0)),INDEX('DEQ Pollutant List'!$A$7:$A$611,MATCH($C221,'DEQ Pollutant List'!$B$7:$B$611,0))),"")</f>
        <v/>
      </c>
      <c r="F221" s="105"/>
      <c r="G221" s="106"/>
      <c r="H221" s="68"/>
      <c r="I221" s="67"/>
      <c r="J221" s="69"/>
      <c r="K221" s="29"/>
      <c r="L221" s="67"/>
      <c r="M221" s="69"/>
      <c r="N221" s="29"/>
    </row>
    <row r="222" spans="1:14" x14ac:dyDescent="0.25">
      <c r="A222" s="25"/>
      <c r="B222" s="87"/>
      <c r="C222" s="104"/>
      <c r="D222" s="27" t="str">
        <f>IFERROR(IF(C222="No CAS","",INDEX('DEQ Pollutant List'!$C$7:$C$611,MATCH('5. Pollutant Emissions - MB'!C222,'DEQ Pollutant List'!$B$7:$B$611,0))),"")</f>
        <v/>
      </c>
      <c r="E222" s="13" t="str">
        <f>IFERROR(IF(OR($C222="",$C222="No CAS"),INDEX('DEQ Pollutant List'!$A$7:$A$611,MATCH($D222,'DEQ Pollutant List'!$C$7:$C$611,0)),INDEX('DEQ Pollutant List'!$A$7:$A$611,MATCH($C222,'DEQ Pollutant List'!$B$7:$B$611,0))),"")</f>
        <v/>
      </c>
      <c r="F222" s="105"/>
      <c r="G222" s="106"/>
      <c r="H222" s="68"/>
      <c r="I222" s="67"/>
      <c r="J222" s="69"/>
      <c r="K222" s="29"/>
      <c r="L222" s="67"/>
      <c r="M222" s="69"/>
      <c r="N222" s="29"/>
    </row>
    <row r="223" spans="1:14" x14ac:dyDescent="0.25">
      <c r="A223" s="25"/>
      <c r="B223" s="87"/>
      <c r="C223" s="104"/>
      <c r="D223" s="27" t="str">
        <f>IFERROR(IF(C223="No CAS","",INDEX('DEQ Pollutant List'!$C$7:$C$611,MATCH('5. Pollutant Emissions - MB'!C223,'DEQ Pollutant List'!$B$7:$B$611,0))),"")</f>
        <v/>
      </c>
      <c r="E223" s="13" t="str">
        <f>IFERROR(IF(OR($C223="",$C223="No CAS"),INDEX('DEQ Pollutant List'!$A$7:$A$611,MATCH($D223,'DEQ Pollutant List'!$C$7:$C$611,0)),INDEX('DEQ Pollutant List'!$A$7:$A$611,MATCH($C223,'DEQ Pollutant List'!$B$7:$B$611,0))),"")</f>
        <v/>
      </c>
      <c r="F223" s="105"/>
      <c r="G223" s="106"/>
      <c r="H223" s="68"/>
      <c r="I223" s="67"/>
      <c r="J223" s="69"/>
      <c r="K223" s="29"/>
      <c r="L223" s="67"/>
      <c r="M223" s="69"/>
      <c r="N223" s="29"/>
    </row>
    <row r="224" spans="1:14" x14ac:dyDescent="0.25">
      <c r="A224" s="25"/>
      <c r="B224" s="87"/>
      <c r="C224" s="104"/>
      <c r="D224" s="27" t="str">
        <f>IFERROR(IF(C224="No CAS","",INDEX('DEQ Pollutant List'!$C$7:$C$611,MATCH('5. Pollutant Emissions - MB'!C224,'DEQ Pollutant List'!$B$7:$B$611,0))),"")</f>
        <v/>
      </c>
      <c r="E224" s="13" t="str">
        <f>IFERROR(IF(OR($C224="",$C224="No CAS"),INDEX('DEQ Pollutant List'!$A$7:$A$611,MATCH($D224,'DEQ Pollutant List'!$C$7:$C$611,0)),INDEX('DEQ Pollutant List'!$A$7:$A$611,MATCH($C224,'DEQ Pollutant List'!$B$7:$B$611,0))),"")</f>
        <v/>
      </c>
      <c r="F224" s="105"/>
      <c r="G224" s="106"/>
      <c r="H224" s="68"/>
      <c r="I224" s="67"/>
      <c r="J224" s="69"/>
      <c r="K224" s="29"/>
      <c r="L224" s="67"/>
      <c r="M224" s="69"/>
      <c r="N224" s="29"/>
    </row>
    <row r="225" spans="1:14" x14ac:dyDescent="0.25">
      <c r="A225" s="25"/>
      <c r="B225" s="87"/>
      <c r="C225" s="104"/>
      <c r="D225" s="27" t="str">
        <f>IFERROR(IF(C225="No CAS","",INDEX('DEQ Pollutant List'!$C$7:$C$611,MATCH('5. Pollutant Emissions - MB'!C225,'DEQ Pollutant List'!$B$7:$B$611,0))),"")</f>
        <v/>
      </c>
      <c r="E225" s="13" t="str">
        <f>IFERROR(IF(OR($C225="",$C225="No CAS"),INDEX('DEQ Pollutant List'!$A$7:$A$611,MATCH($D225,'DEQ Pollutant List'!$C$7:$C$611,0)),INDEX('DEQ Pollutant List'!$A$7:$A$611,MATCH($C225,'DEQ Pollutant List'!$B$7:$B$611,0))),"")</f>
        <v/>
      </c>
      <c r="F225" s="105"/>
      <c r="G225" s="106"/>
      <c r="H225" s="68"/>
      <c r="I225" s="67"/>
      <c r="J225" s="69"/>
      <c r="K225" s="29"/>
      <c r="L225" s="67"/>
      <c r="M225" s="69"/>
      <c r="N225" s="29"/>
    </row>
    <row r="226" spans="1:14" x14ac:dyDescent="0.25">
      <c r="A226" s="25"/>
      <c r="B226" s="87"/>
      <c r="C226" s="104"/>
      <c r="D226" s="27" t="str">
        <f>IFERROR(IF(C226="No CAS","",INDEX('DEQ Pollutant List'!$C$7:$C$611,MATCH('5. Pollutant Emissions - MB'!C226,'DEQ Pollutant List'!$B$7:$B$611,0))),"")</f>
        <v/>
      </c>
      <c r="E226" s="13" t="str">
        <f>IFERROR(IF(OR($C226="",$C226="No CAS"),INDEX('DEQ Pollutant List'!$A$7:$A$611,MATCH($D226,'DEQ Pollutant List'!$C$7:$C$611,0)),INDEX('DEQ Pollutant List'!$A$7:$A$611,MATCH($C226,'DEQ Pollutant List'!$B$7:$B$611,0))),"")</f>
        <v/>
      </c>
      <c r="F226" s="105"/>
      <c r="G226" s="106"/>
      <c r="H226" s="68"/>
      <c r="I226" s="67"/>
      <c r="J226" s="69"/>
      <c r="K226" s="29"/>
      <c r="L226" s="67"/>
      <c r="M226" s="69"/>
      <c r="N226" s="29"/>
    </row>
    <row r="227" spans="1:14" x14ac:dyDescent="0.25">
      <c r="A227" s="25"/>
      <c r="B227" s="87"/>
      <c r="C227" s="104"/>
      <c r="D227" s="27" t="str">
        <f>IFERROR(IF(C227="No CAS","",INDEX('DEQ Pollutant List'!$C$7:$C$611,MATCH('5. Pollutant Emissions - MB'!C227,'DEQ Pollutant List'!$B$7:$B$611,0))),"")</f>
        <v/>
      </c>
      <c r="E227" s="13" t="str">
        <f>IFERROR(IF(OR($C227="",$C227="No CAS"),INDEX('DEQ Pollutant List'!$A$7:$A$611,MATCH($D227,'DEQ Pollutant List'!$C$7:$C$611,0)),INDEX('DEQ Pollutant List'!$A$7:$A$611,MATCH($C227,'DEQ Pollutant List'!$B$7:$B$611,0))),"")</f>
        <v/>
      </c>
      <c r="F227" s="105"/>
      <c r="G227" s="106"/>
      <c r="H227" s="68"/>
      <c r="I227" s="67"/>
      <c r="J227" s="69"/>
      <c r="K227" s="29"/>
      <c r="L227" s="67"/>
      <c r="M227" s="69"/>
      <c r="N227" s="29"/>
    </row>
    <row r="228" spans="1:14" x14ac:dyDescent="0.25">
      <c r="A228" s="25"/>
      <c r="B228" s="87"/>
      <c r="C228" s="104"/>
      <c r="D228" s="27" t="str">
        <f>IFERROR(IF(C228="No CAS","",INDEX('DEQ Pollutant List'!$C$7:$C$611,MATCH('5. Pollutant Emissions - MB'!C228,'DEQ Pollutant List'!$B$7:$B$611,0))),"")</f>
        <v/>
      </c>
      <c r="E228" s="13" t="str">
        <f>IFERROR(IF(OR($C228="",$C228="No CAS"),INDEX('DEQ Pollutant List'!$A$7:$A$611,MATCH($D228,'DEQ Pollutant List'!$C$7:$C$611,0)),INDEX('DEQ Pollutant List'!$A$7:$A$611,MATCH($C228,'DEQ Pollutant List'!$B$7:$B$611,0))),"")</f>
        <v/>
      </c>
      <c r="F228" s="105"/>
      <c r="G228" s="106"/>
      <c r="H228" s="68"/>
      <c r="I228" s="67"/>
      <c r="J228" s="69"/>
      <c r="K228" s="29"/>
      <c r="L228" s="67"/>
      <c r="M228" s="69"/>
      <c r="N228" s="29"/>
    </row>
    <row r="229" spans="1:14" x14ac:dyDescent="0.25">
      <c r="A229" s="25"/>
      <c r="B229" s="87"/>
      <c r="C229" s="104"/>
      <c r="D229" s="27" t="str">
        <f>IFERROR(IF(C229="No CAS","",INDEX('DEQ Pollutant List'!$C$7:$C$611,MATCH('5. Pollutant Emissions - MB'!C229,'DEQ Pollutant List'!$B$7:$B$611,0))),"")</f>
        <v/>
      </c>
      <c r="E229" s="13" t="str">
        <f>IFERROR(IF(OR($C229="",$C229="No CAS"),INDEX('DEQ Pollutant List'!$A$7:$A$611,MATCH($D229,'DEQ Pollutant List'!$C$7:$C$611,0)),INDEX('DEQ Pollutant List'!$A$7:$A$611,MATCH($C229,'DEQ Pollutant List'!$B$7:$B$611,0))),"")</f>
        <v/>
      </c>
      <c r="F229" s="105"/>
      <c r="G229" s="106"/>
      <c r="H229" s="68"/>
      <c r="I229" s="67"/>
      <c r="J229" s="69"/>
      <c r="K229" s="29"/>
      <c r="L229" s="67"/>
      <c r="M229" s="69"/>
      <c r="N229" s="29"/>
    </row>
    <row r="230" spans="1:14" x14ac:dyDescent="0.25">
      <c r="A230" s="25"/>
      <c r="B230" s="87"/>
      <c r="C230" s="104"/>
      <c r="D230" s="27" t="str">
        <f>IFERROR(IF(C230="No CAS","",INDEX('DEQ Pollutant List'!$C$7:$C$611,MATCH('5. Pollutant Emissions - MB'!C230,'DEQ Pollutant List'!$B$7:$B$611,0))),"")</f>
        <v/>
      </c>
      <c r="E230" s="13" t="str">
        <f>IFERROR(IF(OR($C230="",$C230="No CAS"),INDEX('DEQ Pollutant List'!$A$7:$A$611,MATCH($D230,'DEQ Pollutant List'!$C$7:$C$611,0)),INDEX('DEQ Pollutant List'!$A$7:$A$611,MATCH($C230,'DEQ Pollutant List'!$B$7:$B$611,0))),"")</f>
        <v/>
      </c>
      <c r="F230" s="105"/>
      <c r="G230" s="106"/>
      <c r="H230" s="68"/>
      <c r="I230" s="67"/>
      <c r="J230" s="69"/>
      <c r="K230" s="29"/>
      <c r="L230" s="67"/>
      <c r="M230" s="69"/>
      <c r="N230" s="29"/>
    </row>
    <row r="231" spans="1:14" x14ac:dyDescent="0.25">
      <c r="A231" s="25"/>
      <c r="B231" s="87"/>
      <c r="C231" s="104"/>
      <c r="D231" s="27" t="str">
        <f>IFERROR(IF(C231="No CAS","",INDEX('DEQ Pollutant List'!$C$7:$C$611,MATCH('5. Pollutant Emissions - MB'!C231,'DEQ Pollutant List'!$B$7:$B$611,0))),"")</f>
        <v/>
      </c>
      <c r="E231" s="13" t="str">
        <f>IFERROR(IF(OR($C231="",$C231="No CAS"),INDEX('DEQ Pollutant List'!$A$7:$A$611,MATCH($D231,'DEQ Pollutant List'!$C$7:$C$611,0)),INDEX('DEQ Pollutant List'!$A$7:$A$611,MATCH($C231,'DEQ Pollutant List'!$B$7:$B$611,0))),"")</f>
        <v/>
      </c>
      <c r="F231" s="105"/>
      <c r="G231" s="106"/>
      <c r="H231" s="68"/>
      <c r="I231" s="67"/>
      <c r="J231" s="69"/>
      <c r="K231" s="29"/>
      <c r="L231" s="67"/>
      <c r="M231" s="69"/>
      <c r="N231" s="29"/>
    </row>
    <row r="232" spans="1:14" x14ac:dyDescent="0.25">
      <c r="A232" s="25"/>
      <c r="B232" s="87"/>
      <c r="C232" s="104"/>
      <c r="D232" s="27" t="str">
        <f>IFERROR(IF(C232="No CAS","",INDEX('DEQ Pollutant List'!$C$7:$C$611,MATCH('5. Pollutant Emissions - MB'!C232,'DEQ Pollutant List'!$B$7:$B$611,0))),"")</f>
        <v/>
      </c>
      <c r="E232" s="13" t="str">
        <f>IFERROR(IF(OR($C232="",$C232="No CAS"),INDEX('DEQ Pollutant List'!$A$7:$A$611,MATCH($D232,'DEQ Pollutant List'!$C$7:$C$611,0)),INDEX('DEQ Pollutant List'!$A$7:$A$611,MATCH($C232,'DEQ Pollutant List'!$B$7:$B$611,0))),"")</f>
        <v/>
      </c>
      <c r="F232" s="105"/>
      <c r="G232" s="106"/>
      <c r="H232" s="68"/>
      <c r="I232" s="67"/>
      <c r="J232" s="69"/>
      <c r="K232" s="29"/>
      <c r="L232" s="67"/>
      <c r="M232" s="69"/>
      <c r="N232" s="29"/>
    </row>
    <row r="233" spans="1:14" x14ac:dyDescent="0.25">
      <c r="A233" s="25"/>
      <c r="B233" s="87"/>
      <c r="C233" s="104"/>
      <c r="D233" s="27" t="str">
        <f>IFERROR(IF(C233="No CAS","",INDEX('DEQ Pollutant List'!$C$7:$C$611,MATCH('5. Pollutant Emissions - MB'!C233,'DEQ Pollutant List'!$B$7:$B$611,0))),"")</f>
        <v/>
      </c>
      <c r="E233" s="13" t="str">
        <f>IFERROR(IF(OR($C233="",$C233="No CAS"),INDEX('DEQ Pollutant List'!$A$7:$A$611,MATCH($D233,'DEQ Pollutant List'!$C$7:$C$611,0)),INDEX('DEQ Pollutant List'!$A$7:$A$611,MATCH($C233,'DEQ Pollutant List'!$B$7:$B$611,0))),"")</f>
        <v/>
      </c>
      <c r="F233" s="105"/>
      <c r="G233" s="106"/>
      <c r="H233" s="68"/>
      <c r="I233" s="67"/>
      <c r="J233" s="69"/>
      <c r="K233" s="29"/>
      <c r="L233" s="67"/>
      <c r="M233" s="69"/>
      <c r="N233" s="29"/>
    </row>
    <row r="234" spans="1:14" x14ac:dyDescent="0.25">
      <c r="A234" s="25"/>
      <c r="B234" s="87"/>
      <c r="C234" s="104"/>
      <c r="D234" s="27" t="str">
        <f>IFERROR(IF(C234="No CAS","",INDEX('DEQ Pollutant List'!$C$7:$C$611,MATCH('5. Pollutant Emissions - MB'!C234,'DEQ Pollutant List'!$B$7:$B$611,0))),"")</f>
        <v/>
      </c>
      <c r="E234" s="13" t="str">
        <f>IFERROR(IF(OR($C234="",$C234="No CAS"),INDEX('DEQ Pollutant List'!$A$7:$A$611,MATCH($D234,'DEQ Pollutant List'!$C$7:$C$611,0)),INDEX('DEQ Pollutant List'!$A$7:$A$611,MATCH($C234,'DEQ Pollutant List'!$B$7:$B$611,0))),"")</f>
        <v/>
      </c>
      <c r="F234" s="105"/>
      <c r="G234" s="106"/>
      <c r="H234" s="68"/>
      <c r="I234" s="67"/>
      <c r="J234" s="69"/>
      <c r="K234" s="29"/>
      <c r="L234" s="67"/>
      <c r="M234" s="69"/>
      <c r="N234" s="29"/>
    </row>
    <row r="235" spans="1:14" x14ac:dyDescent="0.25">
      <c r="A235" s="25"/>
      <c r="B235" s="87"/>
      <c r="C235" s="104"/>
      <c r="D235" s="27" t="str">
        <f>IFERROR(IF(C235="No CAS","",INDEX('DEQ Pollutant List'!$C$7:$C$611,MATCH('5. Pollutant Emissions - MB'!C235,'DEQ Pollutant List'!$B$7:$B$611,0))),"")</f>
        <v/>
      </c>
      <c r="E235" s="13" t="str">
        <f>IFERROR(IF(OR($C235="",$C235="No CAS"),INDEX('DEQ Pollutant List'!$A$7:$A$611,MATCH($D235,'DEQ Pollutant List'!$C$7:$C$611,0)),INDEX('DEQ Pollutant List'!$A$7:$A$611,MATCH($C235,'DEQ Pollutant List'!$B$7:$B$611,0))),"")</f>
        <v/>
      </c>
      <c r="F235" s="105"/>
      <c r="G235" s="106"/>
      <c r="H235" s="68"/>
      <c r="I235" s="67"/>
      <c r="J235" s="69"/>
      <c r="K235" s="29"/>
      <c r="L235" s="67"/>
      <c r="M235" s="69"/>
      <c r="N235" s="29"/>
    </row>
    <row r="236" spans="1:14" x14ac:dyDescent="0.25">
      <c r="A236" s="25"/>
      <c r="B236" s="87"/>
      <c r="C236" s="104"/>
      <c r="D236" s="27" t="str">
        <f>IFERROR(IF(C236="No CAS","",INDEX('DEQ Pollutant List'!$C$7:$C$611,MATCH('5. Pollutant Emissions - MB'!C236,'DEQ Pollutant List'!$B$7:$B$611,0))),"")</f>
        <v/>
      </c>
      <c r="E236" s="13" t="str">
        <f>IFERROR(IF(OR($C236="",$C236="No CAS"),INDEX('DEQ Pollutant List'!$A$7:$A$611,MATCH($D236,'DEQ Pollutant List'!$C$7:$C$611,0)),INDEX('DEQ Pollutant List'!$A$7:$A$611,MATCH($C236,'DEQ Pollutant List'!$B$7:$B$611,0))),"")</f>
        <v/>
      </c>
      <c r="F236" s="105"/>
      <c r="G236" s="106"/>
      <c r="H236" s="68"/>
      <c r="I236" s="67"/>
      <c r="J236" s="69"/>
      <c r="K236" s="29"/>
      <c r="L236" s="67"/>
      <c r="M236" s="69"/>
      <c r="N236" s="29"/>
    </row>
    <row r="237" spans="1:14" x14ac:dyDescent="0.25">
      <c r="A237" s="25"/>
      <c r="B237" s="87"/>
      <c r="C237" s="104"/>
      <c r="D237" s="27" t="str">
        <f>IFERROR(IF(C237="No CAS","",INDEX('DEQ Pollutant List'!$C$7:$C$611,MATCH('5. Pollutant Emissions - MB'!C237,'DEQ Pollutant List'!$B$7:$B$611,0))),"")</f>
        <v/>
      </c>
      <c r="E237" s="13" t="str">
        <f>IFERROR(IF(OR($C237="",$C237="No CAS"),INDEX('DEQ Pollutant List'!$A$7:$A$611,MATCH($D237,'DEQ Pollutant List'!$C$7:$C$611,0)),INDEX('DEQ Pollutant List'!$A$7:$A$611,MATCH($C237,'DEQ Pollutant List'!$B$7:$B$611,0))),"")</f>
        <v/>
      </c>
      <c r="F237" s="105"/>
      <c r="G237" s="106"/>
      <c r="H237" s="68"/>
      <c r="I237" s="67"/>
      <c r="J237" s="69"/>
      <c r="K237" s="29"/>
      <c r="L237" s="67"/>
      <c r="M237" s="69"/>
      <c r="N237" s="29"/>
    </row>
    <row r="238" spans="1:14" x14ac:dyDescent="0.25">
      <c r="A238" s="25"/>
      <c r="B238" s="87"/>
      <c r="C238" s="104"/>
      <c r="D238" s="27" t="str">
        <f>IFERROR(IF(C238="No CAS","",INDEX('DEQ Pollutant List'!$C$7:$C$611,MATCH('5. Pollutant Emissions - MB'!C238,'DEQ Pollutant List'!$B$7:$B$611,0))),"")</f>
        <v/>
      </c>
      <c r="E238" s="13" t="str">
        <f>IFERROR(IF(OR($C238="",$C238="No CAS"),INDEX('DEQ Pollutant List'!$A$7:$A$611,MATCH($D238,'DEQ Pollutant List'!$C$7:$C$611,0)),INDEX('DEQ Pollutant List'!$A$7:$A$611,MATCH($C238,'DEQ Pollutant List'!$B$7:$B$611,0))),"")</f>
        <v/>
      </c>
      <c r="F238" s="105"/>
      <c r="G238" s="106"/>
      <c r="H238" s="68"/>
      <c r="I238" s="67"/>
      <c r="J238" s="69"/>
      <c r="K238" s="29"/>
      <c r="L238" s="67"/>
      <c r="M238" s="69"/>
      <c r="N238" s="29"/>
    </row>
    <row r="239" spans="1:14" x14ac:dyDescent="0.25">
      <c r="A239" s="25"/>
      <c r="B239" s="87"/>
      <c r="C239" s="104"/>
      <c r="D239" s="27" t="str">
        <f>IFERROR(IF(C239="No CAS","",INDEX('DEQ Pollutant List'!$C$7:$C$611,MATCH('5. Pollutant Emissions - MB'!C239,'DEQ Pollutant List'!$B$7:$B$611,0))),"")</f>
        <v/>
      </c>
      <c r="E239" s="13" t="str">
        <f>IFERROR(IF(OR($C239="",$C239="No CAS"),INDEX('DEQ Pollutant List'!$A$7:$A$611,MATCH($D239,'DEQ Pollutant List'!$C$7:$C$611,0)),INDEX('DEQ Pollutant List'!$A$7:$A$611,MATCH($C239,'DEQ Pollutant List'!$B$7:$B$611,0))),"")</f>
        <v/>
      </c>
      <c r="F239" s="105"/>
      <c r="G239" s="106"/>
      <c r="H239" s="68"/>
      <c r="I239" s="67"/>
      <c r="J239" s="69"/>
      <c r="K239" s="29"/>
      <c r="L239" s="67"/>
      <c r="M239" s="69"/>
      <c r="N239" s="29"/>
    </row>
    <row r="240" spans="1:14" x14ac:dyDescent="0.25">
      <c r="A240" s="25"/>
      <c r="B240" s="87"/>
      <c r="C240" s="104"/>
      <c r="D240" s="27" t="str">
        <f>IFERROR(IF(C240="No CAS","",INDEX('DEQ Pollutant List'!$C$7:$C$611,MATCH('5. Pollutant Emissions - MB'!C240,'DEQ Pollutant List'!$B$7:$B$611,0))),"")</f>
        <v/>
      </c>
      <c r="E240" s="13" t="str">
        <f>IFERROR(IF(OR($C240="",$C240="No CAS"),INDEX('DEQ Pollutant List'!$A$7:$A$611,MATCH($D240,'DEQ Pollutant List'!$C$7:$C$611,0)),INDEX('DEQ Pollutant List'!$A$7:$A$611,MATCH($C240,'DEQ Pollutant List'!$B$7:$B$611,0))),"")</f>
        <v/>
      </c>
      <c r="F240" s="105"/>
      <c r="G240" s="106"/>
      <c r="H240" s="68"/>
      <c r="I240" s="67"/>
      <c r="J240" s="69"/>
      <c r="K240" s="29"/>
      <c r="L240" s="67"/>
      <c r="M240" s="69"/>
      <c r="N240" s="29"/>
    </row>
    <row r="241" spans="1:14" x14ac:dyDescent="0.25">
      <c r="A241" s="25"/>
      <c r="B241" s="87"/>
      <c r="C241" s="104"/>
      <c r="D241" s="27" t="str">
        <f>IFERROR(IF(C241="No CAS","",INDEX('DEQ Pollutant List'!$C$7:$C$611,MATCH('5. Pollutant Emissions - MB'!C241,'DEQ Pollutant List'!$B$7:$B$611,0))),"")</f>
        <v/>
      </c>
      <c r="E241" s="13" t="str">
        <f>IFERROR(IF(OR($C241="",$C241="No CAS"),INDEX('DEQ Pollutant List'!$A$7:$A$611,MATCH($D241,'DEQ Pollutant List'!$C$7:$C$611,0)),INDEX('DEQ Pollutant List'!$A$7:$A$611,MATCH($C241,'DEQ Pollutant List'!$B$7:$B$611,0))),"")</f>
        <v/>
      </c>
      <c r="F241" s="105"/>
      <c r="G241" s="106"/>
      <c r="H241" s="68"/>
      <c r="I241" s="67"/>
      <c r="J241" s="69"/>
      <c r="K241" s="29"/>
      <c r="L241" s="67"/>
      <c r="M241" s="69"/>
      <c r="N241" s="29"/>
    </row>
    <row r="242" spans="1:14" x14ac:dyDescent="0.25">
      <c r="A242" s="25"/>
      <c r="B242" s="87"/>
      <c r="C242" s="104"/>
      <c r="D242" s="27" t="str">
        <f>IFERROR(IF(C242="No CAS","",INDEX('DEQ Pollutant List'!$C$7:$C$611,MATCH('5. Pollutant Emissions - MB'!C242,'DEQ Pollutant List'!$B$7:$B$611,0))),"")</f>
        <v/>
      </c>
      <c r="E242" s="13" t="str">
        <f>IFERROR(IF(OR($C242="",$C242="No CAS"),INDEX('DEQ Pollutant List'!$A$7:$A$611,MATCH($D242,'DEQ Pollutant List'!$C$7:$C$611,0)),INDEX('DEQ Pollutant List'!$A$7:$A$611,MATCH($C242,'DEQ Pollutant List'!$B$7:$B$611,0))),"")</f>
        <v/>
      </c>
      <c r="F242" s="105"/>
      <c r="G242" s="106"/>
      <c r="H242" s="68"/>
      <c r="I242" s="67"/>
      <c r="J242" s="69"/>
      <c r="K242" s="29"/>
      <c r="L242" s="67"/>
      <c r="M242" s="69"/>
      <c r="N242" s="29"/>
    </row>
    <row r="243" spans="1:14" x14ac:dyDescent="0.25">
      <c r="A243" s="25"/>
      <c r="B243" s="87"/>
      <c r="C243" s="104"/>
      <c r="D243" s="27" t="str">
        <f>IFERROR(IF(C243="No CAS","",INDEX('DEQ Pollutant List'!$C$7:$C$611,MATCH('5. Pollutant Emissions - MB'!C243,'DEQ Pollutant List'!$B$7:$B$611,0))),"")</f>
        <v/>
      </c>
      <c r="E243" s="13" t="str">
        <f>IFERROR(IF(OR($C243="",$C243="No CAS"),INDEX('DEQ Pollutant List'!$A$7:$A$611,MATCH($D243,'DEQ Pollutant List'!$C$7:$C$611,0)),INDEX('DEQ Pollutant List'!$A$7:$A$611,MATCH($C243,'DEQ Pollutant List'!$B$7:$B$611,0))),"")</f>
        <v/>
      </c>
      <c r="F243" s="105"/>
      <c r="G243" s="106"/>
      <c r="H243" s="68"/>
      <c r="I243" s="67"/>
      <c r="J243" s="69"/>
      <c r="K243" s="29"/>
      <c r="L243" s="67"/>
      <c r="M243" s="69"/>
      <c r="N243" s="29"/>
    </row>
    <row r="244" spans="1:14" x14ac:dyDescent="0.25">
      <c r="A244" s="25"/>
      <c r="B244" s="87"/>
      <c r="C244" s="104"/>
      <c r="D244" s="27" t="str">
        <f>IFERROR(IF(C244="No CAS","",INDEX('DEQ Pollutant List'!$C$7:$C$611,MATCH('5. Pollutant Emissions - MB'!C244,'DEQ Pollutant List'!$B$7:$B$611,0))),"")</f>
        <v/>
      </c>
      <c r="E244" s="13" t="str">
        <f>IFERROR(IF(OR($C244="",$C244="No CAS"),INDEX('DEQ Pollutant List'!$A$7:$A$611,MATCH($D244,'DEQ Pollutant List'!$C$7:$C$611,0)),INDEX('DEQ Pollutant List'!$A$7:$A$611,MATCH($C244,'DEQ Pollutant List'!$B$7:$B$611,0))),"")</f>
        <v/>
      </c>
      <c r="F244" s="105"/>
      <c r="G244" s="106"/>
      <c r="H244" s="68"/>
      <c r="I244" s="67"/>
      <c r="J244" s="69"/>
      <c r="K244" s="29"/>
      <c r="L244" s="67"/>
      <c r="M244" s="69"/>
      <c r="N244" s="29"/>
    </row>
    <row r="245" spans="1:14" x14ac:dyDescent="0.25">
      <c r="A245" s="25"/>
      <c r="B245" s="87"/>
      <c r="C245" s="104"/>
      <c r="D245" s="27" t="str">
        <f>IFERROR(IF(C245="No CAS","",INDEX('DEQ Pollutant List'!$C$7:$C$611,MATCH('5. Pollutant Emissions - MB'!C245,'DEQ Pollutant List'!$B$7:$B$611,0))),"")</f>
        <v/>
      </c>
      <c r="E245" s="13" t="str">
        <f>IFERROR(IF(OR($C245="",$C245="No CAS"),INDEX('DEQ Pollutant List'!$A$7:$A$611,MATCH($D245,'DEQ Pollutant List'!$C$7:$C$611,0)),INDEX('DEQ Pollutant List'!$A$7:$A$611,MATCH($C245,'DEQ Pollutant List'!$B$7:$B$611,0))),"")</f>
        <v/>
      </c>
      <c r="F245" s="105"/>
      <c r="G245" s="106"/>
      <c r="H245" s="68"/>
      <c r="I245" s="67"/>
      <c r="J245" s="69"/>
      <c r="K245" s="29"/>
      <c r="L245" s="67"/>
      <c r="M245" s="69"/>
      <c r="N245" s="29"/>
    </row>
    <row r="246" spans="1:14" x14ac:dyDescent="0.25">
      <c r="A246" s="25"/>
      <c r="B246" s="87"/>
      <c r="C246" s="104"/>
      <c r="D246" s="27" t="str">
        <f>IFERROR(IF(C246="No CAS","",INDEX('DEQ Pollutant List'!$C$7:$C$611,MATCH('5. Pollutant Emissions - MB'!C246,'DEQ Pollutant List'!$B$7:$B$611,0))),"")</f>
        <v/>
      </c>
      <c r="E246" s="13" t="str">
        <f>IFERROR(IF(OR($C246="",$C246="No CAS"),INDEX('DEQ Pollutant List'!$A$7:$A$611,MATCH($D246,'DEQ Pollutant List'!$C$7:$C$611,0)),INDEX('DEQ Pollutant List'!$A$7:$A$611,MATCH($C246,'DEQ Pollutant List'!$B$7:$B$611,0))),"")</f>
        <v/>
      </c>
      <c r="F246" s="105"/>
      <c r="G246" s="106"/>
      <c r="H246" s="68"/>
      <c r="I246" s="67"/>
      <c r="J246" s="69"/>
      <c r="K246" s="29"/>
      <c r="L246" s="67"/>
      <c r="M246" s="69"/>
      <c r="N246" s="29"/>
    </row>
    <row r="247" spans="1:14" x14ac:dyDescent="0.25">
      <c r="A247" s="25"/>
      <c r="B247" s="87"/>
      <c r="C247" s="104"/>
      <c r="D247" s="27" t="str">
        <f>IFERROR(IF(C247="No CAS","",INDEX('DEQ Pollutant List'!$C$7:$C$611,MATCH('5. Pollutant Emissions - MB'!C247,'DEQ Pollutant List'!$B$7:$B$611,0))),"")</f>
        <v/>
      </c>
      <c r="E247" s="13" t="str">
        <f>IFERROR(IF(OR($C247="",$C247="No CAS"),INDEX('DEQ Pollutant List'!$A$7:$A$611,MATCH($D247,'DEQ Pollutant List'!$C$7:$C$611,0)),INDEX('DEQ Pollutant List'!$A$7:$A$611,MATCH($C247,'DEQ Pollutant List'!$B$7:$B$611,0))),"")</f>
        <v/>
      </c>
      <c r="F247" s="105"/>
      <c r="G247" s="106"/>
      <c r="H247" s="68"/>
      <c r="I247" s="67"/>
      <c r="J247" s="69"/>
      <c r="K247" s="29"/>
      <c r="L247" s="67"/>
      <c r="M247" s="69"/>
      <c r="N247" s="29"/>
    </row>
    <row r="248" spans="1:14" x14ac:dyDescent="0.25">
      <c r="A248" s="25"/>
      <c r="B248" s="87"/>
      <c r="C248" s="104"/>
      <c r="D248" s="27" t="str">
        <f>IFERROR(IF(C248="No CAS","",INDEX('DEQ Pollutant List'!$C$7:$C$611,MATCH('5. Pollutant Emissions - MB'!C248,'DEQ Pollutant List'!$B$7:$B$611,0))),"")</f>
        <v/>
      </c>
      <c r="E248" s="13" t="str">
        <f>IFERROR(IF(OR($C248="",$C248="No CAS"),INDEX('DEQ Pollutant List'!$A$7:$A$611,MATCH($D248,'DEQ Pollutant List'!$C$7:$C$611,0)),INDEX('DEQ Pollutant List'!$A$7:$A$611,MATCH($C248,'DEQ Pollutant List'!$B$7:$B$611,0))),"")</f>
        <v/>
      </c>
      <c r="F248" s="105"/>
      <c r="G248" s="106"/>
      <c r="H248" s="68"/>
      <c r="I248" s="67"/>
      <c r="J248" s="69"/>
      <c r="K248" s="29"/>
      <c r="L248" s="67"/>
      <c r="M248" s="69"/>
      <c r="N248" s="29"/>
    </row>
    <row r="249" spans="1:14" x14ac:dyDescent="0.25">
      <c r="A249" s="25"/>
      <c r="B249" s="87"/>
      <c r="C249" s="104"/>
      <c r="D249" s="27" t="str">
        <f>IFERROR(IF(C249="No CAS","",INDEX('DEQ Pollutant List'!$C$7:$C$611,MATCH('5. Pollutant Emissions - MB'!C249,'DEQ Pollutant List'!$B$7:$B$611,0))),"")</f>
        <v/>
      </c>
      <c r="E249" s="13" t="str">
        <f>IFERROR(IF(OR($C249="",$C249="No CAS"),INDEX('DEQ Pollutant List'!$A$7:$A$611,MATCH($D249,'DEQ Pollutant List'!$C$7:$C$611,0)),INDEX('DEQ Pollutant List'!$A$7:$A$611,MATCH($C249,'DEQ Pollutant List'!$B$7:$B$611,0))),"")</f>
        <v/>
      </c>
      <c r="F249" s="105"/>
      <c r="G249" s="106"/>
      <c r="H249" s="68"/>
      <c r="I249" s="67"/>
      <c r="J249" s="69"/>
      <c r="K249" s="29"/>
      <c r="L249" s="67"/>
      <c r="M249" s="69"/>
      <c r="N249" s="29"/>
    </row>
    <row r="250" spans="1:14" x14ac:dyDescent="0.25">
      <c r="A250" s="25"/>
      <c r="B250" s="87"/>
      <c r="C250" s="104"/>
      <c r="D250" s="27" t="str">
        <f>IFERROR(IF(C250="No CAS","",INDEX('DEQ Pollutant List'!$C$7:$C$611,MATCH('5. Pollutant Emissions - MB'!C250,'DEQ Pollutant List'!$B$7:$B$611,0))),"")</f>
        <v/>
      </c>
      <c r="E250" s="13" t="str">
        <f>IFERROR(IF(OR($C250="",$C250="No CAS"),INDEX('DEQ Pollutant List'!$A$7:$A$611,MATCH($D250,'DEQ Pollutant List'!$C$7:$C$611,0)),INDEX('DEQ Pollutant List'!$A$7:$A$611,MATCH($C250,'DEQ Pollutant List'!$B$7:$B$611,0))),"")</f>
        <v/>
      </c>
      <c r="F250" s="105"/>
      <c r="G250" s="106"/>
      <c r="H250" s="68"/>
      <c r="I250" s="67"/>
      <c r="J250" s="69"/>
      <c r="K250" s="29"/>
      <c r="L250" s="67"/>
      <c r="M250" s="69"/>
      <c r="N250" s="29"/>
    </row>
    <row r="251" spans="1:14" x14ac:dyDescent="0.25">
      <c r="A251" s="25"/>
      <c r="B251" s="87"/>
      <c r="C251" s="104"/>
      <c r="D251" s="27" t="str">
        <f>IFERROR(IF(C251="No CAS","",INDEX('DEQ Pollutant List'!$C$7:$C$611,MATCH('5. Pollutant Emissions - MB'!C251,'DEQ Pollutant List'!$B$7:$B$611,0))),"")</f>
        <v/>
      </c>
      <c r="E251" s="13" t="str">
        <f>IFERROR(IF(OR($C251="",$C251="No CAS"),INDEX('DEQ Pollutant List'!$A$7:$A$611,MATCH($D251,'DEQ Pollutant List'!$C$7:$C$611,0)),INDEX('DEQ Pollutant List'!$A$7:$A$611,MATCH($C251,'DEQ Pollutant List'!$B$7:$B$611,0))),"")</f>
        <v/>
      </c>
      <c r="F251" s="105"/>
      <c r="G251" s="106"/>
      <c r="H251" s="68"/>
      <c r="I251" s="67"/>
      <c r="J251" s="69"/>
      <c r="K251" s="29"/>
      <c r="L251" s="67"/>
      <c r="M251" s="69"/>
      <c r="N251" s="29"/>
    </row>
    <row r="252" spans="1:14" x14ac:dyDescent="0.25">
      <c r="A252" s="25"/>
      <c r="B252" s="87"/>
      <c r="C252" s="104"/>
      <c r="D252" s="27" t="str">
        <f>IFERROR(IF(C252="No CAS","",INDEX('DEQ Pollutant List'!$C$7:$C$611,MATCH('5. Pollutant Emissions - MB'!C252,'DEQ Pollutant List'!$B$7:$B$611,0))),"")</f>
        <v/>
      </c>
      <c r="E252" s="13" t="str">
        <f>IFERROR(IF(OR($C252="",$C252="No CAS"),INDEX('DEQ Pollutant List'!$A$7:$A$611,MATCH($D252,'DEQ Pollutant List'!$C$7:$C$611,0)),INDEX('DEQ Pollutant List'!$A$7:$A$611,MATCH($C252,'DEQ Pollutant List'!$B$7:$B$611,0))),"")</f>
        <v/>
      </c>
      <c r="F252" s="105"/>
      <c r="G252" s="106"/>
      <c r="H252" s="68"/>
      <c r="I252" s="67"/>
      <c r="J252" s="69"/>
      <c r="K252" s="29"/>
      <c r="L252" s="67"/>
      <c r="M252" s="69"/>
      <c r="N252" s="29"/>
    </row>
    <row r="253" spans="1:14" x14ac:dyDescent="0.25">
      <c r="A253" s="25"/>
      <c r="B253" s="87"/>
      <c r="C253" s="104"/>
      <c r="D253" s="27" t="str">
        <f>IFERROR(IF(C253="No CAS","",INDEX('DEQ Pollutant List'!$C$7:$C$611,MATCH('5. Pollutant Emissions - MB'!C253,'DEQ Pollutant List'!$B$7:$B$611,0))),"")</f>
        <v/>
      </c>
      <c r="E253" s="13" t="str">
        <f>IFERROR(IF(OR($C253="",$C253="No CAS"),INDEX('DEQ Pollutant List'!$A$7:$A$611,MATCH($D253,'DEQ Pollutant List'!$C$7:$C$611,0)),INDEX('DEQ Pollutant List'!$A$7:$A$611,MATCH($C253,'DEQ Pollutant List'!$B$7:$B$611,0))),"")</f>
        <v/>
      </c>
      <c r="F253" s="105"/>
      <c r="G253" s="106"/>
      <c r="H253" s="68"/>
      <c r="I253" s="67"/>
      <c r="J253" s="69"/>
      <c r="K253" s="29"/>
      <c r="L253" s="67"/>
      <c r="M253" s="69"/>
      <c r="N253" s="29"/>
    </row>
    <row r="254" spans="1:14" x14ac:dyDescent="0.25">
      <c r="A254" s="25"/>
      <c r="B254" s="87"/>
      <c r="C254" s="104"/>
      <c r="D254" s="27" t="str">
        <f>IFERROR(IF(C254="No CAS","",INDEX('DEQ Pollutant List'!$C$7:$C$611,MATCH('5. Pollutant Emissions - MB'!C254,'DEQ Pollutant List'!$B$7:$B$611,0))),"")</f>
        <v/>
      </c>
      <c r="E254" s="13" t="str">
        <f>IFERROR(IF(OR($C254="",$C254="No CAS"),INDEX('DEQ Pollutant List'!$A$7:$A$611,MATCH($D254,'DEQ Pollutant List'!$C$7:$C$611,0)),INDEX('DEQ Pollutant List'!$A$7:$A$611,MATCH($C254,'DEQ Pollutant List'!$B$7:$B$611,0))),"")</f>
        <v/>
      </c>
      <c r="F254" s="105"/>
      <c r="G254" s="106"/>
      <c r="H254" s="68"/>
      <c r="I254" s="67"/>
      <c r="J254" s="69"/>
      <c r="K254" s="29"/>
      <c r="L254" s="67"/>
      <c r="M254" s="69"/>
      <c r="N254" s="29"/>
    </row>
    <row r="255" spans="1:14" x14ac:dyDescent="0.25">
      <c r="A255" s="25"/>
      <c r="B255" s="87"/>
      <c r="C255" s="104"/>
      <c r="D255" s="27" t="str">
        <f>IFERROR(IF(C255="No CAS","",INDEX('DEQ Pollutant List'!$C$7:$C$611,MATCH('5. Pollutant Emissions - MB'!C255,'DEQ Pollutant List'!$B$7:$B$611,0))),"")</f>
        <v/>
      </c>
      <c r="E255" s="13" t="str">
        <f>IFERROR(IF(OR($C255="",$C255="No CAS"),INDEX('DEQ Pollutant List'!$A$7:$A$611,MATCH($D255,'DEQ Pollutant List'!$C$7:$C$611,0)),INDEX('DEQ Pollutant List'!$A$7:$A$611,MATCH($C255,'DEQ Pollutant List'!$B$7:$B$611,0))),"")</f>
        <v/>
      </c>
      <c r="F255" s="105"/>
      <c r="G255" s="106"/>
      <c r="H255" s="68"/>
      <c r="I255" s="67"/>
      <c r="J255" s="69"/>
      <c r="K255" s="29"/>
      <c r="L255" s="67"/>
      <c r="M255" s="69"/>
      <c r="N255" s="29"/>
    </row>
    <row r="256" spans="1:14" x14ac:dyDescent="0.25">
      <c r="A256" s="25"/>
      <c r="B256" s="87"/>
      <c r="C256" s="104"/>
      <c r="D256" s="27" t="str">
        <f>IFERROR(IF(C256="No CAS","",INDEX('DEQ Pollutant List'!$C$7:$C$611,MATCH('5. Pollutant Emissions - MB'!C256,'DEQ Pollutant List'!$B$7:$B$611,0))),"")</f>
        <v/>
      </c>
      <c r="E256" s="13" t="str">
        <f>IFERROR(IF(OR($C256="",$C256="No CAS"),INDEX('DEQ Pollutant List'!$A$7:$A$611,MATCH($D256,'DEQ Pollutant List'!$C$7:$C$611,0)),INDEX('DEQ Pollutant List'!$A$7:$A$611,MATCH($C256,'DEQ Pollutant List'!$B$7:$B$611,0))),"")</f>
        <v/>
      </c>
      <c r="F256" s="105"/>
      <c r="G256" s="106"/>
      <c r="H256" s="68"/>
      <c r="I256" s="67"/>
      <c r="J256" s="69"/>
      <c r="K256" s="29"/>
      <c r="L256" s="67"/>
      <c r="M256" s="69"/>
      <c r="N256" s="29"/>
    </row>
    <row r="257" spans="1:14" x14ac:dyDescent="0.25">
      <c r="A257" s="25"/>
      <c r="B257" s="87"/>
      <c r="C257" s="104"/>
      <c r="D257" s="27" t="str">
        <f>IFERROR(IF(C257="No CAS","",INDEX('DEQ Pollutant List'!$C$7:$C$611,MATCH('5. Pollutant Emissions - MB'!C257,'DEQ Pollutant List'!$B$7:$B$611,0))),"")</f>
        <v/>
      </c>
      <c r="E257" s="13" t="str">
        <f>IFERROR(IF(OR($C257="",$C257="No CAS"),INDEX('DEQ Pollutant List'!$A$7:$A$611,MATCH($D257,'DEQ Pollutant List'!$C$7:$C$611,0)),INDEX('DEQ Pollutant List'!$A$7:$A$611,MATCH($C257,'DEQ Pollutant List'!$B$7:$B$611,0))),"")</f>
        <v/>
      </c>
      <c r="F257" s="105"/>
      <c r="G257" s="106"/>
      <c r="H257" s="68"/>
      <c r="I257" s="67"/>
      <c r="J257" s="69"/>
      <c r="K257" s="29"/>
      <c r="L257" s="67"/>
      <c r="M257" s="69"/>
      <c r="N257" s="29"/>
    </row>
    <row r="258" spans="1:14" x14ac:dyDescent="0.25">
      <c r="A258" s="25"/>
      <c r="B258" s="87"/>
      <c r="C258" s="104"/>
      <c r="D258" s="27" t="str">
        <f>IFERROR(IF(C258="No CAS","",INDEX('DEQ Pollutant List'!$C$7:$C$611,MATCH('5. Pollutant Emissions - MB'!C258,'DEQ Pollutant List'!$B$7:$B$611,0))),"")</f>
        <v/>
      </c>
      <c r="E258" s="13" t="str">
        <f>IFERROR(IF(OR($C258="",$C258="No CAS"),INDEX('DEQ Pollutant List'!$A$7:$A$611,MATCH($D258,'DEQ Pollutant List'!$C$7:$C$611,0)),INDEX('DEQ Pollutant List'!$A$7:$A$611,MATCH($C258,'DEQ Pollutant List'!$B$7:$B$611,0))),"")</f>
        <v/>
      </c>
      <c r="F258" s="105"/>
      <c r="G258" s="106"/>
      <c r="H258" s="68"/>
      <c r="I258" s="67"/>
      <c r="J258" s="69"/>
      <c r="K258" s="29"/>
      <c r="L258" s="67"/>
      <c r="M258" s="69"/>
      <c r="N258" s="29"/>
    </row>
    <row r="259" spans="1:14" x14ac:dyDescent="0.25">
      <c r="A259" s="25"/>
      <c r="B259" s="87"/>
      <c r="C259" s="104"/>
      <c r="D259" s="27" t="str">
        <f>IFERROR(IF(C259="No CAS","",INDEX('DEQ Pollutant List'!$C$7:$C$611,MATCH('5. Pollutant Emissions - MB'!C259,'DEQ Pollutant List'!$B$7:$B$611,0))),"")</f>
        <v/>
      </c>
      <c r="E259" s="13" t="str">
        <f>IFERROR(IF(OR($C259="",$C259="No CAS"),INDEX('DEQ Pollutant List'!$A$7:$A$611,MATCH($D259,'DEQ Pollutant List'!$C$7:$C$611,0)),INDEX('DEQ Pollutant List'!$A$7:$A$611,MATCH($C259,'DEQ Pollutant List'!$B$7:$B$611,0))),"")</f>
        <v/>
      </c>
      <c r="F259" s="105"/>
      <c r="G259" s="106"/>
      <c r="H259" s="68"/>
      <c r="I259" s="67"/>
      <c r="J259" s="69"/>
      <c r="K259" s="29"/>
      <c r="L259" s="67"/>
      <c r="M259" s="69"/>
      <c r="N259" s="29"/>
    </row>
    <row r="260" spans="1:14" x14ac:dyDescent="0.25">
      <c r="A260" s="25"/>
      <c r="B260" s="87"/>
      <c r="C260" s="104"/>
      <c r="D260" s="27" t="str">
        <f>IFERROR(IF(C260="No CAS","",INDEX('DEQ Pollutant List'!$C$7:$C$611,MATCH('5. Pollutant Emissions - MB'!C260,'DEQ Pollutant List'!$B$7:$B$611,0))),"")</f>
        <v/>
      </c>
      <c r="E260" s="13" t="str">
        <f>IFERROR(IF(OR($C260="",$C260="No CAS"),INDEX('DEQ Pollutant List'!$A$7:$A$611,MATCH($D260,'DEQ Pollutant List'!$C$7:$C$611,0)),INDEX('DEQ Pollutant List'!$A$7:$A$611,MATCH($C260,'DEQ Pollutant List'!$B$7:$B$611,0))),"")</f>
        <v/>
      </c>
      <c r="F260" s="105"/>
      <c r="G260" s="106"/>
      <c r="H260" s="68"/>
      <c r="I260" s="67"/>
      <c r="J260" s="69"/>
      <c r="K260" s="29"/>
      <c r="L260" s="67"/>
      <c r="M260" s="69"/>
      <c r="N260" s="29"/>
    </row>
    <row r="261" spans="1:14" x14ac:dyDescent="0.25">
      <c r="A261" s="25"/>
      <c r="B261" s="87"/>
      <c r="C261" s="104"/>
      <c r="D261" s="27" t="str">
        <f>IFERROR(IF(C261="No CAS","",INDEX('DEQ Pollutant List'!$C$7:$C$611,MATCH('5. Pollutant Emissions - MB'!C261,'DEQ Pollutant List'!$B$7:$B$611,0))),"")</f>
        <v/>
      </c>
      <c r="E261" s="13" t="str">
        <f>IFERROR(IF(OR($C261="",$C261="No CAS"),INDEX('DEQ Pollutant List'!$A$7:$A$611,MATCH($D261,'DEQ Pollutant List'!$C$7:$C$611,0)),INDEX('DEQ Pollutant List'!$A$7:$A$611,MATCH($C261,'DEQ Pollutant List'!$B$7:$B$611,0))),"")</f>
        <v/>
      </c>
      <c r="F261" s="105"/>
      <c r="G261" s="106"/>
      <c r="H261" s="68"/>
      <c r="I261" s="67"/>
      <c r="J261" s="69"/>
      <c r="K261" s="29"/>
      <c r="L261" s="67"/>
      <c r="M261" s="69"/>
      <c r="N261" s="29"/>
    </row>
    <row r="262" spans="1:14" x14ac:dyDescent="0.25">
      <c r="A262" s="25"/>
      <c r="B262" s="87"/>
      <c r="C262" s="104"/>
      <c r="D262" s="27" t="str">
        <f>IFERROR(IF(C262="No CAS","",INDEX('DEQ Pollutant List'!$C$7:$C$611,MATCH('5. Pollutant Emissions - MB'!C262,'DEQ Pollutant List'!$B$7:$B$611,0))),"")</f>
        <v/>
      </c>
      <c r="E262" s="13" t="str">
        <f>IFERROR(IF(OR($C262="",$C262="No CAS"),INDEX('DEQ Pollutant List'!$A$7:$A$611,MATCH($D262,'DEQ Pollutant List'!$C$7:$C$611,0)),INDEX('DEQ Pollutant List'!$A$7:$A$611,MATCH($C262,'DEQ Pollutant List'!$B$7:$B$611,0))),"")</f>
        <v/>
      </c>
      <c r="F262" s="105"/>
      <c r="G262" s="106"/>
      <c r="H262" s="68"/>
      <c r="I262" s="67"/>
      <c r="J262" s="69"/>
      <c r="K262" s="29"/>
      <c r="L262" s="67"/>
      <c r="M262" s="69"/>
      <c r="N262" s="29"/>
    </row>
    <row r="263" spans="1:14" x14ac:dyDescent="0.25">
      <c r="A263" s="25"/>
      <c r="B263" s="87"/>
      <c r="C263" s="104"/>
      <c r="D263" s="27" t="str">
        <f>IFERROR(IF(C263="No CAS","",INDEX('DEQ Pollutant List'!$C$7:$C$611,MATCH('5. Pollutant Emissions - MB'!C263,'DEQ Pollutant List'!$B$7:$B$611,0))),"")</f>
        <v/>
      </c>
      <c r="E263" s="13" t="str">
        <f>IFERROR(IF(OR($C263="",$C263="No CAS"),INDEX('DEQ Pollutant List'!$A$7:$A$611,MATCH($D263,'DEQ Pollutant List'!$C$7:$C$611,0)),INDEX('DEQ Pollutant List'!$A$7:$A$611,MATCH($C263,'DEQ Pollutant List'!$B$7:$B$611,0))),"")</f>
        <v/>
      </c>
      <c r="F263" s="105"/>
      <c r="G263" s="106"/>
      <c r="H263" s="68"/>
      <c r="I263" s="67"/>
      <c r="J263" s="69"/>
      <c r="K263" s="29"/>
      <c r="L263" s="67"/>
      <c r="M263" s="69"/>
      <c r="N263" s="29"/>
    </row>
    <row r="264" spans="1:14" x14ac:dyDescent="0.25">
      <c r="A264" s="25"/>
      <c r="B264" s="87"/>
      <c r="C264" s="104"/>
      <c r="D264" s="27" t="str">
        <f>IFERROR(IF(C264="No CAS","",INDEX('DEQ Pollutant List'!$C$7:$C$611,MATCH('5. Pollutant Emissions - MB'!C264,'DEQ Pollutant List'!$B$7:$B$611,0))),"")</f>
        <v/>
      </c>
      <c r="E264" s="13" t="str">
        <f>IFERROR(IF(OR($C264="",$C264="No CAS"),INDEX('DEQ Pollutant List'!$A$7:$A$611,MATCH($D264,'DEQ Pollutant List'!$C$7:$C$611,0)),INDEX('DEQ Pollutant List'!$A$7:$A$611,MATCH($C264,'DEQ Pollutant List'!$B$7:$B$611,0))),"")</f>
        <v/>
      </c>
      <c r="F264" s="105"/>
      <c r="G264" s="106"/>
      <c r="H264" s="68"/>
      <c r="I264" s="67"/>
      <c r="J264" s="69"/>
      <c r="K264" s="29"/>
      <c r="L264" s="67"/>
      <c r="M264" s="69"/>
      <c r="N264" s="29"/>
    </row>
    <row r="265" spans="1:14" x14ac:dyDescent="0.25">
      <c r="A265" s="25"/>
      <c r="B265" s="87"/>
      <c r="C265" s="104"/>
      <c r="D265" s="27" t="str">
        <f>IFERROR(IF(C265="No CAS","",INDEX('DEQ Pollutant List'!$C$7:$C$611,MATCH('5. Pollutant Emissions - MB'!C265,'DEQ Pollutant List'!$B$7:$B$611,0))),"")</f>
        <v/>
      </c>
      <c r="E265" s="13" t="str">
        <f>IFERROR(IF(OR($C265="",$C265="No CAS"),INDEX('DEQ Pollutant List'!$A$7:$A$611,MATCH($D265,'DEQ Pollutant List'!$C$7:$C$611,0)),INDEX('DEQ Pollutant List'!$A$7:$A$611,MATCH($C265,'DEQ Pollutant List'!$B$7:$B$611,0))),"")</f>
        <v/>
      </c>
      <c r="F265" s="105"/>
      <c r="G265" s="106"/>
      <c r="H265" s="68"/>
      <c r="I265" s="67"/>
      <c r="J265" s="69"/>
      <c r="K265" s="29"/>
      <c r="L265" s="67"/>
      <c r="M265" s="69"/>
      <c r="N265" s="29"/>
    </row>
    <row r="266" spans="1:14" x14ac:dyDescent="0.25">
      <c r="A266" s="25"/>
      <c r="B266" s="87"/>
      <c r="C266" s="104"/>
      <c r="D266" s="27" t="str">
        <f>IFERROR(IF(C266="No CAS","",INDEX('DEQ Pollutant List'!$C$7:$C$611,MATCH('5. Pollutant Emissions - MB'!C266,'DEQ Pollutant List'!$B$7:$B$611,0))),"")</f>
        <v/>
      </c>
      <c r="E266" s="13" t="str">
        <f>IFERROR(IF(OR($C266="",$C266="No CAS"),INDEX('DEQ Pollutant List'!$A$7:$A$611,MATCH($D266,'DEQ Pollutant List'!$C$7:$C$611,0)),INDEX('DEQ Pollutant List'!$A$7:$A$611,MATCH($C266,'DEQ Pollutant List'!$B$7:$B$611,0))),"")</f>
        <v/>
      </c>
      <c r="F266" s="105"/>
      <c r="G266" s="106"/>
      <c r="H266" s="68"/>
      <c r="I266" s="67"/>
      <c r="J266" s="69"/>
      <c r="K266" s="29"/>
      <c r="L266" s="67"/>
      <c r="M266" s="69"/>
      <c r="N266" s="29"/>
    </row>
    <row r="267" spans="1:14" x14ac:dyDescent="0.25">
      <c r="A267" s="25"/>
      <c r="B267" s="87"/>
      <c r="C267" s="104"/>
      <c r="D267" s="27" t="str">
        <f>IFERROR(IF(C267="No CAS","",INDEX('DEQ Pollutant List'!$C$7:$C$611,MATCH('5. Pollutant Emissions - MB'!C267,'DEQ Pollutant List'!$B$7:$B$611,0))),"")</f>
        <v/>
      </c>
      <c r="E267" s="13" t="str">
        <f>IFERROR(IF(OR($C267="",$C267="No CAS"),INDEX('DEQ Pollutant List'!$A$7:$A$611,MATCH($D267,'DEQ Pollutant List'!$C$7:$C$611,0)),INDEX('DEQ Pollutant List'!$A$7:$A$611,MATCH($C267,'DEQ Pollutant List'!$B$7:$B$611,0))),"")</f>
        <v/>
      </c>
      <c r="F267" s="105"/>
      <c r="G267" s="106"/>
      <c r="H267" s="68"/>
      <c r="I267" s="67"/>
      <c r="J267" s="69"/>
      <c r="K267" s="29"/>
      <c r="L267" s="67"/>
      <c r="M267" s="69"/>
      <c r="N267" s="29"/>
    </row>
    <row r="268" spans="1:14" x14ac:dyDescent="0.25">
      <c r="A268" s="25"/>
      <c r="B268" s="87"/>
      <c r="C268" s="104"/>
      <c r="D268" s="27" t="str">
        <f>IFERROR(IF(C268="No CAS","",INDEX('DEQ Pollutant List'!$C$7:$C$611,MATCH('5. Pollutant Emissions - MB'!C268,'DEQ Pollutant List'!$B$7:$B$611,0))),"")</f>
        <v/>
      </c>
      <c r="E268" s="13" t="str">
        <f>IFERROR(IF(OR($C268="",$C268="No CAS"),INDEX('DEQ Pollutant List'!$A$7:$A$611,MATCH($D268,'DEQ Pollutant List'!$C$7:$C$611,0)),INDEX('DEQ Pollutant List'!$A$7:$A$611,MATCH($C268,'DEQ Pollutant List'!$B$7:$B$611,0))),"")</f>
        <v/>
      </c>
      <c r="F268" s="105"/>
      <c r="G268" s="106"/>
      <c r="H268" s="68"/>
      <c r="I268" s="67"/>
      <c r="J268" s="69"/>
      <c r="K268" s="29"/>
      <c r="L268" s="67"/>
      <c r="M268" s="69"/>
      <c r="N268" s="29"/>
    </row>
    <row r="269" spans="1:14" x14ac:dyDescent="0.25">
      <c r="A269" s="25"/>
      <c r="B269" s="87"/>
      <c r="C269" s="104"/>
      <c r="D269" s="27" t="str">
        <f>IFERROR(IF(C269="No CAS","",INDEX('DEQ Pollutant List'!$C$7:$C$611,MATCH('5. Pollutant Emissions - MB'!C269,'DEQ Pollutant List'!$B$7:$B$611,0))),"")</f>
        <v/>
      </c>
      <c r="E269" s="13" t="str">
        <f>IFERROR(IF(OR($C269="",$C269="No CAS"),INDEX('DEQ Pollutant List'!$A$7:$A$611,MATCH($D269,'DEQ Pollutant List'!$C$7:$C$611,0)),INDEX('DEQ Pollutant List'!$A$7:$A$611,MATCH($C269,'DEQ Pollutant List'!$B$7:$B$611,0))),"")</f>
        <v/>
      </c>
      <c r="F269" s="105"/>
      <c r="G269" s="106"/>
      <c r="H269" s="68"/>
      <c r="I269" s="67"/>
      <c r="J269" s="69"/>
      <c r="K269" s="29"/>
      <c r="L269" s="67"/>
      <c r="M269" s="69"/>
      <c r="N269" s="29"/>
    </row>
    <row r="270" spans="1:14" x14ac:dyDescent="0.25">
      <c r="A270" s="25"/>
      <c r="B270" s="87"/>
      <c r="C270" s="104"/>
      <c r="D270" s="27" t="str">
        <f>IFERROR(IF(C270="No CAS","",INDEX('DEQ Pollutant List'!$C$7:$C$611,MATCH('5. Pollutant Emissions - MB'!C270,'DEQ Pollutant List'!$B$7:$B$611,0))),"")</f>
        <v/>
      </c>
      <c r="E270" s="13" t="str">
        <f>IFERROR(IF(OR($C270="",$C270="No CAS"),INDEX('DEQ Pollutant List'!$A$7:$A$611,MATCH($D270,'DEQ Pollutant List'!$C$7:$C$611,0)),INDEX('DEQ Pollutant List'!$A$7:$A$611,MATCH($C270,'DEQ Pollutant List'!$B$7:$B$611,0))),"")</f>
        <v/>
      </c>
      <c r="F270" s="105"/>
      <c r="G270" s="106"/>
      <c r="H270" s="68"/>
      <c r="I270" s="67"/>
      <c r="J270" s="69"/>
      <c r="K270" s="29"/>
      <c r="L270" s="67"/>
      <c r="M270" s="69"/>
      <c r="N270" s="29"/>
    </row>
    <row r="271" spans="1:14" x14ac:dyDescent="0.25">
      <c r="A271" s="25"/>
      <c r="B271" s="87"/>
      <c r="C271" s="104"/>
      <c r="D271" s="27" t="str">
        <f>IFERROR(IF(C271="No CAS","",INDEX('DEQ Pollutant List'!$C$7:$C$611,MATCH('5. Pollutant Emissions - MB'!C271,'DEQ Pollutant List'!$B$7:$B$611,0))),"")</f>
        <v/>
      </c>
      <c r="E271" s="13" t="str">
        <f>IFERROR(IF(OR($C271="",$C271="No CAS"),INDEX('DEQ Pollutant List'!$A$7:$A$611,MATCH($D271,'DEQ Pollutant List'!$C$7:$C$611,0)),INDEX('DEQ Pollutant List'!$A$7:$A$611,MATCH($C271,'DEQ Pollutant List'!$B$7:$B$611,0))),"")</f>
        <v/>
      </c>
      <c r="F271" s="105"/>
      <c r="G271" s="106"/>
      <c r="H271" s="68"/>
      <c r="I271" s="67"/>
      <c r="J271" s="69"/>
      <c r="K271" s="29"/>
      <c r="L271" s="67"/>
      <c r="M271" s="69"/>
      <c r="N271" s="29"/>
    </row>
    <row r="272" spans="1:14" x14ac:dyDescent="0.25">
      <c r="A272" s="25"/>
      <c r="B272" s="87"/>
      <c r="C272" s="104"/>
      <c r="D272" s="27" t="str">
        <f>IFERROR(IF(C272="No CAS","",INDEX('DEQ Pollutant List'!$C$7:$C$611,MATCH('5. Pollutant Emissions - MB'!C272,'DEQ Pollutant List'!$B$7:$B$611,0))),"")</f>
        <v/>
      </c>
      <c r="E272" s="13" t="str">
        <f>IFERROR(IF(OR($C272="",$C272="No CAS"),INDEX('DEQ Pollutant List'!$A$7:$A$611,MATCH($D272,'DEQ Pollutant List'!$C$7:$C$611,0)),INDEX('DEQ Pollutant List'!$A$7:$A$611,MATCH($C272,'DEQ Pollutant List'!$B$7:$B$611,0))),"")</f>
        <v/>
      </c>
      <c r="F272" s="105"/>
      <c r="G272" s="106"/>
      <c r="H272" s="68"/>
      <c r="I272" s="67"/>
      <c r="J272" s="69"/>
      <c r="K272" s="29"/>
      <c r="L272" s="67"/>
      <c r="M272" s="69"/>
      <c r="N272" s="29"/>
    </row>
    <row r="273" spans="1:14" x14ac:dyDescent="0.25">
      <c r="A273" s="25"/>
      <c r="B273" s="87"/>
      <c r="C273" s="104"/>
      <c r="D273" s="27" t="str">
        <f>IFERROR(IF(C273="No CAS","",INDEX('DEQ Pollutant List'!$C$7:$C$611,MATCH('5. Pollutant Emissions - MB'!C273,'DEQ Pollutant List'!$B$7:$B$611,0))),"")</f>
        <v/>
      </c>
      <c r="E273" s="13" t="str">
        <f>IFERROR(IF(OR($C273="",$C273="No CAS"),INDEX('DEQ Pollutant List'!$A$7:$A$611,MATCH($D273,'DEQ Pollutant List'!$C$7:$C$611,0)),INDEX('DEQ Pollutant List'!$A$7:$A$611,MATCH($C273,'DEQ Pollutant List'!$B$7:$B$611,0))),"")</f>
        <v/>
      </c>
      <c r="F273" s="105"/>
      <c r="G273" s="106"/>
      <c r="H273" s="68"/>
      <c r="I273" s="67"/>
      <c r="J273" s="69"/>
      <c r="K273" s="29"/>
      <c r="L273" s="67"/>
      <c r="M273" s="69"/>
      <c r="N273" s="29"/>
    </row>
    <row r="274" spans="1:14" x14ac:dyDescent="0.25">
      <c r="A274" s="25"/>
      <c r="B274" s="87"/>
      <c r="C274" s="104"/>
      <c r="D274" s="27" t="str">
        <f>IFERROR(IF(C274="No CAS","",INDEX('DEQ Pollutant List'!$C$7:$C$611,MATCH('5. Pollutant Emissions - MB'!C274,'DEQ Pollutant List'!$B$7:$B$611,0))),"")</f>
        <v/>
      </c>
      <c r="E274" s="13" t="str">
        <f>IFERROR(IF(OR($C274="",$C274="No CAS"),INDEX('DEQ Pollutant List'!$A$7:$A$611,MATCH($D274,'DEQ Pollutant List'!$C$7:$C$611,0)),INDEX('DEQ Pollutant List'!$A$7:$A$611,MATCH($C274,'DEQ Pollutant List'!$B$7:$B$611,0))),"")</f>
        <v/>
      </c>
      <c r="F274" s="105"/>
      <c r="G274" s="106"/>
      <c r="H274" s="68"/>
      <c r="I274" s="67"/>
      <c r="J274" s="69"/>
      <c r="K274" s="29"/>
      <c r="L274" s="67"/>
      <c r="M274" s="69"/>
      <c r="N274" s="29"/>
    </row>
    <row r="275" spans="1:14" x14ac:dyDescent="0.25">
      <c r="A275" s="25"/>
      <c r="B275" s="87"/>
      <c r="C275" s="104"/>
      <c r="D275" s="27" t="str">
        <f>IFERROR(IF(C275="No CAS","",INDEX('DEQ Pollutant List'!$C$7:$C$611,MATCH('5. Pollutant Emissions - MB'!C275,'DEQ Pollutant List'!$B$7:$B$611,0))),"")</f>
        <v/>
      </c>
      <c r="E275" s="13" t="str">
        <f>IFERROR(IF(OR($C275="",$C275="No CAS"),INDEX('DEQ Pollutant List'!$A$7:$A$611,MATCH($D275,'DEQ Pollutant List'!$C$7:$C$611,0)),INDEX('DEQ Pollutant List'!$A$7:$A$611,MATCH($C275,'DEQ Pollutant List'!$B$7:$B$611,0))),"")</f>
        <v/>
      </c>
      <c r="F275" s="105"/>
      <c r="G275" s="106"/>
      <c r="H275" s="68"/>
      <c r="I275" s="67"/>
      <c r="J275" s="69"/>
      <c r="K275" s="29"/>
      <c r="L275" s="67"/>
      <c r="M275" s="69"/>
      <c r="N275" s="29"/>
    </row>
    <row r="276" spans="1:14" x14ac:dyDescent="0.25">
      <c r="A276" s="25"/>
      <c r="B276" s="87"/>
      <c r="C276" s="104"/>
      <c r="D276" s="27" t="str">
        <f>IFERROR(IF(C276="No CAS","",INDEX('DEQ Pollutant List'!$C$7:$C$611,MATCH('5. Pollutant Emissions - MB'!C276,'DEQ Pollutant List'!$B$7:$B$611,0))),"")</f>
        <v/>
      </c>
      <c r="E276" s="13" t="str">
        <f>IFERROR(IF(OR($C276="",$C276="No CAS"),INDEX('DEQ Pollutant List'!$A$7:$A$611,MATCH($D276,'DEQ Pollutant List'!$C$7:$C$611,0)),INDEX('DEQ Pollutant List'!$A$7:$A$611,MATCH($C276,'DEQ Pollutant List'!$B$7:$B$611,0))),"")</f>
        <v/>
      </c>
      <c r="F276" s="105"/>
      <c r="G276" s="106"/>
      <c r="H276" s="68"/>
      <c r="I276" s="67"/>
      <c r="J276" s="69"/>
      <c r="K276" s="29"/>
      <c r="L276" s="67"/>
      <c r="M276" s="69"/>
      <c r="N276" s="29"/>
    </row>
    <row r="277" spans="1:14" x14ac:dyDescent="0.25">
      <c r="A277" s="25"/>
      <c r="B277" s="87"/>
      <c r="C277" s="104"/>
      <c r="D277" s="27" t="str">
        <f>IFERROR(IF(C277="No CAS","",INDEX('DEQ Pollutant List'!$C$7:$C$611,MATCH('5. Pollutant Emissions - MB'!C277,'DEQ Pollutant List'!$B$7:$B$611,0))),"")</f>
        <v/>
      </c>
      <c r="E277" s="13" t="str">
        <f>IFERROR(IF(OR($C277="",$C277="No CAS"),INDEX('DEQ Pollutant List'!$A$7:$A$611,MATCH($D277,'DEQ Pollutant List'!$C$7:$C$611,0)),INDEX('DEQ Pollutant List'!$A$7:$A$611,MATCH($C277,'DEQ Pollutant List'!$B$7:$B$611,0))),"")</f>
        <v/>
      </c>
      <c r="F277" s="105"/>
      <c r="G277" s="106"/>
      <c r="H277" s="68"/>
      <c r="I277" s="67"/>
      <c r="J277" s="69"/>
      <c r="K277" s="29"/>
      <c r="L277" s="67"/>
      <c r="M277" s="69"/>
      <c r="N277" s="29"/>
    </row>
    <row r="278" spans="1:14" x14ac:dyDescent="0.25">
      <c r="A278" s="25"/>
      <c r="B278" s="87"/>
      <c r="C278" s="104"/>
      <c r="D278" s="27" t="str">
        <f>IFERROR(IF(C278="No CAS","",INDEX('DEQ Pollutant List'!$C$7:$C$611,MATCH('5. Pollutant Emissions - MB'!C278,'DEQ Pollutant List'!$B$7:$B$611,0))),"")</f>
        <v/>
      </c>
      <c r="E278" s="13" t="str">
        <f>IFERROR(IF(OR($C278="",$C278="No CAS"),INDEX('DEQ Pollutant List'!$A$7:$A$611,MATCH($D278,'DEQ Pollutant List'!$C$7:$C$611,0)),INDEX('DEQ Pollutant List'!$A$7:$A$611,MATCH($C278,'DEQ Pollutant List'!$B$7:$B$611,0))),"")</f>
        <v/>
      </c>
      <c r="F278" s="105"/>
      <c r="G278" s="106"/>
      <c r="H278" s="68"/>
      <c r="I278" s="67"/>
      <c r="J278" s="69"/>
      <c r="K278" s="29"/>
      <c r="L278" s="67"/>
      <c r="M278" s="69"/>
      <c r="N278" s="29"/>
    </row>
    <row r="279" spans="1:14" x14ac:dyDescent="0.25">
      <c r="A279" s="25"/>
      <c r="B279" s="87"/>
      <c r="C279" s="104"/>
      <c r="D279" s="27" t="str">
        <f>IFERROR(IF(C279="No CAS","",INDEX('DEQ Pollutant List'!$C$7:$C$611,MATCH('5. Pollutant Emissions - MB'!C279,'DEQ Pollutant List'!$B$7:$B$611,0))),"")</f>
        <v/>
      </c>
      <c r="E279" s="13" t="str">
        <f>IFERROR(IF(OR($C279="",$C279="No CAS"),INDEX('DEQ Pollutant List'!$A$7:$A$611,MATCH($D279,'DEQ Pollutant List'!$C$7:$C$611,0)),INDEX('DEQ Pollutant List'!$A$7:$A$611,MATCH($C279,'DEQ Pollutant List'!$B$7:$B$611,0))),"")</f>
        <v/>
      </c>
      <c r="F279" s="105"/>
      <c r="G279" s="106"/>
      <c r="H279" s="68"/>
      <c r="I279" s="67"/>
      <c r="J279" s="69"/>
      <c r="K279" s="29"/>
      <c r="L279" s="67"/>
      <c r="M279" s="69"/>
      <c r="N279" s="29"/>
    </row>
    <row r="280" spans="1:14" x14ac:dyDescent="0.25">
      <c r="A280" s="25"/>
      <c r="B280" s="87"/>
      <c r="C280" s="104"/>
      <c r="D280" s="27" t="str">
        <f>IFERROR(IF(C280="No CAS","",INDEX('DEQ Pollutant List'!$C$7:$C$611,MATCH('5. Pollutant Emissions - MB'!C280,'DEQ Pollutant List'!$B$7:$B$611,0))),"")</f>
        <v/>
      </c>
      <c r="E280" s="13" t="str">
        <f>IFERROR(IF(OR($C280="",$C280="No CAS"),INDEX('DEQ Pollutant List'!$A$7:$A$611,MATCH($D280,'DEQ Pollutant List'!$C$7:$C$611,0)),INDEX('DEQ Pollutant List'!$A$7:$A$611,MATCH($C280,'DEQ Pollutant List'!$B$7:$B$611,0))),"")</f>
        <v/>
      </c>
      <c r="F280" s="105"/>
      <c r="G280" s="106"/>
      <c r="H280" s="68"/>
      <c r="I280" s="67"/>
      <c r="J280" s="69"/>
      <c r="K280" s="29"/>
      <c r="L280" s="67"/>
      <c r="M280" s="69"/>
      <c r="N280" s="29"/>
    </row>
    <row r="281" spans="1:14" x14ac:dyDescent="0.25">
      <c r="A281" s="25"/>
      <c r="B281" s="87"/>
      <c r="C281" s="104"/>
      <c r="D281" s="27" t="str">
        <f>IFERROR(IF(C281="No CAS","",INDEX('DEQ Pollutant List'!$C$7:$C$611,MATCH('5. Pollutant Emissions - MB'!C281,'DEQ Pollutant List'!$B$7:$B$611,0))),"")</f>
        <v/>
      </c>
      <c r="E281" s="13" t="str">
        <f>IFERROR(IF(OR($C281="",$C281="No CAS"),INDEX('DEQ Pollutant List'!$A$7:$A$611,MATCH($D281,'DEQ Pollutant List'!$C$7:$C$611,0)),INDEX('DEQ Pollutant List'!$A$7:$A$611,MATCH($C281,'DEQ Pollutant List'!$B$7:$B$611,0))),"")</f>
        <v/>
      </c>
      <c r="F281" s="105"/>
      <c r="G281" s="106"/>
      <c r="H281" s="68"/>
      <c r="I281" s="67"/>
      <c r="J281" s="69"/>
      <c r="K281" s="29"/>
      <c r="L281" s="67"/>
      <c r="M281" s="69"/>
      <c r="N281" s="29"/>
    </row>
    <row r="282" spans="1:14" x14ac:dyDescent="0.25">
      <c r="A282" s="25"/>
      <c r="B282" s="87"/>
      <c r="C282" s="104"/>
      <c r="D282" s="27" t="str">
        <f>IFERROR(IF(C282="No CAS","",INDEX('DEQ Pollutant List'!$C$7:$C$611,MATCH('5. Pollutant Emissions - MB'!C282,'DEQ Pollutant List'!$B$7:$B$611,0))),"")</f>
        <v/>
      </c>
      <c r="E282" s="13" t="str">
        <f>IFERROR(IF(OR($C282="",$C282="No CAS"),INDEX('DEQ Pollutant List'!$A$7:$A$611,MATCH($D282,'DEQ Pollutant List'!$C$7:$C$611,0)),INDEX('DEQ Pollutant List'!$A$7:$A$611,MATCH($C282,'DEQ Pollutant List'!$B$7:$B$611,0))),"")</f>
        <v/>
      </c>
      <c r="F282" s="105"/>
      <c r="G282" s="106"/>
      <c r="H282" s="68"/>
      <c r="I282" s="67"/>
      <c r="J282" s="69"/>
      <c r="K282" s="29"/>
      <c r="L282" s="67"/>
      <c r="M282" s="69"/>
      <c r="N282" s="29"/>
    </row>
    <row r="283" spans="1:14" x14ac:dyDescent="0.25">
      <c r="A283" s="25"/>
      <c r="B283" s="87"/>
      <c r="C283" s="104"/>
      <c r="D283" s="27" t="str">
        <f>IFERROR(IF(C283="No CAS","",INDEX('DEQ Pollutant List'!$C$7:$C$611,MATCH('5. Pollutant Emissions - MB'!C283,'DEQ Pollutant List'!$B$7:$B$611,0))),"")</f>
        <v/>
      </c>
      <c r="E283" s="13" t="str">
        <f>IFERROR(IF(OR($C283="",$C283="No CAS"),INDEX('DEQ Pollutant List'!$A$7:$A$611,MATCH($D283,'DEQ Pollutant List'!$C$7:$C$611,0)),INDEX('DEQ Pollutant List'!$A$7:$A$611,MATCH($C283,'DEQ Pollutant List'!$B$7:$B$611,0))),"")</f>
        <v/>
      </c>
      <c r="F283" s="105"/>
      <c r="G283" s="106"/>
      <c r="H283" s="68"/>
      <c r="I283" s="67"/>
      <c r="J283" s="69"/>
      <c r="K283" s="29"/>
      <c r="L283" s="67"/>
      <c r="M283" s="69"/>
      <c r="N283" s="29"/>
    </row>
    <row r="284" spans="1:14" x14ac:dyDescent="0.25">
      <c r="A284" s="25"/>
      <c r="B284" s="87"/>
      <c r="C284" s="104"/>
      <c r="D284" s="27" t="str">
        <f>IFERROR(IF(C284="No CAS","",INDEX('DEQ Pollutant List'!$C$7:$C$611,MATCH('5. Pollutant Emissions - MB'!C284,'DEQ Pollutant List'!$B$7:$B$611,0))),"")</f>
        <v/>
      </c>
      <c r="E284" s="13" t="str">
        <f>IFERROR(IF(OR($C284="",$C284="No CAS"),INDEX('DEQ Pollutant List'!$A$7:$A$611,MATCH($D284,'DEQ Pollutant List'!$C$7:$C$611,0)),INDEX('DEQ Pollutant List'!$A$7:$A$611,MATCH($C284,'DEQ Pollutant List'!$B$7:$B$611,0))),"")</f>
        <v/>
      </c>
      <c r="F284" s="105"/>
      <c r="G284" s="106"/>
      <c r="H284" s="68"/>
      <c r="I284" s="67"/>
      <c r="J284" s="69"/>
      <c r="K284" s="29"/>
      <c r="L284" s="67"/>
      <c r="M284" s="69"/>
      <c r="N284" s="29"/>
    </row>
    <row r="285" spans="1:14" x14ac:dyDescent="0.25">
      <c r="A285" s="25"/>
      <c r="B285" s="87"/>
      <c r="C285" s="104"/>
      <c r="D285" s="27" t="str">
        <f>IFERROR(IF(C285="No CAS","",INDEX('DEQ Pollutant List'!$C$7:$C$611,MATCH('5. Pollutant Emissions - MB'!C285,'DEQ Pollutant List'!$B$7:$B$611,0))),"")</f>
        <v/>
      </c>
      <c r="E285" s="13" t="str">
        <f>IFERROR(IF(OR($C285="",$C285="No CAS"),INDEX('DEQ Pollutant List'!$A$7:$A$611,MATCH($D285,'DEQ Pollutant List'!$C$7:$C$611,0)),INDEX('DEQ Pollutant List'!$A$7:$A$611,MATCH($C285,'DEQ Pollutant List'!$B$7:$B$611,0))),"")</f>
        <v/>
      </c>
      <c r="F285" s="105"/>
      <c r="G285" s="106"/>
      <c r="H285" s="68"/>
      <c r="I285" s="67"/>
      <c r="J285" s="69"/>
      <c r="K285" s="29"/>
      <c r="L285" s="67"/>
      <c r="M285" s="69"/>
      <c r="N285" s="29"/>
    </row>
    <row r="286" spans="1:14" x14ac:dyDescent="0.25">
      <c r="A286" s="25"/>
      <c r="B286" s="87"/>
      <c r="C286" s="104"/>
      <c r="D286" s="27" t="str">
        <f>IFERROR(IF(C286="No CAS","",INDEX('DEQ Pollutant List'!$C$7:$C$611,MATCH('5. Pollutant Emissions - MB'!C286,'DEQ Pollutant List'!$B$7:$B$611,0))),"")</f>
        <v/>
      </c>
      <c r="E286" s="13" t="str">
        <f>IFERROR(IF(OR($C286="",$C286="No CAS"),INDEX('DEQ Pollutant List'!$A$7:$A$611,MATCH($D286,'DEQ Pollutant List'!$C$7:$C$611,0)),INDEX('DEQ Pollutant List'!$A$7:$A$611,MATCH($C286,'DEQ Pollutant List'!$B$7:$B$611,0))),"")</f>
        <v/>
      </c>
      <c r="F286" s="105"/>
      <c r="G286" s="106"/>
      <c r="H286" s="68"/>
      <c r="I286" s="67"/>
      <c r="J286" s="69"/>
      <c r="K286" s="29"/>
      <c r="L286" s="67"/>
      <c r="M286" s="69"/>
      <c r="N286" s="29"/>
    </row>
    <row r="287" spans="1:14" x14ac:dyDescent="0.25">
      <c r="A287" s="25"/>
      <c r="B287" s="87"/>
      <c r="C287" s="104"/>
      <c r="D287" s="27" t="str">
        <f>IFERROR(IF(C287="No CAS","",INDEX('DEQ Pollutant List'!$C$7:$C$611,MATCH('5. Pollutant Emissions - MB'!C287,'DEQ Pollutant List'!$B$7:$B$611,0))),"")</f>
        <v/>
      </c>
      <c r="E287" s="13" t="str">
        <f>IFERROR(IF(OR($C287="",$C287="No CAS"),INDEX('DEQ Pollutant List'!$A$7:$A$611,MATCH($D287,'DEQ Pollutant List'!$C$7:$C$611,0)),INDEX('DEQ Pollutant List'!$A$7:$A$611,MATCH($C287,'DEQ Pollutant List'!$B$7:$B$611,0))),"")</f>
        <v/>
      </c>
      <c r="F287" s="105"/>
      <c r="G287" s="106"/>
      <c r="H287" s="68"/>
      <c r="I287" s="67"/>
      <c r="J287" s="69"/>
      <c r="K287" s="29"/>
      <c r="L287" s="67"/>
      <c r="M287" s="69"/>
      <c r="N287" s="29"/>
    </row>
    <row r="288" spans="1:14" x14ac:dyDescent="0.25">
      <c r="A288" s="25"/>
      <c r="B288" s="87"/>
      <c r="C288" s="104"/>
      <c r="D288" s="27" t="str">
        <f>IFERROR(IF(C288="No CAS","",INDEX('DEQ Pollutant List'!$C$7:$C$611,MATCH('5. Pollutant Emissions - MB'!C288,'DEQ Pollutant List'!$B$7:$B$611,0))),"")</f>
        <v/>
      </c>
      <c r="E288" s="13" t="str">
        <f>IFERROR(IF(OR($C288="",$C288="No CAS"),INDEX('DEQ Pollutant List'!$A$7:$A$611,MATCH($D288,'DEQ Pollutant List'!$C$7:$C$611,0)),INDEX('DEQ Pollutant List'!$A$7:$A$611,MATCH($C288,'DEQ Pollutant List'!$B$7:$B$611,0))),"")</f>
        <v/>
      </c>
      <c r="F288" s="105"/>
      <c r="G288" s="106"/>
      <c r="H288" s="68"/>
      <c r="I288" s="67"/>
      <c r="J288" s="69"/>
      <c r="K288" s="29"/>
      <c r="L288" s="67"/>
      <c r="M288" s="69"/>
      <c r="N288" s="29"/>
    </row>
    <row r="289" spans="1:14" x14ac:dyDescent="0.25">
      <c r="A289" s="25"/>
      <c r="B289" s="87"/>
      <c r="C289" s="104"/>
      <c r="D289" s="27" t="str">
        <f>IFERROR(IF(C289="No CAS","",INDEX('DEQ Pollutant List'!$C$7:$C$611,MATCH('5. Pollutant Emissions - MB'!C289,'DEQ Pollutant List'!$B$7:$B$611,0))),"")</f>
        <v/>
      </c>
      <c r="E289" s="13" t="str">
        <f>IFERROR(IF(OR($C289="",$C289="No CAS"),INDEX('DEQ Pollutant List'!$A$7:$A$611,MATCH($D289,'DEQ Pollutant List'!$C$7:$C$611,0)),INDEX('DEQ Pollutant List'!$A$7:$A$611,MATCH($C289,'DEQ Pollutant List'!$B$7:$B$611,0))),"")</f>
        <v/>
      </c>
      <c r="F289" s="105"/>
      <c r="G289" s="106"/>
      <c r="H289" s="68"/>
      <c r="I289" s="67"/>
      <c r="J289" s="69"/>
      <c r="K289" s="29"/>
      <c r="L289" s="67"/>
      <c r="M289" s="69"/>
      <c r="N289" s="29"/>
    </row>
    <row r="290" spans="1:14" x14ac:dyDescent="0.25">
      <c r="A290" s="25"/>
      <c r="B290" s="87"/>
      <c r="C290" s="104"/>
      <c r="D290" s="27" t="str">
        <f>IFERROR(IF(C290="No CAS","",INDEX('DEQ Pollutant List'!$C$7:$C$611,MATCH('5. Pollutant Emissions - MB'!C290,'DEQ Pollutant List'!$B$7:$B$611,0))),"")</f>
        <v/>
      </c>
      <c r="E290" s="13" t="str">
        <f>IFERROR(IF(OR($C290="",$C290="No CAS"),INDEX('DEQ Pollutant List'!$A$7:$A$611,MATCH($D290,'DEQ Pollutant List'!$C$7:$C$611,0)),INDEX('DEQ Pollutant List'!$A$7:$A$611,MATCH($C290,'DEQ Pollutant List'!$B$7:$B$611,0))),"")</f>
        <v/>
      </c>
      <c r="F290" s="105"/>
      <c r="G290" s="106"/>
      <c r="H290" s="68"/>
      <c r="I290" s="67"/>
      <c r="J290" s="69"/>
      <c r="K290" s="29"/>
      <c r="L290" s="67"/>
      <c r="M290" s="69"/>
      <c r="N290" s="29"/>
    </row>
    <row r="291" spans="1:14" x14ac:dyDescent="0.25">
      <c r="A291" s="25"/>
      <c r="B291" s="87"/>
      <c r="C291" s="104"/>
      <c r="D291" s="27" t="str">
        <f>IFERROR(IF(C291="No CAS","",INDEX('DEQ Pollutant List'!$C$7:$C$611,MATCH('5. Pollutant Emissions - MB'!C291,'DEQ Pollutant List'!$B$7:$B$611,0))),"")</f>
        <v/>
      </c>
      <c r="E291" s="13" t="str">
        <f>IFERROR(IF(OR($C291="",$C291="No CAS"),INDEX('DEQ Pollutant List'!$A$7:$A$611,MATCH($D291,'DEQ Pollutant List'!$C$7:$C$611,0)),INDEX('DEQ Pollutant List'!$A$7:$A$611,MATCH($C291,'DEQ Pollutant List'!$B$7:$B$611,0))),"")</f>
        <v/>
      </c>
      <c r="F291" s="105"/>
      <c r="G291" s="106"/>
      <c r="H291" s="68"/>
      <c r="I291" s="67"/>
      <c r="J291" s="69"/>
      <c r="K291" s="29"/>
      <c r="L291" s="67"/>
      <c r="M291" s="69"/>
      <c r="N291" s="29"/>
    </row>
    <row r="292" spans="1:14" x14ac:dyDescent="0.25">
      <c r="A292" s="25"/>
      <c r="B292" s="87"/>
      <c r="C292" s="104"/>
      <c r="D292" s="27" t="str">
        <f>IFERROR(IF(C292="No CAS","",INDEX('DEQ Pollutant List'!$C$7:$C$611,MATCH('5. Pollutant Emissions - MB'!C292,'DEQ Pollutant List'!$B$7:$B$611,0))),"")</f>
        <v/>
      </c>
      <c r="E292" s="13" t="str">
        <f>IFERROR(IF(OR($C292="",$C292="No CAS"),INDEX('DEQ Pollutant List'!$A$7:$A$611,MATCH($D292,'DEQ Pollutant List'!$C$7:$C$611,0)),INDEX('DEQ Pollutant List'!$A$7:$A$611,MATCH($C292,'DEQ Pollutant List'!$B$7:$B$611,0))),"")</f>
        <v/>
      </c>
      <c r="F292" s="105"/>
      <c r="G292" s="106"/>
      <c r="H292" s="68"/>
      <c r="I292" s="67"/>
      <c r="J292" s="69"/>
      <c r="K292" s="29"/>
      <c r="L292" s="67"/>
      <c r="M292" s="69"/>
      <c r="N292" s="29"/>
    </row>
    <row r="293" spans="1:14" x14ac:dyDescent="0.25">
      <c r="A293" s="25"/>
      <c r="B293" s="87"/>
      <c r="C293" s="104"/>
      <c r="D293" s="27" t="str">
        <f>IFERROR(IF(C293="No CAS","",INDEX('DEQ Pollutant List'!$C$7:$C$611,MATCH('5. Pollutant Emissions - MB'!C293,'DEQ Pollutant List'!$B$7:$B$611,0))),"")</f>
        <v/>
      </c>
      <c r="E293" s="13" t="str">
        <f>IFERROR(IF(OR($C293="",$C293="No CAS"),INDEX('DEQ Pollutant List'!$A$7:$A$611,MATCH($D293,'DEQ Pollutant List'!$C$7:$C$611,0)),INDEX('DEQ Pollutant List'!$A$7:$A$611,MATCH($C293,'DEQ Pollutant List'!$B$7:$B$611,0))),"")</f>
        <v/>
      </c>
      <c r="F293" s="105"/>
      <c r="G293" s="106"/>
      <c r="H293" s="68"/>
      <c r="I293" s="67"/>
      <c r="J293" s="69"/>
      <c r="K293" s="29"/>
      <c r="L293" s="67"/>
      <c r="M293" s="69"/>
      <c r="N293" s="29"/>
    </row>
    <row r="294" spans="1:14" x14ac:dyDescent="0.25">
      <c r="A294" s="25"/>
      <c r="B294" s="87"/>
      <c r="C294" s="104"/>
      <c r="D294" s="27" t="str">
        <f>IFERROR(IF(C294="No CAS","",INDEX('DEQ Pollutant List'!$C$7:$C$611,MATCH('5. Pollutant Emissions - MB'!C294,'DEQ Pollutant List'!$B$7:$B$611,0))),"")</f>
        <v/>
      </c>
      <c r="E294" s="13" t="str">
        <f>IFERROR(IF(OR($C294="",$C294="No CAS"),INDEX('DEQ Pollutant List'!$A$7:$A$611,MATCH($D294,'DEQ Pollutant List'!$C$7:$C$611,0)),INDEX('DEQ Pollutant List'!$A$7:$A$611,MATCH($C294,'DEQ Pollutant List'!$B$7:$B$611,0))),"")</f>
        <v/>
      </c>
      <c r="F294" s="105"/>
      <c r="G294" s="106"/>
      <c r="H294" s="68"/>
      <c r="I294" s="67"/>
      <c r="J294" s="69"/>
      <c r="K294" s="29"/>
      <c r="L294" s="67"/>
      <c r="M294" s="69"/>
      <c r="N294" s="29"/>
    </row>
    <row r="295" spans="1:14" x14ac:dyDescent="0.25">
      <c r="A295" s="25"/>
      <c r="B295" s="87"/>
      <c r="C295" s="104"/>
      <c r="D295" s="27" t="str">
        <f>IFERROR(IF(C295="No CAS","",INDEX('DEQ Pollutant List'!$C$7:$C$611,MATCH('5. Pollutant Emissions - MB'!C295,'DEQ Pollutant List'!$B$7:$B$611,0))),"")</f>
        <v/>
      </c>
      <c r="E295" s="13" t="str">
        <f>IFERROR(IF(OR($C295="",$C295="No CAS"),INDEX('DEQ Pollutant List'!$A$7:$A$611,MATCH($D295,'DEQ Pollutant List'!$C$7:$C$611,0)),INDEX('DEQ Pollutant List'!$A$7:$A$611,MATCH($C295,'DEQ Pollutant List'!$B$7:$B$611,0))),"")</f>
        <v/>
      </c>
      <c r="F295" s="105"/>
      <c r="G295" s="106"/>
      <c r="H295" s="68"/>
      <c r="I295" s="67"/>
      <c r="J295" s="69"/>
      <c r="K295" s="29"/>
      <c r="L295" s="67"/>
      <c r="M295" s="69"/>
      <c r="N295" s="29"/>
    </row>
    <row r="296" spans="1:14" x14ac:dyDescent="0.25">
      <c r="A296" s="25"/>
      <c r="B296" s="87"/>
      <c r="C296" s="104"/>
      <c r="D296" s="27" t="str">
        <f>IFERROR(IF(C296="No CAS","",INDEX('DEQ Pollutant List'!$C$7:$C$611,MATCH('5. Pollutant Emissions - MB'!C296,'DEQ Pollutant List'!$B$7:$B$611,0))),"")</f>
        <v/>
      </c>
      <c r="E296" s="13" t="str">
        <f>IFERROR(IF(OR($C296="",$C296="No CAS"),INDEX('DEQ Pollutant List'!$A$7:$A$611,MATCH($D296,'DEQ Pollutant List'!$C$7:$C$611,0)),INDEX('DEQ Pollutant List'!$A$7:$A$611,MATCH($C296,'DEQ Pollutant List'!$B$7:$B$611,0))),"")</f>
        <v/>
      </c>
      <c r="F296" s="105"/>
      <c r="G296" s="106"/>
      <c r="H296" s="68"/>
      <c r="I296" s="67"/>
      <c r="J296" s="69"/>
      <c r="K296" s="29"/>
      <c r="L296" s="67"/>
      <c r="M296" s="69"/>
      <c r="N296" s="29"/>
    </row>
    <row r="297" spans="1:14" x14ac:dyDescent="0.25">
      <c r="A297" s="25"/>
      <c r="B297" s="87"/>
      <c r="C297" s="104"/>
      <c r="D297" s="27" t="str">
        <f>IFERROR(IF(C297="No CAS","",INDEX('DEQ Pollutant List'!$C$7:$C$611,MATCH('5. Pollutant Emissions - MB'!C297,'DEQ Pollutant List'!$B$7:$B$611,0))),"")</f>
        <v/>
      </c>
      <c r="E297" s="13" t="str">
        <f>IFERROR(IF(OR($C297="",$C297="No CAS"),INDEX('DEQ Pollutant List'!$A$7:$A$611,MATCH($D297,'DEQ Pollutant List'!$C$7:$C$611,0)),INDEX('DEQ Pollutant List'!$A$7:$A$611,MATCH($C297,'DEQ Pollutant List'!$B$7:$B$611,0))),"")</f>
        <v/>
      </c>
      <c r="F297" s="105"/>
      <c r="G297" s="106"/>
      <c r="H297" s="68"/>
      <c r="I297" s="67"/>
      <c r="J297" s="69"/>
      <c r="K297" s="29"/>
      <c r="L297" s="67"/>
      <c r="M297" s="69"/>
      <c r="N297" s="29"/>
    </row>
    <row r="298" spans="1:14" x14ac:dyDescent="0.25">
      <c r="A298" s="25"/>
      <c r="B298" s="87"/>
      <c r="C298" s="104"/>
      <c r="D298" s="27" t="str">
        <f>IFERROR(IF(C298="No CAS","",INDEX('DEQ Pollutant List'!$C$7:$C$611,MATCH('5. Pollutant Emissions - MB'!C298,'DEQ Pollutant List'!$B$7:$B$611,0))),"")</f>
        <v/>
      </c>
      <c r="E298" s="13" t="str">
        <f>IFERROR(IF(OR($C298="",$C298="No CAS"),INDEX('DEQ Pollutant List'!$A$7:$A$611,MATCH($D298,'DEQ Pollutant List'!$C$7:$C$611,0)),INDEX('DEQ Pollutant List'!$A$7:$A$611,MATCH($C298,'DEQ Pollutant List'!$B$7:$B$611,0))),"")</f>
        <v/>
      </c>
      <c r="F298" s="105"/>
      <c r="G298" s="106"/>
      <c r="H298" s="68"/>
      <c r="I298" s="67"/>
      <c r="J298" s="69"/>
      <c r="K298" s="29"/>
      <c r="L298" s="67"/>
      <c r="M298" s="69"/>
      <c r="N298" s="29"/>
    </row>
    <row r="299" spans="1:14" x14ac:dyDescent="0.25">
      <c r="A299" s="25"/>
      <c r="B299" s="87"/>
      <c r="C299" s="104"/>
      <c r="D299" s="27" t="str">
        <f>IFERROR(IF(C299="No CAS","",INDEX('DEQ Pollutant List'!$C$7:$C$611,MATCH('5. Pollutant Emissions - MB'!C299,'DEQ Pollutant List'!$B$7:$B$611,0))),"")</f>
        <v/>
      </c>
      <c r="E299" s="13" t="str">
        <f>IFERROR(IF(OR($C299="",$C299="No CAS"),INDEX('DEQ Pollutant List'!$A$7:$A$611,MATCH($D299,'DEQ Pollutant List'!$C$7:$C$611,0)),INDEX('DEQ Pollutant List'!$A$7:$A$611,MATCH($C299,'DEQ Pollutant List'!$B$7:$B$611,0))),"")</f>
        <v/>
      </c>
      <c r="F299" s="105"/>
      <c r="G299" s="106"/>
      <c r="H299" s="68"/>
      <c r="I299" s="67"/>
      <c r="J299" s="69"/>
      <c r="K299" s="29"/>
      <c r="L299" s="67"/>
      <c r="M299" s="69"/>
      <c r="N299" s="29"/>
    </row>
    <row r="300" spans="1:14" x14ac:dyDescent="0.25">
      <c r="A300" s="25"/>
      <c r="B300" s="87"/>
      <c r="C300" s="104"/>
      <c r="D300" s="27" t="str">
        <f>IFERROR(IF(C300="No CAS","",INDEX('DEQ Pollutant List'!$C$7:$C$611,MATCH('5. Pollutant Emissions - MB'!C300,'DEQ Pollutant List'!$B$7:$B$611,0))),"")</f>
        <v/>
      </c>
      <c r="E300" s="13" t="str">
        <f>IFERROR(IF(OR($C300="",$C300="No CAS"),INDEX('DEQ Pollutant List'!$A$7:$A$611,MATCH($D300,'DEQ Pollutant List'!$C$7:$C$611,0)),INDEX('DEQ Pollutant List'!$A$7:$A$611,MATCH($C300,'DEQ Pollutant List'!$B$7:$B$611,0))),"")</f>
        <v/>
      </c>
      <c r="F300" s="105"/>
      <c r="G300" s="106"/>
      <c r="H300" s="68"/>
      <c r="I300" s="67"/>
      <c r="J300" s="69"/>
      <c r="K300" s="29"/>
      <c r="L300" s="67"/>
      <c r="M300" s="69"/>
      <c r="N300" s="29"/>
    </row>
    <row r="301" spans="1:14" x14ac:dyDescent="0.25">
      <c r="A301" s="25"/>
      <c r="B301" s="87"/>
      <c r="C301" s="104"/>
      <c r="D301" s="27" t="str">
        <f>IFERROR(IF(C301="No CAS","",INDEX('DEQ Pollutant List'!$C$7:$C$611,MATCH('5. Pollutant Emissions - MB'!C301,'DEQ Pollutant List'!$B$7:$B$611,0))),"")</f>
        <v/>
      </c>
      <c r="E301" s="13" t="str">
        <f>IFERROR(IF(OR($C301="",$C301="No CAS"),INDEX('DEQ Pollutant List'!$A$7:$A$611,MATCH($D301,'DEQ Pollutant List'!$C$7:$C$611,0)),INDEX('DEQ Pollutant List'!$A$7:$A$611,MATCH($C301,'DEQ Pollutant List'!$B$7:$B$611,0))),"")</f>
        <v/>
      </c>
      <c r="F301" s="105"/>
      <c r="G301" s="106"/>
      <c r="H301" s="68"/>
      <c r="I301" s="67"/>
      <c r="J301" s="69"/>
      <c r="K301" s="29"/>
      <c r="L301" s="67"/>
      <c r="M301" s="69"/>
      <c r="N301" s="29"/>
    </row>
    <row r="302" spans="1:14" x14ac:dyDescent="0.25">
      <c r="A302" s="25"/>
      <c r="B302" s="87"/>
      <c r="C302" s="104"/>
      <c r="D302" s="27" t="str">
        <f>IFERROR(IF(C302="No CAS","",INDEX('DEQ Pollutant List'!$C$7:$C$611,MATCH('5. Pollutant Emissions - MB'!C302,'DEQ Pollutant List'!$B$7:$B$611,0))),"")</f>
        <v/>
      </c>
      <c r="E302" s="13" t="str">
        <f>IFERROR(IF(OR($C302="",$C302="No CAS"),INDEX('DEQ Pollutant List'!$A$7:$A$611,MATCH($D302,'DEQ Pollutant List'!$C$7:$C$611,0)),INDEX('DEQ Pollutant List'!$A$7:$A$611,MATCH($C302,'DEQ Pollutant List'!$B$7:$B$611,0))),"")</f>
        <v/>
      </c>
      <c r="F302" s="105"/>
      <c r="G302" s="106"/>
      <c r="H302" s="68"/>
      <c r="I302" s="67"/>
      <c r="J302" s="69"/>
      <c r="K302" s="29"/>
      <c r="L302" s="67"/>
      <c r="M302" s="69"/>
      <c r="N302" s="29"/>
    </row>
    <row r="303" spans="1:14" x14ac:dyDescent="0.25">
      <c r="A303" s="25"/>
      <c r="B303" s="87"/>
      <c r="C303" s="104"/>
      <c r="D303" s="27" t="str">
        <f>IFERROR(IF(C303="No CAS","",INDEX('DEQ Pollutant List'!$C$7:$C$611,MATCH('5. Pollutant Emissions - MB'!C303,'DEQ Pollutant List'!$B$7:$B$611,0))),"")</f>
        <v/>
      </c>
      <c r="E303" s="13" t="str">
        <f>IFERROR(IF(OR($C303="",$C303="No CAS"),INDEX('DEQ Pollutant List'!$A$7:$A$611,MATCH($D303,'DEQ Pollutant List'!$C$7:$C$611,0)),INDEX('DEQ Pollutant List'!$A$7:$A$611,MATCH($C303,'DEQ Pollutant List'!$B$7:$B$611,0))),"")</f>
        <v/>
      </c>
      <c r="F303" s="105"/>
      <c r="G303" s="106"/>
      <c r="H303" s="68"/>
      <c r="I303" s="67"/>
      <c r="J303" s="69"/>
      <c r="K303" s="29"/>
      <c r="L303" s="67"/>
      <c r="M303" s="69"/>
      <c r="N303" s="29"/>
    </row>
    <row r="304" spans="1:14" x14ac:dyDescent="0.25">
      <c r="A304" s="25"/>
      <c r="B304" s="87"/>
      <c r="C304" s="104"/>
      <c r="D304" s="27" t="str">
        <f>IFERROR(IF(C304="No CAS","",INDEX('DEQ Pollutant List'!$C$7:$C$611,MATCH('5. Pollutant Emissions - MB'!C304,'DEQ Pollutant List'!$B$7:$B$611,0))),"")</f>
        <v/>
      </c>
      <c r="E304" s="13" t="str">
        <f>IFERROR(IF(OR($C304="",$C304="No CAS"),INDEX('DEQ Pollutant List'!$A$7:$A$611,MATCH($D304,'DEQ Pollutant List'!$C$7:$C$611,0)),INDEX('DEQ Pollutant List'!$A$7:$A$611,MATCH($C304,'DEQ Pollutant List'!$B$7:$B$611,0))),"")</f>
        <v/>
      </c>
      <c r="F304" s="105"/>
      <c r="G304" s="106"/>
      <c r="H304" s="68"/>
      <c r="I304" s="67"/>
      <c r="J304" s="69"/>
      <c r="K304" s="29"/>
      <c r="L304" s="67"/>
      <c r="M304" s="69"/>
      <c r="N304" s="29"/>
    </row>
    <row r="305" spans="1:14" x14ac:dyDescent="0.25">
      <c r="A305" s="25"/>
      <c r="B305" s="87"/>
      <c r="C305" s="104"/>
      <c r="D305" s="27" t="str">
        <f>IFERROR(IF(C305="No CAS","",INDEX('DEQ Pollutant List'!$C$7:$C$611,MATCH('5. Pollutant Emissions - MB'!C305,'DEQ Pollutant List'!$B$7:$B$611,0))),"")</f>
        <v/>
      </c>
      <c r="E305" s="13" t="str">
        <f>IFERROR(IF(OR($C305="",$C305="No CAS"),INDEX('DEQ Pollutant List'!$A$7:$A$611,MATCH($D305,'DEQ Pollutant List'!$C$7:$C$611,0)),INDEX('DEQ Pollutant List'!$A$7:$A$611,MATCH($C305,'DEQ Pollutant List'!$B$7:$B$611,0))),"")</f>
        <v/>
      </c>
      <c r="F305" s="105"/>
      <c r="G305" s="106"/>
      <c r="H305" s="68"/>
      <c r="I305" s="67"/>
      <c r="J305" s="69"/>
      <c r="K305" s="29"/>
      <c r="L305" s="67"/>
      <c r="M305" s="69"/>
      <c r="N305" s="29"/>
    </row>
    <row r="306" spans="1:14" x14ac:dyDescent="0.25">
      <c r="A306" s="25"/>
      <c r="B306" s="87"/>
      <c r="C306" s="104"/>
      <c r="D306" s="27" t="str">
        <f>IFERROR(IF(C306="No CAS","",INDEX('DEQ Pollutant List'!$C$7:$C$611,MATCH('5. Pollutant Emissions - MB'!C306,'DEQ Pollutant List'!$B$7:$B$611,0))),"")</f>
        <v/>
      </c>
      <c r="E306" s="13" t="str">
        <f>IFERROR(IF(OR($C306="",$C306="No CAS"),INDEX('DEQ Pollutant List'!$A$7:$A$611,MATCH($D306,'DEQ Pollutant List'!$C$7:$C$611,0)),INDEX('DEQ Pollutant List'!$A$7:$A$611,MATCH($C306,'DEQ Pollutant List'!$B$7:$B$611,0))),"")</f>
        <v/>
      </c>
      <c r="F306" s="105"/>
      <c r="G306" s="106"/>
      <c r="H306" s="68"/>
      <c r="I306" s="67"/>
      <c r="J306" s="69"/>
      <c r="K306" s="29"/>
      <c r="L306" s="67"/>
      <c r="M306" s="69"/>
      <c r="N306" s="29"/>
    </row>
    <row r="307" spans="1:14" x14ac:dyDescent="0.25">
      <c r="A307" s="25"/>
      <c r="B307" s="87"/>
      <c r="C307" s="104"/>
      <c r="D307" s="27" t="str">
        <f>IFERROR(IF(C307="No CAS","",INDEX('DEQ Pollutant List'!$C$7:$C$611,MATCH('5. Pollutant Emissions - MB'!C307,'DEQ Pollutant List'!$B$7:$B$611,0))),"")</f>
        <v/>
      </c>
      <c r="E307" s="13" t="str">
        <f>IFERROR(IF(OR($C307="",$C307="No CAS"),INDEX('DEQ Pollutant List'!$A$7:$A$611,MATCH($D307,'DEQ Pollutant List'!$C$7:$C$611,0)),INDEX('DEQ Pollutant List'!$A$7:$A$611,MATCH($C307,'DEQ Pollutant List'!$B$7:$B$611,0))),"")</f>
        <v/>
      </c>
      <c r="F307" s="105"/>
      <c r="G307" s="106"/>
      <c r="H307" s="68"/>
      <c r="I307" s="67"/>
      <c r="J307" s="69"/>
      <c r="K307" s="29"/>
      <c r="L307" s="67"/>
      <c r="M307" s="69"/>
      <c r="N307" s="29"/>
    </row>
    <row r="308" spans="1:14" x14ac:dyDescent="0.25">
      <c r="A308" s="25"/>
      <c r="B308" s="87"/>
      <c r="C308" s="104"/>
      <c r="D308" s="27" t="str">
        <f>IFERROR(IF(C308="No CAS","",INDEX('DEQ Pollutant List'!$C$7:$C$611,MATCH('5. Pollutant Emissions - MB'!C308,'DEQ Pollutant List'!$B$7:$B$611,0))),"")</f>
        <v/>
      </c>
      <c r="E308" s="13" t="str">
        <f>IFERROR(IF(OR($C308="",$C308="No CAS"),INDEX('DEQ Pollutant List'!$A$7:$A$611,MATCH($D308,'DEQ Pollutant List'!$C$7:$C$611,0)),INDEX('DEQ Pollutant List'!$A$7:$A$611,MATCH($C308,'DEQ Pollutant List'!$B$7:$B$611,0))),"")</f>
        <v/>
      </c>
      <c r="F308" s="105"/>
      <c r="G308" s="106"/>
      <c r="H308" s="68"/>
      <c r="I308" s="67"/>
      <c r="J308" s="69"/>
      <c r="K308" s="29"/>
      <c r="L308" s="67"/>
      <c r="M308" s="69"/>
      <c r="N308" s="29"/>
    </row>
    <row r="309" spans="1:14" x14ac:dyDescent="0.25">
      <c r="A309" s="25"/>
      <c r="B309" s="87"/>
      <c r="C309" s="104"/>
      <c r="D309" s="27" t="str">
        <f>IFERROR(IF(C309="No CAS","",INDEX('DEQ Pollutant List'!$C$7:$C$611,MATCH('5. Pollutant Emissions - MB'!C309,'DEQ Pollutant List'!$B$7:$B$611,0))),"")</f>
        <v/>
      </c>
      <c r="E309" s="13" t="str">
        <f>IFERROR(IF(OR($C309="",$C309="No CAS"),INDEX('DEQ Pollutant List'!$A$7:$A$611,MATCH($D309,'DEQ Pollutant List'!$C$7:$C$611,0)),INDEX('DEQ Pollutant List'!$A$7:$A$611,MATCH($C309,'DEQ Pollutant List'!$B$7:$B$611,0))),"")</f>
        <v/>
      </c>
      <c r="F309" s="105"/>
      <c r="G309" s="106"/>
      <c r="H309" s="68"/>
      <c r="I309" s="67"/>
      <c r="J309" s="69"/>
      <c r="K309" s="29"/>
      <c r="L309" s="67"/>
      <c r="M309" s="69"/>
      <c r="N309" s="29"/>
    </row>
    <row r="310" spans="1:14" x14ac:dyDescent="0.25">
      <c r="A310" s="25"/>
      <c r="B310" s="87"/>
      <c r="C310" s="104"/>
      <c r="D310" s="27" t="str">
        <f>IFERROR(IF(C310="No CAS","",INDEX('DEQ Pollutant List'!$C$7:$C$611,MATCH('5. Pollutant Emissions - MB'!C310,'DEQ Pollutant List'!$B$7:$B$611,0))),"")</f>
        <v/>
      </c>
      <c r="E310" s="13" t="str">
        <f>IFERROR(IF(OR($C310="",$C310="No CAS"),INDEX('DEQ Pollutant List'!$A$7:$A$611,MATCH($D310,'DEQ Pollutant List'!$C$7:$C$611,0)),INDEX('DEQ Pollutant List'!$A$7:$A$611,MATCH($C310,'DEQ Pollutant List'!$B$7:$B$611,0))),"")</f>
        <v/>
      </c>
      <c r="F310" s="105"/>
      <c r="G310" s="106"/>
      <c r="H310" s="68"/>
      <c r="I310" s="67"/>
      <c r="J310" s="69"/>
      <c r="K310" s="29"/>
      <c r="L310" s="67"/>
      <c r="M310" s="69"/>
      <c r="N310" s="29"/>
    </row>
    <row r="311" spans="1:14" x14ac:dyDescent="0.25">
      <c r="A311" s="25"/>
      <c r="B311" s="87"/>
      <c r="C311" s="104"/>
      <c r="D311" s="27" t="str">
        <f>IFERROR(IF(C311="No CAS","",INDEX('DEQ Pollutant List'!$C$7:$C$611,MATCH('5. Pollutant Emissions - MB'!C311,'DEQ Pollutant List'!$B$7:$B$611,0))),"")</f>
        <v/>
      </c>
      <c r="E311" s="13" t="str">
        <f>IFERROR(IF(OR($C311="",$C311="No CAS"),INDEX('DEQ Pollutant List'!$A$7:$A$611,MATCH($D311,'DEQ Pollutant List'!$C$7:$C$611,0)),INDEX('DEQ Pollutant List'!$A$7:$A$611,MATCH($C311,'DEQ Pollutant List'!$B$7:$B$611,0))),"")</f>
        <v/>
      </c>
      <c r="F311" s="105"/>
      <c r="G311" s="106"/>
      <c r="H311" s="68"/>
      <c r="I311" s="67"/>
      <c r="J311" s="69"/>
      <c r="K311" s="29"/>
      <c r="L311" s="67"/>
      <c r="M311" s="69"/>
      <c r="N311" s="29"/>
    </row>
    <row r="312" spans="1:14" x14ac:dyDescent="0.25">
      <c r="A312" s="25"/>
      <c r="B312" s="87"/>
      <c r="C312" s="104"/>
      <c r="D312" s="27" t="str">
        <f>IFERROR(IF(C312="No CAS","",INDEX('DEQ Pollutant List'!$C$7:$C$611,MATCH('5. Pollutant Emissions - MB'!C312,'DEQ Pollutant List'!$B$7:$B$611,0))),"")</f>
        <v/>
      </c>
      <c r="E312" s="13" t="str">
        <f>IFERROR(IF(OR($C312="",$C312="No CAS"),INDEX('DEQ Pollutant List'!$A$7:$A$611,MATCH($D312,'DEQ Pollutant List'!$C$7:$C$611,0)),INDEX('DEQ Pollutant List'!$A$7:$A$611,MATCH($C312,'DEQ Pollutant List'!$B$7:$B$611,0))),"")</f>
        <v/>
      </c>
      <c r="F312" s="105"/>
      <c r="G312" s="106"/>
      <c r="H312" s="68"/>
      <c r="I312" s="67"/>
      <c r="J312" s="69"/>
      <c r="K312" s="29"/>
      <c r="L312" s="67"/>
      <c r="M312" s="69"/>
      <c r="N312" s="29"/>
    </row>
    <row r="313" spans="1:14" x14ac:dyDescent="0.25">
      <c r="A313" s="25"/>
      <c r="B313" s="87"/>
      <c r="C313" s="104"/>
      <c r="D313" s="27" t="str">
        <f>IFERROR(IF(C313="No CAS","",INDEX('DEQ Pollutant List'!$C$7:$C$611,MATCH('5. Pollutant Emissions - MB'!C313,'DEQ Pollutant List'!$B$7:$B$611,0))),"")</f>
        <v/>
      </c>
      <c r="E313" s="13" t="str">
        <f>IFERROR(IF(OR($C313="",$C313="No CAS"),INDEX('DEQ Pollutant List'!$A$7:$A$611,MATCH($D313,'DEQ Pollutant List'!$C$7:$C$611,0)),INDEX('DEQ Pollutant List'!$A$7:$A$611,MATCH($C313,'DEQ Pollutant List'!$B$7:$B$611,0))),"")</f>
        <v/>
      </c>
      <c r="F313" s="105"/>
      <c r="G313" s="106"/>
      <c r="H313" s="68"/>
      <c r="I313" s="67"/>
      <c r="J313" s="69"/>
      <c r="K313" s="29"/>
      <c r="L313" s="67"/>
      <c r="M313" s="69"/>
      <c r="N313" s="29"/>
    </row>
    <row r="314" spans="1:14" x14ac:dyDescent="0.25">
      <c r="A314" s="25"/>
      <c r="B314" s="87"/>
      <c r="C314" s="104"/>
      <c r="D314" s="27" t="str">
        <f>IFERROR(IF(C314="No CAS","",INDEX('DEQ Pollutant List'!$C$7:$C$611,MATCH('5. Pollutant Emissions - MB'!C314,'DEQ Pollutant List'!$B$7:$B$611,0))),"")</f>
        <v/>
      </c>
      <c r="E314" s="13" t="str">
        <f>IFERROR(IF(OR($C314="",$C314="No CAS"),INDEX('DEQ Pollutant List'!$A$7:$A$611,MATCH($D314,'DEQ Pollutant List'!$C$7:$C$611,0)),INDEX('DEQ Pollutant List'!$A$7:$A$611,MATCH($C314,'DEQ Pollutant List'!$B$7:$B$611,0))),"")</f>
        <v/>
      </c>
      <c r="F314" s="105"/>
      <c r="G314" s="106"/>
      <c r="H314" s="68"/>
      <c r="I314" s="67"/>
      <c r="J314" s="69"/>
      <c r="K314" s="29"/>
      <c r="L314" s="67"/>
      <c r="M314" s="69"/>
      <c r="N314" s="29"/>
    </row>
    <row r="315" spans="1:14" x14ac:dyDescent="0.25">
      <c r="A315" s="25"/>
      <c r="B315" s="87"/>
      <c r="C315" s="104"/>
      <c r="D315" s="27" t="str">
        <f>IFERROR(IF(C315="No CAS","",INDEX('DEQ Pollutant List'!$C$7:$C$611,MATCH('5. Pollutant Emissions - MB'!C315,'DEQ Pollutant List'!$B$7:$B$611,0))),"")</f>
        <v/>
      </c>
      <c r="E315" s="13" t="str">
        <f>IFERROR(IF(OR($C315="",$C315="No CAS"),INDEX('DEQ Pollutant List'!$A$7:$A$611,MATCH($D315,'DEQ Pollutant List'!$C$7:$C$611,0)),INDEX('DEQ Pollutant List'!$A$7:$A$611,MATCH($C315,'DEQ Pollutant List'!$B$7:$B$611,0))),"")</f>
        <v/>
      </c>
      <c r="F315" s="105"/>
      <c r="G315" s="106"/>
      <c r="H315" s="68"/>
      <c r="I315" s="67"/>
      <c r="J315" s="69"/>
      <c r="K315" s="29"/>
      <c r="L315" s="67"/>
      <c r="M315" s="69"/>
      <c r="N315" s="29"/>
    </row>
    <row r="316" spans="1:14" x14ac:dyDescent="0.25">
      <c r="A316" s="25"/>
      <c r="B316" s="87"/>
      <c r="C316" s="104"/>
      <c r="D316" s="27" t="str">
        <f>IFERROR(IF(C316="No CAS","",INDEX('DEQ Pollutant List'!$C$7:$C$611,MATCH('5. Pollutant Emissions - MB'!C316,'DEQ Pollutant List'!$B$7:$B$611,0))),"")</f>
        <v/>
      </c>
      <c r="E316" s="13" t="str">
        <f>IFERROR(IF(OR($C316="",$C316="No CAS"),INDEX('DEQ Pollutant List'!$A$7:$A$611,MATCH($D316,'DEQ Pollutant List'!$C$7:$C$611,0)),INDEX('DEQ Pollutant List'!$A$7:$A$611,MATCH($C316,'DEQ Pollutant List'!$B$7:$B$611,0))),"")</f>
        <v/>
      </c>
      <c r="F316" s="105"/>
      <c r="G316" s="106"/>
      <c r="H316" s="68"/>
      <c r="I316" s="67"/>
      <c r="J316" s="69"/>
      <c r="K316" s="29"/>
      <c r="L316" s="67"/>
      <c r="M316" s="69"/>
      <c r="N316" s="29"/>
    </row>
    <row r="317" spans="1:14" x14ac:dyDescent="0.25">
      <c r="A317" s="25"/>
      <c r="B317" s="87"/>
      <c r="C317" s="104"/>
      <c r="D317" s="27" t="str">
        <f>IFERROR(IF(C317="No CAS","",INDEX('DEQ Pollutant List'!$C$7:$C$611,MATCH('5. Pollutant Emissions - MB'!C317,'DEQ Pollutant List'!$B$7:$B$611,0))),"")</f>
        <v/>
      </c>
      <c r="E317" s="13" t="str">
        <f>IFERROR(IF(OR($C317="",$C317="No CAS"),INDEX('DEQ Pollutant List'!$A$7:$A$611,MATCH($D317,'DEQ Pollutant List'!$C$7:$C$611,0)),INDEX('DEQ Pollutant List'!$A$7:$A$611,MATCH($C317,'DEQ Pollutant List'!$B$7:$B$611,0))),"")</f>
        <v/>
      </c>
      <c r="F317" s="105"/>
      <c r="G317" s="106"/>
      <c r="H317" s="68"/>
      <c r="I317" s="67"/>
      <c r="J317" s="69"/>
      <c r="K317" s="29"/>
      <c r="L317" s="67"/>
      <c r="M317" s="69"/>
      <c r="N317" s="29"/>
    </row>
    <row r="318" spans="1:14" x14ac:dyDescent="0.25">
      <c r="A318" s="25"/>
      <c r="B318" s="87"/>
      <c r="C318" s="104"/>
      <c r="D318" s="27" t="str">
        <f>IFERROR(IF(C318="No CAS","",INDEX('DEQ Pollutant List'!$C$7:$C$611,MATCH('5. Pollutant Emissions - MB'!C318,'DEQ Pollutant List'!$B$7:$B$611,0))),"")</f>
        <v/>
      </c>
      <c r="E318" s="13" t="str">
        <f>IFERROR(IF(OR($C318="",$C318="No CAS"),INDEX('DEQ Pollutant List'!$A$7:$A$611,MATCH($D318,'DEQ Pollutant List'!$C$7:$C$611,0)),INDEX('DEQ Pollutant List'!$A$7:$A$611,MATCH($C318,'DEQ Pollutant List'!$B$7:$B$611,0))),"")</f>
        <v/>
      </c>
      <c r="F318" s="105"/>
      <c r="G318" s="106"/>
      <c r="H318" s="68"/>
      <c r="I318" s="67"/>
      <c r="J318" s="69"/>
      <c r="K318" s="29"/>
      <c r="L318" s="67"/>
      <c r="M318" s="69"/>
      <c r="N318" s="29"/>
    </row>
    <row r="319" spans="1:14" x14ac:dyDescent="0.25">
      <c r="A319" s="25"/>
      <c r="B319" s="87"/>
      <c r="C319" s="104"/>
      <c r="D319" s="27" t="str">
        <f>IFERROR(IF(C319="No CAS","",INDEX('DEQ Pollutant List'!$C$7:$C$611,MATCH('5. Pollutant Emissions - MB'!C319,'DEQ Pollutant List'!$B$7:$B$611,0))),"")</f>
        <v/>
      </c>
      <c r="E319" s="13" t="str">
        <f>IFERROR(IF(OR($C319="",$C319="No CAS"),INDEX('DEQ Pollutant List'!$A$7:$A$611,MATCH($D319,'DEQ Pollutant List'!$C$7:$C$611,0)),INDEX('DEQ Pollutant List'!$A$7:$A$611,MATCH($C319,'DEQ Pollutant List'!$B$7:$B$611,0))),"")</f>
        <v/>
      </c>
      <c r="F319" s="105"/>
      <c r="G319" s="106"/>
      <c r="H319" s="68"/>
      <c r="I319" s="67"/>
      <c r="J319" s="69"/>
      <c r="K319" s="29"/>
      <c r="L319" s="67"/>
      <c r="M319" s="69"/>
      <c r="N319" s="29"/>
    </row>
    <row r="320" spans="1:14" x14ac:dyDescent="0.25">
      <c r="A320" s="25"/>
      <c r="B320" s="87"/>
      <c r="C320" s="104"/>
      <c r="D320" s="27" t="str">
        <f>IFERROR(IF(C320="No CAS","",INDEX('DEQ Pollutant List'!$C$7:$C$611,MATCH('5. Pollutant Emissions - MB'!C320,'DEQ Pollutant List'!$B$7:$B$611,0))),"")</f>
        <v/>
      </c>
      <c r="E320" s="13" t="str">
        <f>IFERROR(IF(OR($C320="",$C320="No CAS"),INDEX('DEQ Pollutant List'!$A$7:$A$611,MATCH($D320,'DEQ Pollutant List'!$C$7:$C$611,0)),INDEX('DEQ Pollutant List'!$A$7:$A$611,MATCH($C320,'DEQ Pollutant List'!$B$7:$B$611,0))),"")</f>
        <v/>
      </c>
      <c r="F320" s="105"/>
      <c r="G320" s="106"/>
      <c r="H320" s="68"/>
      <c r="I320" s="67"/>
      <c r="J320" s="69"/>
      <c r="K320" s="29"/>
      <c r="L320" s="67"/>
      <c r="M320" s="69"/>
      <c r="N320" s="29"/>
    </row>
    <row r="321" spans="1:14" x14ac:dyDescent="0.25">
      <c r="A321" s="25"/>
      <c r="B321" s="87"/>
      <c r="C321" s="104"/>
      <c r="D321" s="27" t="str">
        <f>IFERROR(IF(C321="No CAS","",INDEX('DEQ Pollutant List'!$C$7:$C$611,MATCH('5. Pollutant Emissions - MB'!C321,'DEQ Pollutant List'!$B$7:$B$611,0))),"")</f>
        <v/>
      </c>
      <c r="E321" s="13" t="str">
        <f>IFERROR(IF(OR($C321="",$C321="No CAS"),INDEX('DEQ Pollutant List'!$A$7:$A$611,MATCH($D321,'DEQ Pollutant List'!$C$7:$C$611,0)),INDEX('DEQ Pollutant List'!$A$7:$A$611,MATCH($C321,'DEQ Pollutant List'!$B$7:$B$611,0))),"")</f>
        <v/>
      </c>
      <c r="F321" s="105"/>
      <c r="G321" s="106"/>
      <c r="H321" s="68"/>
      <c r="I321" s="67"/>
      <c r="J321" s="69"/>
      <c r="K321" s="29"/>
      <c r="L321" s="67"/>
      <c r="M321" s="69"/>
      <c r="N321" s="29"/>
    </row>
    <row r="322" spans="1:14" x14ac:dyDescent="0.25">
      <c r="A322" s="25"/>
      <c r="B322" s="87"/>
      <c r="C322" s="104"/>
      <c r="D322" s="27" t="str">
        <f>IFERROR(IF(C322="No CAS","",INDEX('DEQ Pollutant List'!$C$7:$C$611,MATCH('5. Pollutant Emissions - MB'!C322,'DEQ Pollutant List'!$B$7:$B$611,0))),"")</f>
        <v/>
      </c>
      <c r="E322" s="13" t="str">
        <f>IFERROR(IF(OR($C322="",$C322="No CAS"),INDEX('DEQ Pollutant List'!$A$7:$A$611,MATCH($D322,'DEQ Pollutant List'!$C$7:$C$611,0)),INDEX('DEQ Pollutant List'!$A$7:$A$611,MATCH($C322,'DEQ Pollutant List'!$B$7:$B$611,0))),"")</f>
        <v/>
      </c>
      <c r="F322" s="105"/>
      <c r="G322" s="106"/>
      <c r="H322" s="68"/>
      <c r="I322" s="67"/>
      <c r="J322" s="69"/>
      <c r="K322" s="29"/>
      <c r="L322" s="67"/>
      <c r="M322" s="69"/>
      <c r="N322" s="29"/>
    </row>
    <row r="323" spans="1:14" x14ac:dyDescent="0.25">
      <c r="A323" s="25"/>
      <c r="B323" s="87"/>
      <c r="C323" s="104"/>
      <c r="D323" s="27" t="str">
        <f>IFERROR(IF(C323="No CAS","",INDEX('DEQ Pollutant List'!$C$7:$C$611,MATCH('5. Pollutant Emissions - MB'!C323,'DEQ Pollutant List'!$B$7:$B$611,0))),"")</f>
        <v/>
      </c>
      <c r="E323" s="13" t="str">
        <f>IFERROR(IF(OR($C323="",$C323="No CAS"),INDEX('DEQ Pollutant List'!$A$7:$A$611,MATCH($D323,'DEQ Pollutant List'!$C$7:$C$611,0)),INDEX('DEQ Pollutant List'!$A$7:$A$611,MATCH($C323,'DEQ Pollutant List'!$B$7:$B$611,0))),"")</f>
        <v/>
      </c>
      <c r="F323" s="105"/>
      <c r="G323" s="106"/>
      <c r="H323" s="68"/>
      <c r="I323" s="67"/>
      <c r="J323" s="69"/>
      <c r="K323" s="29"/>
      <c r="L323" s="67"/>
      <c r="M323" s="69"/>
      <c r="N323" s="29"/>
    </row>
    <row r="324" spans="1:14" x14ac:dyDescent="0.25">
      <c r="A324" s="25"/>
      <c r="B324" s="87"/>
      <c r="C324" s="104"/>
      <c r="D324" s="27" t="str">
        <f>IFERROR(IF(C324="No CAS","",INDEX('DEQ Pollutant List'!$C$7:$C$611,MATCH('5. Pollutant Emissions - MB'!C324,'DEQ Pollutant List'!$B$7:$B$611,0))),"")</f>
        <v/>
      </c>
      <c r="E324" s="13" t="str">
        <f>IFERROR(IF(OR($C324="",$C324="No CAS"),INDEX('DEQ Pollutant List'!$A$7:$A$611,MATCH($D324,'DEQ Pollutant List'!$C$7:$C$611,0)),INDEX('DEQ Pollutant List'!$A$7:$A$611,MATCH($C324,'DEQ Pollutant List'!$B$7:$B$611,0))),"")</f>
        <v/>
      </c>
      <c r="F324" s="105"/>
      <c r="G324" s="106"/>
      <c r="H324" s="68"/>
      <c r="I324" s="67"/>
      <c r="J324" s="69"/>
      <c r="K324" s="29"/>
      <c r="L324" s="67"/>
      <c r="M324" s="69"/>
      <c r="N324" s="29"/>
    </row>
    <row r="325" spans="1:14" x14ac:dyDescent="0.25">
      <c r="A325" s="25"/>
      <c r="B325" s="87"/>
      <c r="C325" s="104"/>
      <c r="D325" s="27" t="str">
        <f>IFERROR(IF(C325="No CAS","",INDEX('DEQ Pollutant List'!$C$7:$C$611,MATCH('5. Pollutant Emissions - MB'!C325,'DEQ Pollutant List'!$B$7:$B$611,0))),"")</f>
        <v/>
      </c>
      <c r="E325" s="13" t="str">
        <f>IFERROR(IF(OR($C325="",$C325="No CAS"),INDEX('DEQ Pollutant List'!$A$7:$A$611,MATCH($D325,'DEQ Pollutant List'!$C$7:$C$611,0)),INDEX('DEQ Pollutant List'!$A$7:$A$611,MATCH($C325,'DEQ Pollutant List'!$B$7:$B$611,0))),"")</f>
        <v/>
      </c>
      <c r="F325" s="105"/>
      <c r="G325" s="106"/>
      <c r="H325" s="68"/>
      <c r="I325" s="67"/>
      <c r="J325" s="69"/>
      <c r="K325" s="29"/>
      <c r="L325" s="67"/>
      <c r="M325" s="69"/>
      <c r="N325" s="29"/>
    </row>
    <row r="326" spans="1:14" x14ac:dyDescent="0.25">
      <c r="A326" s="25"/>
      <c r="B326" s="87"/>
      <c r="C326" s="104"/>
      <c r="D326" s="27" t="str">
        <f>IFERROR(IF(C326="No CAS","",INDEX('DEQ Pollutant List'!$C$7:$C$611,MATCH('5. Pollutant Emissions - MB'!C326,'DEQ Pollutant List'!$B$7:$B$611,0))),"")</f>
        <v/>
      </c>
      <c r="E326" s="13" t="str">
        <f>IFERROR(IF(OR($C326="",$C326="No CAS"),INDEX('DEQ Pollutant List'!$A$7:$A$611,MATCH($D326,'DEQ Pollutant List'!$C$7:$C$611,0)),INDEX('DEQ Pollutant List'!$A$7:$A$611,MATCH($C326,'DEQ Pollutant List'!$B$7:$B$611,0))),"")</f>
        <v/>
      </c>
      <c r="F326" s="105"/>
      <c r="G326" s="106"/>
      <c r="H326" s="68"/>
      <c r="I326" s="67"/>
      <c r="J326" s="69"/>
      <c r="K326" s="29"/>
      <c r="L326" s="67"/>
      <c r="M326" s="69"/>
      <c r="N326" s="29"/>
    </row>
    <row r="327" spans="1:14" x14ac:dyDescent="0.25">
      <c r="A327" s="25"/>
      <c r="B327" s="87"/>
      <c r="C327" s="104"/>
      <c r="D327" s="27" t="str">
        <f>IFERROR(IF(C327="No CAS","",INDEX('DEQ Pollutant List'!$C$7:$C$611,MATCH('5. Pollutant Emissions - MB'!C327,'DEQ Pollutant List'!$B$7:$B$611,0))),"")</f>
        <v/>
      </c>
      <c r="E327" s="13" t="str">
        <f>IFERROR(IF(OR($C327="",$C327="No CAS"),INDEX('DEQ Pollutant List'!$A$7:$A$611,MATCH($D327,'DEQ Pollutant List'!$C$7:$C$611,0)),INDEX('DEQ Pollutant List'!$A$7:$A$611,MATCH($C327,'DEQ Pollutant List'!$B$7:$B$611,0))),"")</f>
        <v/>
      </c>
      <c r="F327" s="105"/>
      <c r="G327" s="106"/>
      <c r="H327" s="68"/>
      <c r="I327" s="67"/>
      <c r="J327" s="69"/>
      <c r="K327" s="29"/>
      <c r="L327" s="67"/>
      <c r="M327" s="69"/>
      <c r="N327" s="29"/>
    </row>
    <row r="328" spans="1:14" x14ac:dyDescent="0.25">
      <c r="A328" s="25"/>
      <c r="B328" s="87"/>
      <c r="C328" s="104"/>
      <c r="D328" s="27" t="str">
        <f>IFERROR(IF(C328="No CAS","",INDEX('DEQ Pollutant List'!$C$7:$C$611,MATCH('5. Pollutant Emissions - MB'!C328,'DEQ Pollutant List'!$B$7:$B$611,0))),"")</f>
        <v/>
      </c>
      <c r="E328" s="13" t="str">
        <f>IFERROR(IF(OR($C328="",$C328="No CAS"),INDEX('DEQ Pollutant List'!$A$7:$A$611,MATCH($D328,'DEQ Pollutant List'!$C$7:$C$611,0)),INDEX('DEQ Pollutant List'!$A$7:$A$611,MATCH($C328,'DEQ Pollutant List'!$B$7:$B$611,0))),"")</f>
        <v/>
      </c>
      <c r="F328" s="105"/>
      <c r="G328" s="106"/>
      <c r="H328" s="68"/>
      <c r="I328" s="67"/>
      <c r="J328" s="69"/>
      <c r="K328" s="29"/>
      <c r="L328" s="67"/>
      <c r="M328" s="69"/>
      <c r="N328" s="29"/>
    </row>
    <row r="329" spans="1:14" x14ac:dyDescent="0.25">
      <c r="A329" s="25"/>
      <c r="B329" s="87"/>
      <c r="C329" s="104"/>
      <c r="D329" s="27" t="str">
        <f>IFERROR(IF(C329="No CAS","",INDEX('DEQ Pollutant List'!$C$7:$C$611,MATCH('5. Pollutant Emissions - MB'!C329,'DEQ Pollutant List'!$B$7:$B$611,0))),"")</f>
        <v/>
      </c>
      <c r="E329" s="13" t="str">
        <f>IFERROR(IF(OR($C329="",$C329="No CAS"),INDEX('DEQ Pollutant List'!$A$7:$A$611,MATCH($D329,'DEQ Pollutant List'!$C$7:$C$611,0)),INDEX('DEQ Pollutant List'!$A$7:$A$611,MATCH($C329,'DEQ Pollutant List'!$B$7:$B$611,0))),"")</f>
        <v/>
      </c>
      <c r="F329" s="105"/>
      <c r="G329" s="106"/>
      <c r="H329" s="68"/>
      <c r="I329" s="67"/>
      <c r="J329" s="69"/>
      <c r="K329" s="29"/>
      <c r="L329" s="67"/>
      <c r="M329" s="69"/>
      <c r="N329" s="29"/>
    </row>
    <row r="330" spans="1:14" x14ac:dyDescent="0.25">
      <c r="A330" s="25"/>
      <c r="B330" s="87"/>
      <c r="C330" s="104"/>
      <c r="D330" s="27" t="str">
        <f>IFERROR(IF(C330="No CAS","",INDEX('DEQ Pollutant List'!$C$7:$C$611,MATCH('5. Pollutant Emissions - MB'!C330,'DEQ Pollutant List'!$B$7:$B$611,0))),"")</f>
        <v/>
      </c>
      <c r="E330" s="13" t="str">
        <f>IFERROR(IF(OR($C330="",$C330="No CAS"),INDEX('DEQ Pollutant List'!$A$7:$A$611,MATCH($D330,'DEQ Pollutant List'!$C$7:$C$611,0)),INDEX('DEQ Pollutant List'!$A$7:$A$611,MATCH($C330,'DEQ Pollutant List'!$B$7:$B$611,0))),"")</f>
        <v/>
      </c>
      <c r="F330" s="105"/>
      <c r="G330" s="106"/>
      <c r="H330" s="68"/>
      <c r="I330" s="67"/>
      <c r="J330" s="69"/>
      <c r="K330" s="29"/>
      <c r="L330" s="67"/>
      <c r="M330" s="69"/>
      <c r="N330" s="29"/>
    </row>
    <row r="331" spans="1:14" x14ac:dyDescent="0.25">
      <c r="A331" s="25"/>
      <c r="B331" s="87"/>
      <c r="C331" s="104"/>
      <c r="D331" s="27" t="str">
        <f>IFERROR(IF(C331="No CAS","",INDEX('DEQ Pollutant List'!$C$7:$C$611,MATCH('5. Pollutant Emissions - MB'!C331,'DEQ Pollutant List'!$B$7:$B$611,0))),"")</f>
        <v/>
      </c>
      <c r="E331" s="13" t="str">
        <f>IFERROR(IF(OR($C331="",$C331="No CAS"),INDEX('DEQ Pollutant List'!$A$7:$A$611,MATCH($D331,'DEQ Pollutant List'!$C$7:$C$611,0)),INDEX('DEQ Pollutant List'!$A$7:$A$611,MATCH($C331,'DEQ Pollutant List'!$B$7:$B$611,0))),"")</f>
        <v/>
      </c>
      <c r="F331" s="105"/>
      <c r="G331" s="106"/>
      <c r="H331" s="68"/>
      <c r="I331" s="67"/>
      <c r="J331" s="69"/>
      <c r="K331" s="29"/>
      <c r="L331" s="67"/>
      <c r="M331" s="69"/>
      <c r="N331" s="29"/>
    </row>
    <row r="332" spans="1:14" x14ac:dyDescent="0.25">
      <c r="A332" s="25"/>
      <c r="B332" s="87"/>
      <c r="C332" s="104"/>
      <c r="D332" s="27" t="str">
        <f>IFERROR(IF(C332="No CAS","",INDEX('DEQ Pollutant List'!$C$7:$C$611,MATCH('5. Pollutant Emissions - MB'!C332,'DEQ Pollutant List'!$B$7:$B$611,0))),"")</f>
        <v/>
      </c>
      <c r="E332" s="13" t="str">
        <f>IFERROR(IF(OR($C332="",$C332="No CAS"),INDEX('DEQ Pollutant List'!$A$7:$A$611,MATCH($D332,'DEQ Pollutant List'!$C$7:$C$611,0)),INDEX('DEQ Pollutant List'!$A$7:$A$611,MATCH($C332,'DEQ Pollutant List'!$B$7:$B$611,0))),"")</f>
        <v/>
      </c>
      <c r="F332" s="105"/>
      <c r="G332" s="106"/>
      <c r="H332" s="68"/>
      <c r="I332" s="67"/>
      <c r="J332" s="69"/>
      <c r="K332" s="29"/>
      <c r="L332" s="67"/>
      <c r="M332" s="69"/>
      <c r="N332" s="29"/>
    </row>
    <row r="333" spans="1:14" x14ac:dyDescent="0.25">
      <c r="A333" s="25"/>
      <c r="B333" s="87"/>
      <c r="C333" s="104"/>
      <c r="D333" s="27" t="str">
        <f>IFERROR(IF(C333="No CAS","",INDEX('DEQ Pollutant List'!$C$7:$C$611,MATCH('5. Pollutant Emissions - MB'!C333,'DEQ Pollutant List'!$B$7:$B$611,0))),"")</f>
        <v/>
      </c>
      <c r="E333" s="13" t="str">
        <f>IFERROR(IF(OR($C333="",$C333="No CAS"),INDEX('DEQ Pollutant List'!$A$7:$A$611,MATCH($D333,'DEQ Pollutant List'!$C$7:$C$611,0)),INDEX('DEQ Pollutant List'!$A$7:$A$611,MATCH($C333,'DEQ Pollutant List'!$B$7:$B$611,0))),"")</f>
        <v/>
      </c>
      <c r="F333" s="105"/>
      <c r="G333" s="106"/>
      <c r="H333" s="68"/>
      <c r="I333" s="67"/>
      <c r="J333" s="69"/>
      <c r="K333" s="29"/>
      <c r="L333" s="67"/>
      <c r="M333" s="69"/>
      <c r="N333" s="29"/>
    </row>
    <row r="334" spans="1:14" x14ac:dyDescent="0.25">
      <c r="A334" s="25"/>
      <c r="B334" s="87"/>
      <c r="C334" s="104"/>
      <c r="D334" s="27" t="str">
        <f>IFERROR(IF(C334="No CAS","",INDEX('DEQ Pollutant List'!$C$7:$C$611,MATCH('5. Pollutant Emissions - MB'!C334,'DEQ Pollutant List'!$B$7:$B$611,0))),"")</f>
        <v/>
      </c>
      <c r="E334" s="13" t="str">
        <f>IFERROR(IF(OR($C334="",$C334="No CAS"),INDEX('DEQ Pollutant List'!$A$7:$A$611,MATCH($D334,'DEQ Pollutant List'!$C$7:$C$611,0)),INDEX('DEQ Pollutant List'!$A$7:$A$611,MATCH($C334,'DEQ Pollutant List'!$B$7:$B$611,0))),"")</f>
        <v/>
      </c>
      <c r="F334" s="105"/>
      <c r="G334" s="106"/>
      <c r="H334" s="68"/>
      <c r="I334" s="67"/>
      <c r="J334" s="69"/>
      <c r="K334" s="29"/>
      <c r="L334" s="67"/>
      <c r="M334" s="69"/>
      <c r="N334" s="29"/>
    </row>
    <row r="335" spans="1:14" x14ac:dyDescent="0.25">
      <c r="A335" s="25"/>
      <c r="B335" s="87"/>
      <c r="C335" s="104"/>
      <c r="D335" s="27" t="str">
        <f>IFERROR(IF(C335="No CAS","",INDEX('DEQ Pollutant List'!$C$7:$C$611,MATCH('5. Pollutant Emissions - MB'!C335,'DEQ Pollutant List'!$B$7:$B$611,0))),"")</f>
        <v/>
      </c>
      <c r="E335" s="13" t="str">
        <f>IFERROR(IF(OR($C335="",$C335="No CAS"),INDEX('DEQ Pollutant List'!$A$7:$A$611,MATCH($D335,'DEQ Pollutant List'!$C$7:$C$611,0)),INDEX('DEQ Pollutant List'!$A$7:$A$611,MATCH($C335,'DEQ Pollutant List'!$B$7:$B$611,0))),"")</f>
        <v/>
      </c>
      <c r="F335" s="105"/>
      <c r="G335" s="106"/>
      <c r="H335" s="68"/>
      <c r="I335" s="67"/>
      <c r="J335" s="69"/>
      <c r="K335" s="29"/>
      <c r="L335" s="67"/>
      <c r="M335" s="69"/>
      <c r="N335" s="29"/>
    </row>
    <row r="336" spans="1:14" x14ac:dyDescent="0.25">
      <c r="A336" s="25"/>
      <c r="B336" s="87"/>
      <c r="C336" s="104"/>
      <c r="D336" s="27" t="str">
        <f>IFERROR(IF(C336="No CAS","",INDEX('DEQ Pollutant List'!$C$7:$C$611,MATCH('5. Pollutant Emissions - MB'!C336,'DEQ Pollutant List'!$B$7:$B$611,0))),"")</f>
        <v/>
      </c>
      <c r="E336" s="13" t="str">
        <f>IFERROR(IF(OR($C336="",$C336="No CAS"),INDEX('DEQ Pollutant List'!$A$7:$A$611,MATCH($D336,'DEQ Pollutant List'!$C$7:$C$611,0)),INDEX('DEQ Pollutant List'!$A$7:$A$611,MATCH($C336,'DEQ Pollutant List'!$B$7:$B$611,0))),"")</f>
        <v/>
      </c>
      <c r="F336" s="105"/>
      <c r="G336" s="106"/>
      <c r="H336" s="68"/>
      <c r="I336" s="67"/>
      <c r="J336" s="69"/>
      <c r="K336" s="29"/>
      <c r="L336" s="67"/>
      <c r="M336" s="69"/>
      <c r="N336" s="29"/>
    </row>
    <row r="337" spans="1:14" x14ac:dyDescent="0.25">
      <c r="A337" s="25"/>
      <c r="B337" s="87"/>
      <c r="C337" s="104"/>
      <c r="D337" s="27" t="str">
        <f>IFERROR(IF(C337="No CAS","",INDEX('DEQ Pollutant List'!$C$7:$C$611,MATCH('5. Pollutant Emissions - MB'!C337,'DEQ Pollutant List'!$B$7:$B$611,0))),"")</f>
        <v/>
      </c>
      <c r="E337" s="13" t="str">
        <f>IFERROR(IF(OR($C337="",$C337="No CAS"),INDEX('DEQ Pollutant List'!$A$7:$A$611,MATCH($D337,'DEQ Pollutant List'!$C$7:$C$611,0)),INDEX('DEQ Pollutant List'!$A$7:$A$611,MATCH($C337,'DEQ Pollutant List'!$B$7:$B$611,0))),"")</f>
        <v/>
      </c>
      <c r="F337" s="105"/>
      <c r="G337" s="106"/>
      <c r="H337" s="68"/>
      <c r="I337" s="67"/>
      <c r="J337" s="69"/>
      <c r="K337" s="29"/>
      <c r="L337" s="67"/>
      <c r="M337" s="69"/>
      <c r="N337" s="29"/>
    </row>
    <row r="338" spans="1:14" x14ac:dyDescent="0.25">
      <c r="A338" s="25"/>
      <c r="B338" s="87"/>
      <c r="C338" s="104"/>
      <c r="D338" s="27" t="str">
        <f>IFERROR(IF(C338="No CAS","",INDEX('DEQ Pollutant List'!$C$7:$C$611,MATCH('5. Pollutant Emissions - MB'!C338,'DEQ Pollutant List'!$B$7:$B$611,0))),"")</f>
        <v/>
      </c>
      <c r="E338" s="13" t="str">
        <f>IFERROR(IF(OR($C338="",$C338="No CAS"),INDEX('DEQ Pollutant List'!$A$7:$A$611,MATCH($D338,'DEQ Pollutant List'!$C$7:$C$611,0)),INDEX('DEQ Pollutant List'!$A$7:$A$611,MATCH($C338,'DEQ Pollutant List'!$B$7:$B$611,0))),"")</f>
        <v/>
      </c>
      <c r="F338" s="105"/>
      <c r="G338" s="106"/>
      <c r="H338" s="68"/>
      <c r="I338" s="67"/>
      <c r="J338" s="69"/>
      <c r="K338" s="29"/>
      <c r="L338" s="67"/>
      <c r="M338" s="69"/>
      <c r="N338" s="29"/>
    </row>
    <row r="339" spans="1:14" x14ac:dyDescent="0.25">
      <c r="A339" s="25"/>
      <c r="B339" s="87"/>
      <c r="C339" s="104"/>
      <c r="D339" s="27" t="str">
        <f>IFERROR(IF(C339="No CAS","",INDEX('DEQ Pollutant List'!$C$7:$C$611,MATCH('5. Pollutant Emissions - MB'!C339,'DEQ Pollutant List'!$B$7:$B$611,0))),"")</f>
        <v/>
      </c>
      <c r="E339" s="13" t="str">
        <f>IFERROR(IF(OR($C339="",$C339="No CAS"),INDEX('DEQ Pollutant List'!$A$7:$A$611,MATCH($D339,'DEQ Pollutant List'!$C$7:$C$611,0)),INDEX('DEQ Pollutant List'!$A$7:$A$611,MATCH($C339,'DEQ Pollutant List'!$B$7:$B$611,0))),"")</f>
        <v/>
      </c>
      <c r="F339" s="105"/>
      <c r="G339" s="106"/>
      <c r="H339" s="68"/>
      <c r="I339" s="67"/>
      <c r="J339" s="69"/>
      <c r="K339" s="29"/>
      <c r="L339" s="67"/>
      <c r="M339" s="69"/>
      <c r="N339" s="29"/>
    </row>
    <row r="340" spans="1:14" x14ac:dyDescent="0.25">
      <c r="A340" s="25"/>
      <c r="B340" s="87"/>
      <c r="C340" s="104"/>
      <c r="D340" s="27" t="str">
        <f>IFERROR(IF(C340="No CAS","",INDEX('DEQ Pollutant List'!$C$7:$C$611,MATCH('5. Pollutant Emissions - MB'!C340,'DEQ Pollutant List'!$B$7:$B$611,0))),"")</f>
        <v/>
      </c>
      <c r="E340" s="13" t="str">
        <f>IFERROR(IF(OR($C340="",$C340="No CAS"),INDEX('DEQ Pollutant List'!$A$7:$A$611,MATCH($D340,'DEQ Pollutant List'!$C$7:$C$611,0)),INDEX('DEQ Pollutant List'!$A$7:$A$611,MATCH($C340,'DEQ Pollutant List'!$B$7:$B$611,0))),"")</f>
        <v/>
      </c>
      <c r="F340" s="105"/>
      <c r="G340" s="106"/>
      <c r="H340" s="68"/>
      <c r="I340" s="67"/>
      <c r="J340" s="69"/>
      <c r="K340" s="29"/>
      <c r="L340" s="67"/>
      <c r="M340" s="69"/>
      <c r="N340" s="29"/>
    </row>
    <row r="341" spans="1:14" x14ac:dyDescent="0.25">
      <c r="A341" s="25"/>
      <c r="B341" s="87"/>
      <c r="C341" s="104"/>
      <c r="D341" s="27" t="str">
        <f>IFERROR(IF(C341="No CAS","",INDEX('DEQ Pollutant List'!$C$7:$C$611,MATCH('5. Pollutant Emissions - MB'!C341,'DEQ Pollutant List'!$B$7:$B$611,0))),"")</f>
        <v/>
      </c>
      <c r="E341" s="13" t="str">
        <f>IFERROR(IF(OR($C341="",$C341="No CAS"),INDEX('DEQ Pollutant List'!$A$7:$A$611,MATCH($D341,'DEQ Pollutant List'!$C$7:$C$611,0)),INDEX('DEQ Pollutant List'!$A$7:$A$611,MATCH($C341,'DEQ Pollutant List'!$B$7:$B$611,0))),"")</f>
        <v/>
      </c>
      <c r="F341" s="105"/>
      <c r="G341" s="106"/>
      <c r="H341" s="68"/>
      <c r="I341" s="67"/>
      <c r="J341" s="69"/>
      <c r="K341" s="29"/>
      <c r="L341" s="67"/>
      <c r="M341" s="69"/>
      <c r="N341" s="29"/>
    </row>
    <row r="342" spans="1:14" x14ac:dyDescent="0.25">
      <c r="A342" s="25"/>
      <c r="B342" s="87"/>
      <c r="C342" s="104"/>
      <c r="D342" s="27" t="str">
        <f>IFERROR(IF(C342="No CAS","",INDEX('DEQ Pollutant List'!$C$7:$C$611,MATCH('5. Pollutant Emissions - MB'!C342,'DEQ Pollutant List'!$B$7:$B$611,0))),"")</f>
        <v/>
      </c>
      <c r="E342" s="13" t="str">
        <f>IFERROR(IF(OR($C342="",$C342="No CAS"),INDEX('DEQ Pollutant List'!$A$7:$A$611,MATCH($D342,'DEQ Pollutant List'!$C$7:$C$611,0)),INDEX('DEQ Pollutant List'!$A$7:$A$611,MATCH($C342,'DEQ Pollutant List'!$B$7:$B$611,0))),"")</f>
        <v/>
      </c>
      <c r="F342" s="105"/>
      <c r="G342" s="106"/>
      <c r="H342" s="68"/>
      <c r="I342" s="67"/>
      <c r="J342" s="69"/>
      <c r="K342" s="29"/>
      <c r="L342" s="67"/>
      <c r="M342" s="69"/>
      <c r="N342" s="29"/>
    </row>
    <row r="343" spans="1:14" x14ac:dyDescent="0.25">
      <c r="A343" s="25"/>
      <c r="B343" s="87"/>
      <c r="C343" s="104"/>
      <c r="D343" s="27" t="str">
        <f>IFERROR(IF(C343="No CAS","",INDEX('DEQ Pollutant List'!$C$7:$C$611,MATCH('5. Pollutant Emissions - MB'!C343,'DEQ Pollutant List'!$B$7:$B$611,0))),"")</f>
        <v/>
      </c>
      <c r="E343" s="13" t="str">
        <f>IFERROR(IF(OR($C343="",$C343="No CAS"),INDEX('DEQ Pollutant List'!$A$7:$A$611,MATCH($D343,'DEQ Pollutant List'!$C$7:$C$611,0)),INDEX('DEQ Pollutant List'!$A$7:$A$611,MATCH($C343,'DEQ Pollutant List'!$B$7:$B$611,0))),"")</f>
        <v/>
      </c>
      <c r="F343" s="105"/>
      <c r="G343" s="106"/>
      <c r="H343" s="68"/>
      <c r="I343" s="67"/>
      <c r="J343" s="69"/>
      <c r="K343" s="29"/>
      <c r="L343" s="67"/>
      <c r="M343" s="69"/>
      <c r="N343" s="29"/>
    </row>
    <row r="344" spans="1:14" x14ac:dyDescent="0.25">
      <c r="A344" s="25"/>
      <c r="B344" s="87"/>
      <c r="C344" s="104"/>
      <c r="D344" s="27" t="str">
        <f>IFERROR(IF(C344="No CAS","",INDEX('DEQ Pollutant List'!$C$7:$C$611,MATCH('5. Pollutant Emissions - MB'!C344,'DEQ Pollutant List'!$B$7:$B$611,0))),"")</f>
        <v/>
      </c>
      <c r="E344" s="13" t="str">
        <f>IFERROR(IF(OR($C344="",$C344="No CAS"),INDEX('DEQ Pollutant List'!$A$7:$A$611,MATCH($D344,'DEQ Pollutant List'!$C$7:$C$611,0)),INDEX('DEQ Pollutant List'!$A$7:$A$611,MATCH($C344,'DEQ Pollutant List'!$B$7:$B$611,0))),"")</f>
        <v/>
      </c>
      <c r="F344" s="105"/>
      <c r="G344" s="106"/>
      <c r="H344" s="68"/>
      <c r="I344" s="67"/>
      <c r="J344" s="69"/>
      <c r="K344" s="29"/>
      <c r="L344" s="67"/>
      <c r="M344" s="69"/>
      <c r="N344" s="29"/>
    </row>
    <row r="345" spans="1:14" x14ac:dyDescent="0.25">
      <c r="A345" s="25"/>
      <c r="B345" s="87"/>
      <c r="C345" s="104"/>
      <c r="D345" s="27" t="str">
        <f>IFERROR(IF(C345="No CAS","",INDEX('DEQ Pollutant List'!$C$7:$C$611,MATCH('5. Pollutant Emissions - MB'!C345,'DEQ Pollutant List'!$B$7:$B$611,0))),"")</f>
        <v/>
      </c>
      <c r="E345" s="13" t="str">
        <f>IFERROR(IF(OR($C345="",$C345="No CAS"),INDEX('DEQ Pollutant List'!$A$7:$A$611,MATCH($D345,'DEQ Pollutant List'!$C$7:$C$611,0)),INDEX('DEQ Pollutant List'!$A$7:$A$611,MATCH($C345,'DEQ Pollutant List'!$B$7:$B$611,0))),"")</f>
        <v/>
      </c>
      <c r="F345" s="105"/>
      <c r="G345" s="106"/>
      <c r="H345" s="68"/>
      <c r="I345" s="67"/>
      <c r="J345" s="69"/>
      <c r="K345" s="29"/>
      <c r="L345" s="67"/>
      <c r="M345" s="69"/>
      <c r="N345" s="29"/>
    </row>
    <row r="346" spans="1:14" x14ac:dyDescent="0.25">
      <c r="A346" s="25"/>
      <c r="B346" s="87"/>
      <c r="C346" s="104"/>
      <c r="D346" s="27" t="str">
        <f>IFERROR(IF(C346="No CAS","",INDEX('DEQ Pollutant List'!$C$7:$C$611,MATCH('5. Pollutant Emissions - MB'!C346,'DEQ Pollutant List'!$B$7:$B$611,0))),"")</f>
        <v/>
      </c>
      <c r="E346" s="13" t="str">
        <f>IFERROR(IF(OR($C346="",$C346="No CAS"),INDEX('DEQ Pollutant List'!$A$7:$A$611,MATCH($D346,'DEQ Pollutant List'!$C$7:$C$611,0)),INDEX('DEQ Pollutant List'!$A$7:$A$611,MATCH($C346,'DEQ Pollutant List'!$B$7:$B$611,0))),"")</f>
        <v/>
      </c>
      <c r="F346" s="105"/>
      <c r="G346" s="106"/>
      <c r="H346" s="68"/>
      <c r="I346" s="67"/>
      <c r="J346" s="69"/>
      <c r="K346" s="29"/>
      <c r="L346" s="67"/>
      <c r="M346" s="69"/>
      <c r="N346" s="29"/>
    </row>
    <row r="347" spans="1:14" x14ac:dyDescent="0.25">
      <c r="A347" s="25"/>
      <c r="B347" s="87"/>
      <c r="C347" s="104"/>
      <c r="D347" s="27" t="str">
        <f>IFERROR(IF(C347="No CAS","",INDEX('DEQ Pollutant List'!$C$7:$C$611,MATCH('5. Pollutant Emissions - MB'!C347,'DEQ Pollutant List'!$B$7:$B$611,0))),"")</f>
        <v/>
      </c>
      <c r="E347" s="13" t="str">
        <f>IFERROR(IF(OR($C347="",$C347="No CAS"),INDEX('DEQ Pollutant List'!$A$7:$A$611,MATCH($D347,'DEQ Pollutant List'!$C$7:$C$611,0)),INDEX('DEQ Pollutant List'!$A$7:$A$611,MATCH($C347,'DEQ Pollutant List'!$B$7:$B$611,0))),"")</f>
        <v/>
      </c>
      <c r="F347" s="105"/>
      <c r="G347" s="106"/>
      <c r="H347" s="68"/>
      <c r="I347" s="67"/>
      <c r="J347" s="69"/>
      <c r="K347" s="29"/>
      <c r="L347" s="67"/>
      <c r="M347" s="69"/>
      <c r="N347" s="29"/>
    </row>
    <row r="348" spans="1:14" x14ac:dyDescent="0.25">
      <c r="A348" s="25"/>
      <c r="B348" s="87"/>
      <c r="C348" s="104"/>
      <c r="D348" s="27" t="str">
        <f>IFERROR(IF(C348="No CAS","",INDEX('DEQ Pollutant List'!$C$7:$C$611,MATCH('5. Pollutant Emissions - MB'!C348,'DEQ Pollutant List'!$B$7:$B$611,0))),"")</f>
        <v/>
      </c>
      <c r="E348" s="13" t="str">
        <f>IFERROR(IF(OR($C348="",$C348="No CAS"),INDEX('DEQ Pollutant List'!$A$7:$A$611,MATCH($D348,'DEQ Pollutant List'!$C$7:$C$611,0)),INDEX('DEQ Pollutant List'!$A$7:$A$611,MATCH($C348,'DEQ Pollutant List'!$B$7:$B$611,0))),"")</f>
        <v/>
      </c>
      <c r="F348" s="105"/>
      <c r="G348" s="106"/>
      <c r="H348" s="68"/>
      <c r="I348" s="67"/>
      <c r="J348" s="69"/>
      <c r="K348" s="29"/>
      <c r="L348" s="67"/>
      <c r="M348" s="69"/>
      <c r="N348" s="29"/>
    </row>
    <row r="349" spans="1:14" x14ac:dyDescent="0.25">
      <c r="A349" s="25"/>
      <c r="B349" s="87"/>
      <c r="C349" s="104"/>
      <c r="D349" s="27" t="str">
        <f>IFERROR(IF(C349="No CAS","",INDEX('DEQ Pollutant List'!$C$7:$C$611,MATCH('5. Pollutant Emissions - MB'!C349,'DEQ Pollutant List'!$B$7:$B$611,0))),"")</f>
        <v/>
      </c>
      <c r="E349" s="13" t="str">
        <f>IFERROR(IF(OR($C349="",$C349="No CAS"),INDEX('DEQ Pollutant List'!$A$7:$A$611,MATCH($D349,'DEQ Pollutant List'!$C$7:$C$611,0)),INDEX('DEQ Pollutant List'!$A$7:$A$611,MATCH($C349,'DEQ Pollutant List'!$B$7:$B$611,0))),"")</f>
        <v/>
      </c>
      <c r="F349" s="105"/>
      <c r="G349" s="106"/>
      <c r="H349" s="68"/>
      <c r="I349" s="67"/>
      <c r="J349" s="69"/>
      <c r="K349" s="29"/>
      <c r="L349" s="67"/>
      <c r="M349" s="69"/>
      <c r="N349" s="29"/>
    </row>
    <row r="350" spans="1:14" x14ac:dyDescent="0.25">
      <c r="A350" s="25"/>
      <c r="B350" s="87"/>
      <c r="C350" s="104"/>
      <c r="D350" s="27" t="str">
        <f>IFERROR(IF(C350="No CAS","",INDEX('DEQ Pollutant List'!$C$7:$C$611,MATCH('5. Pollutant Emissions - MB'!C350,'DEQ Pollutant List'!$B$7:$B$611,0))),"")</f>
        <v/>
      </c>
      <c r="E350" s="13" t="str">
        <f>IFERROR(IF(OR($C350="",$C350="No CAS"),INDEX('DEQ Pollutant List'!$A$7:$A$611,MATCH($D350,'DEQ Pollutant List'!$C$7:$C$611,0)),INDEX('DEQ Pollutant List'!$A$7:$A$611,MATCH($C350,'DEQ Pollutant List'!$B$7:$B$611,0))),"")</f>
        <v/>
      </c>
      <c r="F350" s="105"/>
      <c r="G350" s="106"/>
      <c r="H350" s="68"/>
      <c r="I350" s="67"/>
      <c r="J350" s="69"/>
      <c r="K350" s="29"/>
      <c r="L350" s="67"/>
      <c r="M350" s="69"/>
      <c r="N350" s="29"/>
    </row>
    <row r="351" spans="1:14" x14ac:dyDescent="0.25">
      <c r="A351" s="25"/>
      <c r="B351" s="87"/>
      <c r="C351" s="104"/>
      <c r="D351" s="27" t="str">
        <f>IFERROR(IF(C351="No CAS","",INDEX('DEQ Pollutant List'!$C$7:$C$611,MATCH('5. Pollutant Emissions - MB'!C351,'DEQ Pollutant List'!$B$7:$B$611,0))),"")</f>
        <v/>
      </c>
      <c r="E351" s="13" t="str">
        <f>IFERROR(IF(OR($C351="",$C351="No CAS"),INDEX('DEQ Pollutant List'!$A$7:$A$611,MATCH($D351,'DEQ Pollutant List'!$C$7:$C$611,0)),INDEX('DEQ Pollutant List'!$A$7:$A$611,MATCH($C351,'DEQ Pollutant List'!$B$7:$B$611,0))),"")</f>
        <v/>
      </c>
      <c r="F351" s="105"/>
      <c r="G351" s="106"/>
      <c r="H351" s="68"/>
      <c r="I351" s="67"/>
      <c r="J351" s="69"/>
      <c r="K351" s="29"/>
      <c r="L351" s="67"/>
      <c r="M351" s="69"/>
      <c r="N351" s="29"/>
    </row>
    <row r="352" spans="1:14" x14ac:dyDescent="0.25">
      <c r="A352" s="25"/>
      <c r="B352" s="87"/>
      <c r="C352" s="104"/>
      <c r="D352" s="27" t="str">
        <f>IFERROR(IF(C352="No CAS","",INDEX('DEQ Pollutant List'!$C$7:$C$611,MATCH('5. Pollutant Emissions - MB'!C352,'DEQ Pollutant List'!$B$7:$B$611,0))),"")</f>
        <v/>
      </c>
      <c r="E352" s="13" t="str">
        <f>IFERROR(IF(OR($C352="",$C352="No CAS"),INDEX('DEQ Pollutant List'!$A$7:$A$611,MATCH($D352,'DEQ Pollutant List'!$C$7:$C$611,0)),INDEX('DEQ Pollutant List'!$A$7:$A$611,MATCH($C352,'DEQ Pollutant List'!$B$7:$B$611,0))),"")</f>
        <v/>
      </c>
      <c r="F352" s="105"/>
      <c r="G352" s="106"/>
      <c r="H352" s="68"/>
      <c r="I352" s="67"/>
      <c r="J352" s="69"/>
      <c r="K352" s="29"/>
      <c r="L352" s="67"/>
      <c r="M352" s="69"/>
      <c r="N352" s="29"/>
    </row>
    <row r="353" spans="1:14" x14ac:dyDescent="0.25">
      <c r="A353" s="25"/>
      <c r="B353" s="87"/>
      <c r="C353" s="104"/>
      <c r="D353" s="27" t="str">
        <f>IFERROR(IF(C353="No CAS","",INDEX('DEQ Pollutant List'!$C$7:$C$611,MATCH('5. Pollutant Emissions - MB'!C353,'DEQ Pollutant List'!$B$7:$B$611,0))),"")</f>
        <v/>
      </c>
      <c r="E353" s="13" t="str">
        <f>IFERROR(IF(OR($C353="",$C353="No CAS"),INDEX('DEQ Pollutant List'!$A$7:$A$611,MATCH($D353,'DEQ Pollutant List'!$C$7:$C$611,0)),INDEX('DEQ Pollutant List'!$A$7:$A$611,MATCH($C353,'DEQ Pollutant List'!$B$7:$B$611,0))),"")</f>
        <v/>
      </c>
      <c r="F353" s="105"/>
      <c r="G353" s="106"/>
      <c r="H353" s="68"/>
      <c r="I353" s="67"/>
      <c r="J353" s="69"/>
      <c r="K353" s="29"/>
      <c r="L353" s="67"/>
      <c r="M353" s="69"/>
      <c r="N353" s="29"/>
    </row>
    <row r="354" spans="1:14" x14ac:dyDescent="0.25">
      <c r="A354" s="25"/>
      <c r="B354" s="87"/>
      <c r="C354" s="104"/>
      <c r="D354" s="27" t="str">
        <f>IFERROR(IF(C354="No CAS","",INDEX('DEQ Pollutant List'!$C$7:$C$611,MATCH('5. Pollutant Emissions - MB'!C354,'DEQ Pollutant List'!$B$7:$B$611,0))),"")</f>
        <v/>
      </c>
      <c r="E354" s="13" t="str">
        <f>IFERROR(IF(OR($C354="",$C354="No CAS"),INDEX('DEQ Pollutant List'!$A$7:$A$611,MATCH($D354,'DEQ Pollutant List'!$C$7:$C$611,0)),INDEX('DEQ Pollutant List'!$A$7:$A$611,MATCH($C354,'DEQ Pollutant List'!$B$7:$B$611,0))),"")</f>
        <v/>
      </c>
      <c r="F354" s="105"/>
      <c r="G354" s="106"/>
      <c r="H354" s="68"/>
      <c r="I354" s="67"/>
      <c r="J354" s="69"/>
      <c r="K354" s="29"/>
      <c r="L354" s="67"/>
      <c r="M354" s="69"/>
      <c r="N354" s="29"/>
    </row>
    <row r="355" spans="1:14" x14ac:dyDescent="0.25">
      <c r="A355" s="25"/>
      <c r="B355" s="87"/>
      <c r="C355" s="104"/>
      <c r="D355" s="27" t="str">
        <f>IFERROR(IF(C355="No CAS","",INDEX('DEQ Pollutant List'!$C$7:$C$611,MATCH('5. Pollutant Emissions - MB'!C355,'DEQ Pollutant List'!$B$7:$B$611,0))),"")</f>
        <v/>
      </c>
      <c r="E355" s="13" t="str">
        <f>IFERROR(IF(OR($C355="",$C355="No CAS"),INDEX('DEQ Pollutant List'!$A$7:$A$611,MATCH($D355,'DEQ Pollutant List'!$C$7:$C$611,0)),INDEX('DEQ Pollutant List'!$A$7:$A$611,MATCH($C355,'DEQ Pollutant List'!$B$7:$B$611,0))),"")</f>
        <v/>
      </c>
      <c r="F355" s="105"/>
      <c r="G355" s="106"/>
      <c r="H355" s="68"/>
      <c r="I355" s="67"/>
      <c r="J355" s="69"/>
      <c r="K355" s="29"/>
      <c r="L355" s="67"/>
      <c r="M355" s="69"/>
      <c r="N355" s="29"/>
    </row>
    <row r="356" spans="1:14" x14ac:dyDescent="0.25">
      <c r="A356" s="25"/>
      <c r="B356" s="87"/>
      <c r="C356" s="104"/>
      <c r="D356" s="27" t="str">
        <f>IFERROR(IF(C356="No CAS","",INDEX('DEQ Pollutant List'!$C$7:$C$611,MATCH('5. Pollutant Emissions - MB'!C356,'DEQ Pollutant List'!$B$7:$B$611,0))),"")</f>
        <v/>
      </c>
      <c r="E356" s="13" t="str">
        <f>IFERROR(IF(OR($C356="",$C356="No CAS"),INDEX('DEQ Pollutant List'!$A$7:$A$611,MATCH($D356,'DEQ Pollutant List'!$C$7:$C$611,0)),INDEX('DEQ Pollutant List'!$A$7:$A$611,MATCH($C356,'DEQ Pollutant List'!$B$7:$B$611,0))),"")</f>
        <v/>
      </c>
      <c r="F356" s="105"/>
      <c r="G356" s="106"/>
      <c r="H356" s="68"/>
      <c r="I356" s="67"/>
      <c r="J356" s="69"/>
      <c r="K356" s="29"/>
      <c r="L356" s="67"/>
      <c r="M356" s="69"/>
      <c r="N356" s="29"/>
    </row>
    <row r="357" spans="1:14" x14ac:dyDescent="0.25">
      <c r="A357" s="25"/>
      <c r="B357" s="87"/>
      <c r="C357" s="104"/>
      <c r="D357" s="27" t="str">
        <f>IFERROR(IF(C357="No CAS","",INDEX('DEQ Pollutant List'!$C$7:$C$611,MATCH('5. Pollutant Emissions - MB'!C357,'DEQ Pollutant List'!$B$7:$B$611,0))),"")</f>
        <v/>
      </c>
      <c r="E357" s="13" t="str">
        <f>IFERROR(IF(OR($C357="",$C357="No CAS"),INDEX('DEQ Pollutant List'!$A$7:$A$611,MATCH($D357,'DEQ Pollutant List'!$C$7:$C$611,0)),INDEX('DEQ Pollutant List'!$A$7:$A$611,MATCH($C357,'DEQ Pollutant List'!$B$7:$B$611,0))),"")</f>
        <v/>
      </c>
      <c r="F357" s="105"/>
      <c r="G357" s="106"/>
      <c r="H357" s="68"/>
      <c r="I357" s="67"/>
      <c r="J357" s="69"/>
      <c r="K357" s="29"/>
      <c r="L357" s="67"/>
      <c r="M357" s="69"/>
      <c r="N357" s="29"/>
    </row>
    <row r="358" spans="1:14" x14ac:dyDescent="0.25">
      <c r="A358" s="25"/>
      <c r="B358" s="87"/>
      <c r="C358" s="104"/>
      <c r="D358" s="27" t="str">
        <f>IFERROR(IF(C358="No CAS","",INDEX('DEQ Pollutant List'!$C$7:$C$611,MATCH('5. Pollutant Emissions - MB'!C358,'DEQ Pollutant List'!$B$7:$B$611,0))),"")</f>
        <v/>
      </c>
      <c r="E358" s="13" t="str">
        <f>IFERROR(IF(OR($C358="",$C358="No CAS"),INDEX('DEQ Pollutant List'!$A$7:$A$611,MATCH($D358,'DEQ Pollutant List'!$C$7:$C$611,0)),INDEX('DEQ Pollutant List'!$A$7:$A$611,MATCH($C358,'DEQ Pollutant List'!$B$7:$B$611,0))),"")</f>
        <v/>
      </c>
      <c r="F358" s="105"/>
      <c r="G358" s="106"/>
      <c r="H358" s="68"/>
      <c r="I358" s="67"/>
      <c r="J358" s="69"/>
      <c r="K358" s="29"/>
      <c r="L358" s="67"/>
      <c r="M358" s="69"/>
      <c r="N358" s="29"/>
    </row>
    <row r="359" spans="1:14" x14ac:dyDescent="0.25">
      <c r="A359" s="25"/>
      <c r="B359" s="87"/>
      <c r="C359" s="104"/>
      <c r="D359" s="27" t="str">
        <f>IFERROR(IF(C359="No CAS","",INDEX('DEQ Pollutant List'!$C$7:$C$611,MATCH('5. Pollutant Emissions - MB'!C359,'DEQ Pollutant List'!$B$7:$B$611,0))),"")</f>
        <v/>
      </c>
      <c r="E359" s="13" t="str">
        <f>IFERROR(IF(OR($C359="",$C359="No CAS"),INDEX('DEQ Pollutant List'!$A$7:$A$611,MATCH($D359,'DEQ Pollutant List'!$C$7:$C$611,0)),INDEX('DEQ Pollutant List'!$A$7:$A$611,MATCH($C359,'DEQ Pollutant List'!$B$7:$B$611,0))),"")</f>
        <v/>
      </c>
      <c r="F359" s="105"/>
      <c r="G359" s="106"/>
      <c r="H359" s="68"/>
      <c r="I359" s="67"/>
      <c r="J359" s="69"/>
      <c r="K359" s="29"/>
      <c r="L359" s="67"/>
      <c r="M359" s="69"/>
      <c r="N359" s="29"/>
    </row>
    <row r="360" spans="1:14" x14ac:dyDescent="0.25">
      <c r="A360" s="25"/>
      <c r="B360" s="87"/>
      <c r="C360" s="104"/>
      <c r="D360" s="27" t="str">
        <f>IFERROR(IF(C360="No CAS","",INDEX('DEQ Pollutant List'!$C$7:$C$611,MATCH('5. Pollutant Emissions - MB'!C360,'DEQ Pollutant List'!$B$7:$B$611,0))),"")</f>
        <v/>
      </c>
      <c r="E360" s="13" t="str">
        <f>IFERROR(IF(OR($C360="",$C360="No CAS"),INDEX('DEQ Pollutant List'!$A$7:$A$611,MATCH($D360,'DEQ Pollutant List'!$C$7:$C$611,0)),INDEX('DEQ Pollutant List'!$A$7:$A$611,MATCH($C360,'DEQ Pollutant List'!$B$7:$B$611,0))),"")</f>
        <v/>
      </c>
      <c r="F360" s="105"/>
      <c r="G360" s="106"/>
      <c r="H360" s="68"/>
      <c r="I360" s="67"/>
      <c r="J360" s="69"/>
      <c r="K360" s="29"/>
      <c r="L360" s="67"/>
      <c r="M360" s="69"/>
      <c r="N360" s="29"/>
    </row>
    <row r="361" spans="1:14" x14ac:dyDescent="0.25">
      <c r="A361" s="25"/>
      <c r="B361" s="87"/>
      <c r="C361" s="104"/>
      <c r="D361" s="27" t="str">
        <f>IFERROR(IF(C361="No CAS","",INDEX('DEQ Pollutant List'!$C$7:$C$611,MATCH('5. Pollutant Emissions - MB'!C361,'DEQ Pollutant List'!$B$7:$B$611,0))),"")</f>
        <v/>
      </c>
      <c r="E361" s="13" t="str">
        <f>IFERROR(IF(OR($C361="",$C361="No CAS"),INDEX('DEQ Pollutant List'!$A$7:$A$611,MATCH($D361,'DEQ Pollutant List'!$C$7:$C$611,0)),INDEX('DEQ Pollutant List'!$A$7:$A$611,MATCH($C361,'DEQ Pollutant List'!$B$7:$B$611,0))),"")</f>
        <v/>
      </c>
      <c r="F361" s="105"/>
      <c r="G361" s="106"/>
      <c r="H361" s="68"/>
      <c r="I361" s="67"/>
      <c r="J361" s="69"/>
      <c r="K361" s="29"/>
      <c r="L361" s="67"/>
      <c r="M361" s="69"/>
      <c r="N361" s="29"/>
    </row>
    <row r="362" spans="1:14" x14ac:dyDescent="0.25">
      <c r="A362" s="25"/>
      <c r="B362" s="87"/>
      <c r="C362" s="104"/>
      <c r="D362" s="27" t="str">
        <f>IFERROR(IF(C362="No CAS","",INDEX('DEQ Pollutant List'!$C$7:$C$611,MATCH('5. Pollutant Emissions - MB'!C362,'DEQ Pollutant List'!$B$7:$B$611,0))),"")</f>
        <v/>
      </c>
      <c r="E362" s="13" t="str">
        <f>IFERROR(IF(OR($C362="",$C362="No CAS"),INDEX('DEQ Pollutant List'!$A$7:$A$611,MATCH($D362,'DEQ Pollutant List'!$C$7:$C$611,0)),INDEX('DEQ Pollutant List'!$A$7:$A$611,MATCH($C362,'DEQ Pollutant List'!$B$7:$B$611,0))),"")</f>
        <v/>
      </c>
      <c r="F362" s="105"/>
      <c r="G362" s="106"/>
      <c r="H362" s="68"/>
      <c r="I362" s="67"/>
      <c r="J362" s="69"/>
      <c r="K362" s="29"/>
      <c r="L362" s="67"/>
      <c r="M362" s="69"/>
      <c r="N362" s="29"/>
    </row>
    <row r="363" spans="1:14" x14ac:dyDescent="0.25">
      <c r="A363" s="25"/>
      <c r="B363" s="87"/>
      <c r="C363" s="104"/>
      <c r="D363" s="27" t="str">
        <f>IFERROR(IF(C363="No CAS","",INDEX('DEQ Pollutant List'!$C$7:$C$611,MATCH('5. Pollutant Emissions - MB'!C363,'DEQ Pollutant List'!$B$7:$B$611,0))),"")</f>
        <v/>
      </c>
      <c r="E363" s="13" t="str">
        <f>IFERROR(IF(OR($C363="",$C363="No CAS"),INDEX('DEQ Pollutant List'!$A$7:$A$611,MATCH($D363,'DEQ Pollutant List'!$C$7:$C$611,0)),INDEX('DEQ Pollutant List'!$A$7:$A$611,MATCH($C363,'DEQ Pollutant List'!$B$7:$B$611,0))),"")</f>
        <v/>
      </c>
      <c r="F363" s="105"/>
      <c r="G363" s="106"/>
      <c r="H363" s="68"/>
      <c r="I363" s="67"/>
      <c r="J363" s="69"/>
      <c r="K363" s="29"/>
      <c r="L363" s="67"/>
      <c r="M363" s="69"/>
      <c r="N363" s="29"/>
    </row>
    <row r="364" spans="1:14" x14ac:dyDescent="0.25">
      <c r="A364" s="25"/>
      <c r="B364" s="87"/>
      <c r="C364" s="104"/>
      <c r="D364" s="27" t="str">
        <f>IFERROR(IF(C364="No CAS","",INDEX('DEQ Pollutant List'!$C$7:$C$611,MATCH('5. Pollutant Emissions - MB'!C364,'DEQ Pollutant List'!$B$7:$B$611,0))),"")</f>
        <v/>
      </c>
      <c r="E364" s="13" t="str">
        <f>IFERROR(IF(OR($C364="",$C364="No CAS"),INDEX('DEQ Pollutant List'!$A$7:$A$611,MATCH($D364,'DEQ Pollutant List'!$C$7:$C$611,0)),INDEX('DEQ Pollutant List'!$A$7:$A$611,MATCH($C364,'DEQ Pollutant List'!$B$7:$B$611,0))),"")</f>
        <v/>
      </c>
      <c r="F364" s="105"/>
      <c r="G364" s="106"/>
      <c r="H364" s="68"/>
      <c r="I364" s="67"/>
      <c r="J364" s="69"/>
      <c r="K364" s="29"/>
      <c r="L364" s="67"/>
      <c r="M364" s="69"/>
      <c r="N364" s="29"/>
    </row>
    <row r="365" spans="1:14" x14ac:dyDescent="0.25">
      <c r="A365" s="25"/>
      <c r="B365" s="87"/>
      <c r="C365" s="104"/>
      <c r="D365" s="27" t="str">
        <f>IFERROR(IF(C365="No CAS","",INDEX('DEQ Pollutant List'!$C$7:$C$611,MATCH('5. Pollutant Emissions - MB'!C365,'DEQ Pollutant List'!$B$7:$B$611,0))),"")</f>
        <v/>
      </c>
      <c r="E365" s="13" t="str">
        <f>IFERROR(IF(OR($C365="",$C365="No CAS"),INDEX('DEQ Pollutant List'!$A$7:$A$611,MATCH($D365,'DEQ Pollutant List'!$C$7:$C$611,0)),INDEX('DEQ Pollutant List'!$A$7:$A$611,MATCH($C365,'DEQ Pollutant List'!$B$7:$B$611,0))),"")</f>
        <v/>
      </c>
      <c r="F365" s="105"/>
      <c r="G365" s="106"/>
      <c r="H365" s="68"/>
      <c r="I365" s="67"/>
      <c r="J365" s="69"/>
      <c r="K365" s="29"/>
      <c r="L365" s="67"/>
      <c r="M365" s="69"/>
      <c r="N365" s="29"/>
    </row>
    <row r="366" spans="1:14" x14ac:dyDescent="0.25">
      <c r="A366" s="25"/>
      <c r="B366" s="87"/>
      <c r="C366" s="104"/>
      <c r="D366" s="27" t="str">
        <f>IFERROR(IF(C366="No CAS","",INDEX('DEQ Pollutant List'!$C$7:$C$611,MATCH('5. Pollutant Emissions - MB'!C366,'DEQ Pollutant List'!$B$7:$B$611,0))),"")</f>
        <v/>
      </c>
      <c r="E366" s="13" t="str">
        <f>IFERROR(IF(OR($C366="",$C366="No CAS"),INDEX('DEQ Pollutant List'!$A$7:$A$611,MATCH($D366,'DEQ Pollutant List'!$C$7:$C$611,0)),INDEX('DEQ Pollutant List'!$A$7:$A$611,MATCH($C366,'DEQ Pollutant List'!$B$7:$B$611,0))),"")</f>
        <v/>
      </c>
      <c r="F366" s="105"/>
      <c r="G366" s="106"/>
      <c r="H366" s="68"/>
      <c r="I366" s="67"/>
      <c r="J366" s="69"/>
      <c r="K366" s="29"/>
      <c r="L366" s="67"/>
      <c r="M366" s="69"/>
      <c r="N366" s="29"/>
    </row>
    <row r="367" spans="1:14" x14ac:dyDescent="0.25">
      <c r="A367" s="25"/>
      <c r="B367" s="87"/>
      <c r="C367" s="104"/>
      <c r="D367" s="27" t="str">
        <f>IFERROR(IF(C367="No CAS","",INDEX('DEQ Pollutant List'!$C$7:$C$611,MATCH('5. Pollutant Emissions - MB'!C367,'DEQ Pollutant List'!$B$7:$B$611,0))),"")</f>
        <v/>
      </c>
      <c r="E367" s="13" t="str">
        <f>IFERROR(IF(OR($C367="",$C367="No CAS"),INDEX('DEQ Pollutant List'!$A$7:$A$611,MATCH($D367,'DEQ Pollutant List'!$C$7:$C$611,0)),INDEX('DEQ Pollutant List'!$A$7:$A$611,MATCH($C367,'DEQ Pollutant List'!$B$7:$B$611,0))),"")</f>
        <v/>
      </c>
      <c r="F367" s="105"/>
      <c r="G367" s="106"/>
      <c r="H367" s="68"/>
      <c r="I367" s="67"/>
      <c r="J367" s="69"/>
      <c r="K367" s="29"/>
      <c r="L367" s="67"/>
      <c r="M367" s="69"/>
      <c r="N367" s="29"/>
    </row>
    <row r="368" spans="1:14" x14ac:dyDescent="0.25">
      <c r="A368" s="25"/>
      <c r="B368" s="87"/>
      <c r="C368" s="104"/>
      <c r="D368" s="27" t="str">
        <f>IFERROR(IF(C368="No CAS","",INDEX('DEQ Pollutant List'!$C$7:$C$611,MATCH('5. Pollutant Emissions - MB'!C368,'DEQ Pollutant List'!$B$7:$B$611,0))),"")</f>
        <v/>
      </c>
      <c r="E368" s="13" t="str">
        <f>IFERROR(IF(OR($C368="",$C368="No CAS"),INDEX('DEQ Pollutant List'!$A$7:$A$611,MATCH($D368,'DEQ Pollutant List'!$C$7:$C$611,0)),INDEX('DEQ Pollutant List'!$A$7:$A$611,MATCH($C368,'DEQ Pollutant List'!$B$7:$B$611,0))),"")</f>
        <v/>
      </c>
      <c r="F368" s="105"/>
      <c r="G368" s="106"/>
      <c r="H368" s="68"/>
      <c r="I368" s="67"/>
      <c r="J368" s="69"/>
      <c r="K368" s="29"/>
      <c r="L368" s="67"/>
      <c r="M368" s="69"/>
      <c r="N368" s="29"/>
    </row>
    <row r="369" spans="1:14" x14ac:dyDescent="0.25">
      <c r="A369" s="25"/>
      <c r="B369" s="87"/>
      <c r="C369" s="104"/>
      <c r="D369" s="27" t="str">
        <f>IFERROR(IF(C369="No CAS","",INDEX('DEQ Pollutant List'!$C$7:$C$611,MATCH('5. Pollutant Emissions - MB'!C369,'DEQ Pollutant List'!$B$7:$B$611,0))),"")</f>
        <v/>
      </c>
      <c r="E369" s="13" t="str">
        <f>IFERROR(IF(OR($C369="",$C369="No CAS"),INDEX('DEQ Pollutant List'!$A$7:$A$611,MATCH($D369,'DEQ Pollutant List'!$C$7:$C$611,0)),INDEX('DEQ Pollutant List'!$A$7:$A$611,MATCH($C369,'DEQ Pollutant List'!$B$7:$B$611,0))),"")</f>
        <v/>
      </c>
      <c r="F369" s="105"/>
      <c r="G369" s="106"/>
      <c r="H369" s="68"/>
      <c r="I369" s="67"/>
      <c r="J369" s="69"/>
      <c r="K369" s="29"/>
      <c r="L369" s="67"/>
      <c r="M369" s="69"/>
      <c r="N369" s="29"/>
    </row>
    <row r="370" spans="1:14" x14ac:dyDescent="0.25">
      <c r="A370" s="25"/>
      <c r="B370" s="87"/>
      <c r="C370" s="104"/>
      <c r="D370" s="27" t="str">
        <f>IFERROR(IF(C370="No CAS","",INDEX('DEQ Pollutant List'!$C$7:$C$611,MATCH('5. Pollutant Emissions - MB'!C370,'DEQ Pollutant List'!$B$7:$B$611,0))),"")</f>
        <v/>
      </c>
      <c r="E370" s="13" t="str">
        <f>IFERROR(IF(OR($C370="",$C370="No CAS"),INDEX('DEQ Pollutant List'!$A$7:$A$611,MATCH($D370,'DEQ Pollutant List'!$C$7:$C$611,0)),INDEX('DEQ Pollutant List'!$A$7:$A$611,MATCH($C370,'DEQ Pollutant List'!$B$7:$B$611,0))),"")</f>
        <v/>
      </c>
      <c r="F370" s="105"/>
      <c r="G370" s="106"/>
      <c r="H370" s="68"/>
      <c r="I370" s="67"/>
      <c r="J370" s="69"/>
      <c r="K370" s="29"/>
      <c r="L370" s="67"/>
      <c r="M370" s="69"/>
      <c r="N370" s="29"/>
    </row>
    <row r="371" spans="1:14" x14ac:dyDescent="0.25">
      <c r="A371" s="25"/>
      <c r="B371" s="87"/>
      <c r="C371" s="104"/>
      <c r="D371" s="27" t="str">
        <f>IFERROR(IF(C371="No CAS","",INDEX('DEQ Pollutant List'!$C$7:$C$611,MATCH('5. Pollutant Emissions - MB'!C371,'DEQ Pollutant List'!$B$7:$B$611,0))),"")</f>
        <v/>
      </c>
      <c r="E371" s="13" t="str">
        <f>IFERROR(IF(OR($C371="",$C371="No CAS"),INDEX('DEQ Pollutant List'!$A$7:$A$611,MATCH($D371,'DEQ Pollutant List'!$C$7:$C$611,0)),INDEX('DEQ Pollutant List'!$A$7:$A$611,MATCH($C371,'DEQ Pollutant List'!$B$7:$B$611,0))),"")</f>
        <v/>
      </c>
      <c r="F371" s="105"/>
      <c r="G371" s="106"/>
      <c r="H371" s="68"/>
      <c r="I371" s="67"/>
      <c r="J371" s="69"/>
      <c r="K371" s="29"/>
      <c r="L371" s="67"/>
      <c r="M371" s="69"/>
      <c r="N371" s="29"/>
    </row>
    <row r="372" spans="1:14" x14ac:dyDescent="0.25">
      <c r="A372" s="25"/>
      <c r="B372" s="87"/>
      <c r="C372" s="104"/>
      <c r="D372" s="27" t="str">
        <f>IFERROR(IF(C372="No CAS","",INDEX('DEQ Pollutant List'!$C$7:$C$611,MATCH('5. Pollutant Emissions - MB'!C372,'DEQ Pollutant List'!$B$7:$B$611,0))),"")</f>
        <v/>
      </c>
      <c r="E372" s="13" t="str">
        <f>IFERROR(IF(OR($C372="",$C372="No CAS"),INDEX('DEQ Pollutant List'!$A$7:$A$611,MATCH($D372,'DEQ Pollutant List'!$C$7:$C$611,0)),INDEX('DEQ Pollutant List'!$A$7:$A$611,MATCH($C372,'DEQ Pollutant List'!$B$7:$B$611,0))),"")</f>
        <v/>
      </c>
      <c r="F372" s="105"/>
      <c r="G372" s="106"/>
      <c r="H372" s="68"/>
      <c r="I372" s="67"/>
      <c r="J372" s="69"/>
      <c r="K372" s="29"/>
      <c r="L372" s="67"/>
      <c r="M372" s="69"/>
      <c r="N372" s="29"/>
    </row>
    <row r="373" spans="1:14" x14ac:dyDescent="0.25">
      <c r="A373" s="25"/>
      <c r="B373" s="87"/>
      <c r="C373" s="104"/>
      <c r="D373" s="27" t="str">
        <f>IFERROR(IF(C373="No CAS","",INDEX('DEQ Pollutant List'!$C$7:$C$611,MATCH('5. Pollutant Emissions - MB'!C373,'DEQ Pollutant List'!$B$7:$B$611,0))),"")</f>
        <v/>
      </c>
      <c r="E373" s="13" t="str">
        <f>IFERROR(IF(OR($C373="",$C373="No CAS"),INDEX('DEQ Pollutant List'!$A$7:$A$611,MATCH($D373,'DEQ Pollutant List'!$C$7:$C$611,0)),INDEX('DEQ Pollutant List'!$A$7:$A$611,MATCH($C373,'DEQ Pollutant List'!$B$7:$B$611,0))),"")</f>
        <v/>
      </c>
      <c r="F373" s="105"/>
      <c r="G373" s="106"/>
      <c r="H373" s="68"/>
      <c r="I373" s="67"/>
      <c r="J373" s="69"/>
      <c r="K373" s="29"/>
      <c r="L373" s="67"/>
      <c r="M373" s="69"/>
      <c r="N373" s="29"/>
    </row>
    <row r="374" spans="1:14" x14ac:dyDescent="0.25">
      <c r="A374" s="25"/>
      <c r="B374" s="87"/>
      <c r="C374" s="104"/>
      <c r="D374" s="27" t="str">
        <f>IFERROR(IF(C374="No CAS","",INDEX('DEQ Pollutant List'!$C$7:$C$611,MATCH('5. Pollutant Emissions - MB'!C374,'DEQ Pollutant List'!$B$7:$B$611,0))),"")</f>
        <v/>
      </c>
      <c r="E374" s="13" t="str">
        <f>IFERROR(IF(OR($C374="",$C374="No CAS"),INDEX('DEQ Pollutant List'!$A$7:$A$611,MATCH($D374,'DEQ Pollutant List'!$C$7:$C$611,0)),INDEX('DEQ Pollutant List'!$A$7:$A$611,MATCH($C374,'DEQ Pollutant List'!$B$7:$B$611,0))),"")</f>
        <v/>
      </c>
      <c r="F374" s="105"/>
      <c r="G374" s="106"/>
      <c r="H374" s="68"/>
      <c r="I374" s="67"/>
      <c r="J374" s="69"/>
      <c r="K374" s="29"/>
      <c r="L374" s="67"/>
      <c r="M374" s="69"/>
      <c r="N374" s="29"/>
    </row>
    <row r="375" spans="1:14" x14ac:dyDescent="0.25">
      <c r="A375" s="25"/>
      <c r="B375" s="87"/>
      <c r="C375" s="104"/>
      <c r="D375" s="27" t="str">
        <f>IFERROR(IF(C375="No CAS","",INDEX('DEQ Pollutant List'!$C$7:$C$611,MATCH('5. Pollutant Emissions - MB'!C375,'DEQ Pollutant List'!$B$7:$B$611,0))),"")</f>
        <v/>
      </c>
      <c r="E375" s="13" t="str">
        <f>IFERROR(IF(OR($C375="",$C375="No CAS"),INDEX('DEQ Pollutant List'!$A$7:$A$611,MATCH($D375,'DEQ Pollutant List'!$C$7:$C$611,0)),INDEX('DEQ Pollutant List'!$A$7:$A$611,MATCH($C375,'DEQ Pollutant List'!$B$7:$B$611,0))),"")</f>
        <v/>
      </c>
      <c r="F375" s="105"/>
      <c r="G375" s="106"/>
      <c r="H375" s="68"/>
      <c r="I375" s="67"/>
      <c r="J375" s="69"/>
      <c r="K375" s="29"/>
      <c r="L375" s="67"/>
      <c r="M375" s="69"/>
      <c r="N375" s="29"/>
    </row>
    <row r="376" spans="1:14" x14ac:dyDescent="0.25">
      <c r="A376" s="25"/>
      <c r="B376" s="87"/>
      <c r="C376" s="104"/>
      <c r="D376" s="27" t="str">
        <f>IFERROR(IF(C376="No CAS","",INDEX('DEQ Pollutant List'!$C$7:$C$611,MATCH('5. Pollutant Emissions - MB'!C376,'DEQ Pollutant List'!$B$7:$B$611,0))),"")</f>
        <v/>
      </c>
      <c r="E376" s="13" t="str">
        <f>IFERROR(IF(OR($C376="",$C376="No CAS"),INDEX('DEQ Pollutant List'!$A$7:$A$611,MATCH($D376,'DEQ Pollutant List'!$C$7:$C$611,0)),INDEX('DEQ Pollutant List'!$A$7:$A$611,MATCH($C376,'DEQ Pollutant List'!$B$7:$B$611,0))),"")</f>
        <v/>
      </c>
      <c r="F376" s="105"/>
      <c r="G376" s="106"/>
      <c r="H376" s="68"/>
      <c r="I376" s="67"/>
      <c r="J376" s="69"/>
      <c r="K376" s="29"/>
      <c r="L376" s="67"/>
      <c r="M376" s="69"/>
      <c r="N376" s="29"/>
    </row>
    <row r="377" spans="1:14" x14ac:dyDescent="0.25">
      <c r="A377" s="25"/>
      <c r="B377" s="87"/>
      <c r="C377" s="104"/>
      <c r="D377" s="27" t="str">
        <f>IFERROR(IF(C377="No CAS","",INDEX('DEQ Pollutant List'!$C$7:$C$611,MATCH('5. Pollutant Emissions - MB'!C377,'DEQ Pollutant List'!$B$7:$B$611,0))),"")</f>
        <v/>
      </c>
      <c r="E377" s="13" t="str">
        <f>IFERROR(IF(OR($C377="",$C377="No CAS"),INDEX('DEQ Pollutant List'!$A$7:$A$611,MATCH($D377,'DEQ Pollutant List'!$C$7:$C$611,0)),INDEX('DEQ Pollutant List'!$A$7:$A$611,MATCH($C377,'DEQ Pollutant List'!$B$7:$B$611,0))),"")</f>
        <v/>
      </c>
      <c r="F377" s="105"/>
      <c r="G377" s="106"/>
      <c r="H377" s="68"/>
      <c r="I377" s="67"/>
      <c r="J377" s="69"/>
      <c r="K377" s="29"/>
      <c r="L377" s="67"/>
      <c r="M377" s="69"/>
      <c r="N377" s="29"/>
    </row>
    <row r="378" spans="1:14" x14ac:dyDescent="0.25">
      <c r="A378" s="25"/>
      <c r="B378" s="87"/>
      <c r="C378" s="104"/>
      <c r="D378" s="27" t="str">
        <f>IFERROR(IF(C378="No CAS","",INDEX('DEQ Pollutant List'!$C$7:$C$611,MATCH('5. Pollutant Emissions - MB'!C378,'DEQ Pollutant List'!$B$7:$B$611,0))),"")</f>
        <v/>
      </c>
      <c r="E378" s="13" t="str">
        <f>IFERROR(IF(OR($C378="",$C378="No CAS"),INDEX('DEQ Pollutant List'!$A$7:$A$611,MATCH($D378,'DEQ Pollutant List'!$C$7:$C$611,0)),INDEX('DEQ Pollutant List'!$A$7:$A$611,MATCH($C378,'DEQ Pollutant List'!$B$7:$B$611,0))),"")</f>
        <v/>
      </c>
      <c r="F378" s="105"/>
      <c r="G378" s="106"/>
      <c r="H378" s="68"/>
      <c r="I378" s="67"/>
      <c r="J378" s="69"/>
      <c r="K378" s="29"/>
      <c r="L378" s="67"/>
      <c r="M378" s="69"/>
      <c r="N378" s="29"/>
    </row>
    <row r="379" spans="1:14" x14ac:dyDescent="0.25">
      <c r="A379" s="25"/>
      <c r="B379" s="87"/>
      <c r="C379" s="104"/>
      <c r="D379" s="27" t="str">
        <f>IFERROR(IF(C379="No CAS","",INDEX('DEQ Pollutant List'!$C$7:$C$611,MATCH('5. Pollutant Emissions - MB'!C379,'DEQ Pollutant List'!$B$7:$B$611,0))),"")</f>
        <v/>
      </c>
      <c r="E379" s="13" t="str">
        <f>IFERROR(IF(OR($C379="",$C379="No CAS"),INDEX('DEQ Pollutant List'!$A$7:$A$611,MATCH($D379,'DEQ Pollutant List'!$C$7:$C$611,0)),INDEX('DEQ Pollutant List'!$A$7:$A$611,MATCH($C379,'DEQ Pollutant List'!$B$7:$B$611,0))),"")</f>
        <v/>
      </c>
      <c r="F379" s="105"/>
      <c r="G379" s="106"/>
      <c r="H379" s="68"/>
      <c r="I379" s="67"/>
      <c r="J379" s="69"/>
      <c r="K379" s="29"/>
      <c r="L379" s="67"/>
      <c r="M379" s="69"/>
      <c r="N379" s="29"/>
    </row>
    <row r="380" spans="1:14" x14ac:dyDescent="0.25">
      <c r="A380" s="25"/>
      <c r="B380" s="87"/>
      <c r="C380" s="104"/>
      <c r="D380" s="27" t="str">
        <f>IFERROR(IF(C380="No CAS","",INDEX('DEQ Pollutant List'!$C$7:$C$611,MATCH('5. Pollutant Emissions - MB'!C380,'DEQ Pollutant List'!$B$7:$B$611,0))),"")</f>
        <v/>
      </c>
      <c r="E380" s="13" t="str">
        <f>IFERROR(IF(OR($C380="",$C380="No CAS"),INDEX('DEQ Pollutant List'!$A$7:$A$611,MATCH($D380,'DEQ Pollutant List'!$C$7:$C$611,0)),INDEX('DEQ Pollutant List'!$A$7:$A$611,MATCH($C380,'DEQ Pollutant List'!$B$7:$B$611,0))),"")</f>
        <v/>
      </c>
      <c r="F380" s="105"/>
      <c r="G380" s="106"/>
      <c r="H380" s="68"/>
      <c r="I380" s="67"/>
      <c r="J380" s="69"/>
      <c r="K380" s="29"/>
      <c r="L380" s="67"/>
      <c r="M380" s="69"/>
      <c r="N380" s="29"/>
    </row>
    <row r="381" spans="1:14" x14ac:dyDescent="0.25">
      <c r="A381" s="25"/>
      <c r="B381" s="87"/>
      <c r="C381" s="104"/>
      <c r="D381" s="27" t="str">
        <f>IFERROR(IF(C381="No CAS","",INDEX('DEQ Pollutant List'!$C$7:$C$611,MATCH('5. Pollutant Emissions - MB'!C381,'DEQ Pollutant List'!$B$7:$B$611,0))),"")</f>
        <v/>
      </c>
      <c r="E381" s="13" t="str">
        <f>IFERROR(IF(OR($C381="",$C381="No CAS"),INDEX('DEQ Pollutant List'!$A$7:$A$611,MATCH($D381,'DEQ Pollutant List'!$C$7:$C$611,0)),INDEX('DEQ Pollutant List'!$A$7:$A$611,MATCH($C381,'DEQ Pollutant List'!$B$7:$B$611,0))),"")</f>
        <v/>
      </c>
      <c r="F381" s="105"/>
      <c r="G381" s="106"/>
      <c r="H381" s="68"/>
      <c r="I381" s="67"/>
      <c r="J381" s="69"/>
      <c r="K381" s="29"/>
      <c r="L381" s="67"/>
      <c r="M381" s="69"/>
      <c r="N381" s="29"/>
    </row>
    <row r="382" spans="1:14" x14ac:dyDescent="0.25">
      <c r="A382" s="25"/>
      <c r="B382" s="87"/>
      <c r="C382" s="104"/>
      <c r="D382" s="27" t="str">
        <f>IFERROR(IF(C382="No CAS","",INDEX('DEQ Pollutant List'!$C$7:$C$611,MATCH('5. Pollutant Emissions - MB'!C382,'DEQ Pollutant List'!$B$7:$B$611,0))),"")</f>
        <v/>
      </c>
      <c r="E382" s="13" t="str">
        <f>IFERROR(IF(OR($C382="",$C382="No CAS"),INDEX('DEQ Pollutant List'!$A$7:$A$611,MATCH($D382,'DEQ Pollutant List'!$C$7:$C$611,0)),INDEX('DEQ Pollutant List'!$A$7:$A$611,MATCH($C382,'DEQ Pollutant List'!$B$7:$B$611,0))),"")</f>
        <v/>
      </c>
      <c r="F382" s="105"/>
      <c r="G382" s="106"/>
      <c r="H382" s="68"/>
      <c r="I382" s="67"/>
      <c r="J382" s="69"/>
      <c r="K382" s="29"/>
      <c r="L382" s="67"/>
      <c r="M382" s="69"/>
      <c r="N382" s="29"/>
    </row>
    <row r="383" spans="1:14" x14ac:dyDescent="0.25">
      <c r="A383" s="25"/>
      <c r="B383" s="87"/>
      <c r="C383" s="104"/>
      <c r="D383" s="27" t="str">
        <f>IFERROR(IF(C383="No CAS","",INDEX('DEQ Pollutant List'!$C$7:$C$611,MATCH('5. Pollutant Emissions - MB'!C383,'DEQ Pollutant List'!$B$7:$B$611,0))),"")</f>
        <v/>
      </c>
      <c r="E383" s="13" t="str">
        <f>IFERROR(IF(OR($C383="",$C383="No CAS"),INDEX('DEQ Pollutant List'!$A$7:$A$611,MATCH($D383,'DEQ Pollutant List'!$C$7:$C$611,0)),INDEX('DEQ Pollutant List'!$A$7:$A$611,MATCH($C383,'DEQ Pollutant List'!$B$7:$B$611,0))),"")</f>
        <v/>
      </c>
      <c r="F383" s="105"/>
      <c r="G383" s="106"/>
      <c r="H383" s="68"/>
      <c r="I383" s="67"/>
      <c r="J383" s="69"/>
      <c r="K383" s="29"/>
      <c r="L383" s="67"/>
      <c r="M383" s="69"/>
      <c r="N383" s="29"/>
    </row>
    <row r="384" spans="1:14" x14ac:dyDescent="0.25">
      <c r="A384" s="25"/>
      <c r="B384" s="87"/>
      <c r="C384" s="104"/>
      <c r="D384" s="27" t="str">
        <f>IFERROR(IF(C384="No CAS","",INDEX('DEQ Pollutant List'!$C$7:$C$611,MATCH('5. Pollutant Emissions - MB'!C384,'DEQ Pollutant List'!$B$7:$B$611,0))),"")</f>
        <v/>
      </c>
      <c r="E384" s="13" t="str">
        <f>IFERROR(IF(OR($C384="",$C384="No CAS"),INDEX('DEQ Pollutant List'!$A$7:$A$611,MATCH($D384,'DEQ Pollutant List'!$C$7:$C$611,0)),INDEX('DEQ Pollutant List'!$A$7:$A$611,MATCH($C384,'DEQ Pollutant List'!$B$7:$B$611,0))),"")</f>
        <v/>
      </c>
      <c r="F384" s="105"/>
      <c r="G384" s="106"/>
      <c r="H384" s="68"/>
      <c r="I384" s="67"/>
      <c r="J384" s="69"/>
      <c r="K384" s="29"/>
      <c r="L384" s="67"/>
      <c r="M384" s="69"/>
      <c r="N384" s="29"/>
    </row>
    <row r="385" spans="1:14" x14ac:dyDescent="0.25">
      <c r="A385" s="25"/>
      <c r="B385" s="87"/>
      <c r="C385" s="104"/>
      <c r="D385" s="27" t="str">
        <f>IFERROR(IF(C385="No CAS","",INDEX('DEQ Pollutant List'!$C$7:$C$611,MATCH('5. Pollutant Emissions - MB'!C385,'DEQ Pollutant List'!$B$7:$B$611,0))),"")</f>
        <v/>
      </c>
      <c r="E385" s="13" t="str">
        <f>IFERROR(IF(OR($C385="",$C385="No CAS"),INDEX('DEQ Pollutant List'!$A$7:$A$611,MATCH($D385,'DEQ Pollutant List'!$C$7:$C$611,0)),INDEX('DEQ Pollutant List'!$A$7:$A$611,MATCH($C385,'DEQ Pollutant List'!$B$7:$B$611,0))),"")</f>
        <v/>
      </c>
      <c r="F385" s="105"/>
      <c r="G385" s="106"/>
      <c r="H385" s="68"/>
      <c r="I385" s="67"/>
      <c r="J385" s="69"/>
      <c r="K385" s="29"/>
      <c r="L385" s="67"/>
      <c r="M385" s="69"/>
      <c r="N385" s="29"/>
    </row>
    <row r="386" spans="1:14" x14ac:dyDescent="0.25">
      <c r="A386" s="25"/>
      <c r="B386" s="87"/>
      <c r="C386" s="104"/>
      <c r="D386" s="27" t="str">
        <f>IFERROR(IF(C386="No CAS","",INDEX('DEQ Pollutant List'!$C$7:$C$611,MATCH('5. Pollutant Emissions - MB'!C386,'DEQ Pollutant List'!$B$7:$B$611,0))),"")</f>
        <v/>
      </c>
      <c r="E386" s="13" t="str">
        <f>IFERROR(IF(OR($C386="",$C386="No CAS"),INDEX('DEQ Pollutant List'!$A$7:$A$611,MATCH($D386,'DEQ Pollutant List'!$C$7:$C$611,0)),INDEX('DEQ Pollutant List'!$A$7:$A$611,MATCH($C386,'DEQ Pollutant List'!$B$7:$B$611,0))),"")</f>
        <v/>
      </c>
      <c r="F386" s="105"/>
      <c r="G386" s="106"/>
      <c r="H386" s="68"/>
      <c r="I386" s="67"/>
      <c r="J386" s="69"/>
      <c r="K386" s="29"/>
      <c r="L386" s="67"/>
      <c r="M386" s="69"/>
      <c r="N386" s="29"/>
    </row>
    <row r="387" spans="1:14" x14ac:dyDescent="0.25">
      <c r="A387" s="25"/>
      <c r="B387" s="87"/>
      <c r="C387" s="104"/>
      <c r="D387" s="27" t="str">
        <f>IFERROR(IF(C387="No CAS","",INDEX('DEQ Pollutant List'!$C$7:$C$611,MATCH('5. Pollutant Emissions - MB'!C387,'DEQ Pollutant List'!$B$7:$B$611,0))),"")</f>
        <v/>
      </c>
      <c r="E387" s="13" t="str">
        <f>IFERROR(IF(OR($C387="",$C387="No CAS"),INDEX('DEQ Pollutant List'!$A$7:$A$611,MATCH($D387,'DEQ Pollutant List'!$C$7:$C$611,0)),INDEX('DEQ Pollutant List'!$A$7:$A$611,MATCH($C387,'DEQ Pollutant List'!$B$7:$B$611,0))),"")</f>
        <v/>
      </c>
      <c r="F387" s="105"/>
      <c r="G387" s="106"/>
      <c r="H387" s="68"/>
      <c r="I387" s="67"/>
      <c r="J387" s="69"/>
      <c r="K387" s="29"/>
      <c r="L387" s="67"/>
      <c r="M387" s="69"/>
      <c r="N387" s="29"/>
    </row>
    <row r="388" spans="1:14" x14ac:dyDescent="0.25">
      <c r="A388" s="25"/>
      <c r="B388" s="87"/>
      <c r="C388" s="104"/>
      <c r="D388" s="27" t="str">
        <f>IFERROR(IF(C388="No CAS","",INDEX('DEQ Pollutant List'!$C$7:$C$611,MATCH('5. Pollutant Emissions - MB'!C388,'DEQ Pollutant List'!$B$7:$B$611,0))),"")</f>
        <v/>
      </c>
      <c r="E388" s="13" t="str">
        <f>IFERROR(IF(OR($C388="",$C388="No CAS"),INDEX('DEQ Pollutant List'!$A$7:$A$611,MATCH($D388,'DEQ Pollutant List'!$C$7:$C$611,0)),INDEX('DEQ Pollutant List'!$A$7:$A$611,MATCH($C388,'DEQ Pollutant List'!$B$7:$B$611,0))),"")</f>
        <v/>
      </c>
      <c r="F388" s="105"/>
      <c r="G388" s="106"/>
      <c r="H388" s="68"/>
      <c r="I388" s="67"/>
      <c r="J388" s="69"/>
      <c r="K388" s="29"/>
      <c r="L388" s="67"/>
      <c r="M388" s="69"/>
      <c r="N388" s="29"/>
    </row>
    <row r="389" spans="1:14" x14ac:dyDescent="0.25">
      <c r="A389" s="25"/>
      <c r="B389" s="87"/>
      <c r="C389" s="104"/>
      <c r="D389" s="27" t="str">
        <f>IFERROR(IF(C389="No CAS","",INDEX('DEQ Pollutant List'!$C$7:$C$611,MATCH('5. Pollutant Emissions - MB'!C389,'DEQ Pollutant List'!$B$7:$B$611,0))),"")</f>
        <v/>
      </c>
      <c r="E389" s="13" t="str">
        <f>IFERROR(IF(OR($C389="",$C389="No CAS"),INDEX('DEQ Pollutant List'!$A$7:$A$611,MATCH($D389,'DEQ Pollutant List'!$C$7:$C$611,0)),INDEX('DEQ Pollutant List'!$A$7:$A$611,MATCH($C389,'DEQ Pollutant List'!$B$7:$B$611,0))),"")</f>
        <v/>
      </c>
      <c r="F389" s="105"/>
      <c r="G389" s="106"/>
      <c r="H389" s="68"/>
      <c r="I389" s="67"/>
      <c r="J389" s="69"/>
      <c r="K389" s="29"/>
      <c r="L389" s="67"/>
      <c r="M389" s="69"/>
      <c r="N389" s="29"/>
    </row>
    <row r="390" spans="1:14" x14ac:dyDescent="0.25">
      <c r="A390" s="25"/>
      <c r="B390" s="87"/>
      <c r="C390" s="104"/>
      <c r="D390" s="27" t="str">
        <f>IFERROR(IF(C390="No CAS","",INDEX('DEQ Pollutant List'!$C$7:$C$611,MATCH('5. Pollutant Emissions - MB'!C390,'DEQ Pollutant List'!$B$7:$B$611,0))),"")</f>
        <v/>
      </c>
      <c r="E390" s="13" t="str">
        <f>IFERROR(IF(OR($C390="",$C390="No CAS"),INDEX('DEQ Pollutant List'!$A$7:$A$611,MATCH($D390,'DEQ Pollutant List'!$C$7:$C$611,0)),INDEX('DEQ Pollutant List'!$A$7:$A$611,MATCH($C390,'DEQ Pollutant List'!$B$7:$B$611,0))),"")</f>
        <v/>
      </c>
      <c r="F390" s="105"/>
      <c r="G390" s="106"/>
      <c r="H390" s="68"/>
      <c r="I390" s="67"/>
      <c r="J390" s="69"/>
      <c r="K390" s="29"/>
      <c r="L390" s="67"/>
      <c r="M390" s="69"/>
      <c r="N390" s="29"/>
    </row>
    <row r="391" spans="1:14" x14ac:dyDescent="0.25">
      <c r="A391" s="25"/>
      <c r="B391" s="87"/>
      <c r="C391" s="104"/>
      <c r="D391" s="27" t="str">
        <f>IFERROR(IF(C391="No CAS","",INDEX('DEQ Pollutant List'!$C$7:$C$611,MATCH('5. Pollutant Emissions - MB'!C391,'DEQ Pollutant List'!$B$7:$B$611,0))),"")</f>
        <v/>
      </c>
      <c r="E391" s="13" t="str">
        <f>IFERROR(IF(OR($C391="",$C391="No CAS"),INDEX('DEQ Pollutant List'!$A$7:$A$611,MATCH($D391,'DEQ Pollutant List'!$C$7:$C$611,0)),INDEX('DEQ Pollutant List'!$A$7:$A$611,MATCH($C391,'DEQ Pollutant List'!$B$7:$B$611,0))),"")</f>
        <v/>
      </c>
      <c r="F391" s="105"/>
      <c r="G391" s="106"/>
      <c r="H391" s="68"/>
      <c r="I391" s="67"/>
      <c r="J391" s="69"/>
      <c r="K391" s="29"/>
      <c r="L391" s="67"/>
      <c r="M391" s="69"/>
      <c r="N391" s="29"/>
    </row>
    <row r="392" spans="1:14" x14ac:dyDescent="0.25">
      <c r="A392" s="25"/>
      <c r="B392" s="87"/>
      <c r="C392" s="104"/>
      <c r="D392" s="27" t="str">
        <f>IFERROR(IF(C392="No CAS","",INDEX('DEQ Pollutant List'!$C$7:$C$611,MATCH('5. Pollutant Emissions - MB'!C392,'DEQ Pollutant List'!$B$7:$B$611,0))),"")</f>
        <v/>
      </c>
      <c r="E392" s="13" t="str">
        <f>IFERROR(IF(OR($C392="",$C392="No CAS"),INDEX('DEQ Pollutant List'!$A$7:$A$611,MATCH($D392,'DEQ Pollutant List'!$C$7:$C$611,0)),INDEX('DEQ Pollutant List'!$A$7:$A$611,MATCH($C392,'DEQ Pollutant List'!$B$7:$B$611,0))),"")</f>
        <v/>
      </c>
      <c r="F392" s="105"/>
      <c r="G392" s="106"/>
      <c r="H392" s="68"/>
      <c r="I392" s="67"/>
      <c r="J392" s="69"/>
      <c r="K392" s="29"/>
      <c r="L392" s="67"/>
      <c r="M392" s="69"/>
      <c r="N392" s="29"/>
    </row>
    <row r="393" spans="1:14" x14ac:dyDescent="0.25">
      <c r="A393" s="25"/>
      <c r="B393" s="87"/>
      <c r="C393" s="104"/>
      <c r="D393" s="27" t="str">
        <f>IFERROR(IF(C393="No CAS","",INDEX('DEQ Pollutant List'!$C$7:$C$611,MATCH('5. Pollutant Emissions - MB'!C393,'DEQ Pollutant List'!$B$7:$B$611,0))),"")</f>
        <v/>
      </c>
      <c r="E393" s="13" t="str">
        <f>IFERROR(IF(OR($C393="",$C393="No CAS"),INDEX('DEQ Pollutant List'!$A$7:$A$611,MATCH($D393,'DEQ Pollutant List'!$C$7:$C$611,0)),INDEX('DEQ Pollutant List'!$A$7:$A$611,MATCH($C393,'DEQ Pollutant List'!$B$7:$B$611,0))),"")</f>
        <v/>
      </c>
      <c r="F393" s="105"/>
      <c r="G393" s="106"/>
      <c r="H393" s="68"/>
      <c r="I393" s="67"/>
      <c r="J393" s="69"/>
      <c r="K393" s="29"/>
      <c r="L393" s="67"/>
      <c r="M393" s="69"/>
      <c r="N393" s="29"/>
    </row>
    <row r="394" spans="1:14" x14ac:dyDescent="0.25">
      <c r="A394" s="25"/>
      <c r="B394" s="87"/>
      <c r="C394" s="104"/>
      <c r="D394" s="27" t="str">
        <f>IFERROR(IF(C394="No CAS","",INDEX('DEQ Pollutant List'!$C$7:$C$611,MATCH('5. Pollutant Emissions - MB'!C394,'DEQ Pollutant List'!$B$7:$B$611,0))),"")</f>
        <v/>
      </c>
      <c r="E394" s="13" t="str">
        <f>IFERROR(IF(OR($C394="",$C394="No CAS"),INDEX('DEQ Pollutant List'!$A$7:$A$611,MATCH($D394,'DEQ Pollutant List'!$C$7:$C$611,0)),INDEX('DEQ Pollutant List'!$A$7:$A$611,MATCH($C394,'DEQ Pollutant List'!$B$7:$B$611,0))),"")</f>
        <v/>
      </c>
      <c r="F394" s="105"/>
      <c r="G394" s="106"/>
      <c r="H394" s="68"/>
      <c r="I394" s="67"/>
      <c r="J394" s="69"/>
      <c r="K394" s="29"/>
      <c r="L394" s="67"/>
      <c r="M394" s="69"/>
      <c r="N394" s="29"/>
    </row>
    <row r="395" spans="1:14" x14ac:dyDescent="0.25">
      <c r="A395" s="25"/>
      <c r="B395" s="87"/>
      <c r="C395" s="104"/>
      <c r="D395" s="27" t="str">
        <f>IFERROR(IF(C395="No CAS","",INDEX('DEQ Pollutant List'!$C$7:$C$611,MATCH('5. Pollutant Emissions - MB'!C395,'DEQ Pollutant List'!$B$7:$B$611,0))),"")</f>
        <v/>
      </c>
      <c r="E395" s="13" t="str">
        <f>IFERROR(IF(OR($C395="",$C395="No CAS"),INDEX('DEQ Pollutant List'!$A$7:$A$611,MATCH($D395,'DEQ Pollutant List'!$C$7:$C$611,0)),INDEX('DEQ Pollutant List'!$A$7:$A$611,MATCH($C395,'DEQ Pollutant List'!$B$7:$B$611,0))),"")</f>
        <v/>
      </c>
      <c r="F395" s="105"/>
      <c r="G395" s="106"/>
      <c r="H395" s="68"/>
      <c r="I395" s="67"/>
      <c r="J395" s="69"/>
      <c r="K395" s="29"/>
      <c r="L395" s="67"/>
      <c r="M395" s="69"/>
      <c r="N395" s="29"/>
    </row>
    <row r="396" spans="1:14" x14ac:dyDescent="0.25">
      <c r="A396" s="25"/>
      <c r="B396" s="87"/>
      <c r="C396" s="104"/>
      <c r="D396" s="27" t="str">
        <f>IFERROR(IF(C396="No CAS","",INDEX('DEQ Pollutant List'!$C$7:$C$611,MATCH('5. Pollutant Emissions - MB'!C396,'DEQ Pollutant List'!$B$7:$B$611,0))),"")</f>
        <v/>
      </c>
      <c r="E396" s="13" t="str">
        <f>IFERROR(IF(OR($C396="",$C396="No CAS"),INDEX('DEQ Pollutant List'!$A$7:$A$611,MATCH($D396,'DEQ Pollutant List'!$C$7:$C$611,0)),INDEX('DEQ Pollutant List'!$A$7:$A$611,MATCH($C396,'DEQ Pollutant List'!$B$7:$B$611,0))),"")</f>
        <v/>
      </c>
      <c r="F396" s="105"/>
      <c r="G396" s="106"/>
      <c r="H396" s="68"/>
      <c r="I396" s="67"/>
      <c r="J396" s="69"/>
      <c r="K396" s="29"/>
      <c r="L396" s="67"/>
      <c r="M396" s="69"/>
      <c r="N396" s="29"/>
    </row>
    <row r="397" spans="1:14" x14ac:dyDescent="0.25">
      <c r="A397" s="25"/>
      <c r="B397" s="87"/>
      <c r="C397" s="104"/>
      <c r="D397" s="27" t="str">
        <f>IFERROR(IF(C397="No CAS","",INDEX('DEQ Pollutant List'!$C$7:$C$611,MATCH('5. Pollutant Emissions - MB'!C397,'DEQ Pollutant List'!$B$7:$B$611,0))),"")</f>
        <v/>
      </c>
      <c r="E397" s="13" t="str">
        <f>IFERROR(IF(OR($C397="",$C397="No CAS"),INDEX('DEQ Pollutant List'!$A$7:$A$611,MATCH($D397,'DEQ Pollutant List'!$C$7:$C$611,0)),INDEX('DEQ Pollutant List'!$A$7:$A$611,MATCH($C397,'DEQ Pollutant List'!$B$7:$B$611,0))),"")</f>
        <v/>
      </c>
      <c r="F397" s="105"/>
      <c r="G397" s="106"/>
      <c r="H397" s="68"/>
      <c r="I397" s="67"/>
      <c r="J397" s="69"/>
      <c r="K397" s="29"/>
      <c r="L397" s="67"/>
      <c r="M397" s="69"/>
      <c r="N397" s="29"/>
    </row>
    <row r="398" spans="1:14" x14ac:dyDescent="0.25">
      <c r="A398" s="25"/>
      <c r="B398" s="87"/>
      <c r="C398" s="104"/>
      <c r="D398" s="27" t="str">
        <f>IFERROR(IF(C398="No CAS","",INDEX('DEQ Pollutant List'!$C$7:$C$611,MATCH('5. Pollutant Emissions - MB'!C398,'DEQ Pollutant List'!$B$7:$B$611,0))),"")</f>
        <v/>
      </c>
      <c r="E398" s="13" t="str">
        <f>IFERROR(IF(OR($C398="",$C398="No CAS"),INDEX('DEQ Pollutant List'!$A$7:$A$611,MATCH($D398,'DEQ Pollutant List'!$C$7:$C$611,0)),INDEX('DEQ Pollutant List'!$A$7:$A$611,MATCH($C398,'DEQ Pollutant List'!$B$7:$B$611,0))),"")</f>
        <v/>
      </c>
      <c r="F398" s="105"/>
      <c r="G398" s="106"/>
      <c r="H398" s="68"/>
      <c r="I398" s="67"/>
      <c r="J398" s="69"/>
      <c r="K398" s="29"/>
      <c r="L398" s="67"/>
      <c r="M398" s="69"/>
      <c r="N398" s="29"/>
    </row>
    <row r="399" spans="1:14" x14ac:dyDescent="0.25">
      <c r="A399" s="25"/>
      <c r="B399" s="87"/>
      <c r="C399" s="104"/>
      <c r="D399" s="27" t="str">
        <f>IFERROR(IF(C399="No CAS","",INDEX('DEQ Pollutant List'!$C$7:$C$611,MATCH('5. Pollutant Emissions - MB'!C399,'DEQ Pollutant List'!$B$7:$B$611,0))),"")</f>
        <v/>
      </c>
      <c r="E399" s="13" t="str">
        <f>IFERROR(IF(OR($C399="",$C399="No CAS"),INDEX('DEQ Pollutant List'!$A$7:$A$611,MATCH($D399,'DEQ Pollutant List'!$C$7:$C$611,0)),INDEX('DEQ Pollutant List'!$A$7:$A$611,MATCH($C399,'DEQ Pollutant List'!$B$7:$B$611,0))),"")</f>
        <v/>
      </c>
      <c r="F399" s="105"/>
      <c r="G399" s="106"/>
      <c r="H399" s="68"/>
      <c r="I399" s="67"/>
      <c r="J399" s="69"/>
      <c r="K399" s="29"/>
      <c r="L399" s="67"/>
      <c r="M399" s="69"/>
      <c r="N399" s="29"/>
    </row>
    <row r="400" spans="1:14" x14ac:dyDescent="0.25">
      <c r="A400" s="25"/>
      <c r="B400" s="87"/>
      <c r="C400" s="104"/>
      <c r="D400" s="27" t="str">
        <f>IFERROR(IF(C400="No CAS","",INDEX('DEQ Pollutant List'!$C$7:$C$611,MATCH('5. Pollutant Emissions - MB'!C400,'DEQ Pollutant List'!$B$7:$B$611,0))),"")</f>
        <v/>
      </c>
      <c r="E400" s="13" t="str">
        <f>IFERROR(IF(OR($C400="",$C400="No CAS"),INDEX('DEQ Pollutant List'!$A$7:$A$611,MATCH($D400,'DEQ Pollutant List'!$C$7:$C$611,0)),INDEX('DEQ Pollutant List'!$A$7:$A$611,MATCH($C400,'DEQ Pollutant List'!$B$7:$B$611,0))),"")</f>
        <v/>
      </c>
      <c r="F400" s="105"/>
      <c r="G400" s="106"/>
      <c r="H400" s="68"/>
      <c r="I400" s="67"/>
      <c r="J400" s="69"/>
      <c r="K400" s="29"/>
      <c r="L400" s="67"/>
      <c r="M400" s="69"/>
      <c r="N400" s="29"/>
    </row>
    <row r="401" spans="1:14" x14ac:dyDescent="0.25">
      <c r="A401" s="25"/>
      <c r="B401" s="87"/>
      <c r="C401" s="104"/>
      <c r="D401" s="27" t="str">
        <f>IFERROR(IF(C401="No CAS","",INDEX('DEQ Pollutant List'!$C$7:$C$611,MATCH('5. Pollutant Emissions - MB'!C401,'DEQ Pollutant List'!$B$7:$B$611,0))),"")</f>
        <v/>
      </c>
      <c r="E401" s="13" t="str">
        <f>IFERROR(IF(OR($C401="",$C401="No CAS"),INDEX('DEQ Pollutant List'!$A$7:$A$611,MATCH($D401,'DEQ Pollutant List'!$C$7:$C$611,0)),INDEX('DEQ Pollutant List'!$A$7:$A$611,MATCH($C401,'DEQ Pollutant List'!$B$7:$B$611,0))),"")</f>
        <v/>
      </c>
      <c r="F401" s="105"/>
      <c r="G401" s="106"/>
      <c r="H401" s="68"/>
      <c r="I401" s="67"/>
      <c r="J401" s="69"/>
      <c r="K401" s="29"/>
      <c r="L401" s="67"/>
      <c r="M401" s="69"/>
      <c r="N401" s="29"/>
    </row>
    <row r="402" spans="1:14" x14ac:dyDescent="0.25">
      <c r="A402" s="25"/>
      <c r="B402" s="87"/>
      <c r="C402" s="104"/>
      <c r="D402" s="27" t="str">
        <f>IFERROR(IF(C402="No CAS","",INDEX('DEQ Pollutant List'!$C$7:$C$611,MATCH('5. Pollutant Emissions - MB'!C402,'DEQ Pollutant List'!$B$7:$B$611,0))),"")</f>
        <v/>
      </c>
      <c r="E402" s="13" t="str">
        <f>IFERROR(IF(OR($C402="",$C402="No CAS"),INDEX('DEQ Pollutant List'!$A$7:$A$611,MATCH($D402,'DEQ Pollutant List'!$C$7:$C$611,0)),INDEX('DEQ Pollutant List'!$A$7:$A$611,MATCH($C402,'DEQ Pollutant List'!$B$7:$B$611,0))),"")</f>
        <v/>
      </c>
      <c r="F402" s="105"/>
      <c r="G402" s="106"/>
      <c r="H402" s="68"/>
      <c r="I402" s="67"/>
      <c r="J402" s="69"/>
      <c r="K402" s="29"/>
      <c r="L402" s="67"/>
      <c r="M402" s="69"/>
      <c r="N402" s="29"/>
    </row>
    <row r="403" spans="1:14" x14ac:dyDescent="0.25">
      <c r="A403" s="25"/>
      <c r="B403" s="87"/>
      <c r="C403" s="104"/>
      <c r="D403" s="27" t="str">
        <f>IFERROR(IF(C403="No CAS","",INDEX('DEQ Pollutant List'!$C$7:$C$611,MATCH('5. Pollutant Emissions - MB'!C403,'DEQ Pollutant List'!$B$7:$B$611,0))),"")</f>
        <v/>
      </c>
      <c r="E403" s="13" t="str">
        <f>IFERROR(IF(OR($C403="",$C403="No CAS"),INDEX('DEQ Pollutant List'!$A$7:$A$611,MATCH($D403,'DEQ Pollutant List'!$C$7:$C$611,0)),INDEX('DEQ Pollutant List'!$A$7:$A$611,MATCH($C403,'DEQ Pollutant List'!$B$7:$B$611,0))),"")</f>
        <v/>
      </c>
      <c r="F403" s="105"/>
      <c r="G403" s="106"/>
      <c r="H403" s="68"/>
      <c r="I403" s="67"/>
      <c r="J403" s="69"/>
      <c r="K403" s="29"/>
      <c r="L403" s="67"/>
      <c r="M403" s="69"/>
      <c r="N403" s="29"/>
    </row>
    <row r="404" spans="1:14" x14ac:dyDescent="0.25">
      <c r="A404" s="25"/>
      <c r="B404" s="87"/>
      <c r="C404" s="104"/>
      <c r="D404" s="27" t="str">
        <f>IFERROR(IF(C404="No CAS","",INDEX('DEQ Pollutant List'!$C$7:$C$611,MATCH('5. Pollutant Emissions - MB'!C404,'DEQ Pollutant List'!$B$7:$B$611,0))),"")</f>
        <v/>
      </c>
      <c r="E404" s="13" t="str">
        <f>IFERROR(IF(OR($C404="",$C404="No CAS"),INDEX('DEQ Pollutant List'!$A$7:$A$611,MATCH($D404,'DEQ Pollutant List'!$C$7:$C$611,0)),INDEX('DEQ Pollutant List'!$A$7:$A$611,MATCH($C404,'DEQ Pollutant List'!$B$7:$B$611,0))),"")</f>
        <v/>
      </c>
      <c r="F404" s="105"/>
      <c r="G404" s="106"/>
      <c r="H404" s="68"/>
      <c r="I404" s="67"/>
      <c r="J404" s="69"/>
      <c r="K404" s="29"/>
      <c r="L404" s="67"/>
      <c r="M404" s="69"/>
      <c r="N404" s="29"/>
    </row>
    <row r="405" spans="1:14" x14ac:dyDescent="0.25">
      <c r="A405" s="25"/>
      <c r="B405" s="87"/>
      <c r="C405" s="104"/>
      <c r="D405" s="27" t="str">
        <f>IFERROR(IF(C405="No CAS","",INDEX('DEQ Pollutant List'!$C$7:$C$611,MATCH('5. Pollutant Emissions - MB'!C405,'DEQ Pollutant List'!$B$7:$B$611,0))),"")</f>
        <v/>
      </c>
      <c r="E405" s="13" t="str">
        <f>IFERROR(IF(OR($C405="",$C405="No CAS"),INDEX('DEQ Pollutant List'!$A$7:$A$611,MATCH($D405,'DEQ Pollutant List'!$C$7:$C$611,0)),INDEX('DEQ Pollutant List'!$A$7:$A$611,MATCH($C405,'DEQ Pollutant List'!$B$7:$B$611,0))),"")</f>
        <v/>
      </c>
      <c r="F405" s="105"/>
      <c r="G405" s="106"/>
      <c r="H405" s="68"/>
      <c r="I405" s="67"/>
      <c r="J405" s="69"/>
      <c r="K405" s="29"/>
      <c r="L405" s="67"/>
      <c r="M405" s="69"/>
      <c r="N405" s="29"/>
    </row>
    <row r="406" spans="1:14" x14ac:dyDescent="0.25">
      <c r="A406" s="25"/>
      <c r="B406" s="87"/>
      <c r="C406" s="104"/>
      <c r="D406" s="27" t="str">
        <f>IFERROR(IF(C406="No CAS","",INDEX('DEQ Pollutant List'!$C$7:$C$611,MATCH('5. Pollutant Emissions - MB'!C406,'DEQ Pollutant List'!$B$7:$B$611,0))),"")</f>
        <v/>
      </c>
      <c r="E406" s="13" t="str">
        <f>IFERROR(IF(OR($C406="",$C406="No CAS"),INDEX('DEQ Pollutant List'!$A$7:$A$611,MATCH($D406,'DEQ Pollutant List'!$C$7:$C$611,0)),INDEX('DEQ Pollutant List'!$A$7:$A$611,MATCH($C406,'DEQ Pollutant List'!$B$7:$B$611,0))),"")</f>
        <v/>
      </c>
      <c r="F406" s="105"/>
      <c r="G406" s="106"/>
      <c r="H406" s="68"/>
      <c r="I406" s="67"/>
      <c r="J406" s="69"/>
      <c r="K406" s="29"/>
      <c r="L406" s="67"/>
      <c r="M406" s="69"/>
      <c r="N406" s="29"/>
    </row>
    <row r="407" spans="1:14" x14ac:dyDescent="0.25">
      <c r="A407" s="25"/>
      <c r="B407" s="87"/>
      <c r="C407" s="104"/>
      <c r="D407" s="27" t="str">
        <f>IFERROR(IF(C407="No CAS","",INDEX('DEQ Pollutant List'!$C$7:$C$611,MATCH('5. Pollutant Emissions - MB'!C407,'DEQ Pollutant List'!$B$7:$B$611,0))),"")</f>
        <v/>
      </c>
      <c r="E407" s="13" t="str">
        <f>IFERROR(IF(OR($C407="",$C407="No CAS"),INDEX('DEQ Pollutant List'!$A$7:$A$611,MATCH($D407,'DEQ Pollutant List'!$C$7:$C$611,0)),INDEX('DEQ Pollutant List'!$A$7:$A$611,MATCH($C407,'DEQ Pollutant List'!$B$7:$B$611,0))),"")</f>
        <v/>
      </c>
      <c r="F407" s="105"/>
      <c r="G407" s="106"/>
      <c r="H407" s="68"/>
      <c r="I407" s="67"/>
      <c r="J407" s="69"/>
      <c r="K407" s="29"/>
      <c r="L407" s="67"/>
      <c r="M407" s="69"/>
      <c r="N407" s="29"/>
    </row>
    <row r="408" spans="1:14" x14ac:dyDescent="0.25">
      <c r="A408" s="25"/>
      <c r="B408" s="87"/>
      <c r="C408" s="104"/>
      <c r="D408" s="27" t="str">
        <f>IFERROR(IF(C408="No CAS","",INDEX('DEQ Pollutant List'!$C$7:$C$611,MATCH('5. Pollutant Emissions - MB'!C408,'DEQ Pollutant List'!$B$7:$B$611,0))),"")</f>
        <v/>
      </c>
      <c r="E408" s="13" t="str">
        <f>IFERROR(IF(OR($C408="",$C408="No CAS"),INDEX('DEQ Pollutant List'!$A$7:$A$611,MATCH($D408,'DEQ Pollutant List'!$C$7:$C$611,0)),INDEX('DEQ Pollutant List'!$A$7:$A$611,MATCH($C408,'DEQ Pollutant List'!$B$7:$B$611,0))),"")</f>
        <v/>
      </c>
      <c r="F408" s="105"/>
      <c r="G408" s="106"/>
      <c r="H408" s="68"/>
      <c r="I408" s="67"/>
      <c r="J408" s="69"/>
      <c r="K408" s="29"/>
      <c r="L408" s="67"/>
      <c r="M408" s="69"/>
      <c r="N408" s="29"/>
    </row>
    <row r="409" spans="1:14" x14ac:dyDescent="0.25">
      <c r="A409" s="25"/>
      <c r="B409" s="87"/>
      <c r="C409" s="104"/>
      <c r="D409" s="27" t="str">
        <f>IFERROR(IF(C409="No CAS","",INDEX('DEQ Pollutant List'!$C$7:$C$611,MATCH('5. Pollutant Emissions - MB'!C409,'DEQ Pollutant List'!$B$7:$B$611,0))),"")</f>
        <v/>
      </c>
      <c r="E409" s="13" t="str">
        <f>IFERROR(IF(OR($C409="",$C409="No CAS"),INDEX('DEQ Pollutant List'!$A$7:$A$611,MATCH($D409,'DEQ Pollutant List'!$C$7:$C$611,0)),INDEX('DEQ Pollutant List'!$A$7:$A$611,MATCH($C409,'DEQ Pollutant List'!$B$7:$B$611,0))),"")</f>
        <v/>
      </c>
      <c r="F409" s="105"/>
      <c r="G409" s="106"/>
      <c r="H409" s="68"/>
      <c r="I409" s="67"/>
      <c r="J409" s="69"/>
      <c r="K409" s="29"/>
      <c r="L409" s="67"/>
      <c r="M409" s="69"/>
      <c r="N409" s="29"/>
    </row>
    <row r="410" spans="1:14" x14ac:dyDescent="0.25">
      <c r="A410" s="25"/>
      <c r="B410" s="87"/>
      <c r="C410" s="104"/>
      <c r="D410" s="27" t="str">
        <f>IFERROR(IF(C410="No CAS","",INDEX('DEQ Pollutant List'!$C$7:$C$611,MATCH('5. Pollutant Emissions - MB'!C410,'DEQ Pollutant List'!$B$7:$B$611,0))),"")</f>
        <v/>
      </c>
      <c r="E410" s="13" t="str">
        <f>IFERROR(IF(OR($C410="",$C410="No CAS"),INDEX('DEQ Pollutant List'!$A$7:$A$611,MATCH($D410,'DEQ Pollutant List'!$C$7:$C$611,0)),INDEX('DEQ Pollutant List'!$A$7:$A$611,MATCH($C410,'DEQ Pollutant List'!$B$7:$B$611,0))),"")</f>
        <v/>
      </c>
      <c r="F410" s="105"/>
      <c r="G410" s="106"/>
      <c r="H410" s="68"/>
      <c r="I410" s="67"/>
      <c r="J410" s="69"/>
      <c r="K410" s="29"/>
      <c r="L410" s="67"/>
      <c r="M410" s="69"/>
      <c r="N410" s="29"/>
    </row>
    <row r="411" spans="1:14" x14ac:dyDescent="0.25">
      <c r="A411" s="25"/>
      <c r="B411" s="87"/>
      <c r="C411" s="104"/>
      <c r="D411" s="27" t="str">
        <f>IFERROR(IF(C411="No CAS","",INDEX('DEQ Pollutant List'!$C$7:$C$611,MATCH('5. Pollutant Emissions - MB'!C411,'DEQ Pollutant List'!$B$7:$B$611,0))),"")</f>
        <v/>
      </c>
      <c r="E411" s="13" t="str">
        <f>IFERROR(IF(OR($C411="",$C411="No CAS"),INDEX('DEQ Pollutant List'!$A$7:$A$611,MATCH($D411,'DEQ Pollutant List'!$C$7:$C$611,0)),INDEX('DEQ Pollutant List'!$A$7:$A$611,MATCH($C411,'DEQ Pollutant List'!$B$7:$B$611,0))),"")</f>
        <v/>
      </c>
      <c r="F411" s="105"/>
      <c r="G411" s="106"/>
      <c r="H411" s="68"/>
      <c r="I411" s="67"/>
      <c r="J411" s="69"/>
      <c r="K411" s="29"/>
      <c r="L411" s="67"/>
      <c r="M411" s="69"/>
      <c r="N411" s="29"/>
    </row>
    <row r="412" spans="1:14" x14ac:dyDescent="0.25">
      <c r="A412" s="25"/>
      <c r="B412" s="87"/>
      <c r="C412" s="104"/>
      <c r="D412" s="27" t="str">
        <f>IFERROR(IF(C412="No CAS","",INDEX('DEQ Pollutant List'!$C$7:$C$611,MATCH('5. Pollutant Emissions - MB'!C412,'DEQ Pollutant List'!$B$7:$B$611,0))),"")</f>
        <v/>
      </c>
      <c r="E412" s="13" t="str">
        <f>IFERROR(IF(OR($C412="",$C412="No CAS"),INDEX('DEQ Pollutant List'!$A$7:$A$611,MATCH($D412,'DEQ Pollutant List'!$C$7:$C$611,0)),INDEX('DEQ Pollutant List'!$A$7:$A$611,MATCH($C412,'DEQ Pollutant List'!$B$7:$B$611,0))),"")</f>
        <v/>
      </c>
      <c r="F412" s="105"/>
      <c r="G412" s="106"/>
      <c r="H412" s="68"/>
      <c r="I412" s="67"/>
      <c r="J412" s="69"/>
      <c r="K412" s="29"/>
      <c r="L412" s="67"/>
      <c r="M412" s="69"/>
      <c r="N412" s="29"/>
    </row>
    <row r="413" spans="1:14" x14ac:dyDescent="0.25">
      <c r="A413" s="25"/>
      <c r="B413" s="87"/>
      <c r="C413" s="104"/>
      <c r="D413" s="27" t="str">
        <f>IFERROR(IF(C413="No CAS","",INDEX('DEQ Pollutant List'!$C$7:$C$611,MATCH('5. Pollutant Emissions - MB'!C413,'DEQ Pollutant List'!$B$7:$B$611,0))),"")</f>
        <v/>
      </c>
      <c r="E413" s="13" t="str">
        <f>IFERROR(IF(OR($C413="",$C413="No CAS"),INDEX('DEQ Pollutant List'!$A$7:$A$611,MATCH($D413,'DEQ Pollutant List'!$C$7:$C$611,0)),INDEX('DEQ Pollutant List'!$A$7:$A$611,MATCH($C413,'DEQ Pollutant List'!$B$7:$B$611,0))),"")</f>
        <v/>
      </c>
      <c r="F413" s="105"/>
      <c r="G413" s="106"/>
      <c r="H413" s="68"/>
      <c r="I413" s="67"/>
      <c r="J413" s="69"/>
      <c r="K413" s="29"/>
      <c r="L413" s="67"/>
      <c r="M413" s="69"/>
      <c r="N413" s="29"/>
    </row>
    <row r="414" spans="1:14" x14ac:dyDescent="0.25">
      <c r="A414" s="25"/>
      <c r="B414" s="87"/>
      <c r="C414" s="104"/>
      <c r="D414" s="27" t="str">
        <f>IFERROR(IF(C414="No CAS","",INDEX('DEQ Pollutant List'!$C$7:$C$611,MATCH('5. Pollutant Emissions - MB'!C414,'DEQ Pollutant List'!$B$7:$B$611,0))),"")</f>
        <v/>
      </c>
      <c r="E414" s="13" t="str">
        <f>IFERROR(IF(OR($C414="",$C414="No CAS"),INDEX('DEQ Pollutant List'!$A$7:$A$611,MATCH($D414,'DEQ Pollutant List'!$C$7:$C$611,0)),INDEX('DEQ Pollutant List'!$A$7:$A$611,MATCH($C414,'DEQ Pollutant List'!$B$7:$B$611,0))),"")</f>
        <v/>
      </c>
      <c r="F414" s="105"/>
      <c r="G414" s="106"/>
      <c r="H414" s="68"/>
      <c r="I414" s="67"/>
      <c r="J414" s="69"/>
      <c r="K414" s="29"/>
      <c r="L414" s="67"/>
      <c r="M414" s="69"/>
      <c r="N414" s="29"/>
    </row>
    <row r="415" spans="1:14" x14ac:dyDescent="0.25">
      <c r="A415" s="25"/>
      <c r="B415" s="87"/>
      <c r="C415" s="104"/>
      <c r="D415" s="27" t="str">
        <f>IFERROR(IF(C415="No CAS","",INDEX('DEQ Pollutant List'!$C$7:$C$611,MATCH('5. Pollutant Emissions - MB'!C415,'DEQ Pollutant List'!$B$7:$B$611,0))),"")</f>
        <v/>
      </c>
      <c r="E415" s="13" t="str">
        <f>IFERROR(IF(OR($C415="",$C415="No CAS"),INDEX('DEQ Pollutant List'!$A$7:$A$611,MATCH($D415,'DEQ Pollutant List'!$C$7:$C$611,0)),INDEX('DEQ Pollutant List'!$A$7:$A$611,MATCH($C415,'DEQ Pollutant List'!$B$7:$B$611,0))),"")</f>
        <v/>
      </c>
      <c r="F415" s="105"/>
      <c r="G415" s="106"/>
      <c r="H415" s="68"/>
      <c r="I415" s="67"/>
      <c r="J415" s="69"/>
      <c r="K415" s="29"/>
      <c r="L415" s="67"/>
      <c r="M415" s="69"/>
      <c r="N415" s="29"/>
    </row>
    <row r="416" spans="1:14" x14ac:dyDescent="0.25">
      <c r="A416" s="25"/>
      <c r="B416" s="87"/>
      <c r="C416" s="104"/>
      <c r="D416" s="27" t="str">
        <f>IFERROR(IF(C416="No CAS","",INDEX('DEQ Pollutant List'!$C$7:$C$611,MATCH('5. Pollutant Emissions - MB'!C416,'DEQ Pollutant List'!$B$7:$B$611,0))),"")</f>
        <v/>
      </c>
      <c r="E416" s="13" t="str">
        <f>IFERROR(IF(OR($C416="",$C416="No CAS"),INDEX('DEQ Pollutant List'!$A$7:$A$611,MATCH($D416,'DEQ Pollutant List'!$C$7:$C$611,0)),INDEX('DEQ Pollutant List'!$A$7:$A$611,MATCH($C416,'DEQ Pollutant List'!$B$7:$B$611,0))),"")</f>
        <v/>
      </c>
      <c r="F416" s="105"/>
      <c r="G416" s="106"/>
      <c r="H416" s="68"/>
      <c r="I416" s="67"/>
      <c r="J416" s="69"/>
      <c r="K416" s="29"/>
      <c r="L416" s="67"/>
      <c r="M416" s="69"/>
      <c r="N416" s="29"/>
    </row>
    <row r="417" spans="1:14" x14ac:dyDescent="0.25">
      <c r="A417" s="25"/>
      <c r="B417" s="87"/>
      <c r="C417" s="104"/>
      <c r="D417" s="27" t="str">
        <f>IFERROR(IF(C417="No CAS","",INDEX('DEQ Pollutant List'!$C$7:$C$611,MATCH('5. Pollutant Emissions - MB'!C417,'DEQ Pollutant List'!$B$7:$B$611,0))),"")</f>
        <v/>
      </c>
      <c r="E417" s="13" t="str">
        <f>IFERROR(IF(OR($C417="",$C417="No CAS"),INDEX('DEQ Pollutant List'!$A$7:$A$611,MATCH($D417,'DEQ Pollutant List'!$C$7:$C$611,0)),INDEX('DEQ Pollutant List'!$A$7:$A$611,MATCH($C417,'DEQ Pollutant List'!$B$7:$B$611,0))),"")</f>
        <v/>
      </c>
      <c r="F417" s="105"/>
      <c r="G417" s="106"/>
      <c r="H417" s="68"/>
      <c r="I417" s="67"/>
      <c r="J417" s="69"/>
      <c r="K417" s="29"/>
      <c r="L417" s="67"/>
      <c r="M417" s="69"/>
      <c r="N417" s="29"/>
    </row>
    <row r="418" spans="1:14" x14ac:dyDescent="0.25">
      <c r="A418" s="25"/>
      <c r="B418" s="87"/>
      <c r="C418" s="104"/>
      <c r="D418" s="27" t="str">
        <f>IFERROR(IF(C418="No CAS","",INDEX('DEQ Pollutant List'!$C$7:$C$611,MATCH('5. Pollutant Emissions - MB'!C418,'DEQ Pollutant List'!$B$7:$B$611,0))),"")</f>
        <v/>
      </c>
      <c r="E418" s="13" t="str">
        <f>IFERROR(IF(OR($C418="",$C418="No CAS"),INDEX('DEQ Pollutant List'!$A$7:$A$611,MATCH($D418,'DEQ Pollutant List'!$C$7:$C$611,0)),INDEX('DEQ Pollutant List'!$A$7:$A$611,MATCH($C418,'DEQ Pollutant List'!$B$7:$B$611,0))),"")</f>
        <v/>
      </c>
      <c r="F418" s="105"/>
      <c r="G418" s="106"/>
      <c r="H418" s="68"/>
      <c r="I418" s="67"/>
      <c r="J418" s="69"/>
      <c r="K418" s="29"/>
      <c r="L418" s="67"/>
      <c r="M418" s="69"/>
      <c r="N418" s="29"/>
    </row>
    <row r="419" spans="1:14" x14ac:dyDescent="0.25">
      <c r="A419" s="25"/>
      <c r="B419" s="87"/>
      <c r="C419" s="104"/>
      <c r="D419" s="27" t="str">
        <f>IFERROR(IF(C419="No CAS","",INDEX('DEQ Pollutant List'!$C$7:$C$611,MATCH('5. Pollutant Emissions - MB'!C419,'DEQ Pollutant List'!$B$7:$B$611,0))),"")</f>
        <v/>
      </c>
      <c r="E419" s="13" t="str">
        <f>IFERROR(IF(OR($C419="",$C419="No CAS"),INDEX('DEQ Pollutant List'!$A$7:$A$611,MATCH($D419,'DEQ Pollutant List'!$C$7:$C$611,0)),INDEX('DEQ Pollutant List'!$A$7:$A$611,MATCH($C419,'DEQ Pollutant List'!$B$7:$B$611,0))),"")</f>
        <v/>
      </c>
      <c r="F419" s="105"/>
      <c r="G419" s="106"/>
      <c r="H419" s="68"/>
      <c r="I419" s="67"/>
      <c r="J419" s="69"/>
      <c r="K419" s="29"/>
      <c r="L419" s="67"/>
      <c r="M419" s="69"/>
      <c r="N419" s="29"/>
    </row>
    <row r="420" spans="1:14" x14ac:dyDescent="0.25">
      <c r="A420" s="25"/>
      <c r="B420" s="87"/>
      <c r="C420" s="104"/>
      <c r="D420" s="27" t="str">
        <f>IFERROR(IF(C420="No CAS","",INDEX('DEQ Pollutant List'!$C$7:$C$611,MATCH('5. Pollutant Emissions - MB'!C420,'DEQ Pollutant List'!$B$7:$B$611,0))),"")</f>
        <v/>
      </c>
      <c r="E420" s="13" t="str">
        <f>IFERROR(IF(OR($C420="",$C420="No CAS"),INDEX('DEQ Pollutant List'!$A$7:$A$611,MATCH($D420,'DEQ Pollutant List'!$C$7:$C$611,0)),INDEX('DEQ Pollutant List'!$A$7:$A$611,MATCH($C420,'DEQ Pollutant List'!$B$7:$B$611,0))),"")</f>
        <v/>
      </c>
      <c r="F420" s="105"/>
      <c r="G420" s="106"/>
      <c r="H420" s="68"/>
      <c r="I420" s="67"/>
      <c r="J420" s="69"/>
      <c r="K420" s="29"/>
      <c r="L420" s="67"/>
      <c r="M420" s="69"/>
      <c r="N420" s="29"/>
    </row>
    <row r="421" spans="1:14" x14ac:dyDescent="0.25">
      <c r="A421" s="25"/>
      <c r="B421" s="87"/>
      <c r="C421" s="104"/>
      <c r="D421" s="27" t="str">
        <f>IFERROR(IF(C421="No CAS","",INDEX('DEQ Pollutant List'!$C$7:$C$611,MATCH('5. Pollutant Emissions - MB'!C421,'DEQ Pollutant List'!$B$7:$B$611,0))),"")</f>
        <v/>
      </c>
      <c r="E421" s="13" t="str">
        <f>IFERROR(IF(OR($C421="",$C421="No CAS"),INDEX('DEQ Pollutant List'!$A$7:$A$611,MATCH($D421,'DEQ Pollutant List'!$C$7:$C$611,0)),INDEX('DEQ Pollutant List'!$A$7:$A$611,MATCH($C421,'DEQ Pollutant List'!$B$7:$B$611,0))),"")</f>
        <v/>
      </c>
      <c r="F421" s="105"/>
      <c r="G421" s="106"/>
      <c r="H421" s="68"/>
      <c r="I421" s="67"/>
      <c r="J421" s="69"/>
      <c r="K421" s="29"/>
      <c r="L421" s="67"/>
      <c r="M421" s="69"/>
      <c r="N421" s="29"/>
    </row>
    <row r="422" spans="1:14" x14ac:dyDescent="0.25">
      <c r="A422" s="25"/>
      <c r="B422" s="87"/>
      <c r="C422" s="104"/>
      <c r="D422" s="27" t="str">
        <f>IFERROR(IF(C422="No CAS","",INDEX('DEQ Pollutant List'!$C$7:$C$611,MATCH('5. Pollutant Emissions - MB'!C422,'DEQ Pollutant List'!$B$7:$B$611,0))),"")</f>
        <v/>
      </c>
      <c r="E422" s="13" t="str">
        <f>IFERROR(IF(OR($C422="",$C422="No CAS"),INDEX('DEQ Pollutant List'!$A$7:$A$611,MATCH($D422,'DEQ Pollutant List'!$C$7:$C$611,0)),INDEX('DEQ Pollutant List'!$A$7:$A$611,MATCH($C422,'DEQ Pollutant List'!$B$7:$B$611,0))),"")</f>
        <v/>
      </c>
      <c r="F422" s="105"/>
      <c r="G422" s="106"/>
      <c r="H422" s="68"/>
      <c r="I422" s="67"/>
      <c r="J422" s="69"/>
      <c r="K422" s="29"/>
      <c r="L422" s="67"/>
      <c r="M422" s="69"/>
      <c r="N422" s="29"/>
    </row>
    <row r="423" spans="1:14" x14ac:dyDescent="0.25">
      <c r="A423" s="25"/>
      <c r="B423" s="87"/>
      <c r="C423" s="104"/>
      <c r="D423" s="27" t="str">
        <f>IFERROR(IF(C423="No CAS","",INDEX('DEQ Pollutant List'!$C$7:$C$611,MATCH('5. Pollutant Emissions - MB'!C423,'DEQ Pollutant List'!$B$7:$B$611,0))),"")</f>
        <v/>
      </c>
      <c r="E423" s="13" t="str">
        <f>IFERROR(IF(OR($C423="",$C423="No CAS"),INDEX('DEQ Pollutant List'!$A$7:$A$611,MATCH($D423,'DEQ Pollutant List'!$C$7:$C$611,0)),INDEX('DEQ Pollutant List'!$A$7:$A$611,MATCH($C423,'DEQ Pollutant List'!$B$7:$B$611,0))),"")</f>
        <v/>
      </c>
      <c r="F423" s="105"/>
      <c r="G423" s="106"/>
      <c r="H423" s="68"/>
      <c r="I423" s="67"/>
      <c r="J423" s="69"/>
      <c r="K423" s="29"/>
      <c r="L423" s="67"/>
      <c r="M423" s="69"/>
      <c r="N423" s="29"/>
    </row>
    <row r="424" spans="1:14" x14ac:dyDescent="0.25">
      <c r="A424" s="25"/>
      <c r="B424" s="87"/>
      <c r="C424" s="104"/>
      <c r="D424" s="27" t="str">
        <f>IFERROR(IF(C424="No CAS","",INDEX('DEQ Pollutant List'!$C$7:$C$611,MATCH('5. Pollutant Emissions - MB'!C424,'DEQ Pollutant List'!$B$7:$B$611,0))),"")</f>
        <v/>
      </c>
      <c r="E424" s="13" t="str">
        <f>IFERROR(IF(OR($C424="",$C424="No CAS"),INDEX('DEQ Pollutant List'!$A$7:$A$611,MATCH($D424,'DEQ Pollutant List'!$C$7:$C$611,0)),INDEX('DEQ Pollutant List'!$A$7:$A$611,MATCH($C424,'DEQ Pollutant List'!$B$7:$B$611,0))),"")</f>
        <v/>
      </c>
      <c r="F424" s="105"/>
      <c r="G424" s="106"/>
      <c r="H424" s="68"/>
      <c r="I424" s="67"/>
      <c r="J424" s="69"/>
      <c r="K424" s="29"/>
      <c r="L424" s="67"/>
      <c r="M424" s="69"/>
      <c r="N424" s="29"/>
    </row>
    <row r="425" spans="1:14" x14ac:dyDescent="0.25">
      <c r="A425" s="25"/>
      <c r="B425" s="87"/>
      <c r="C425" s="104"/>
      <c r="D425" s="27" t="str">
        <f>IFERROR(IF(C425="No CAS","",INDEX('DEQ Pollutant List'!$C$7:$C$611,MATCH('5. Pollutant Emissions - MB'!C425,'DEQ Pollutant List'!$B$7:$B$611,0))),"")</f>
        <v/>
      </c>
      <c r="E425" s="13" t="str">
        <f>IFERROR(IF(OR($C425="",$C425="No CAS"),INDEX('DEQ Pollutant List'!$A$7:$A$611,MATCH($D425,'DEQ Pollutant List'!$C$7:$C$611,0)),INDEX('DEQ Pollutant List'!$A$7:$A$611,MATCH($C425,'DEQ Pollutant List'!$B$7:$B$611,0))),"")</f>
        <v/>
      </c>
      <c r="F425" s="105"/>
      <c r="G425" s="106"/>
      <c r="H425" s="68"/>
      <c r="I425" s="67"/>
      <c r="J425" s="69"/>
      <c r="K425" s="29"/>
      <c r="L425" s="67"/>
      <c r="M425" s="69"/>
      <c r="N425" s="29"/>
    </row>
    <row r="426" spans="1:14" x14ac:dyDescent="0.25">
      <c r="A426" s="25"/>
      <c r="B426" s="87"/>
      <c r="C426" s="104"/>
      <c r="D426" s="27" t="str">
        <f>IFERROR(IF(C426="No CAS","",INDEX('DEQ Pollutant List'!$C$7:$C$611,MATCH('5. Pollutant Emissions - MB'!C426,'DEQ Pollutant List'!$B$7:$B$611,0))),"")</f>
        <v/>
      </c>
      <c r="E426" s="13" t="str">
        <f>IFERROR(IF(OR($C426="",$C426="No CAS"),INDEX('DEQ Pollutant List'!$A$7:$A$611,MATCH($D426,'DEQ Pollutant List'!$C$7:$C$611,0)),INDEX('DEQ Pollutant List'!$A$7:$A$611,MATCH($C426,'DEQ Pollutant List'!$B$7:$B$611,0))),"")</f>
        <v/>
      </c>
      <c r="F426" s="105"/>
      <c r="G426" s="106"/>
      <c r="H426" s="68"/>
      <c r="I426" s="67"/>
      <c r="J426" s="69"/>
      <c r="K426" s="29"/>
      <c r="L426" s="67"/>
      <c r="M426" s="69"/>
      <c r="N426" s="29"/>
    </row>
    <row r="427" spans="1:14" x14ac:dyDescent="0.25">
      <c r="A427" s="25"/>
      <c r="B427" s="87"/>
      <c r="C427" s="104"/>
      <c r="D427" s="27" t="str">
        <f>IFERROR(IF(C427="No CAS","",INDEX('DEQ Pollutant List'!$C$7:$C$611,MATCH('5. Pollutant Emissions - MB'!C427,'DEQ Pollutant List'!$B$7:$B$611,0))),"")</f>
        <v/>
      </c>
      <c r="E427" s="13" t="str">
        <f>IFERROR(IF(OR($C427="",$C427="No CAS"),INDEX('DEQ Pollutant List'!$A$7:$A$611,MATCH($D427,'DEQ Pollutant List'!$C$7:$C$611,0)),INDEX('DEQ Pollutant List'!$A$7:$A$611,MATCH($C427,'DEQ Pollutant List'!$B$7:$B$611,0))),"")</f>
        <v/>
      </c>
      <c r="F427" s="105"/>
      <c r="G427" s="106"/>
      <c r="H427" s="68"/>
      <c r="I427" s="67"/>
      <c r="J427" s="69"/>
      <c r="K427" s="29"/>
      <c r="L427" s="67"/>
      <c r="M427" s="69"/>
      <c r="N427" s="29"/>
    </row>
    <row r="428" spans="1:14" x14ac:dyDescent="0.25">
      <c r="A428" s="25"/>
      <c r="B428" s="87"/>
      <c r="C428" s="104"/>
      <c r="D428" s="27" t="str">
        <f>IFERROR(IF(C428="No CAS","",INDEX('DEQ Pollutant List'!$C$7:$C$611,MATCH('5. Pollutant Emissions - MB'!C428,'DEQ Pollutant List'!$B$7:$B$611,0))),"")</f>
        <v/>
      </c>
      <c r="E428" s="13" t="str">
        <f>IFERROR(IF(OR($C428="",$C428="No CAS"),INDEX('DEQ Pollutant List'!$A$7:$A$611,MATCH($D428,'DEQ Pollutant List'!$C$7:$C$611,0)),INDEX('DEQ Pollutant List'!$A$7:$A$611,MATCH($C428,'DEQ Pollutant List'!$B$7:$B$611,0))),"")</f>
        <v/>
      </c>
      <c r="F428" s="105"/>
      <c r="G428" s="106"/>
      <c r="H428" s="68"/>
      <c r="I428" s="67"/>
      <c r="J428" s="69"/>
      <c r="K428" s="29"/>
      <c r="L428" s="67"/>
      <c r="M428" s="69"/>
      <c r="N428" s="29"/>
    </row>
    <row r="429" spans="1:14" x14ac:dyDescent="0.25">
      <c r="A429" s="25"/>
      <c r="B429" s="87"/>
      <c r="C429" s="104"/>
      <c r="D429" s="27" t="str">
        <f>IFERROR(IF(C429="No CAS","",INDEX('DEQ Pollutant List'!$C$7:$C$611,MATCH('5. Pollutant Emissions - MB'!C429,'DEQ Pollutant List'!$B$7:$B$611,0))),"")</f>
        <v/>
      </c>
      <c r="E429" s="13" t="str">
        <f>IFERROR(IF(OR($C429="",$C429="No CAS"),INDEX('DEQ Pollutant List'!$A$7:$A$611,MATCH($D429,'DEQ Pollutant List'!$C$7:$C$611,0)),INDEX('DEQ Pollutant List'!$A$7:$A$611,MATCH($C429,'DEQ Pollutant List'!$B$7:$B$611,0))),"")</f>
        <v/>
      </c>
      <c r="F429" s="105"/>
      <c r="G429" s="106"/>
      <c r="H429" s="68"/>
      <c r="I429" s="67"/>
      <c r="J429" s="69"/>
      <c r="K429" s="29"/>
      <c r="L429" s="67"/>
      <c r="M429" s="69"/>
      <c r="N429" s="29"/>
    </row>
    <row r="430" spans="1:14" x14ac:dyDescent="0.25">
      <c r="A430" s="25"/>
      <c r="B430" s="87"/>
      <c r="C430" s="104"/>
      <c r="D430" s="27" t="str">
        <f>IFERROR(IF(C430="No CAS","",INDEX('DEQ Pollutant List'!$C$7:$C$611,MATCH('5. Pollutant Emissions - MB'!C430,'DEQ Pollutant List'!$B$7:$B$611,0))),"")</f>
        <v/>
      </c>
      <c r="E430" s="13" t="str">
        <f>IFERROR(IF(OR($C430="",$C430="No CAS"),INDEX('DEQ Pollutant List'!$A$7:$A$611,MATCH($D430,'DEQ Pollutant List'!$C$7:$C$611,0)),INDEX('DEQ Pollutant List'!$A$7:$A$611,MATCH($C430,'DEQ Pollutant List'!$B$7:$B$611,0))),"")</f>
        <v/>
      </c>
      <c r="F430" s="105"/>
      <c r="G430" s="106"/>
      <c r="H430" s="68"/>
      <c r="I430" s="67"/>
      <c r="J430" s="69"/>
      <c r="K430" s="29"/>
      <c r="L430" s="67"/>
      <c r="M430" s="69"/>
      <c r="N430" s="29"/>
    </row>
    <row r="431" spans="1:14" x14ac:dyDescent="0.25">
      <c r="A431" s="25"/>
      <c r="B431" s="87"/>
      <c r="C431" s="104"/>
      <c r="D431" s="27" t="str">
        <f>IFERROR(IF(C431="No CAS","",INDEX('DEQ Pollutant List'!$C$7:$C$611,MATCH('5. Pollutant Emissions - MB'!C431,'DEQ Pollutant List'!$B$7:$B$611,0))),"")</f>
        <v/>
      </c>
      <c r="E431" s="13" t="str">
        <f>IFERROR(IF(OR($C431="",$C431="No CAS"),INDEX('DEQ Pollutant List'!$A$7:$A$611,MATCH($D431,'DEQ Pollutant List'!$C$7:$C$611,0)),INDEX('DEQ Pollutant List'!$A$7:$A$611,MATCH($C431,'DEQ Pollutant List'!$B$7:$B$611,0))),"")</f>
        <v/>
      </c>
      <c r="F431" s="105"/>
      <c r="G431" s="106"/>
      <c r="H431" s="68"/>
      <c r="I431" s="67"/>
      <c r="J431" s="69"/>
      <c r="K431" s="29"/>
      <c r="L431" s="67"/>
      <c r="M431" s="69"/>
      <c r="N431" s="29"/>
    </row>
    <row r="432" spans="1:14" x14ac:dyDescent="0.25">
      <c r="A432" s="25"/>
      <c r="B432" s="87"/>
      <c r="C432" s="104"/>
      <c r="D432" s="27" t="str">
        <f>IFERROR(IF(C432="No CAS","",INDEX('DEQ Pollutant List'!$C$7:$C$611,MATCH('5. Pollutant Emissions - MB'!C432,'DEQ Pollutant List'!$B$7:$B$611,0))),"")</f>
        <v/>
      </c>
      <c r="E432" s="13" t="str">
        <f>IFERROR(IF(OR($C432="",$C432="No CAS"),INDEX('DEQ Pollutant List'!$A$7:$A$611,MATCH($D432,'DEQ Pollutant List'!$C$7:$C$611,0)),INDEX('DEQ Pollutant List'!$A$7:$A$611,MATCH($C432,'DEQ Pollutant List'!$B$7:$B$611,0))),"")</f>
        <v/>
      </c>
      <c r="F432" s="105"/>
      <c r="G432" s="106"/>
      <c r="H432" s="68"/>
      <c r="I432" s="67"/>
      <c r="J432" s="69"/>
      <c r="K432" s="29"/>
      <c r="L432" s="67"/>
      <c r="M432" s="69"/>
      <c r="N432" s="29"/>
    </row>
    <row r="433" spans="1:14" x14ac:dyDescent="0.25">
      <c r="A433" s="25"/>
      <c r="B433" s="87"/>
      <c r="C433" s="104"/>
      <c r="D433" s="27" t="str">
        <f>IFERROR(IF(C433="No CAS","",INDEX('DEQ Pollutant List'!$C$7:$C$611,MATCH('5. Pollutant Emissions - MB'!C433,'DEQ Pollutant List'!$B$7:$B$611,0))),"")</f>
        <v/>
      </c>
      <c r="E433" s="13" t="str">
        <f>IFERROR(IF(OR($C433="",$C433="No CAS"),INDEX('DEQ Pollutant List'!$A$7:$A$611,MATCH($D433,'DEQ Pollutant List'!$C$7:$C$611,0)),INDEX('DEQ Pollutant List'!$A$7:$A$611,MATCH($C433,'DEQ Pollutant List'!$B$7:$B$611,0))),"")</f>
        <v/>
      </c>
      <c r="F433" s="105"/>
      <c r="G433" s="106"/>
      <c r="H433" s="68"/>
      <c r="I433" s="67"/>
      <c r="J433" s="69"/>
      <c r="K433" s="29"/>
      <c r="L433" s="67"/>
      <c r="M433" s="69"/>
      <c r="N433" s="29"/>
    </row>
    <row r="434" spans="1:14" x14ac:dyDescent="0.25">
      <c r="A434" s="25"/>
      <c r="B434" s="87"/>
      <c r="C434" s="104"/>
      <c r="D434" s="27" t="str">
        <f>IFERROR(IF(C434="No CAS","",INDEX('DEQ Pollutant List'!$C$7:$C$611,MATCH('5. Pollutant Emissions - MB'!C434,'DEQ Pollutant List'!$B$7:$B$611,0))),"")</f>
        <v/>
      </c>
      <c r="E434" s="13" t="str">
        <f>IFERROR(IF(OR($C434="",$C434="No CAS"),INDEX('DEQ Pollutant List'!$A$7:$A$611,MATCH($D434,'DEQ Pollutant List'!$C$7:$C$611,0)),INDEX('DEQ Pollutant List'!$A$7:$A$611,MATCH($C434,'DEQ Pollutant List'!$B$7:$B$611,0))),"")</f>
        <v/>
      </c>
      <c r="F434" s="105"/>
      <c r="G434" s="106"/>
      <c r="H434" s="68"/>
      <c r="I434" s="67"/>
      <c r="J434" s="69"/>
      <c r="K434" s="29"/>
      <c r="L434" s="67"/>
      <c r="M434" s="69"/>
      <c r="N434" s="29"/>
    </row>
    <row r="435" spans="1:14" x14ac:dyDescent="0.25">
      <c r="A435" s="25"/>
      <c r="B435" s="87"/>
      <c r="C435" s="104"/>
      <c r="D435" s="27" t="str">
        <f>IFERROR(IF(C435="No CAS","",INDEX('DEQ Pollutant List'!$C$7:$C$611,MATCH('5. Pollutant Emissions - MB'!C435,'DEQ Pollutant List'!$B$7:$B$611,0))),"")</f>
        <v/>
      </c>
      <c r="E435" s="13" t="str">
        <f>IFERROR(IF(OR($C435="",$C435="No CAS"),INDEX('DEQ Pollutant List'!$A$7:$A$611,MATCH($D435,'DEQ Pollutant List'!$C$7:$C$611,0)),INDEX('DEQ Pollutant List'!$A$7:$A$611,MATCH($C435,'DEQ Pollutant List'!$B$7:$B$611,0))),"")</f>
        <v/>
      </c>
      <c r="F435" s="105"/>
      <c r="G435" s="106"/>
      <c r="H435" s="68"/>
      <c r="I435" s="67"/>
      <c r="J435" s="69"/>
      <c r="K435" s="29"/>
      <c r="L435" s="67"/>
      <c r="M435" s="69"/>
      <c r="N435" s="29"/>
    </row>
    <row r="436" spans="1:14" x14ac:dyDescent="0.25">
      <c r="A436" s="25"/>
      <c r="B436" s="87"/>
      <c r="C436" s="104"/>
      <c r="D436" s="27" t="str">
        <f>IFERROR(IF(C436="No CAS","",INDEX('DEQ Pollutant List'!$C$7:$C$611,MATCH('5. Pollutant Emissions - MB'!C436,'DEQ Pollutant List'!$B$7:$B$611,0))),"")</f>
        <v/>
      </c>
      <c r="E436" s="13" t="str">
        <f>IFERROR(IF(OR($C436="",$C436="No CAS"),INDEX('DEQ Pollutant List'!$A$7:$A$611,MATCH($D436,'DEQ Pollutant List'!$C$7:$C$611,0)),INDEX('DEQ Pollutant List'!$A$7:$A$611,MATCH($C436,'DEQ Pollutant List'!$B$7:$B$611,0))),"")</f>
        <v/>
      </c>
      <c r="F436" s="105"/>
      <c r="G436" s="106"/>
      <c r="H436" s="68"/>
      <c r="I436" s="67"/>
      <c r="J436" s="69"/>
      <c r="K436" s="29"/>
      <c r="L436" s="67"/>
      <c r="M436" s="69"/>
      <c r="N436" s="29"/>
    </row>
    <row r="437" spans="1:14" x14ac:dyDescent="0.25">
      <c r="A437" s="25"/>
      <c r="B437" s="87"/>
      <c r="C437" s="104"/>
      <c r="D437" s="27" t="str">
        <f>IFERROR(IF(C437="No CAS","",INDEX('DEQ Pollutant List'!$C$7:$C$611,MATCH('5. Pollutant Emissions - MB'!C437,'DEQ Pollutant List'!$B$7:$B$611,0))),"")</f>
        <v/>
      </c>
      <c r="E437" s="13" t="str">
        <f>IFERROR(IF(OR($C437="",$C437="No CAS"),INDEX('DEQ Pollutant List'!$A$7:$A$611,MATCH($D437,'DEQ Pollutant List'!$C$7:$C$611,0)),INDEX('DEQ Pollutant List'!$A$7:$A$611,MATCH($C437,'DEQ Pollutant List'!$B$7:$B$611,0))),"")</f>
        <v/>
      </c>
      <c r="F437" s="105"/>
      <c r="G437" s="106"/>
      <c r="H437" s="68"/>
      <c r="I437" s="67"/>
      <c r="J437" s="69"/>
      <c r="K437" s="29"/>
      <c r="L437" s="67"/>
      <c r="M437" s="69"/>
      <c r="N437" s="29"/>
    </row>
    <row r="438" spans="1:14" x14ac:dyDescent="0.25">
      <c r="A438" s="25"/>
      <c r="B438" s="87"/>
      <c r="C438" s="104"/>
      <c r="D438" s="27" t="str">
        <f>IFERROR(IF(C438="No CAS","",INDEX('DEQ Pollutant List'!$C$7:$C$611,MATCH('5. Pollutant Emissions - MB'!C438,'DEQ Pollutant List'!$B$7:$B$611,0))),"")</f>
        <v/>
      </c>
      <c r="E438" s="13" t="str">
        <f>IFERROR(IF(OR($C438="",$C438="No CAS"),INDEX('DEQ Pollutant List'!$A$7:$A$611,MATCH($D438,'DEQ Pollutant List'!$C$7:$C$611,0)),INDEX('DEQ Pollutant List'!$A$7:$A$611,MATCH($C438,'DEQ Pollutant List'!$B$7:$B$611,0))),"")</f>
        <v/>
      </c>
      <c r="F438" s="105"/>
      <c r="G438" s="106"/>
      <c r="H438" s="68"/>
      <c r="I438" s="67"/>
      <c r="J438" s="69"/>
      <c r="K438" s="29"/>
      <c r="L438" s="67"/>
      <c r="M438" s="69"/>
      <c r="N438" s="29"/>
    </row>
    <row r="439" spans="1:14" x14ac:dyDescent="0.25">
      <c r="A439" s="25"/>
      <c r="B439" s="87"/>
      <c r="C439" s="104"/>
      <c r="D439" s="27" t="str">
        <f>IFERROR(IF(C439="No CAS","",INDEX('DEQ Pollutant List'!$C$7:$C$611,MATCH('5. Pollutant Emissions - MB'!C439,'DEQ Pollutant List'!$B$7:$B$611,0))),"")</f>
        <v/>
      </c>
      <c r="E439" s="13" t="str">
        <f>IFERROR(IF(OR($C439="",$C439="No CAS"),INDEX('DEQ Pollutant List'!$A$7:$A$611,MATCH($D439,'DEQ Pollutant List'!$C$7:$C$611,0)),INDEX('DEQ Pollutant List'!$A$7:$A$611,MATCH($C439,'DEQ Pollutant List'!$B$7:$B$611,0))),"")</f>
        <v/>
      </c>
      <c r="F439" s="105"/>
      <c r="G439" s="106"/>
      <c r="H439" s="68"/>
      <c r="I439" s="67"/>
      <c r="J439" s="69"/>
      <c r="K439" s="29"/>
      <c r="L439" s="67"/>
      <c r="M439" s="69"/>
      <c r="N439" s="29"/>
    </row>
    <row r="440" spans="1:14" x14ac:dyDescent="0.25">
      <c r="A440" s="25"/>
      <c r="B440" s="87"/>
      <c r="C440" s="104"/>
      <c r="D440" s="27" t="str">
        <f>IFERROR(IF(C440="No CAS","",INDEX('DEQ Pollutant List'!$C$7:$C$611,MATCH('5. Pollutant Emissions - MB'!C440,'DEQ Pollutant List'!$B$7:$B$611,0))),"")</f>
        <v/>
      </c>
      <c r="E440" s="13" t="str">
        <f>IFERROR(IF(OR($C440="",$C440="No CAS"),INDEX('DEQ Pollutant List'!$A$7:$A$611,MATCH($D440,'DEQ Pollutant List'!$C$7:$C$611,0)),INDEX('DEQ Pollutant List'!$A$7:$A$611,MATCH($C440,'DEQ Pollutant List'!$B$7:$B$611,0))),"")</f>
        <v/>
      </c>
      <c r="F440" s="105"/>
      <c r="G440" s="106"/>
      <c r="H440" s="68"/>
      <c r="I440" s="67"/>
      <c r="J440" s="69"/>
      <c r="K440" s="29"/>
      <c r="L440" s="67"/>
      <c r="M440" s="69"/>
      <c r="N440" s="29"/>
    </row>
    <row r="441" spans="1:14" x14ac:dyDescent="0.25">
      <c r="A441" s="25"/>
      <c r="B441" s="87"/>
      <c r="C441" s="104"/>
      <c r="D441" s="27" t="str">
        <f>IFERROR(IF(C441="No CAS","",INDEX('DEQ Pollutant List'!$C$7:$C$611,MATCH('5. Pollutant Emissions - MB'!C441,'DEQ Pollutant List'!$B$7:$B$611,0))),"")</f>
        <v/>
      </c>
      <c r="E441" s="13" t="str">
        <f>IFERROR(IF(OR($C441="",$C441="No CAS"),INDEX('DEQ Pollutant List'!$A$7:$A$611,MATCH($D441,'DEQ Pollutant List'!$C$7:$C$611,0)),INDEX('DEQ Pollutant List'!$A$7:$A$611,MATCH($C441,'DEQ Pollutant List'!$B$7:$B$611,0))),"")</f>
        <v/>
      </c>
      <c r="F441" s="105"/>
      <c r="G441" s="106"/>
      <c r="H441" s="68"/>
      <c r="I441" s="67"/>
      <c r="J441" s="69"/>
      <c r="K441" s="29"/>
      <c r="L441" s="67"/>
      <c r="M441" s="69"/>
      <c r="N441" s="29"/>
    </row>
    <row r="442" spans="1:14" x14ac:dyDescent="0.25">
      <c r="A442" s="25"/>
      <c r="B442" s="87"/>
      <c r="C442" s="104"/>
      <c r="D442" s="27" t="str">
        <f>IFERROR(IF(C442="No CAS","",INDEX('DEQ Pollutant List'!$C$7:$C$611,MATCH('5. Pollutant Emissions - MB'!C442,'DEQ Pollutant List'!$B$7:$B$611,0))),"")</f>
        <v/>
      </c>
      <c r="E442" s="13" t="str">
        <f>IFERROR(IF(OR($C442="",$C442="No CAS"),INDEX('DEQ Pollutant List'!$A$7:$A$611,MATCH($D442,'DEQ Pollutant List'!$C$7:$C$611,0)),INDEX('DEQ Pollutant List'!$A$7:$A$611,MATCH($C442,'DEQ Pollutant List'!$B$7:$B$611,0))),"")</f>
        <v/>
      </c>
      <c r="F442" s="105"/>
      <c r="G442" s="106"/>
      <c r="H442" s="68"/>
      <c r="I442" s="67"/>
      <c r="J442" s="69"/>
      <c r="K442" s="29"/>
      <c r="L442" s="67"/>
      <c r="M442" s="69"/>
      <c r="N442" s="29"/>
    </row>
    <row r="443" spans="1:14" x14ac:dyDescent="0.25">
      <c r="A443" s="25"/>
      <c r="B443" s="87"/>
      <c r="C443" s="104"/>
      <c r="D443" s="27" t="str">
        <f>IFERROR(IF(C443="No CAS","",INDEX('DEQ Pollutant List'!$C$7:$C$611,MATCH('5. Pollutant Emissions - MB'!C443,'DEQ Pollutant List'!$B$7:$B$611,0))),"")</f>
        <v/>
      </c>
      <c r="E443" s="13" t="str">
        <f>IFERROR(IF(OR($C443="",$C443="No CAS"),INDEX('DEQ Pollutant List'!$A$7:$A$611,MATCH($D443,'DEQ Pollutant List'!$C$7:$C$611,0)),INDEX('DEQ Pollutant List'!$A$7:$A$611,MATCH($C443,'DEQ Pollutant List'!$B$7:$B$611,0))),"")</f>
        <v/>
      </c>
      <c r="F443" s="105"/>
      <c r="G443" s="106"/>
      <c r="H443" s="68"/>
      <c r="I443" s="67"/>
      <c r="J443" s="69"/>
      <c r="K443" s="29"/>
      <c r="L443" s="67"/>
      <c r="M443" s="69"/>
      <c r="N443" s="29"/>
    </row>
    <row r="444" spans="1:14" x14ac:dyDescent="0.25">
      <c r="A444" s="25"/>
      <c r="B444" s="87"/>
      <c r="C444" s="104"/>
      <c r="D444" s="27" t="str">
        <f>IFERROR(IF(C444="No CAS","",INDEX('DEQ Pollutant List'!$C$7:$C$611,MATCH('5. Pollutant Emissions - MB'!C444,'DEQ Pollutant List'!$B$7:$B$611,0))),"")</f>
        <v/>
      </c>
      <c r="E444" s="13" t="str">
        <f>IFERROR(IF(OR($C444="",$C444="No CAS"),INDEX('DEQ Pollutant List'!$A$7:$A$611,MATCH($D444,'DEQ Pollutant List'!$C$7:$C$611,0)),INDEX('DEQ Pollutant List'!$A$7:$A$611,MATCH($C444,'DEQ Pollutant List'!$B$7:$B$611,0))),"")</f>
        <v/>
      </c>
      <c r="F444" s="105"/>
      <c r="G444" s="106"/>
      <c r="H444" s="68"/>
      <c r="I444" s="67"/>
      <c r="J444" s="69"/>
      <c r="K444" s="29"/>
      <c r="L444" s="67"/>
      <c r="M444" s="69"/>
      <c r="N444" s="29"/>
    </row>
    <row r="445" spans="1:14" x14ac:dyDescent="0.25">
      <c r="A445" s="25"/>
      <c r="B445" s="87"/>
      <c r="C445" s="104"/>
      <c r="D445" s="27" t="str">
        <f>IFERROR(IF(C445="No CAS","",INDEX('DEQ Pollutant List'!$C$7:$C$611,MATCH('5. Pollutant Emissions - MB'!C445,'DEQ Pollutant List'!$B$7:$B$611,0))),"")</f>
        <v/>
      </c>
      <c r="E445" s="13" t="str">
        <f>IFERROR(IF(OR($C445="",$C445="No CAS"),INDEX('DEQ Pollutant List'!$A$7:$A$611,MATCH($D445,'DEQ Pollutant List'!$C$7:$C$611,0)),INDEX('DEQ Pollutant List'!$A$7:$A$611,MATCH($C445,'DEQ Pollutant List'!$B$7:$B$611,0))),"")</f>
        <v/>
      </c>
      <c r="F445" s="105"/>
      <c r="G445" s="106"/>
      <c r="H445" s="68"/>
      <c r="I445" s="67"/>
      <c r="J445" s="69"/>
      <c r="K445" s="29"/>
      <c r="L445" s="67"/>
      <c r="M445" s="69"/>
      <c r="N445" s="29"/>
    </row>
    <row r="446" spans="1:14" x14ac:dyDescent="0.25">
      <c r="A446" s="25"/>
      <c r="B446" s="87"/>
      <c r="C446" s="104"/>
      <c r="D446" s="27" t="str">
        <f>IFERROR(IF(C446="No CAS","",INDEX('DEQ Pollutant List'!$C$7:$C$611,MATCH('5. Pollutant Emissions - MB'!C446,'DEQ Pollutant List'!$B$7:$B$611,0))),"")</f>
        <v/>
      </c>
      <c r="E446" s="13" t="str">
        <f>IFERROR(IF(OR($C446="",$C446="No CAS"),INDEX('DEQ Pollutant List'!$A$7:$A$611,MATCH($D446,'DEQ Pollutant List'!$C$7:$C$611,0)),INDEX('DEQ Pollutant List'!$A$7:$A$611,MATCH($C446,'DEQ Pollutant List'!$B$7:$B$611,0))),"")</f>
        <v/>
      </c>
      <c r="F446" s="105"/>
      <c r="G446" s="106"/>
      <c r="H446" s="68"/>
      <c r="I446" s="67"/>
      <c r="J446" s="69"/>
      <c r="K446" s="29"/>
      <c r="L446" s="67"/>
      <c r="M446" s="69"/>
      <c r="N446" s="29"/>
    </row>
    <row r="447" spans="1:14" x14ac:dyDescent="0.25">
      <c r="A447" s="25"/>
      <c r="B447" s="87"/>
      <c r="C447" s="104"/>
      <c r="D447" s="27" t="str">
        <f>IFERROR(IF(C447="No CAS","",INDEX('DEQ Pollutant List'!$C$7:$C$611,MATCH('5. Pollutant Emissions - MB'!C447,'DEQ Pollutant List'!$B$7:$B$611,0))),"")</f>
        <v/>
      </c>
      <c r="E447" s="13" t="str">
        <f>IFERROR(IF(OR($C447="",$C447="No CAS"),INDEX('DEQ Pollutant List'!$A$7:$A$611,MATCH($D447,'DEQ Pollutant List'!$C$7:$C$611,0)),INDEX('DEQ Pollutant List'!$A$7:$A$611,MATCH($C447,'DEQ Pollutant List'!$B$7:$B$611,0))),"")</f>
        <v/>
      </c>
      <c r="F447" s="105"/>
      <c r="G447" s="106"/>
      <c r="H447" s="68"/>
      <c r="I447" s="67"/>
      <c r="J447" s="69"/>
      <c r="K447" s="29"/>
      <c r="L447" s="67"/>
      <c r="M447" s="69"/>
      <c r="N447" s="29"/>
    </row>
    <row r="448" spans="1:14" x14ac:dyDescent="0.25">
      <c r="A448" s="25"/>
      <c r="B448" s="87"/>
      <c r="C448" s="104"/>
      <c r="D448" s="27" t="str">
        <f>IFERROR(IF(C448="No CAS","",INDEX('DEQ Pollutant List'!$C$7:$C$611,MATCH('5. Pollutant Emissions - MB'!C448,'DEQ Pollutant List'!$B$7:$B$611,0))),"")</f>
        <v/>
      </c>
      <c r="E448" s="13" t="str">
        <f>IFERROR(IF(OR($C448="",$C448="No CAS"),INDEX('DEQ Pollutant List'!$A$7:$A$611,MATCH($D448,'DEQ Pollutant List'!$C$7:$C$611,0)),INDEX('DEQ Pollutant List'!$A$7:$A$611,MATCH($C448,'DEQ Pollutant List'!$B$7:$B$611,0))),"")</f>
        <v/>
      </c>
      <c r="F448" s="105"/>
      <c r="G448" s="106"/>
      <c r="H448" s="68"/>
      <c r="I448" s="67"/>
      <c r="J448" s="69"/>
      <c r="K448" s="29"/>
      <c r="L448" s="67"/>
      <c r="M448" s="69"/>
      <c r="N448" s="29"/>
    </row>
    <row r="449" spans="1:14" x14ac:dyDescent="0.25">
      <c r="A449" s="25"/>
      <c r="B449" s="87"/>
      <c r="C449" s="104"/>
      <c r="D449" s="27" t="str">
        <f>IFERROR(IF(C449="No CAS","",INDEX('DEQ Pollutant List'!$C$7:$C$611,MATCH('5. Pollutant Emissions - MB'!C449,'DEQ Pollutant List'!$B$7:$B$611,0))),"")</f>
        <v/>
      </c>
      <c r="E449" s="13" t="str">
        <f>IFERROR(IF(OR($C449="",$C449="No CAS"),INDEX('DEQ Pollutant List'!$A$7:$A$611,MATCH($D449,'DEQ Pollutant List'!$C$7:$C$611,0)),INDEX('DEQ Pollutant List'!$A$7:$A$611,MATCH($C449,'DEQ Pollutant List'!$B$7:$B$611,0))),"")</f>
        <v/>
      </c>
      <c r="F449" s="105"/>
      <c r="G449" s="106"/>
      <c r="H449" s="68"/>
      <c r="I449" s="67"/>
      <c r="J449" s="69"/>
      <c r="K449" s="29"/>
      <c r="L449" s="67"/>
      <c r="M449" s="69"/>
      <c r="N449" s="29"/>
    </row>
    <row r="450" spans="1:14" x14ac:dyDescent="0.25">
      <c r="A450" s="25"/>
      <c r="B450" s="87"/>
      <c r="C450" s="104"/>
      <c r="D450" s="27" t="str">
        <f>IFERROR(IF(C450="No CAS","",INDEX('DEQ Pollutant List'!$C$7:$C$611,MATCH('5. Pollutant Emissions - MB'!C450,'DEQ Pollutant List'!$B$7:$B$611,0))),"")</f>
        <v/>
      </c>
      <c r="E450" s="13" t="str">
        <f>IFERROR(IF(OR($C450="",$C450="No CAS"),INDEX('DEQ Pollutant List'!$A$7:$A$611,MATCH($D450,'DEQ Pollutant List'!$C$7:$C$611,0)),INDEX('DEQ Pollutant List'!$A$7:$A$611,MATCH($C450,'DEQ Pollutant List'!$B$7:$B$611,0))),"")</f>
        <v/>
      </c>
      <c r="F450" s="105"/>
      <c r="G450" s="106"/>
      <c r="H450" s="68"/>
      <c r="I450" s="67"/>
      <c r="J450" s="69"/>
      <c r="K450" s="29"/>
      <c r="L450" s="67"/>
      <c r="M450" s="69"/>
      <c r="N450" s="29"/>
    </row>
    <row r="451" spans="1:14" x14ac:dyDescent="0.25">
      <c r="A451" s="25"/>
      <c r="B451" s="87"/>
      <c r="C451" s="104"/>
      <c r="D451" s="27" t="str">
        <f>IFERROR(IF(C451="No CAS","",INDEX('DEQ Pollutant List'!$C$7:$C$611,MATCH('5. Pollutant Emissions - MB'!C451,'DEQ Pollutant List'!$B$7:$B$611,0))),"")</f>
        <v/>
      </c>
      <c r="E451" s="13" t="str">
        <f>IFERROR(IF(OR($C451="",$C451="No CAS"),INDEX('DEQ Pollutant List'!$A$7:$A$611,MATCH($D451,'DEQ Pollutant List'!$C$7:$C$611,0)),INDEX('DEQ Pollutant List'!$A$7:$A$611,MATCH($C451,'DEQ Pollutant List'!$B$7:$B$611,0))),"")</f>
        <v/>
      </c>
      <c r="F451" s="105"/>
      <c r="G451" s="106"/>
      <c r="H451" s="68"/>
      <c r="I451" s="67"/>
      <c r="J451" s="69"/>
      <c r="K451" s="29"/>
      <c r="L451" s="67"/>
      <c r="M451" s="69"/>
      <c r="N451" s="29"/>
    </row>
    <row r="452" spans="1:14" x14ac:dyDescent="0.25">
      <c r="A452" s="25"/>
      <c r="B452" s="87"/>
      <c r="C452" s="104"/>
      <c r="D452" s="27" t="str">
        <f>IFERROR(IF(C452="No CAS","",INDEX('DEQ Pollutant List'!$C$7:$C$611,MATCH('5. Pollutant Emissions - MB'!C452,'DEQ Pollutant List'!$B$7:$B$611,0))),"")</f>
        <v/>
      </c>
      <c r="E452" s="13" t="str">
        <f>IFERROR(IF(OR($C452="",$C452="No CAS"),INDEX('DEQ Pollutant List'!$A$7:$A$611,MATCH($D452,'DEQ Pollutant List'!$C$7:$C$611,0)),INDEX('DEQ Pollutant List'!$A$7:$A$611,MATCH($C452,'DEQ Pollutant List'!$B$7:$B$611,0))),"")</f>
        <v/>
      </c>
      <c r="F452" s="105"/>
      <c r="G452" s="106"/>
      <c r="H452" s="68"/>
      <c r="I452" s="67"/>
      <c r="J452" s="69"/>
      <c r="K452" s="29"/>
      <c r="L452" s="67"/>
      <c r="M452" s="69"/>
      <c r="N452" s="29"/>
    </row>
    <row r="453" spans="1:14" x14ac:dyDescent="0.25">
      <c r="A453" s="25"/>
      <c r="B453" s="87"/>
      <c r="C453" s="104"/>
      <c r="D453" s="27" t="str">
        <f>IFERROR(IF(C453="No CAS","",INDEX('DEQ Pollutant List'!$C$7:$C$611,MATCH('5. Pollutant Emissions - MB'!C453,'DEQ Pollutant List'!$B$7:$B$611,0))),"")</f>
        <v/>
      </c>
      <c r="E453" s="13" t="str">
        <f>IFERROR(IF(OR($C453="",$C453="No CAS"),INDEX('DEQ Pollutant List'!$A$7:$A$611,MATCH($D453,'DEQ Pollutant List'!$C$7:$C$611,0)),INDEX('DEQ Pollutant List'!$A$7:$A$611,MATCH($C453,'DEQ Pollutant List'!$B$7:$B$611,0))),"")</f>
        <v/>
      </c>
      <c r="F453" s="105"/>
      <c r="G453" s="106"/>
      <c r="H453" s="68"/>
      <c r="I453" s="67"/>
      <c r="J453" s="69"/>
      <c r="K453" s="29"/>
      <c r="L453" s="67"/>
      <c r="M453" s="69"/>
      <c r="N453" s="29"/>
    </row>
    <row r="454" spans="1:14" x14ac:dyDescent="0.25">
      <c r="A454" s="25"/>
      <c r="B454" s="87"/>
      <c r="C454" s="104"/>
      <c r="D454" s="27" t="str">
        <f>IFERROR(IF(C454="No CAS","",INDEX('DEQ Pollutant List'!$C$7:$C$611,MATCH('5. Pollutant Emissions - MB'!C454,'DEQ Pollutant List'!$B$7:$B$611,0))),"")</f>
        <v/>
      </c>
      <c r="E454" s="13" t="str">
        <f>IFERROR(IF(OR($C454="",$C454="No CAS"),INDEX('DEQ Pollutant List'!$A$7:$A$611,MATCH($D454,'DEQ Pollutant List'!$C$7:$C$611,0)),INDEX('DEQ Pollutant List'!$A$7:$A$611,MATCH($C454,'DEQ Pollutant List'!$B$7:$B$611,0))),"")</f>
        <v/>
      </c>
      <c r="F454" s="105"/>
      <c r="G454" s="106"/>
      <c r="H454" s="68"/>
      <c r="I454" s="67"/>
      <c r="J454" s="69"/>
      <c r="K454" s="29"/>
      <c r="L454" s="67"/>
      <c r="M454" s="69"/>
      <c r="N454" s="29"/>
    </row>
    <row r="455" spans="1:14" x14ac:dyDescent="0.25">
      <c r="A455" s="25"/>
      <c r="B455" s="87"/>
      <c r="C455" s="104"/>
      <c r="D455" s="27" t="str">
        <f>IFERROR(IF(C455="No CAS","",INDEX('DEQ Pollutant List'!$C$7:$C$611,MATCH('5. Pollutant Emissions - MB'!C455,'DEQ Pollutant List'!$B$7:$B$611,0))),"")</f>
        <v/>
      </c>
      <c r="E455" s="13" t="str">
        <f>IFERROR(IF(OR($C455="",$C455="No CAS"),INDEX('DEQ Pollutant List'!$A$7:$A$611,MATCH($D455,'DEQ Pollutant List'!$C$7:$C$611,0)),INDEX('DEQ Pollutant List'!$A$7:$A$611,MATCH($C455,'DEQ Pollutant List'!$B$7:$B$611,0))),"")</f>
        <v/>
      </c>
      <c r="F455" s="105"/>
      <c r="G455" s="106"/>
      <c r="H455" s="68"/>
      <c r="I455" s="67"/>
      <c r="J455" s="69"/>
      <c r="K455" s="29"/>
      <c r="L455" s="67"/>
      <c r="M455" s="69"/>
      <c r="N455" s="29"/>
    </row>
    <row r="456" spans="1:14" x14ac:dyDescent="0.25">
      <c r="A456" s="25"/>
      <c r="B456" s="87"/>
      <c r="C456" s="104"/>
      <c r="D456" s="27" t="str">
        <f>IFERROR(IF(C456="No CAS","",INDEX('DEQ Pollutant List'!$C$7:$C$611,MATCH('5. Pollutant Emissions - MB'!C456,'DEQ Pollutant List'!$B$7:$B$611,0))),"")</f>
        <v/>
      </c>
      <c r="E456" s="13" t="str">
        <f>IFERROR(IF(OR($C456="",$C456="No CAS"),INDEX('DEQ Pollutant List'!$A$7:$A$611,MATCH($D456,'DEQ Pollutant List'!$C$7:$C$611,0)),INDEX('DEQ Pollutant List'!$A$7:$A$611,MATCH($C456,'DEQ Pollutant List'!$B$7:$B$611,0))),"")</f>
        <v/>
      </c>
      <c r="F456" s="105"/>
      <c r="G456" s="106"/>
      <c r="H456" s="68"/>
      <c r="I456" s="67"/>
      <c r="J456" s="69"/>
      <c r="K456" s="29"/>
      <c r="L456" s="67"/>
      <c r="M456" s="69"/>
      <c r="N456" s="29"/>
    </row>
    <row r="457" spans="1:14" x14ac:dyDescent="0.25">
      <c r="A457" s="25"/>
      <c r="B457" s="87"/>
      <c r="C457" s="104"/>
      <c r="D457" s="27" t="str">
        <f>IFERROR(IF(C457="No CAS","",INDEX('DEQ Pollutant List'!$C$7:$C$611,MATCH('5. Pollutant Emissions - MB'!C457,'DEQ Pollutant List'!$B$7:$B$611,0))),"")</f>
        <v/>
      </c>
      <c r="E457" s="13" t="str">
        <f>IFERROR(IF(OR($C457="",$C457="No CAS"),INDEX('DEQ Pollutant List'!$A$7:$A$611,MATCH($D457,'DEQ Pollutant List'!$C$7:$C$611,0)),INDEX('DEQ Pollutant List'!$A$7:$A$611,MATCH($C457,'DEQ Pollutant List'!$B$7:$B$611,0))),"")</f>
        <v/>
      </c>
      <c r="F457" s="105"/>
      <c r="G457" s="106"/>
      <c r="H457" s="68"/>
      <c r="I457" s="67"/>
      <c r="J457" s="69"/>
      <c r="K457" s="29"/>
      <c r="L457" s="67"/>
      <c r="M457" s="69"/>
      <c r="N457" s="29"/>
    </row>
    <row r="458" spans="1:14" x14ac:dyDescent="0.25">
      <c r="A458" s="25"/>
      <c r="B458" s="87"/>
      <c r="C458" s="104"/>
      <c r="D458" s="27" t="str">
        <f>IFERROR(IF(C458="No CAS","",INDEX('DEQ Pollutant List'!$C$7:$C$611,MATCH('5. Pollutant Emissions - MB'!C458,'DEQ Pollutant List'!$B$7:$B$611,0))),"")</f>
        <v/>
      </c>
      <c r="E458" s="13" t="str">
        <f>IFERROR(IF(OR($C458="",$C458="No CAS"),INDEX('DEQ Pollutant List'!$A$7:$A$611,MATCH($D458,'DEQ Pollutant List'!$C$7:$C$611,0)),INDEX('DEQ Pollutant List'!$A$7:$A$611,MATCH($C458,'DEQ Pollutant List'!$B$7:$B$611,0))),"")</f>
        <v/>
      </c>
      <c r="F458" s="105"/>
      <c r="G458" s="106"/>
      <c r="H458" s="68"/>
      <c r="I458" s="67"/>
      <c r="J458" s="69"/>
      <c r="K458" s="29"/>
      <c r="L458" s="67"/>
      <c r="M458" s="69"/>
      <c r="N458" s="29"/>
    </row>
    <row r="459" spans="1:14" x14ac:dyDescent="0.25">
      <c r="A459" s="25"/>
      <c r="B459" s="87"/>
      <c r="C459" s="104"/>
      <c r="D459" s="27" t="str">
        <f>IFERROR(IF(C459="No CAS","",INDEX('DEQ Pollutant List'!$C$7:$C$611,MATCH('5. Pollutant Emissions - MB'!C459,'DEQ Pollutant List'!$B$7:$B$611,0))),"")</f>
        <v/>
      </c>
      <c r="E459" s="13" t="str">
        <f>IFERROR(IF(OR($C459="",$C459="No CAS"),INDEX('DEQ Pollutant List'!$A$7:$A$611,MATCH($D459,'DEQ Pollutant List'!$C$7:$C$611,0)),INDEX('DEQ Pollutant List'!$A$7:$A$611,MATCH($C459,'DEQ Pollutant List'!$B$7:$B$611,0))),"")</f>
        <v/>
      </c>
      <c r="F459" s="105"/>
      <c r="G459" s="106"/>
      <c r="H459" s="68"/>
      <c r="I459" s="67"/>
      <c r="J459" s="69"/>
      <c r="K459" s="29"/>
      <c r="L459" s="67"/>
      <c r="M459" s="69"/>
      <c r="N459" s="29"/>
    </row>
    <row r="460" spans="1:14" x14ac:dyDescent="0.25">
      <c r="A460" s="25"/>
      <c r="B460" s="87"/>
      <c r="C460" s="104"/>
      <c r="D460" s="27" t="str">
        <f>IFERROR(IF(C460="No CAS","",INDEX('DEQ Pollutant List'!$C$7:$C$611,MATCH('5. Pollutant Emissions - MB'!C460,'DEQ Pollutant List'!$B$7:$B$611,0))),"")</f>
        <v/>
      </c>
      <c r="E460" s="13" t="str">
        <f>IFERROR(IF(OR($C460="",$C460="No CAS"),INDEX('DEQ Pollutant List'!$A$7:$A$611,MATCH($D460,'DEQ Pollutant List'!$C$7:$C$611,0)),INDEX('DEQ Pollutant List'!$A$7:$A$611,MATCH($C460,'DEQ Pollutant List'!$B$7:$B$611,0))),"")</f>
        <v/>
      </c>
      <c r="F460" s="105"/>
      <c r="G460" s="106"/>
      <c r="H460" s="68"/>
      <c r="I460" s="67"/>
      <c r="J460" s="69"/>
      <c r="K460" s="29"/>
      <c r="L460" s="67"/>
      <c r="M460" s="69"/>
      <c r="N460" s="29"/>
    </row>
    <row r="461" spans="1:14" x14ac:dyDescent="0.25">
      <c r="A461" s="25"/>
      <c r="B461" s="87"/>
      <c r="C461" s="104"/>
      <c r="D461" s="27" t="str">
        <f>IFERROR(IF(C461="No CAS","",INDEX('DEQ Pollutant List'!$C$7:$C$611,MATCH('5. Pollutant Emissions - MB'!C461,'DEQ Pollutant List'!$B$7:$B$611,0))),"")</f>
        <v/>
      </c>
      <c r="E461" s="13" t="str">
        <f>IFERROR(IF(OR($C461="",$C461="No CAS"),INDEX('DEQ Pollutant List'!$A$7:$A$611,MATCH($D461,'DEQ Pollutant List'!$C$7:$C$611,0)),INDEX('DEQ Pollutant List'!$A$7:$A$611,MATCH($C461,'DEQ Pollutant List'!$B$7:$B$611,0))),"")</f>
        <v/>
      </c>
      <c r="F461" s="105"/>
      <c r="G461" s="106"/>
      <c r="H461" s="68"/>
      <c r="I461" s="67"/>
      <c r="J461" s="69"/>
      <c r="K461" s="29"/>
      <c r="L461" s="67"/>
      <c r="M461" s="69"/>
      <c r="N461" s="29"/>
    </row>
    <row r="462" spans="1:14" x14ac:dyDescent="0.25">
      <c r="A462" s="25"/>
      <c r="B462" s="87"/>
      <c r="C462" s="104"/>
      <c r="D462" s="27" t="str">
        <f>IFERROR(IF(C462="No CAS","",INDEX('DEQ Pollutant List'!$C$7:$C$611,MATCH('5. Pollutant Emissions - MB'!C462,'DEQ Pollutant List'!$B$7:$B$611,0))),"")</f>
        <v/>
      </c>
      <c r="E462" s="13" t="str">
        <f>IFERROR(IF(OR($C462="",$C462="No CAS"),INDEX('DEQ Pollutant List'!$A$7:$A$611,MATCH($D462,'DEQ Pollutant List'!$C$7:$C$611,0)),INDEX('DEQ Pollutant List'!$A$7:$A$611,MATCH($C462,'DEQ Pollutant List'!$B$7:$B$611,0))),"")</f>
        <v/>
      </c>
      <c r="F462" s="105"/>
      <c r="G462" s="106"/>
      <c r="H462" s="68"/>
      <c r="I462" s="67"/>
      <c r="J462" s="69"/>
      <c r="K462" s="29"/>
      <c r="L462" s="67"/>
      <c r="M462" s="69"/>
      <c r="N462" s="29"/>
    </row>
    <row r="463" spans="1:14" x14ac:dyDescent="0.25">
      <c r="A463" s="25"/>
      <c r="B463" s="87"/>
      <c r="C463" s="104"/>
      <c r="D463" s="27" t="str">
        <f>IFERROR(IF(C463="No CAS","",INDEX('DEQ Pollutant List'!$C$7:$C$611,MATCH('5. Pollutant Emissions - MB'!C463,'DEQ Pollutant List'!$B$7:$B$611,0))),"")</f>
        <v/>
      </c>
      <c r="E463" s="13" t="str">
        <f>IFERROR(IF(OR($C463="",$C463="No CAS"),INDEX('DEQ Pollutant List'!$A$7:$A$611,MATCH($D463,'DEQ Pollutant List'!$C$7:$C$611,0)),INDEX('DEQ Pollutant List'!$A$7:$A$611,MATCH($C463,'DEQ Pollutant List'!$B$7:$B$611,0))),"")</f>
        <v/>
      </c>
      <c r="F463" s="105"/>
      <c r="G463" s="106"/>
      <c r="H463" s="68"/>
      <c r="I463" s="67"/>
      <c r="J463" s="69"/>
      <c r="K463" s="29"/>
      <c r="L463" s="67"/>
      <c r="M463" s="69"/>
      <c r="N463" s="29"/>
    </row>
    <row r="464" spans="1:14" x14ac:dyDescent="0.25">
      <c r="A464" s="25"/>
      <c r="B464" s="87"/>
      <c r="C464" s="104"/>
      <c r="D464" s="27" t="str">
        <f>IFERROR(IF(C464="No CAS","",INDEX('DEQ Pollutant List'!$C$7:$C$611,MATCH('5. Pollutant Emissions - MB'!C464,'DEQ Pollutant List'!$B$7:$B$611,0))),"")</f>
        <v/>
      </c>
      <c r="E464" s="13" t="str">
        <f>IFERROR(IF(OR($C464="",$C464="No CAS"),INDEX('DEQ Pollutant List'!$A$7:$A$611,MATCH($D464,'DEQ Pollutant List'!$C$7:$C$611,0)),INDEX('DEQ Pollutant List'!$A$7:$A$611,MATCH($C464,'DEQ Pollutant List'!$B$7:$B$611,0))),"")</f>
        <v/>
      </c>
      <c r="F464" s="105"/>
      <c r="G464" s="106"/>
      <c r="H464" s="68"/>
      <c r="I464" s="67"/>
      <c r="J464" s="69"/>
      <c r="K464" s="29"/>
      <c r="L464" s="67"/>
      <c r="M464" s="69"/>
      <c r="N464" s="29"/>
    </row>
    <row r="465" spans="1:14" x14ac:dyDescent="0.25">
      <c r="A465" s="25"/>
      <c r="B465" s="87"/>
      <c r="C465" s="104"/>
      <c r="D465" s="27" t="str">
        <f>IFERROR(IF(C465="No CAS","",INDEX('DEQ Pollutant List'!$C$7:$C$611,MATCH('5. Pollutant Emissions - MB'!C465,'DEQ Pollutant List'!$B$7:$B$611,0))),"")</f>
        <v/>
      </c>
      <c r="E465" s="13" t="str">
        <f>IFERROR(IF(OR($C465="",$C465="No CAS"),INDEX('DEQ Pollutant List'!$A$7:$A$611,MATCH($D465,'DEQ Pollutant List'!$C$7:$C$611,0)),INDEX('DEQ Pollutant List'!$A$7:$A$611,MATCH($C465,'DEQ Pollutant List'!$B$7:$B$611,0))),"")</f>
        <v/>
      </c>
      <c r="F465" s="105"/>
      <c r="G465" s="106"/>
      <c r="H465" s="68"/>
      <c r="I465" s="67"/>
      <c r="J465" s="69"/>
      <c r="K465" s="29"/>
      <c r="L465" s="67"/>
      <c r="M465" s="69"/>
      <c r="N465" s="29"/>
    </row>
    <row r="466" spans="1:14" x14ac:dyDescent="0.25">
      <c r="A466" s="25"/>
      <c r="B466" s="87"/>
      <c r="C466" s="104"/>
      <c r="D466" s="27" t="str">
        <f>IFERROR(IF(C466="No CAS","",INDEX('DEQ Pollutant List'!$C$7:$C$611,MATCH('5. Pollutant Emissions - MB'!C466,'DEQ Pollutant List'!$B$7:$B$611,0))),"")</f>
        <v/>
      </c>
      <c r="E466" s="13" t="str">
        <f>IFERROR(IF(OR($C466="",$C466="No CAS"),INDEX('DEQ Pollutant List'!$A$7:$A$611,MATCH($D466,'DEQ Pollutant List'!$C$7:$C$611,0)),INDEX('DEQ Pollutant List'!$A$7:$A$611,MATCH($C466,'DEQ Pollutant List'!$B$7:$B$611,0))),"")</f>
        <v/>
      </c>
      <c r="F466" s="105"/>
      <c r="G466" s="106"/>
      <c r="H466" s="68"/>
      <c r="I466" s="67"/>
      <c r="J466" s="69"/>
      <c r="K466" s="29"/>
      <c r="L466" s="67"/>
      <c r="M466" s="69"/>
      <c r="N466" s="29"/>
    </row>
    <row r="467" spans="1:14" x14ac:dyDescent="0.25">
      <c r="A467" s="25"/>
      <c r="B467" s="87"/>
      <c r="C467" s="104"/>
      <c r="D467" s="27" t="str">
        <f>IFERROR(IF(C467="No CAS","",INDEX('DEQ Pollutant List'!$C$7:$C$611,MATCH('5. Pollutant Emissions - MB'!C467,'DEQ Pollutant List'!$B$7:$B$611,0))),"")</f>
        <v/>
      </c>
      <c r="E467" s="13" t="str">
        <f>IFERROR(IF(OR($C467="",$C467="No CAS"),INDEX('DEQ Pollutant List'!$A$7:$A$611,MATCH($D467,'DEQ Pollutant List'!$C$7:$C$611,0)),INDEX('DEQ Pollutant List'!$A$7:$A$611,MATCH($C467,'DEQ Pollutant List'!$B$7:$B$611,0))),"")</f>
        <v/>
      </c>
      <c r="F467" s="105"/>
      <c r="G467" s="106"/>
      <c r="H467" s="68"/>
      <c r="I467" s="67"/>
      <c r="J467" s="69"/>
      <c r="K467" s="29"/>
      <c r="L467" s="67"/>
      <c r="M467" s="69"/>
      <c r="N467" s="29"/>
    </row>
    <row r="468" spans="1:14" x14ac:dyDescent="0.25">
      <c r="A468" s="25"/>
      <c r="B468" s="87"/>
      <c r="C468" s="104"/>
      <c r="D468" s="27" t="str">
        <f>IFERROR(IF(C468="No CAS","",INDEX('DEQ Pollutant List'!$C$7:$C$611,MATCH('5. Pollutant Emissions - MB'!C468,'DEQ Pollutant List'!$B$7:$B$611,0))),"")</f>
        <v/>
      </c>
      <c r="E468" s="13" t="str">
        <f>IFERROR(IF(OR($C468="",$C468="No CAS"),INDEX('DEQ Pollutant List'!$A$7:$A$611,MATCH($D468,'DEQ Pollutant List'!$C$7:$C$611,0)),INDEX('DEQ Pollutant List'!$A$7:$A$611,MATCH($C468,'DEQ Pollutant List'!$B$7:$B$611,0))),"")</f>
        <v/>
      </c>
      <c r="F468" s="105"/>
      <c r="G468" s="106"/>
      <c r="H468" s="68"/>
      <c r="I468" s="67"/>
      <c r="J468" s="69"/>
      <c r="K468" s="29"/>
      <c r="L468" s="67"/>
      <c r="M468" s="69"/>
      <c r="N468" s="29"/>
    </row>
    <row r="469" spans="1:14" x14ac:dyDescent="0.25">
      <c r="A469" s="25"/>
      <c r="B469" s="87"/>
      <c r="C469" s="104"/>
      <c r="D469" s="27" t="str">
        <f>IFERROR(IF(C469="No CAS","",INDEX('DEQ Pollutant List'!$C$7:$C$611,MATCH('5. Pollutant Emissions - MB'!C469,'DEQ Pollutant List'!$B$7:$B$611,0))),"")</f>
        <v/>
      </c>
      <c r="E469" s="13" t="str">
        <f>IFERROR(IF(OR($C469="",$C469="No CAS"),INDEX('DEQ Pollutant List'!$A$7:$A$611,MATCH($D469,'DEQ Pollutant List'!$C$7:$C$611,0)),INDEX('DEQ Pollutant List'!$A$7:$A$611,MATCH($C469,'DEQ Pollutant List'!$B$7:$B$611,0))),"")</f>
        <v/>
      </c>
      <c r="F469" s="105"/>
      <c r="G469" s="106"/>
      <c r="H469" s="68"/>
      <c r="I469" s="67"/>
      <c r="J469" s="69"/>
      <c r="K469" s="29"/>
      <c r="L469" s="67"/>
      <c r="M469" s="69"/>
      <c r="N469" s="29"/>
    </row>
    <row r="470" spans="1:14" x14ac:dyDescent="0.25">
      <c r="A470" s="25"/>
      <c r="B470" s="87"/>
      <c r="C470" s="104"/>
      <c r="D470" s="27" t="str">
        <f>IFERROR(IF(C470="No CAS","",INDEX('DEQ Pollutant List'!$C$7:$C$611,MATCH('5. Pollutant Emissions - MB'!C470,'DEQ Pollutant List'!$B$7:$B$611,0))),"")</f>
        <v/>
      </c>
      <c r="E470" s="13" t="str">
        <f>IFERROR(IF(OR($C470="",$C470="No CAS"),INDEX('DEQ Pollutant List'!$A$7:$A$611,MATCH($D470,'DEQ Pollutant List'!$C$7:$C$611,0)),INDEX('DEQ Pollutant List'!$A$7:$A$611,MATCH($C470,'DEQ Pollutant List'!$B$7:$B$611,0))),"")</f>
        <v/>
      </c>
      <c r="F470" s="105"/>
      <c r="G470" s="106"/>
      <c r="H470" s="68"/>
      <c r="I470" s="67"/>
      <c r="J470" s="69"/>
      <c r="K470" s="29"/>
      <c r="L470" s="67"/>
      <c r="M470" s="69"/>
      <c r="N470" s="29"/>
    </row>
    <row r="471" spans="1:14" x14ac:dyDescent="0.25">
      <c r="A471" s="25"/>
      <c r="B471" s="87"/>
      <c r="C471" s="104"/>
      <c r="D471" s="27" t="str">
        <f>IFERROR(IF(C471="No CAS","",INDEX('DEQ Pollutant List'!$C$7:$C$611,MATCH('5. Pollutant Emissions - MB'!C471,'DEQ Pollutant List'!$B$7:$B$611,0))),"")</f>
        <v/>
      </c>
      <c r="E471" s="13" t="str">
        <f>IFERROR(IF(OR($C471="",$C471="No CAS"),INDEX('DEQ Pollutant List'!$A$7:$A$611,MATCH($D471,'DEQ Pollutant List'!$C$7:$C$611,0)),INDEX('DEQ Pollutant List'!$A$7:$A$611,MATCH($C471,'DEQ Pollutant List'!$B$7:$B$611,0))),"")</f>
        <v/>
      </c>
      <c r="F471" s="105"/>
      <c r="G471" s="106"/>
      <c r="H471" s="68"/>
      <c r="I471" s="67"/>
      <c r="J471" s="69"/>
      <c r="K471" s="29"/>
      <c r="L471" s="67"/>
      <c r="M471" s="69"/>
      <c r="N471" s="29"/>
    </row>
    <row r="472" spans="1:14" x14ac:dyDescent="0.25">
      <c r="A472" s="25"/>
      <c r="B472" s="87"/>
      <c r="C472" s="104"/>
      <c r="D472" s="27" t="str">
        <f>IFERROR(IF(C472="No CAS","",INDEX('DEQ Pollutant List'!$C$7:$C$611,MATCH('5. Pollutant Emissions - MB'!C472,'DEQ Pollutant List'!$B$7:$B$611,0))),"")</f>
        <v/>
      </c>
      <c r="E472" s="13" t="str">
        <f>IFERROR(IF(OR($C472="",$C472="No CAS"),INDEX('DEQ Pollutant List'!$A$7:$A$611,MATCH($D472,'DEQ Pollutant List'!$C$7:$C$611,0)),INDEX('DEQ Pollutant List'!$A$7:$A$611,MATCH($C472,'DEQ Pollutant List'!$B$7:$B$611,0))),"")</f>
        <v/>
      </c>
      <c r="F472" s="105"/>
      <c r="G472" s="106"/>
      <c r="H472" s="68"/>
      <c r="I472" s="67"/>
      <c r="J472" s="69"/>
      <c r="K472" s="29"/>
      <c r="L472" s="67"/>
      <c r="M472" s="69"/>
      <c r="N472" s="29"/>
    </row>
    <row r="473" spans="1:14" x14ac:dyDescent="0.25">
      <c r="A473" s="25"/>
      <c r="B473" s="87"/>
      <c r="C473" s="104"/>
      <c r="D473" s="27" t="str">
        <f>IFERROR(IF(C473="No CAS","",INDEX('DEQ Pollutant List'!$C$7:$C$611,MATCH('5. Pollutant Emissions - MB'!C473,'DEQ Pollutant List'!$B$7:$B$611,0))),"")</f>
        <v/>
      </c>
      <c r="E473" s="13" t="str">
        <f>IFERROR(IF(OR($C473="",$C473="No CAS"),INDEX('DEQ Pollutant List'!$A$7:$A$611,MATCH($D473,'DEQ Pollutant List'!$C$7:$C$611,0)),INDEX('DEQ Pollutant List'!$A$7:$A$611,MATCH($C473,'DEQ Pollutant List'!$B$7:$B$611,0))),"")</f>
        <v/>
      </c>
      <c r="F473" s="105"/>
      <c r="G473" s="106"/>
      <c r="H473" s="68"/>
      <c r="I473" s="67"/>
      <c r="J473" s="69"/>
      <c r="K473" s="29"/>
      <c r="L473" s="67"/>
      <c r="M473" s="69"/>
      <c r="N473" s="29"/>
    </row>
    <row r="474" spans="1:14" x14ac:dyDescent="0.25">
      <c r="A474" s="25"/>
      <c r="B474" s="87"/>
      <c r="C474" s="104"/>
      <c r="D474" s="27" t="str">
        <f>IFERROR(IF(C474="No CAS","",INDEX('DEQ Pollutant List'!$C$7:$C$611,MATCH('5. Pollutant Emissions - MB'!C474,'DEQ Pollutant List'!$B$7:$B$611,0))),"")</f>
        <v/>
      </c>
      <c r="E474" s="13" t="str">
        <f>IFERROR(IF(OR($C474="",$C474="No CAS"),INDEX('DEQ Pollutant List'!$A$7:$A$611,MATCH($D474,'DEQ Pollutant List'!$C$7:$C$611,0)),INDEX('DEQ Pollutant List'!$A$7:$A$611,MATCH($C474,'DEQ Pollutant List'!$B$7:$B$611,0))),"")</f>
        <v/>
      </c>
      <c r="F474" s="105"/>
      <c r="G474" s="106"/>
      <c r="H474" s="68"/>
      <c r="I474" s="67"/>
      <c r="J474" s="69"/>
      <c r="K474" s="29"/>
      <c r="L474" s="67"/>
      <c r="M474" s="69"/>
      <c r="N474" s="29"/>
    </row>
    <row r="475" spans="1:14" x14ac:dyDescent="0.25">
      <c r="A475" s="25"/>
      <c r="B475" s="87"/>
      <c r="C475" s="104"/>
      <c r="D475" s="27" t="str">
        <f>IFERROR(IF(C475="No CAS","",INDEX('DEQ Pollutant List'!$C$7:$C$611,MATCH('5. Pollutant Emissions - MB'!C475,'DEQ Pollutant List'!$B$7:$B$611,0))),"")</f>
        <v/>
      </c>
      <c r="E475" s="13" t="str">
        <f>IFERROR(IF(OR($C475="",$C475="No CAS"),INDEX('DEQ Pollutant List'!$A$7:$A$611,MATCH($D475,'DEQ Pollutant List'!$C$7:$C$611,0)),INDEX('DEQ Pollutant List'!$A$7:$A$611,MATCH($C475,'DEQ Pollutant List'!$B$7:$B$611,0))),"")</f>
        <v/>
      </c>
      <c r="F475" s="105"/>
      <c r="G475" s="106"/>
      <c r="H475" s="68"/>
      <c r="I475" s="67"/>
      <c r="J475" s="69"/>
      <c r="K475" s="29"/>
      <c r="L475" s="67"/>
      <c r="M475" s="69"/>
      <c r="N475" s="29"/>
    </row>
    <row r="476" spans="1:14" x14ac:dyDescent="0.25">
      <c r="A476" s="25"/>
      <c r="B476" s="87"/>
      <c r="C476" s="104"/>
      <c r="D476" s="27" t="str">
        <f>IFERROR(IF(C476="No CAS","",INDEX('DEQ Pollutant List'!$C$7:$C$611,MATCH('5. Pollutant Emissions - MB'!C476,'DEQ Pollutant List'!$B$7:$B$611,0))),"")</f>
        <v/>
      </c>
      <c r="E476" s="13" t="str">
        <f>IFERROR(IF(OR($C476="",$C476="No CAS"),INDEX('DEQ Pollutant List'!$A$7:$A$611,MATCH($D476,'DEQ Pollutant List'!$C$7:$C$611,0)),INDEX('DEQ Pollutant List'!$A$7:$A$611,MATCH($C476,'DEQ Pollutant List'!$B$7:$B$611,0))),"")</f>
        <v/>
      </c>
      <c r="F476" s="105"/>
      <c r="G476" s="106"/>
      <c r="H476" s="68"/>
      <c r="I476" s="67"/>
      <c r="J476" s="69"/>
      <c r="K476" s="29"/>
      <c r="L476" s="67"/>
      <c r="M476" s="69"/>
      <c r="N476" s="29"/>
    </row>
    <row r="477" spans="1:14" x14ac:dyDescent="0.25">
      <c r="A477" s="25"/>
      <c r="B477" s="87"/>
      <c r="C477" s="104"/>
      <c r="D477" s="27" t="str">
        <f>IFERROR(IF(C477="No CAS","",INDEX('DEQ Pollutant List'!$C$7:$C$611,MATCH('5. Pollutant Emissions - MB'!C477,'DEQ Pollutant List'!$B$7:$B$611,0))),"")</f>
        <v/>
      </c>
      <c r="E477" s="13" t="str">
        <f>IFERROR(IF(OR($C477="",$C477="No CAS"),INDEX('DEQ Pollutant List'!$A$7:$A$611,MATCH($D477,'DEQ Pollutant List'!$C$7:$C$611,0)),INDEX('DEQ Pollutant List'!$A$7:$A$611,MATCH($C477,'DEQ Pollutant List'!$B$7:$B$611,0))),"")</f>
        <v/>
      </c>
      <c r="F477" s="105"/>
      <c r="G477" s="106"/>
      <c r="H477" s="68"/>
      <c r="I477" s="67"/>
      <c r="J477" s="69"/>
      <c r="K477" s="29"/>
      <c r="L477" s="67"/>
      <c r="M477" s="69"/>
      <c r="N477" s="29"/>
    </row>
    <row r="478" spans="1:14" x14ac:dyDescent="0.25">
      <c r="A478" s="25"/>
      <c r="B478" s="87"/>
      <c r="C478" s="104"/>
      <c r="D478" s="27" t="str">
        <f>IFERROR(IF(C478="No CAS","",INDEX('DEQ Pollutant List'!$C$7:$C$611,MATCH('5. Pollutant Emissions - MB'!C478,'DEQ Pollutant List'!$B$7:$B$611,0))),"")</f>
        <v/>
      </c>
      <c r="E478" s="13" t="str">
        <f>IFERROR(IF(OR($C478="",$C478="No CAS"),INDEX('DEQ Pollutant List'!$A$7:$A$611,MATCH($D478,'DEQ Pollutant List'!$C$7:$C$611,0)),INDEX('DEQ Pollutant List'!$A$7:$A$611,MATCH($C478,'DEQ Pollutant List'!$B$7:$B$611,0))),"")</f>
        <v/>
      </c>
      <c r="F478" s="105"/>
      <c r="G478" s="106"/>
      <c r="H478" s="68"/>
      <c r="I478" s="67"/>
      <c r="J478" s="69"/>
      <c r="K478" s="29"/>
      <c r="L478" s="67"/>
      <c r="M478" s="69"/>
      <c r="N478" s="29"/>
    </row>
    <row r="479" spans="1:14" x14ac:dyDescent="0.25">
      <c r="A479" s="25"/>
      <c r="B479" s="87"/>
      <c r="C479" s="104"/>
      <c r="D479" s="27" t="str">
        <f>IFERROR(IF(C479="No CAS","",INDEX('DEQ Pollutant List'!$C$7:$C$611,MATCH('5. Pollutant Emissions - MB'!C479,'DEQ Pollutant List'!$B$7:$B$611,0))),"")</f>
        <v/>
      </c>
      <c r="E479" s="13" t="str">
        <f>IFERROR(IF(OR($C479="",$C479="No CAS"),INDEX('DEQ Pollutant List'!$A$7:$A$611,MATCH($D479,'DEQ Pollutant List'!$C$7:$C$611,0)),INDEX('DEQ Pollutant List'!$A$7:$A$611,MATCH($C479,'DEQ Pollutant List'!$B$7:$B$611,0))),"")</f>
        <v/>
      </c>
      <c r="F479" s="105"/>
      <c r="G479" s="106"/>
      <c r="H479" s="68"/>
      <c r="I479" s="67"/>
      <c r="J479" s="69"/>
      <c r="K479" s="29"/>
      <c r="L479" s="67"/>
      <c r="M479" s="69"/>
      <c r="N479" s="29"/>
    </row>
    <row r="480" spans="1:14" x14ac:dyDescent="0.25">
      <c r="A480" s="25"/>
      <c r="B480" s="87"/>
      <c r="C480" s="104"/>
      <c r="D480" s="27" t="str">
        <f>IFERROR(IF(C480="No CAS","",INDEX('DEQ Pollutant List'!$C$7:$C$611,MATCH('5. Pollutant Emissions - MB'!C480,'DEQ Pollutant List'!$B$7:$B$611,0))),"")</f>
        <v/>
      </c>
      <c r="E480" s="13" t="str">
        <f>IFERROR(IF(OR($C480="",$C480="No CAS"),INDEX('DEQ Pollutant List'!$A$7:$A$611,MATCH($D480,'DEQ Pollutant List'!$C$7:$C$611,0)),INDEX('DEQ Pollutant List'!$A$7:$A$611,MATCH($C480,'DEQ Pollutant List'!$B$7:$B$611,0))),"")</f>
        <v/>
      </c>
      <c r="F480" s="105"/>
      <c r="G480" s="106"/>
      <c r="H480" s="68"/>
      <c r="I480" s="67"/>
      <c r="J480" s="69"/>
      <c r="K480" s="29"/>
      <c r="L480" s="67"/>
      <c r="M480" s="69"/>
      <c r="N480" s="29"/>
    </row>
    <row r="481" spans="1:14" x14ac:dyDescent="0.25">
      <c r="A481" s="25"/>
      <c r="B481" s="87"/>
      <c r="C481" s="104"/>
      <c r="D481" s="27" t="str">
        <f>IFERROR(IF(C481="No CAS","",INDEX('DEQ Pollutant List'!$C$7:$C$611,MATCH('5. Pollutant Emissions - MB'!C481,'DEQ Pollutant List'!$B$7:$B$611,0))),"")</f>
        <v/>
      </c>
      <c r="E481" s="13" t="str">
        <f>IFERROR(IF(OR($C481="",$C481="No CAS"),INDEX('DEQ Pollutant List'!$A$7:$A$611,MATCH($D481,'DEQ Pollutant List'!$C$7:$C$611,0)),INDEX('DEQ Pollutant List'!$A$7:$A$611,MATCH($C481,'DEQ Pollutant List'!$B$7:$B$611,0))),"")</f>
        <v/>
      </c>
      <c r="F481" s="105"/>
      <c r="G481" s="106"/>
      <c r="H481" s="68"/>
      <c r="I481" s="67"/>
      <c r="J481" s="69"/>
      <c r="K481" s="29"/>
      <c r="L481" s="67"/>
      <c r="M481" s="69"/>
      <c r="N481" s="29"/>
    </row>
    <row r="482" spans="1:14" x14ac:dyDescent="0.25">
      <c r="A482" s="25"/>
      <c r="B482" s="87"/>
      <c r="C482" s="104"/>
      <c r="D482" s="27" t="str">
        <f>IFERROR(IF(C482="No CAS","",INDEX('DEQ Pollutant List'!$C$7:$C$611,MATCH('5. Pollutant Emissions - MB'!C482,'DEQ Pollutant List'!$B$7:$B$611,0))),"")</f>
        <v/>
      </c>
      <c r="E482" s="13" t="str">
        <f>IFERROR(IF(OR($C482="",$C482="No CAS"),INDEX('DEQ Pollutant List'!$A$7:$A$611,MATCH($D482,'DEQ Pollutant List'!$C$7:$C$611,0)),INDEX('DEQ Pollutant List'!$A$7:$A$611,MATCH($C482,'DEQ Pollutant List'!$B$7:$B$611,0))),"")</f>
        <v/>
      </c>
      <c r="F482" s="105"/>
      <c r="G482" s="106"/>
      <c r="H482" s="68"/>
      <c r="I482" s="67"/>
      <c r="J482" s="69"/>
      <c r="K482" s="29"/>
      <c r="L482" s="67"/>
      <c r="M482" s="69"/>
      <c r="N482" s="29"/>
    </row>
    <row r="483" spans="1:14" x14ac:dyDescent="0.25">
      <c r="A483" s="25"/>
      <c r="B483" s="87"/>
      <c r="C483" s="104"/>
      <c r="D483" s="27" t="str">
        <f>IFERROR(IF(C483="No CAS","",INDEX('DEQ Pollutant List'!$C$7:$C$611,MATCH('5. Pollutant Emissions - MB'!C483,'DEQ Pollutant List'!$B$7:$B$611,0))),"")</f>
        <v/>
      </c>
      <c r="E483" s="13" t="str">
        <f>IFERROR(IF(OR($C483="",$C483="No CAS"),INDEX('DEQ Pollutant List'!$A$7:$A$611,MATCH($D483,'DEQ Pollutant List'!$C$7:$C$611,0)),INDEX('DEQ Pollutant List'!$A$7:$A$611,MATCH($C483,'DEQ Pollutant List'!$B$7:$B$611,0))),"")</f>
        <v/>
      </c>
      <c r="F483" s="105"/>
      <c r="G483" s="106"/>
      <c r="H483" s="68"/>
      <c r="I483" s="67"/>
      <c r="J483" s="69"/>
      <c r="K483" s="29"/>
      <c r="L483" s="67"/>
      <c r="M483" s="69"/>
      <c r="N483" s="29"/>
    </row>
    <row r="484" spans="1:14" x14ac:dyDescent="0.25">
      <c r="A484" s="25"/>
      <c r="B484" s="87"/>
      <c r="C484" s="104"/>
      <c r="D484" s="27" t="str">
        <f>IFERROR(IF(C484="No CAS","",INDEX('DEQ Pollutant List'!$C$7:$C$611,MATCH('5. Pollutant Emissions - MB'!C484,'DEQ Pollutant List'!$B$7:$B$611,0))),"")</f>
        <v/>
      </c>
      <c r="E484" s="13" t="str">
        <f>IFERROR(IF(OR($C484="",$C484="No CAS"),INDEX('DEQ Pollutant List'!$A$7:$A$611,MATCH($D484,'DEQ Pollutant List'!$C$7:$C$611,0)),INDEX('DEQ Pollutant List'!$A$7:$A$611,MATCH($C484,'DEQ Pollutant List'!$B$7:$B$611,0))),"")</f>
        <v/>
      </c>
      <c r="F484" s="105"/>
      <c r="G484" s="106"/>
      <c r="H484" s="68"/>
      <c r="I484" s="67"/>
      <c r="J484" s="69"/>
      <c r="K484" s="29"/>
      <c r="L484" s="67"/>
      <c r="M484" s="69"/>
      <c r="N484" s="29"/>
    </row>
    <row r="485" spans="1:14" x14ac:dyDescent="0.25">
      <c r="A485" s="25"/>
      <c r="B485" s="87"/>
      <c r="C485" s="104"/>
      <c r="D485" s="27" t="str">
        <f>IFERROR(IF(C485="No CAS","",INDEX('DEQ Pollutant List'!$C$7:$C$611,MATCH('5. Pollutant Emissions - MB'!C485,'DEQ Pollutant List'!$B$7:$B$611,0))),"")</f>
        <v/>
      </c>
      <c r="E485" s="13" t="str">
        <f>IFERROR(IF(OR($C485="",$C485="No CAS"),INDEX('DEQ Pollutant List'!$A$7:$A$611,MATCH($D485,'DEQ Pollutant List'!$C$7:$C$611,0)),INDEX('DEQ Pollutant List'!$A$7:$A$611,MATCH($C485,'DEQ Pollutant List'!$B$7:$B$611,0))),"")</f>
        <v/>
      </c>
      <c r="F485" s="105"/>
      <c r="G485" s="106"/>
      <c r="H485" s="68"/>
      <c r="I485" s="67"/>
      <c r="J485" s="69"/>
      <c r="K485" s="29"/>
      <c r="L485" s="67"/>
      <c r="M485" s="69"/>
      <c r="N485" s="29"/>
    </row>
    <row r="486" spans="1:14" x14ac:dyDescent="0.25">
      <c r="A486" s="25"/>
      <c r="B486" s="87"/>
      <c r="C486" s="104"/>
      <c r="D486" s="27" t="str">
        <f>IFERROR(IF(C486="No CAS","",INDEX('DEQ Pollutant List'!$C$7:$C$611,MATCH('5. Pollutant Emissions - MB'!C486,'DEQ Pollutant List'!$B$7:$B$611,0))),"")</f>
        <v/>
      </c>
      <c r="E486" s="13" t="str">
        <f>IFERROR(IF(OR($C486="",$C486="No CAS"),INDEX('DEQ Pollutant List'!$A$7:$A$611,MATCH($D486,'DEQ Pollutant List'!$C$7:$C$611,0)),INDEX('DEQ Pollutant List'!$A$7:$A$611,MATCH($C486,'DEQ Pollutant List'!$B$7:$B$611,0))),"")</f>
        <v/>
      </c>
      <c r="F486" s="105"/>
      <c r="G486" s="106"/>
      <c r="H486" s="68"/>
      <c r="I486" s="67"/>
      <c r="J486" s="69"/>
      <c r="K486" s="29"/>
      <c r="L486" s="67"/>
      <c r="M486" s="69"/>
      <c r="N486" s="29"/>
    </row>
    <row r="487" spans="1:14" x14ac:dyDescent="0.25">
      <c r="A487" s="25"/>
      <c r="B487" s="87"/>
      <c r="C487" s="104"/>
      <c r="D487" s="27" t="str">
        <f>IFERROR(IF(C487="No CAS","",INDEX('DEQ Pollutant List'!$C$7:$C$611,MATCH('5. Pollutant Emissions - MB'!C487,'DEQ Pollutant List'!$B$7:$B$611,0))),"")</f>
        <v/>
      </c>
      <c r="E487" s="13" t="str">
        <f>IFERROR(IF(OR($C487="",$C487="No CAS"),INDEX('DEQ Pollutant List'!$A$7:$A$611,MATCH($D487,'DEQ Pollutant List'!$C$7:$C$611,0)),INDEX('DEQ Pollutant List'!$A$7:$A$611,MATCH($C487,'DEQ Pollutant List'!$B$7:$B$611,0))),"")</f>
        <v/>
      </c>
      <c r="F487" s="105"/>
      <c r="G487" s="106"/>
      <c r="H487" s="68"/>
      <c r="I487" s="67"/>
      <c r="J487" s="69"/>
      <c r="K487" s="29"/>
      <c r="L487" s="67"/>
      <c r="M487" s="69"/>
      <c r="N487" s="29"/>
    </row>
    <row r="488" spans="1:14" x14ac:dyDescent="0.25">
      <c r="A488" s="25"/>
      <c r="B488" s="87"/>
      <c r="C488" s="104"/>
      <c r="D488" s="27" t="str">
        <f>IFERROR(IF(C488="No CAS","",INDEX('DEQ Pollutant List'!$C$7:$C$611,MATCH('5. Pollutant Emissions - MB'!C488,'DEQ Pollutant List'!$B$7:$B$611,0))),"")</f>
        <v/>
      </c>
      <c r="E488" s="13" t="str">
        <f>IFERROR(IF(OR($C488="",$C488="No CAS"),INDEX('DEQ Pollutant List'!$A$7:$A$611,MATCH($D488,'DEQ Pollutant List'!$C$7:$C$611,0)),INDEX('DEQ Pollutant List'!$A$7:$A$611,MATCH($C488,'DEQ Pollutant List'!$B$7:$B$611,0))),"")</f>
        <v/>
      </c>
      <c r="F488" s="105"/>
      <c r="G488" s="106"/>
      <c r="H488" s="68"/>
      <c r="I488" s="67"/>
      <c r="J488" s="69"/>
      <c r="K488" s="29"/>
      <c r="L488" s="67"/>
      <c r="M488" s="69"/>
      <c r="N488" s="29"/>
    </row>
    <row r="489" spans="1:14" x14ac:dyDescent="0.25">
      <c r="A489" s="25"/>
      <c r="B489" s="87"/>
      <c r="C489" s="104"/>
      <c r="D489" s="27" t="str">
        <f>IFERROR(IF(C489="No CAS","",INDEX('DEQ Pollutant List'!$C$7:$C$611,MATCH('5. Pollutant Emissions - MB'!C489,'DEQ Pollutant List'!$B$7:$B$611,0))),"")</f>
        <v/>
      </c>
      <c r="E489" s="13" t="str">
        <f>IFERROR(IF(OR($C489="",$C489="No CAS"),INDEX('DEQ Pollutant List'!$A$7:$A$611,MATCH($D489,'DEQ Pollutant List'!$C$7:$C$611,0)),INDEX('DEQ Pollutant List'!$A$7:$A$611,MATCH($C489,'DEQ Pollutant List'!$B$7:$B$611,0))),"")</f>
        <v/>
      </c>
      <c r="F489" s="105"/>
      <c r="G489" s="106"/>
      <c r="H489" s="68"/>
      <c r="I489" s="67"/>
      <c r="J489" s="69"/>
      <c r="K489" s="29"/>
      <c r="L489" s="67"/>
      <c r="M489" s="69"/>
      <c r="N489" s="29"/>
    </row>
    <row r="490" spans="1:14" x14ac:dyDescent="0.25">
      <c r="A490" s="25"/>
      <c r="B490" s="87"/>
      <c r="C490" s="104"/>
      <c r="D490" s="27" t="str">
        <f>IFERROR(IF(C490="No CAS","",INDEX('DEQ Pollutant List'!$C$7:$C$611,MATCH('5. Pollutant Emissions - MB'!C490,'DEQ Pollutant List'!$B$7:$B$611,0))),"")</f>
        <v/>
      </c>
      <c r="E490" s="13" t="str">
        <f>IFERROR(IF(OR($C490="",$C490="No CAS"),INDEX('DEQ Pollutant List'!$A$7:$A$611,MATCH($D490,'DEQ Pollutant List'!$C$7:$C$611,0)),INDEX('DEQ Pollutant List'!$A$7:$A$611,MATCH($C490,'DEQ Pollutant List'!$B$7:$B$611,0))),"")</f>
        <v/>
      </c>
      <c r="F490" s="105"/>
      <c r="G490" s="106"/>
      <c r="H490" s="68"/>
      <c r="I490" s="67"/>
      <c r="J490" s="69"/>
      <c r="K490" s="29"/>
      <c r="L490" s="67"/>
      <c r="M490" s="69"/>
      <c r="N490" s="29"/>
    </row>
    <row r="491" spans="1:14" x14ac:dyDescent="0.25">
      <c r="A491" s="25"/>
      <c r="B491" s="87"/>
      <c r="C491" s="104"/>
      <c r="D491" s="27" t="str">
        <f>IFERROR(IF(C491="No CAS","",INDEX('DEQ Pollutant List'!$C$7:$C$611,MATCH('5. Pollutant Emissions - MB'!C491,'DEQ Pollutant List'!$B$7:$B$611,0))),"")</f>
        <v/>
      </c>
      <c r="E491" s="13" t="str">
        <f>IFERROR(IF(OR($C491="",$C491="No CAS"),INDEX('DEQ Pollutant List'!$A$7:$A$611,MATCH($D491,'DEQ Pollutant List'!$C$7:$C$611,0)),INDEX('DEQ Pollutant List'!$A$7:$A$611,MATCH($C491,'DEQ Pollutant List'!$B$7:$B$611,0))),"")</f>
        <v/>
      </c>
      <c r="F491" s="105"/>
      <c r="G491" s="106"/>
      <c r="H491" s="68"/>
      <c r="I491" s="67"/>
      <c r="J491" s="69"/>
      <c r="K491" s="29"/>
      <c r="L491" s="67"/>
      <c r="M491" s="69"/>
      <c r="N491" s="29"/>
    </row>
    <row r="492" spans="1:14" x14ac:dyDescent="0.25">
      <c r="A492" s="25"/>
      <c r="B492" s="87"/>
      <c r="C492" s="104"/>
      <c r="D492" s="27" t="str">
        <f>IFERROR(IF(C492="No CAS","",INDEX('DEQ Pollutant List'!$C$7:$C$611,MATCH('5. Pollutant Emissions - MB'!C492,'DEQ Pollutant List'!$B$7:$B$611,0))),"")</f>
        <v/>
      </c>
      <c r="E492" s="13" t="str">
        <f>IFERROR(IF(OR($C492="",$C492="No CAS"),INDEX('DEQ Pollutant List'!$A$7:$A$611,MATCH($D492,'DEQ Pollutant List'!$C$7:$C$611,0)),INDEX('DEQ Pollutant List'!$A$7:$A$611,MATCH($C492,'DEQ Pollutant List'!$B$7:$B$611,0))),"")</f>
        <v/>
      </c>
      <c r="F492" s="105"/>
      <c r="G492" s="106"/>
      <c r="H492" s="68"/>
      <c r="I492" s="67"/>
      <c r="J492" s="69"/>
      <c r="K492" s="29"/>
      <c r="L492" s="67"/>
      <c r="M492" s="69"/>
      <c r="N492" s="29"/>
    </row>
    <row r="493" spans="1:14" x14ac:dyDescent="0.25">
      <c r="A493" s="25"/>
      <c r="B493" s="87"/>
      <c r="C493" s="104"/>
      <c r="D493" s="27" t="str">
        <f>IFERROR(IF(C493="No CAS","",INDEX('DEQ Pollutant List'!$C$7:$C$611,MATCH('5. Pollutant Emissions - MB'!C493,'DEQ Pollutant List'!$B$7:$B$611,0))),"")</f>
        <v/>
      </c>
      <c r="E493" s="13" t="str">
        <f>IFERROR(IF(OR($C493="",$C493="No CAS"),INDEX('DEQ Pollutant List'!$A$7:$A$611,MATCH($D493,'DEQ Pollutant List'!$C$7:$C$611,0)),INDEX('DEQ Pollutant List'!$A$7:$A$611,MATCH($C493,'DEQ Pollutant List'!$B$7:$B$611,0))),"")</f>
        <v/>
      </c>
      <c r="F493" s="105"/>
      <c r="G493" s="106"/>
      <c r="H493" s="68"/>
      <c r="I493" s="67"/>
      <c r="J493" s="69"/>
      <c r="K493" s="29"/>
      <c r="L493" s="67"/>
      <c r="M493" s="69"/>
      <c r="N493" s="29"/>
    </row>
    <row r="494" spans="1:14" x14ac:dyDescent="0.25">
      <c r="A494" s="25"/>
      <c r="B494" s="87"/>
      <c r="C494" s="104"/>
      <c r="D494" s="27" t="str">
        <f>IFERROR(IF(C494="No CAS","",INDEX('DEQ Pollutant List'!$C$7:$C$611,MATCH('5. Pollutant Emissions - MB'!C494,'DEQ Pollutant List'!$B$7:$B$611,0))),"")</f>
        <v/>
      </c>
      <c r="E494" s="13" t="str">
        <f>IFERROR(IF(OR($C494="",$C494="No CAS"),INDEX('DEQ Pollutant List'!$A$7:$A$611,MATCH($D494,'DEQ Pollutant List'!$C$7:$C$611,0)),INDEX('DEQ Pollutant List'!$A$7:$A$611,MATCH($C494,'DEQ Pollutant List'!$B$7:$B$611,0))),"")</f>
        <v/>
      </c>
      <c r="F494" s="105"/>
      <c r="G494" s="106"/>
      <c r="H494" s="68"/>
      <c r="I494" s="67"/>
      <c r="J494" s="69"/>
      <c r="K494" s="29"/>
      <c r="L494" s="67"/>
      <c r="M494" s="69"/>
      <c r="N494" s="29"/>
    </row>
    <row r="495" spans="1:14" x14ac:dyDescent="0.25">
      <c r="A495" s="25"/>
      <c r="B495" s="87"/>
      <c r="C495" s="104"/>
      <c r="D495" s="27" t="str">
        <f>IFERROR(IF(C495="No CAS","",INDEX('DEQ Pollutant List'!$C$7:$C$611,MATCH('5. Pollutant Emissions - MB'!C495,'DEQ Pollutant List'!$B$7:$B$611,0))),"")</f>
        <v/>
      </c>
      <c r="E495" s="13" t="str">
        <f>IFERROR(IF(OR($C495="",$C495="No CAS"),INDEX('DEQ Pollutant List'!$A$7:$A$611,MATCH($D495,'DEQ Pollutant List'!$C$7:$C$611,0)),INDEX('DEQ Pollutant List'!$A$7:$A$611,MATCH($C495,'DEQ Pollutant List'!$B$7:$B$611,0))),"")</f>
        <v/>
      </c>
      <c r="F495" s="105"/>
      <c r="G495" s="106"/>
      <c r="H495" s="68"/>
      <c r="I495" s="67"/>
      <c r="J495" s="69"/>
      <c r="K495" s="29"/>
      <c r="L495" s="67"/>
      <c r="M495" s="69"/>
      <c r="N495" s="29"/>
    </row>
    <row r="496" spans="1:14" ht="15.75" thickBot="1" x14ac:dyDescent="0.3">
      <c r="A496" s="33"/>
      <c r="B496" s="89"/>
      <c r="C496" s="107"/>
      <c r="D496" s="27" t="str">
        <f>IFERROR(IF(C496="No CAS","",INDEX('DEQ Pollutant List'!$C$7:$C$611,MATCH('5. Pollutant Emissions - MB'!C496,'DEQ Pollutant List'!$B$7:$B$611,0))),"")</f>
        <v/>
      </c>
      <c r="E496" s="13" t="str">
        <f>IFERROR(IF(OR($C496="",$C496="No CAS"),INDEX('DEQ Pollutant List'!$A$7:$A$611,MATCH($D496,'DEQ Pollutant List'!$C$7:$C$611,0)),INDEX('DEQ Pollutant List'!$A$7:$A$611,MATCH($C496,'DEQ Pollutant List'!$B$7:$B$611,0))),"")</f>
        <v/>
      </c>
      <c r="F496" s="108"/>
      <c r="G496" s="109"/>
      <c r="H496" s="71"/>
      <c r="I496" s="70"/>
      <c r="J496" s="72"/>
      <c r="K496" s="37"/>
      <c r="L496" s="70"/>
      <c r="M496" s="72"/>
      <c r="N496" s="37"/>
    </row>
    <row r="497" spans="1:14" x14ac:dyDescent="0.25">
      <c r="A497" s="911" t="s">
        <v>1298</v>
      </c>
      <c r="B497" s="912"/>
      <c r="C497" s="912"/>
      <c r="D497" s="912"/>
      <c r="E497" s="912"/>
      <c r="F497" s="912"/>
      <c r="G497" s="912"/>
      <c r="H497" s="912"/>
      <c r="I497" s="912"/>
      <c r="J497" s="912"/>
      <c r="K497" s="912"/>
      <c r="L497" s="912"/>
      <c r="M497" s="912"/>
      <c r="N497" s="912"/>
    </row>
    <row r="498" spans="1:14" x14ac:dyDescent="0.25">
      <c r="A498" s="913"/>
      <c r="B498" s="914"/>
      <c r="C498" s="914"/>
      <c r="D498" s="914"/>
      <c r="E498" s="914"/>
      <c r="F498" s="914"/>
      <c r="G498" s="914"/>
      <c r="H498" s="914"/>
      <c r="I498" s="914"/>
      <c r="J498" s="914"/>
      <c r="K498" s="914"/>
      <c r="L498" s="914"/>
      <c r="M498" s="914"/>
      <c r="N498" s="914"/>
    </row>
    <row r="499" spans="1:14" ht="15.75" thickBot="1" x14ac:dyDescent="0.3">
      <c r="A499" s="915"/>
      <c r="B499" s="916"/>
      <c r="C499" s="916"/>
      <c r="D499" s="916"/>
      <c r="E499" s="916"/>
      <c r="F499" s="916"/>
      <c r="G499" s="916"/>
      <c r="H499" s="916"/>
      <c r="I499" s="916"/>
      <c r="J499" s="916"/>
      <c r="K499" s="916"/>
      <c r="L499" s="916"/>
      <c r="M499" s="916"/>
      <c r="N499" s="916"/>
    </row>
  </sheetData>
  <sheetProtection insertRows="0"/>
  <mergeCells count="8">
    <mergeCell ref="A497:N499"/>
    <mergeCell ref="I9:N9"/>
    <mergeCell ref="A10:A11"/>
    <mergeCell ref="B10:B11"/>
    <mergeCell ref="C10:E10"/>
    <mergeCell ref="F10:H10"/>
    <mergeCell ref="I10:K10"/>
    <mergeCell ref="L10:N10"/>
  </mergeCells>
  <phoneticPr fontId="25" type="noConversion"/>
  <conditionalFormatting sqref="E12:E38 E44:E496">
    <cfRule type="containsBlanks" dxfId="0" priority="1">
      <formula>LEN(TRIM(E12))=0</formula>
    </cfRule>
  </conditionalFormatting>
  <pageMargins left="0.7" right="0.7" top="0.75" bottom="0.75" header="0.3" footer="0.3"/>
  <pageSetup orientation="portrait"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F2381-EC6A-44FC-ACCF-E7C71D608E89}">
  <sheetPr>
    <tabColor theme="1"/>
  </sheetPr>
  <dimension ref="A1"/>
  <sheetViews>
    <sheetView workbookViewId="0"/>
  </sheetViews>
  <sheetFormatPr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E091-BBAF-4121-9494-20139A992CD4}">
  <dimension ref="A6:B611"/>
  <sheetViews>
    <sheetView workbookViewId="0">
      <selection activeCell="P14" sqref="P14"/>
    </sheetView>
  </sheetViews>
  <sheetFormatPr defaultColWidth="8.85546875" defaultRowHeight="16.5" x14ac:dyDescent="0.3"/>
  <cols>
    <col min="1" max="1" width="11.85546875" style="139" bestFit="1" customWidth="1"/>
    <col min="2" max="2" width="59.85546875" style="139" customWidth="1"/>
    <col min="3" max="16384" width="8.85546875" style="140"/>
  </cols>
  <sheetData>
    <row r="6" spans="1:2" ht="18" x14ac:dyDescent="0.3">
      <c r="A6" s="143" t="s">
        <v>1347</v>
      </c>
      <c r="B6" s="143" t="s">
        <v>116</v>
      </c>
    </row>
    <row r="7" spans="1:2" x14ac:dyDescent="0.3">
      <c r="A7" s="142" t="s">
        <v>1348</v>
      </c>
      <c r="B7" s="144" t="s">
        <v>1349</v>
      </c>
    </row>
    <row r="8" spans="1:2" x14ac:dyDescent="0.3">
      <c r="A8" s="142" t="s">
        <v>1350</v>
      </c>
      <c r="B8" s="144" t="s">
        <v>1351</v>
      </c>
    </row>
    <row r="9" spans="1:2" x14ac:dyDescent="0.3">
      <c r="A9" s="142" t="s">
        <v>1266</v>
      </c>
      <c r="B9" s="145" t="s">
        <v>378</v>
      </c>
    </row>
    <row r="10" spans="1:2" x14ac:dyDescent="0.3">
      <c r="A10" s="142" t="s">
        <v>1352</v>
      </c>
      <c r="B10" s="145" t="s">
        <v>1353</v>
      </c>
    </row>
    <row r="11" spans="1:2" x14ac:dyDescent="0.3">
      <c r="A11" s="142" t="s">
        <v>1354</v>
      </c>
      <c r="B11" s="145" t="s">
        <v>1355</v>
      </c>
    </row>
    <row r="12" spans="1:2" x14ac:dyDescent="0.3">
      <c r="A12" s="142" t="s">
        <v>1356</v>
      </c>
      <c r="B12" s="145" t="s">
        <v>1357</v>
      </c>
    </row>
    <row r="13" spans="1:2" x14ac:dyDescent="0.3">
      <c r="A13" s="142" t="s">
        <v>1358</v>
      </c>
      <c r="B13" s="144" t="s">
        <v>1359</v>
      </c>
    </row>
    <row r="14" spans="1:2" x14ac:dyDescent="0.3">
      <c r="A14" s="142" t="s">
        <v>1360</v>
      </c>
      <c r="B14" s="145" t="s">
        <v>1361</v>
      </c>
    </row>
    <row r="15" spans="1:2" x14ac:dyDescent="0.3">
      <c r="A15" s="142" t="s">
        <v>1362</v>
      </c>
      <c r="B15" s="145" t="s">
        <v>1363</v>
      </c>
    </row>
    <row r="16" spans="1:2" x14ac:dyDescent="0.3">
      <c r="A16" s="142" t="s">
        <v>1364</v>
      </c>
      <c r="B16" s="145" t="s">
        <v>1365</v>
      </c>
    </row>
    <row r="17" spans="1:2" x14ac:dyDescent="0.3">
      <c r="A17" s="142" t="s">
        <v>1366</v>
      </c>
      <c r="B17" s="145" t="s">
        <v>1367</v>
      </c>
    </row>
    <row r="18" spans="1:2" x14ac:dyDescent="0.3">
      <c r="A18" s="142" t="s">
        <v>1368</v>
      </c>
      <c r="B18" s="145" t="s">
        <v>1369</v>
      </c>
    </row>
    <row r="19" spans="1:2" x14ac:dyDescent="0.3">
      <c r="A19" s="142" t="s">
        <v>1370</v>
      </c>
      <c r="B19" s="145" t="s">
        <v>1371</v>
      </c>
    </row>
    <row r="20" spans="1:2" x14ac:dyDescent="0.3">
      <c r="A20" s="142" t="s">
        <v>1372</v>
      </c>
      <c r="B20" s="145" t="s">
        <v>1373</v>
      </c>
    </row>
    <row r="21" spans="1:2" x14ac:dyDescent="0.3">
      <c r="A21" s="142" t="s">
        <v>1374</v>
      </c>
      <c r="B21" s="145" t="s">
        <v>1375</v>
      </c>
    </row>
    <row r="22" spans="1:2" x14ac:dyDescent="0.3">
      <c r="A22" s="142" t="s">
        <v>1376</v>
      </c>
      <c r="B22" s="145" t="s">
        <v>1377</v>
      </c>
    </row>
    <row r="23" spans="1:2" x14ac:dyDescent="0.3">
      <c r="A23" s="142" t="s">
        <v>1378</v>
      </c>
      <c r="B23" s="145" t="s">
        <v>1379</v>
      </c>
    </row>
    <row r="24" spans="1:2" x14ac:dyDescent="0.3">
      <c r="A24" s="142" t="s">
        <v>1380</v>
      </c>
      <c r="B24" s="145" t="s">
        <v>1381</v>
      </c>
    </row>
    <row r="25" spans="1:2" x14ac:dyDescent="0.3">
      <c r="A25" s="142" t="s">
        <v>1382</v>
      </c>
      <c r="B25" s="145" t="s">
        <v>1383</v>
      </c>
    </row>
    <row r="26" spans="1:2" x14ac:dyDescent="0.3">
      <c r="A26" s="142" t="s">
        <v>1384</v>
      </c>
      <c r="B26" s="145" t="s">
        <v>1385</v>
      </c>
    </row>
    <row r="27" spans="1:2" x14ac:dyDescent="0.3">
      <c r="A27" s="142" t="s">
        <v>1386</v>
      </c>
      <c r="B27" s="145" t="s">
        <v>1387</v>
      </c>
    </row>
    <row r="28" spans="1:2" x14ac:dyDescent="0.3">
      <c r="A28" s="142" t="s">
        <v>1388</v>
      </c>
      <c r="B28" s="145" t="s">
        <v>1389</v>
      </c>
    </row>
    <row r="29" spans="1:2" x14ac:dyDescent="0.3">
      <c r="A29" s="142" t="s">
        <v>607</v>
      </c>
      <c r="B29" s="145" t="s">
        <v>1390</v>
      </c>
    </row>
    <row r="30" spans="1:2" x14ac:dyDescent="0.3">
      <c r="A30" s="142" t="s">
        <v>1391</v>
      </c>
      <c r="B30" s="145" t="s">
        <v>1392</v>
      </c>
    </row>
    <row r="31" spans="1:2" x14ac:dyDescent="0.3">
      <c r="A31" s="142" t="s">
        <v>1393</v>
      </c>
      <c r="B31" s="145" t="s">
        <v>1394</v>
      </c>
    </row>
    <row r="32" spans="1:2" x14ac:dyDescent="0.3">
      <c r="A32" s="142" t="s">
        <v>1395</v>
      </c>
      <c r="B32" s="145" t="s">
        <v>1396</v>
      </c>
    </row>
    <row r="33" spans="1:2" x14ac:dyDescent="0.3">
      <c r="A33" s="142" t="s">
        <v>1397</v>
      </c>
      <c r="B33" s="144" t="s">
        <v>1398</v>
      </c>
    </row>
    <row r="34" spans="1:2" x14ac:dyDescent="0.3">
      <c r="A34" s="142" t="s">
        <v>1399</v>
      </c>
      <c r="B34" s="145" t="s">
        <v>1400</v>
      </c>
    </row>
    <row r="35" spans="1:2" x14ac:dyDescent="0.3">
      <c r="A35" s="142" t="s">
        <v>1401</v>
      </c>
      <c r="B35" s="145" t="s">
        <v>1402</v>
      </c>
    </row>
    <row r="36" spans="1:2" x14ac:dyDescent="0.3">
      <c r="A36" s="142" t="s">
        <v>1403</v>
      </c>
      <c r="B36" s="145" t="s">
        <v>1404</v>
      </c>
    </row>
    <row r="37" spans="1:2" x14ac:dyDescent="0.3">
      <c r="A37" s="142" t="s">
        <v>1405</v>
      </c>
      <c r="B37" s="145" t="s">
        <v>1406</v>
      </c>
    </row>
    <row r="38" spans="1:2" x14ac:dyDescent="0.3">
      <c r="A38" s="142" t="s">
        <v>748</v>
      </c>
      <c r="B38" s="145" t="s">
        <v>1407</v>
      </c>
    </row>
    <row r="39" spans="1:2" x14ac:dyDescent="0.3">
      <c r="A39" s="142" t="s">
        <v>1408</v>
      </c>
      <c r="B39" s="145" t="s">
        <v>1409</v>
      </c>
    </row>
    <row r="40" spans="1:2" x14ac:dyDescent="0.3">
      <c r="A40" s="142" t="s">
        <v>1410</v>
      </c>
      <c r="B40" s="145" t="s">
        <v>1411</v>
      </c>
    </row>
    <row r="41" spans="1:2" x14ac:dyDescent="0.3">
      <c r="A41" s="142" t="s">
        <v>1412</v>
      </c>
      <c r="B41" s="145" t="s">
        <v>1413</v>
      </c>
    </row>
    <row r="42" spans="1:2" x14ac:dyDescent="0.3">
      <c r="A42" s="142" t="s">
        <v>1414</v>
      </c>
      <c r="B42" s="145" t="s">
        <v>1415</v>
      </c>
    </row>
    <row r="43" spans="1:2" x14ac:dyDescent="0.3">
      <c r="A43" s="142" t="s">
        <v>1416</v>
      </c>
      <c r="B43" s="145" t="s">
        <v>1417</v>
      </c>
    </row>
    <row r="44" spans="1:2" x14ac:dyDescent="0.3">
      <c r="A44" s="142" t="s">
        <v>1418</v>
      </c>
      <c r="B44" s="145" t="s">
        <v>1419</v>
      </c>
    </row>
    <row r="45" spans="1:2" x14ac:dyDescent="0.3">
      <c r="A45" s="142" t="s">
        <v>1420</v>
      </c>
      <c r="B45" s="144" t="s">
        <v>1421</v>
      </c>
    </row>
    <row r="46" spans="1:2" x14ac:dyDescent="0.3">
      <c r="A46" s="142" t="s">
        <v>1422</v>
      </c>
      <c r="B46" s="144" t="s">
        <v>1423</v>
      </c>
    </row>
    <row r="47" spans="1:2" x14ac:dyDescent="0.3">
      <c r="A47" s="142" t="s">
        <v>1424</v>
      </c>
      <c r="B47" s="145" t="s">
        <v>1425</v>
      </c>
    </row>
    <row r="48" spans="1:2" x14ac:dyDescent="0.3">
      <c r="A48" s="142" t="s">
        <v>1426</v>
      </c>
      <c r="B48" s="144" t="s">
        <v>1427</v>
      </c>
    </row>
    <row r="49" spans="1:2" x14ac:dyDescent="0.3">
      <c r="A49" s="142" t="s">
        <v>1428</v>
      </c>
      <c r="B49" s="146" t="s">
        <v>1429</v>
      </c>
    </row>
    <row r="50" spans="1:2" x14ac:dyDescent="0.3">
      <c r="A50" s="142" t="s">
        <v>1430</v>
      </c>
      <c r="B50" s="146" t="s">
        <v>1431</v>
      </c>
    </row>
    <row r="51" spans="1:2" x14ac:dyDescent="0.3">
      <c r="A51" s="142" t="s">
        <v>1432</v>
      </c>
      <c r="B51" s="145" t="s">
        <v>1433</v>
      </c>
    </row>
    <row r="52" spans="1:2" x14ac:dyDescent="0.3">
      <c r="A52" s="142" t="s">
        <v>761</v>
      </c>
      <c r="B52" s="145" t="s">
        <v>1434</v>
      </c>
    </row>
    <row r="53" spans="1:2" x14ac:dyDescent="0.3">
      <c r="A53" s="142" t="s">
        <v>1435</v>
      </c>
      <c r="B53" s="145" t="s">
        <v>1436</v>
      </c>
    </row>
    <row r="54" spans="1:2" x14ac:dyDescent="0.3">
      <c r="A54" s="142" t="s">
        <v>1437</v>
      </c>
      <c r="B54" s="145" t="s">
        <v>1438</v>
      </c>
    </row>
    <row r="55" spans="1:2" x14ac:dyDescent="0.3">
      <c r="A55" s="142" t="s">
        <v>1439</v>
      </c>
      <c r="B55" s="145" t="s">
        <v>1440</v>
      </c>
    </row>
    <row r="56" spans="1:2" x14ac:dyDescent="0.3">
      <c r="A56" s="142" t="s">
        <v>1441</v>
      </c>
      <c r="B56" s="145" t="s">
        <v>1442</v>
      </c>
    </row>
    <row r="57" spans="1:2" x14ac:dyDescent="0.3">
      <c r="A57" s="142" t="s">
        <v>1443</v>
      </c>
      <c r="B57" s="145" t="s">
        <v>1444</v>
      </c>
    </row>
    <row r="58" spans="1:2" x14ac:dyDescent="0.3">
      <c r="A58" s="142" t="s">
        <v>1445</v>
      </c>
      <c r="B58" s="145" t="s">
        <v>1446</v>
      </c>
    </row>
    <row r="59" spans="1:2" x14ac:dyDescent="0.3">
      <c r="A59" s="142" t="s">
        <v>1447</v>
      </c>
      <c r="B59" s="145" t="s">
        <v>1448</v>
      </c>
    </row>
    <row r="60" spans="1:2" x14ac:dyDescent="0.3">
      <c r="A60" s="142" t="s">
        <v>1449</v>
      </c>
      <c r="B60" s="145" t="s">
        <v>1450</v>
      </c>
    </row>
    <row r="61" spans="1:2" x14ac:dyDescent="0.3">
      <c r="A61" s="142" t="s">
        <v>1451</v>
      </c>
      <c r="B61" s="147" t="s">
        <v>1452</v>
      </c>
    </row>
    <row r="62" spans="1:2" x14ac:dyDescent="0.3">
      <c r="A62" s="148" t="s">
        <v>1453</v>
      </c>
      <c r="B62" s="144" t="s">
        <v>1454</v>
      </c>
    </row>
    <row r="63" spans="1:2" x14ac:dyDescent="0.3">
      <c r="A63" s="142" t="s">
        <v>1455</v>
      </c>
      <c r="B63" s="144" t="s">
        <v>1456</v>
      </c>
    </row>
    <row r="64" spans="1:2" x14ac:dyDescent="0.3">
      <c r="A64" s="142" t="s">
        <v>1457</v>
      </c>
      <c r="B64" s="145" t="s">
        <v>1458</v>
      </c>
    </row>
    <row r="65" spans="1:2" x14ac:dyDescent="0.3">
      <c r="A65" s="142" t="s">
        <v>1459</v>
      </c>
      <c r="B65" s="144" t="s">
        <v>1460</v>
      </c>
    </row>
    <row r="66" spans="1:2" x14ac:dyDescent="0.3">
      <c r="A66" s="142" t="s">
        <v>1461</v>
      </c>
      <c r="B66" s="145" t="s">
        <v>1462</v>
      </c>
    </row>
    <row r="67" spans="1:2" x14ac:dyDescent="0.3">
      <c r="A67" s="142" t="s">
        <v>1463</v>
      </c>
      <c r="B67" s="145" t="s">
        <v>1464</v>
      </c>
    </row>
    <row r="68" spans="1:2" x14ac:dyDescent="0.3">
      <c r="A68" s="142" t="s">
        <v>1465</v>
      </c>
      <c r="B68" s="145" t="s">
        <v>1466</v>
      </c>
    </row>
    <row r="69" spans="1:2" x14ac:dyDescent="0.3">
      <c r="A69" s="142" t="s">
        <v>1467</v>
      </c>
      <c r="B69" s="145" t="s">
        <v>1468</v>
      </c>
    </row>
    <row r="70" spans="1:2" x14ac:dyDescent="0.3">
      <c r="A70" s="142" t="s">
        <v>1469</v>
      </c>
      <c r="B70" s="145" t="s">
        <v>1470</v>
      </c>
    </row>
    <row r="71" spans="1:2" x14ac:dyDescent="0.3">
      <c r="A71" s="142" t="s">
        <v>1471</v>
      </c>
      <c r="B71" s="145" t="s">
        <v>1472</v>
      </c>
    </row>
    <row r="72" spans="1:2" x14ac:dyDescent="0.3">
      <c r="A72" s="142" t="s">
        <v>1473</v>
      </c>
      <c r="B72" s="144" t="s">
        <v>1474</v>
      </c>
    </row>
    <row r="73" spans="1:2" x14ac:dyDescent="0.3">
      <c r="A73" s="142" t="s">
        <v>1475</v>
      </c>
      <c r="B73" s="144" t="s">
        <v>1476</v>
      </c>
    </row>
    <row r="74" spans="1:2" x14ac:dyDescent="0.3">
      <c r="A74" s="142" t="s">
        <v>1477</v>
      </c>
      <c r="B74" s="144" t="s">
        <v>1478</v>
      </c>
    </row>
    <row r="75" spans="1:2" x14ac:dyDescent="0.3">
      <c r="A75" s="142" t="s">
        <v>1479</v>
      </c>
      <c r="B75" s="145" t="s">
        <v>1480</v>
      </c>
    </row>
    <row r="76" spans="1:2" x14ac:dyDescent="0.3">
      <c r="A76" s="142" t="s">
        <v>1481</v>
      </c>
      <c r="B76" s="145" t="s">
        <v>1482</v>
      </c>
    </row>
    <row r="77" spans="1:2" x14ac:dyDescent="0.3">
      <c r="A77" s="142" t="s">
        <v>1483</v>
      </c>
      <c r="B77" s="145" t="s">
        <v>1484</v>
      </c>
    </row>
    <row r="78" spans="1:2" x14ac:dyDescent="0.3">
      <c r="A78" s="142" t="s">
        <v>1485</v>
      </c>
      <c r="B78" s="145" t="s">
        <v>1486</v>
      </c>
    </row>
    <row r="79" spans="1:2" x14ac:dyDescent="0.3">
      <c r="A79" s="142" t="s">
        <v>1487</v>
      </c>
      <c r="B79" s="145" t="s">
        <v>1488</v>
      </c>
    </row>
    <row r="80" spans="1:2" x14ac:dyDescent="0.3">
      <c r="A80" s="142" t="s">
        <v>1489</v>
      </c>
      <c r="B80" s="144" t="s">
        <v>1490</v>
      </c>
    </row>
    <row r="81" spans="1:2" x14ac:dyDescent="0.3">
      <c r="A81" s="142" t="s">
        <v>1491</v>
      </c>
      <c r="B81" s="145" t="s">
        <v>1492</v>
      </c>
    </row>
    <row r="82" spans="1:2" x14ac:dyDescent="0.3">
      <c r="A82" s="142" t="s">
        <v>1493</v>
      </c>
      <c r="B82" s="145" t="s">
        <v>1494</v>
      </c>
    </row>
    <row r="83" spans="1:2" x14ac:dyDescent="0.3">
      <c r="A83" s="142" t="s">
        <v>1495</v>
      </c>
      <c r="B83" s="144" t="s">
        <v>1496</v>
      </c>
    </row>
    <row r="84" spans="1:2" x14ac:dyDescent="0.3">
      <c r="A84" s="142" t="s">
        <v>1497</v>
      </c>
      <c r="B84" s="145" t="s">
        <v>1498</v>
      </c>
    </row>
    <row r="85" spans="1:2" x14ac:dyDescent="0.3">
      <c r="A85" s="142" t="s">
        <v>1499</v>
      </c>
      <c r="B85" s="145" t="s">
        <v>1500</v>
      </c>
    </row>
    <row r="86" spans="1:2" x14ac:dyDescent="0.3">
      <c r="A86" s="142" t="s">
        <v>1346</v>
      </c>
      <c r="B86" s="145" t="s">
        <v>1501</v>
      </c>
    </row>
    <row r="87" spans="1:2" x14ac:dyDescent="0.3">
      <c r="A87" s="142" t="s">
        <v>1502</v>
      </c>
      <c r="B87" s="145" t="s">
        <v>1503</v>
      </c>
    </row>
    <row r="88" spans="1:2" x14ac:dyDescent="0.3">
      <c r="A88" s="142" t="s">
        <v>1504</v>
      </c>
      <c r="B88" s="145" t="s">
        <v>1505</v>
      </c>
    </row>
    <row r="89" spans="1:2" x14ac:dyDescent="0.3">
      <c r="A89" s="142" t="s">
        <v>1506</v>
      </c>
      <c r="B89" s="145" t="s">
        <v>1507</v>
      </c>
    </row>
    <row r="90" spans="1:2" x14ac:dyDescent="0.3">
      <c r="A90" s="142" t="s">
        <v>1508</v>
      </c>
      <c r="B90" s="144" t="s">
        <v>1509</v>
      </c>
    </row>
    <row r="91" spans="1:2" x14ac:dyDescent="0.3">
      <c r="A91" s="142" t="s">
        <v>1510</v>
      </c>
      <c r="B91" s="144" t="s">
        <v>1511</v>
      </c>
    </row>
    <row r="92" spans="1:2" x14ac:dyDescent="0.3">
      <c r="A92" s="142" t="s">
        <v>1512</v>
      </c>
      <c r="B92" s="145" t="s">
        <v>1513</v>
      </c>
    </row>
    <row r="93" spans="1:2" x14ac:dyDescent="0.3">
      <c r="A93" s="142" t="s">
        <v>1514</v>
      </c>
      <c r="B93" s="144" t="s">
        <v>1515</v>
      </c>
    </row>
    <row r="94" spans="1:2" x14ac:dyDescent="0.3">
      <c r="A94" s="142" t="s">
        <v>1516</v>
      </c>
      <c r="B94" s="144" t="s">
        <v>1517</v>
      </c>
    </row>
    <row r="95" spans="1:2" x14ac:dyDescent="0.3">
      <c r="A95" s="142" t="s">
        <v>1518</v>
      </c>
      <c r="B95" s="144" t="s">
        <v>1519</v>
      </c>
    </row>
    <row r="96" spans="1:2" x14ac:dyDescent="0.3">
      <c r="A96" s="142" t="s">
        <v>1520</v>
      </c>
      <c r="B96" s="145" t="s">
        <v>1521</v>
      </c>
    </row>
    <row r="97" spans="1:2" x14ac:dyDescent="0.3">
      <c r="A97" s="142" t="s">
        <v>1522</v>
      </c>
      <c r="B97" s="145" t="s">
        <v>1523</v>
      </c>
    </row>
    <row r="98" spans="1:2" x14ac:dyDescent="0.3">
      <c r="A98" s="142" t="s">
        <v>1524</v>
      </c>
      <c r="B98" s="144" t="s">
        <v>1525</v>
      </c>
    </row>
    <row r="99" spans="1:2" x14ac:dyDescent="0.3">
      <c r="A99" s="142" t="s">
        <v>1526</v>
      </c>
      <c r="B99" s="144" t="s">
        <v>1527</v>
      </c>
    </row>
    <row r="100" spans="1:2" x14ac:dyDescent="0.3">
      <c r="A100" s="142" t="s">
        <v>1528</v>
      </c>
      <c r="B100" s="145" t="s">
        <v>1529</v>
      </c>
    </row>
    <row r="101" spans="1:2" x14ac:dyDescent="0.3">
      <c r="A101" s="142" t="s">
        <v>1530</v>
      </c>
      <c r="B101" s="144" t="s">
        <v>1531</v>
      </c>
    </row>
    <row r="102" spans="1:2" x14ac:dyDescent="0.3">
      <c r="A102" s="142" t="s">
        <v>1532</v>
      </c>
      <c r="B102" s="144" t="s">
        <v>1533</v>
      </c>
    </row>
    <row r="103" spans="1:2" x14ac:dyDescent="0.3">
      <c r="A103" s="142" t="s">
        <v>1534</v>
      </c>
      <c r="B103" s="145" t="s">
        <v>1535</v>
      </c>
    </row>
    <row r="104" spans="1:2" x14ac:dyDescent="0.3">
      <c r="A104" s="142" t="s">
        <v>1536</v>
      </c>
      <c r="B104" s="145" t="s">
        <v>1537</v>
      </c>
    </row>
    <row r="105" spans="1:2" x14ac:dyDescent="0.3">
      <c r="A105" s="142" t="s">
        <v>1538</v>
      </c>
      <c r="B105" s="145" t="s">
        <v>1539</v>
      </c>
    </row>
    <row r="106" spans="1:2" x14ac:dyDescent="0.3">
      <c r="A106" s="142" t="s">
        <v>1540</v>
      </c>
      <c r="B106" s="145" t="s">
        <v>1541</v>
      </c>
    </row>
    <row r="107" spans="1:2" x14ac:dyDescent="0.3">
      <c r="A107" s="142" t="s">
        <v>1542</v>
      </c>
      <c r="B107" s="145" t="s">
        <v>1543</v>
      </c>
    </row>
    <row r="108" spans="1:2" x14ac:dyDescent="0.3">
      <c r="A108" s="142" t="s">
        <v>1544</v>
      </c>
      <c r="B108" s="145" t="s">
        <v>1545</v>
      </c>
    </row>
    <row r="109" spans="1:2" x14ac:dyDescent="0.3">
      <c r="A109" s="142" t="s">
        <v>1546</v>
      </c>
      <c r="B109" s="145" t="s">
        <v>1547</v>
      </c>
    </row>
    <row r="110" spans="1:2" x14ac:dyDescent="0.3">
      <c r="A110" s="142" t="s">
        <v>1548</v>
      </c>
      <c r="B110" s="147" t="s">
        <v>1549</v>
      </c>
    </row>
    <row r="111" spans="1:2" x14ac:dyDescent="0.3">
      <c r="A111" s="142" t="s">
        <v>1344</v>
      </c>
      <c r="B111" s="145" t="s">
        <v>1550</v>
      </c>
    </row>
    <row r="112" spans="1:2" x14ac:dyDescent="0.3">
      <c r="A112" s="142" t="s">
        <v>1551</v>
      </c>
      <c r="B112" s="145" t="s">
        <v>1552</v>
      </c>
    </row>
    <row r="113" spans="1:2" x14ac:dyDescent="0.3">
      <c r="A113" s="142" t="s">
        <v>1553</v>
      </c>
      <c r="B113" s="145" t="s">
        <v>1554</v>
      </c>
    </row>
    <row r="114" spans="1:2" x14ac:dyDescent="0.3">
      <c r="A114" s="142" t="s">
        <v>1555</v>
      </c>
      <c r="B114" s="144" t="s">
        <v>1556</v>
      </c>
    </row>
    <row r="115" spans="1:2" x14ac:dyDescent="0.3">
      <c r="A115" s="149" t="s">
        <v>1557</v>
      </c>
      <c r="B115" s="145" t="s">
        <v>1558</v>
      </c>
    </row>
    <row r="116" spans="1:2" x14ac:dyDescent="0.3">
      <c r="A116" s="142" t="s">
        <v>1559</v>
      </c>
      <c r="B116" s="145" t="s">
        <v>1560</v>
      </c>
    </row>
    <row r="117" spans="1:2" x14ac:dyDescent="0.3">
      <c r="A117" s="142" t="s">
        <v>1561</v>
      </c>
      <c r="B117" s="145" t="s">
        <v>1562</v>
      </c>
    </row>
    <row r="118" spans="1:2" x14ac:dyDescent="0.3">
      <c r="A118" s="142" t="s">
        <v>1563</v>
      </c>
      <c r="B118" s="144" t="s">
        <v>1564</v>
      </c>
    </row>
    <row r="119" spans="1:2" x14ac:dyDescent="0.3">
      <c r="A119" s="142" t="s">
        <v>1268</v>
      </c>
      <c r="B119" s="145" t="s">
        <v>380</v>
      </c>
    </row>
    <row r="120" spans="1:2" x14ac:dyDescent="0.3">
      <c r="A120" s="142" t="s">
        <v>1269</v>
      </c>
      <c r="B120" s="145" t="s">
        <v>381</v>
      </c>
    </row>
    <row r="121" spans="1:2" x14ac:dyDescent="0.3">
      <c r="A121" s="142" t="s">
        <v>745</v>
      </c>
      <c r="B121" s="145" t="s">
        <v>713</v>
      </c>
    </row>
    <row r="122" spans="1:2" x14ac:dyDescent="0.3">
      <c r="A122" s="142" t="s">
        <v>1565</v>
      </c>
      <c r="B122" s="145" t="s">
        <v>1566</v>
      </c>
    </row>
    <row r="123" spans="1:2" x14ac:dyDescent="0.3">
      <c r="A123" s="142" t="s">
        <v>140</v>
      </c>
      <c r="B123" s="145" t="s">
        <v>139</v>
      </c>
    </row>
    <row r="124" spans="1:2" x14ac:dyDescent="0.3">
      <c r="A124" s="142" t="s">
        <v>1567</v>
      </c>
      <c r="B124" s="145" t="s">
        <v>1568</v>
      </c>
    </row>
    <row r="125" spans="1:2" x14ac:dyDescent="0.3">
      <c r="A125" s="142" t="s">
        <v>1569</v>
      </c>
      <c r="B125" s="145" t="s">
        <v>1570</v>
      </c>
    </row>
    <row r="126" spans="1:2" x14ac:dyDescent="0.3">
      <c r="A126" s="142" t="s">
        <v>1571</v>
      </c>
      <c r="B126" s="145" t="s">
        <v>1572</v>
      </c>
    </row>
    <row r="127" spans="1:2" x14ac:dyDescent="0.3">
      <c r="A127" s="142" t="s">
        <v>1573</v>
      </c>
      <c r="B127" s="145" t="s">
        <v>1574</v>
      </c>
    </row>
    <row r="128" spans="1:2" x14ac:dyDescent="0.3">
      <c r="A128" s="142" t="s">
        <v>1575</v>
      </c>
      <c r="B128" s="145" t="s">
        <v>1576</v>
      </c>
    </row>
    <row r="129" spans="1:2" x14ac:dyDescent="0.3">
      <c r="A129" s="142" t="s">
        <v>1577</v>
      </c>
      <c r="B129" s="145" t="s">
        <v>1578</v>
      </c>
    </row>
    <row r="130" spans="1:2" x14ac:dyDescent="0.3">
      <c r="A130" s="142" t="s">
        <v>1579</v>
      </c>
      <c r="B130" s="144" t="s">
        <v>1580</v>
      </c>
    </row>
    <row r="131" spans="1:2" x14ac:dyDescent="0.3">
      <c r="A131" s="142" t="s">
        <v>1581</v>
      </c>
      <c r="B131" s="144" t="s">
        <v>1582</v>
      </c>
    </row>
    <row r="132" spans="1:2" x14ac:dyDescent="0.3">
      <c r="A132" s="142" t="s">
        <v>1583</v>
      </c>
      <c r="B132" s="144" t="s">
        <v>1584</v>
      </c>
    </row>
    <row r="133" spans="1:2" x14ac:dyDescent="0.3">
      <c r="A133" s="142" t="s">
        <v>1585</v>
      </c>
      <c r="B133" s="145" t="s">
        <v>1586</v>
      </c>
    </row>
    <row r="134" spans="1:2" x14ac:dyDescent="0.3">
      <c r="A134" s="142" t="s">
        <v>1587</v>
      </c>
      <c r="B134" s="145" t="s">
        <v>1588</v>
      </c>
    </row>
    <row r="135" spans="1:2" x14ac:dyDescent="0.3">
      <c r="A135" s="142" t="s">
        <v>190</v>
      </c>
      <c r="B135" s="145" t="s">
        <v>36</v>
      </c>
    </row>
    <row r="136" spans="1:2" x14ac:dyDescent="0.3">
      <c r="A136" s="142" t="s">
        <v>1589</v>
      </c>
      <c r="B136" s="145" t="s">
        <v>1590</v>
      </c>
    </row>
    <row r="137" spans="1:2" x14ac:dyDescent="0.3">
      <c r="A137" s="142" t="s">
        <v>1263</v>
      </c>
      <c r="B137" s="145" t="s">
        <v>1591</v>
      </c>
    </row>
    <row r="138" spans="1:2" x14ac:dyDescent="0.3">
      <c r="A138" s="142" t="s">
        <v>1592</v>
      </c>
      <c r="B138" s="145" t="s">
        <v>1593</v>
      </c>
    </row>
    <row r="139" spans="1:2" x14ac:dyDescent="0.3">
      <c r="A139" s="142" t="s">
        <v>1594</v>
      </c>
      <c r="B139" s="144" t="s">
        <v>1595</v>
      </c>
    </row>
    <row r="140" spans="1:2" x14ac:dyDescent="0.3">
      <c r="A140" s="142" t="s">
        <v>1596</v>
      </c>
      <c r="B140" s="145" t="s">
        <v>1597</v>
      </c>
    </row>
    <row r="141" spans="1:2" x14ac:dyDescent="0.3">
      <c r="A141" s="142" t="s">
        <v>1598</v>
      </c>
      <c r="B141" s="145" t="s">
        <v>1599</v>
      </c>
    </row>
    <row r="142" spans="1:2" x14ac:dyDescent="0.3">
      <c r="A142" s="142" t="s">
        <v>1600</v>
      </c>
      <c r="B142" s="145" t="s">
        <v>1601</v>
      </c>
    </row>
    <row r="143" spans="1:2" x14ac:dyDescent="0.3">
      <c r="A143" s="142" t="s">
        <v>1602</v>
      </c>
      <c r="B143" s="145" t="s">
        <v>1603</v>
      </c>
    </row>
    <row r="144" spans="1:2" x14ac:dyDescent="0.3">
      <c r="A144" s="142" t="s">
        <v>746</v>
      </c>
      <c r="B144" s="145" t="s">
        <v>382</v>
      </c>
    </row>
    <row r="145" spans="1:2" x14ac:dyDescent="0.3">
      <c r="A145" s="142" t="s">
        <v>311</v>
      </c>
      <c r="B145" s="145" t="s">
        <v>74</v>
      </c>
    </row>
    <row r="146" spans="1:2" x14ac:dyDescent="0.3">
      <c r="A146" s="142" t="s">
        <v>1604</v>
      </c>
      <c r="B146" s="145" t="s">
        <v>1605</v>
      </c>
    </row>
    <row r="147" spans="1:2" x14ac:dyDescent="0.3">
      <c r="A147" s="142" t="s">
        <v>1606</v>
      </c>
      <c r="B147" s="144" t="s">
        <v>1607</v>
      </c>
    </row>
    <row r="148" spans="1:2" x14ac:dyDescent="0.3">
      <c r="A148" s="142" t="s">
        <v>306</v>
      </c>
      <c r="B148" s="145" t="s">
        <v>38</v>
      </c>
    </row>
    <row r="149" spans="1:2" x14ac:dyDescent="0.3">
      <c r="A149" s="142" t="s">
        <v>1608</v>
      </c>
      <c r="B149" s="145" t="s">
        <v>1609</v>
      </c>
    </row>
    <row r="150" spans="1:2" x14ac:dyDescent="0.3">
      <c r="A150" s="142" t="s">
        <v>1610</v>
      </c>
      <c r="B150" s="145" t="s">
        <v>1611</v>
      </c>
    </row>
    <row r="151" spans="1:2" x14ac:dyDescent="0.3">
      <c r="A151" s="142" t="s">
        <v>1612</v>
      </c>
      <c r="B151" s="144" t="s">
        <v>1613</v>
      </c>
    </row>
    <row r="152" spans="1:2" x14ac:dyDescent="0.3">
      <c r="A152" s="142" t="s">
        <v>1614</v>
      </c>
      <c r="B152" s="144" t="s">
        <v>1615</v>
      </c>
    </row>
    <row r="153" spans="1:2" x14ac:dyDescent="0.3">
      <c r="A153" s="142" t="s">
        <v>1616</v>
      </c>
      <c r="B153" s="144" t="s">
        <v>1617</v>
      </c>
    </row>
    <row r="154" spans="1:2" x14ac:dyDescent="0.3">
      <c r="A154" s="142" t="s">
        <v>1618</v>
      </c>
      <c r="B154" s="144" t="s">
        <v>1619</v>
      </c>
    </row>
    <row r="155" spans="1:2" x14ac:dyDescent="0.3">
      <c r="A155" s="142" t="s">
        <v>142</v>
      </c>
      <c r="B155" s="145" t="s">
        <v>40</v>
      </c>
    </row>
    <row r="156" spans="1:2" x14ac:dyDescent="0.3">
      <c r="A156" s="142" t="s">
        <v>1271</v>
      </c>
      <c r="B156" s="145" t="s">
        <v>384</v>
      </c>
    </row>
    <row r="157" spans="1:2" x14ac:dyDescent="0.3">
      <c r="A157" s="142" t="s">
        <v>601</v>
      </c>
      <c r="B157" s="145" t="s">
        <v>385</v>
      </c>
    </row>
    <row r="158" spans="1:2" x14ac:dyDescent="0.3">
      <c r="A158" s="142" t="s">
        <v>1620</v>
      </c>
      <c r="B158" s="145" t="s">
        <v>1621</v>
      </c>
    </row>
    <row r="159" spans="1:2" x14ac:dyDescent="0.3">
      <c r="A159" s="142" t="s">
        <v>1622</v>
      </c>
      <c r="B159" s="145" t="s">
        <v>1623</v>
      </c>
    </row>
    <row r="160" spans="1:2" x14ac:dyDescent="0.3">
      <c r="A160" s="142" t="s">
        <v>1272</v>
      </c>
      <c r="B160" s="145" t="s">
        <v>386</v>
      </c>
    </row>
    <row r="161" spans="1:2" x14ac:dyDescent="0.3">
      <c r="A161" s="142" t="s">
        <v>1624</v>
      </c>
      <c r="B161" s="145" t="s">
        <v>1625</v>
      </c>
    </row>
    <row r="162" spans="1:2" x14ac:dyDescent="0.3">
      <c r="A162" s="142" t="s">
        <v>1626</v>
      </c>
      <c r="B162" s="145" t="s">
        <v>1627</v>
      </c>
    </row>
    <row r="163" spans="1:2" x14ac:dyDescent="0.3">
      <c r="A163" s="142" t="s">
        <v>602</v>
      </c>
      <c r="B163" s="145" t="s">
        <v>387</v>
      </c>
    </row>
    <row r="164" spans="1:2" x14ac:dyDescent="0.3">
      <c r="A164" s="142" t="s">
        <v>1628</v>
      </c>
      <c r="B164" s="145" t="s">
        <v>1629</v>
      </c>
    </row>
    <row r="165" spans="1:2" x14ac:dyDescent="0.3">
      <c r="A165" s="142" t="s">
        <v>1630</v>
      </c>
      <c r="B165" s="145" t="s">
        <v>1631</v>
      </c>
    </row>
    <row r="166" spans="1:2" x14ac:dyDescent="0.3">
      <c r="A166" s="142" t="s">
        <v>1632</v>
      </c>
      <c r="B166" s="145" t="s">
        <v>1633</v>
      </c>
    </row>
    <row r="167" spans="1:2" x14ac:dyDescent="0.3">
      <c r="A167" s="142" t="s">
        <v>1634</v>
      </c>
      <c r="B167" s="145" t="s">
        <v>1635</v>
      </c>
    </row>
    <row r="168" spans="1:2" x14ac:dyDescent="0.3">
      <c r="A168" s="142" t="s">
        <v>1636</v>
      </c>
      <c r="B168" s="145" t="s">
        <v>1637</v>
      </c>
    </row>
    <row r="169" spans="1:2" x14ac:dyDescent="0.3">
      <c r="A169" s="142" t="s">
        <v>1638</v>
      </c>
      <c r="B169" s="145" t="s">
        <v>1639</v>
      </c>
    </row>
    <row r="170" spans="1:2" x14ac:dyDescent="0.3">
      <c r="A170" s="142" t="s">
        <v>1640</v>
      </c>
      <c r="B170" s="145" t="s">
        <v>1641</v>
      </c>
    </row>
    <row r="171" spans="1:2" x14ac:dyDescent="0.3">
      <c r="A171" s="142" t="s">
        <v>1642</v>
      </c>
      <c r="B171" s="144" t="s">
        <v>1643</v>
      </c>
    </row>
    <row r="172" spans="1:2" x14ac:dyDescent="0.3">
      <c r="A172" s="142" t="s">
        <v>307</v>
      </c>
      <c r="B172" s="145" t="s">
        <v>42</v>
      </c>
    </row>
    <row r="173" spans="1:2" x14ac:dyDescent="0.3">
      <c r="A173" s="142" t="s">
        <v>1644</v>
      </c>
      <c r="B173" s="144" t="s">
        <v>1645</v>
      </c>
    </row>
    <row r="174" spans="1:2" x14ac:dyDescent="0.3">
      <c r="A174" s="142" t="s">
        <v>1646</v>
      </c>
      <c r="B174" s="144" t="s">
        <v>1647</v>
      </c>
    </row>
    <row r="175" spans="1:2" x14ac:dyDescent="0.3">
      <c r="A175" s="142" t="s">
        <v>1648</v>
      </c>
      <c r="B175" s="144" t="s">
        <v>1649</v>
      </c>
    </row>
    <row r="176" spans="1:2" x14ac:dyDescent="0.3">
      <c r="A176" s="142" t="s">
        <v>1650</v>
      </c>
      <c r="B176" s="145" t="s">
        <v>1651</v>
      </c>
    </row>
    <row r="177" spans="1:2" x14ac:dyDescent="0.3">
      <c r="A177" s="142" t="s">
        <v>1652</v>
      </c>
      <c r="B177" s="145" t="s">
        <v>1653</v>
      </c>
    </row>
    <row r="178" spans="1:2" x14ac:dyDescent="0.3">
      <c r="A178" s="142" t="s">
        <v>747</v>
      </c>
      <c r="B178" s="145" t="s">
        <v>714</v>
      </c>
    </row>
    <row r="179" spans="1:2" x14ac:dyDescent="0.3">
      <c r="A179" s="142" t="s">
        <v>1654</v>
      </c>
      <c r="B179" s="145" t="s">
        <v>1655</v>
      </c>
    </row>
    <row r="180" spans="1:2" x14ac:dyDescent="0.3">
      <c r="A180" s="142" t="s">
        <v>1656</v>
      </c>
      <c r="B180" s="145" t="s">
        <v>1657</v>
      </c>
    </row>
    <row r="181" spans="1:2" x14ac:dyDescent="0.3">
      <c r="A181" s="142" t="s">
        <v>1658</v>
      </c>
      <c r="B181" s="145" t="s">
        <v>1659</v>
      </c>
    </row>
    <row r="182" spans="1:2" x14ac:dyDescent="0.3">
      <c r="A182" s="142" t="s">
        <v>1660</v>
      </c>
      <c r="B182" s="145" t="s">
        <v>1661</v>
      </c>
    </row>
    <row r="183" spans="1:2" x14ac:dyDescent="0.3">
      <c r="A183" s="142" t="s">
        <v>1662</v>
      </c>
      <c r="B183" s="145" t="s">
        <v>1663</v>
      </c>
    </row>
    <row r="184" spans="1:2" x14ac:dyDescent="0.3">
      <c r="A184" s="142" t="s">
        <v>1664</v>
      </c>
      <c r="B184" s="145" t="s">
        <v>1665</v>
      </c>
    </row>
    <row r="185" spans="1:2" x14ac:dyDescent="0.3">
      <c r="A185" s="142" t="s">
        <v>1666</v>
      </c>
      <c r="B185" s="144" t="s">
        <v>1667</v>
      </c>
    </row>
    <row r="186" spans="1:2" x14ac:dyDescent="0.3">
      <c r="A186" s="142" t="s">
        <v>1668</v>
      </c>
      <c r="B186" s="145" t="s">
        <v>1669</v>
      </c>
    </row>
    <row r="187" spans="1:2" x14ac:dyDescent="0.3">
      <c r="A187" s="142" t="s">
        <v>1670</v>
      </c>
      <c r="B187" s="145" t="s">
        <v>1671</v>
      </c>
    </row>
    <row r="188" spans="1:2" x14ac:dyDescent="0.3">
      <c r="A188" s="142" t="s">
        <v>1672</v>
      </c>
      <c r="B188" s="145" t="s">
        <v>1673</v>
      </c>
    </row>
    <row r="189" spans="1:2" x14ac:dyDescent="0.3">
      <c r="A189" s="142" t="s">
        <v>1674</v>
      </c>
      <c r="B189" s="145" t="s">
        <v>1675</v>
      </c>
    </row>
    <row r="190" spans="1:2" x14ac:dyDescent="0.3">
      <c r="A190" s="142" t="s">
        <v>1676</v>
      </c>
      <c r="B190" s="144" t="s">
        <v>1677</v>
      </c>
    </row>
    <row r="191" spans="1:2" x14ac:dyDescent="0.3">
      <c r="A191" s="142" t="s">
        <v>1678</v>
      </c>
      <c r="B191" s="144" t="s">
        <v>1679</v>
      </c>
    </row>
    <row r="192" spans="1:2" x14ac:dyDescent="0.3">
      <c r="A192" s="142" t="s">
        <v>308</v>
      </c>
      <c r="B192" s="145" t="s">
        <v>44</v>
      </c>
    </row>
    <row r="193" spans="1:2" x14ac:dyDescent="0.3">
      <c r="A193" s="142" t="s">
        <v>1680</v>
      </c>
      <c r="B193" s="145" t="s">
        <v>1681</v>
      </c>
    </row>
    <row r="194" spans="1:2" x14ac:dyDescent="0.3">
      <c r="A194" s="142" t="s">
        <v>1682</v>
      </c>
      <c r="B194" s="145" t="s">
        <v>1683</v>
      </c>
    </row>
    <row r="195" spans="1:2" x14ac:dyDescent="0.3">
      <c r="A195" s="149" t="s">
        <v>1684</v>
      </c>
      <c r="B195" s="145" t="s">
        <v>1685</v>
      </c>
    </row>
    <row r="196" spans="1:2" x14ac:dyDescent="0.3">
      <c r="A196" s="142" t="s">
        <v>1686</v>
      </c>
      <c r="B196" s="145" t="s">
        <v>1687</v>
      </c>
    </row>
    <row r="197" spans="1:2" x14ac:dyDescent="0.3">
      <c r="A197" s="142" t="s">
        <v>1688</v>
      </c>
      <c r="B197" s="145" t="s">
        <v>1689</v>
      </c>
    </row>
    <row r="198" spans="1:2" x14ac:dyDescent="0.3">
      <c r="A198" s="142" t="s">
        <v>1690</v>
      </c>
      <c r="B198" s="145" t="s">
        <v>1691</v>
      </c>
    </row>
    <row r="199" spans="1:2" x14ac:dyDescent="0.3">
      <c r="A199" s="142">
        <v>89</v>
      </c>
      <c r="B199" s="145" t="s">
        <v>1692</v>
      </c>
    </row>
    <row r="200" spans="1:2" x14ac:dyDescent="0.3">
      <c r="A200" s="142" t="s">
        <v>749</v>
      </c>
      <c r="B200" s="145" t="s">
        <v>716</v>
      </c>
    </row>
    <row r="201" spans="1:2" x14ac:dyDescent="0.3">
      <c r="A201" s="142" t="s">
        <v>1693</v>
      </c>
      <c r="B201" s="145" t="s">
        <v>1694</v>
      </c>
    </row>
    <row r="202" spans="1:2" x14ac:dyDescent="0.3">
      <c r="A202" s="142" t="s">
        <v>750</v>
      </c>
      <c r="B202" s="145" t="s">
        <v>717</v>
      </c>
    </row>
    <row r="203" spans="1:2" x14ac:dyDescent="0.3">
      <c r="A203" s="149" t="s">
        <v>1695</v>
      </c>
      <c r="B203" s="145" t="s">
        <v>1696</v>
      </c>
    </row>
    <row r="204" spans="1:2" x14ac:dyDescent="0.3">
      <c r="A204" s="142" t="s">
        <v>1697</v>
      </c>
      <c r="B204" s="145" t="s">
        <v>1698</v>
      </c>
    </row>
    <row r="205" spans="1:2" x14ac:dyDescent="0.3">
      <c r="A205" s="142">
        <v>351</v>
      </c>
      <c r="B205" s="145" t="s">
        <v>1699</v>
      </c>
    </row>
    <row r="206" spans="1:2" x14ac:dyDescent="0.3">
      <c r="A206" s="142" t="s">
        <v>1700</v>
      </c>
      <c r="B206" s="145" t="s">
        <v>1701</v>
      </c>
    </row>
    <row r="207" spans="1:2" x14ac:dyDescent="0.3">
      <c r="A207" s="142" t="s">
        <v>1702</v>
      </c>
      <c r="B207" s="144" t="s">
        <v>1703</v>
      </c>
    </row>
    <row r="208" spans="1:2" x14ac:dyDescent="0.3">
      <c r="A208" s="142" t="s">
        <v>1704</v>
      </c>
      <c r="B208" s="145" t="s">
        <v>1705</v>
      </c>
    </row>
    <row r="209" spans="1:2" x14ac:dyDescent="0.3">
      <c r="A209" s="142" t="s">
        <v>1706</v>
      </c>
      <c r="B209" s="144" t="s">
        <v>1707</v>
      </c>
    </row>
    <row r="210" spans="1:2" x14ac:dyDescent="0.3">
      <c r="A210" s="142" t="s">
        <v>1708</v>
      </c>
      <c r="B210" s="144" t="s">
        <v>1709</v>
      </c>
    </row>
    <row r="211" spans="1:2" x14ac:dyDescent="0.3">
      <c r="A211" s="142" t="s">
        <v>1710</v>
      </c>
      <c r="B211" s="145" t="s">
        <v>1711</v>
      </c>
    </row>
    <row r="212" spans="1:2" x14ac:dyDescent="0.3">
      <c r="A212" s="142" t="s">
        <v>1712</v>
      </c>
      <c r="B212" s="145" t="s">
        <v>1713</v>
      </c>
    </row>
    <row r="213" spans="1:2" x14ac:dyDescent="0.3">
      <c r="A213" s="142" t="s">
        <v>1714</v>
      </c>
      <c r="B213" s="145" t="s">
        <v>1715</v>
      </c>
    </row>
    <row r="214" spans="1:2" x14ac:dyDescent="0.3">
      <c r="A214" s="142" t="s">
        <v>1716</v>
      </c>
      <c r="B214" s="145" t="s">
        <v>1717</v>
      </c>
    </row>
    <row r="215" spans="1:2" x14ac:dyDescent="0.3">
      <c r="A215" s="142" t="s">
        <v>1718</v>
      </c>
      <c r="B215" s="145" t="s">
        <v>1719</v>
      </c>
    </row>
    <row r="216" spans="1:2" x14ac:dyDescent="0.3">
      <c r="A216" s="142" t="s">
        <v>1720</v>
      </c>
      <c r="B216" s="144" t="s">
        <v>1721</v>
      </c>
    </row>
    <row r="217" spans="1:2" x14ac:dyDescent="0.3">
      <c r="A217" s="142" t="s">
        <v>1722</v>
      </c>
      <c r="B217" s="145" t="s">
        <v>1723</v>
      </c>
    </row>
    <row r="218" spans="1:2" x14ac:dyDescent="0.3">
      <c r="A218" s="142" t="s">
        <v>1724</v>
      </c>
      <c r="B218" s="145" t="s">
        <v>1725</v>
      </c>
    </row>
    <row r="219" spans="1:2" x14ac:dyDescent="0.3">
      <c r="A219" s="142" t="s">
        <v>1726</v>
      </c>
      <c r="B219" s="145" t="s">
        <v>1727</v>
      </c>
    </row>
    <row r="220" spans="1:2" x14ac:dyDescent="0.3">
      <c r="A220" s="142" t="s">
        <v>135</v>
      </c>
      <c r="B220" s="145" t="s">
        <v>1728</v>
      </c>
    </row>
    <row r="221" spans="1:2" x14ac:dyDescent="0.3">
      <c r="A221" s="142" t="s">
        <v>1729</v>
      </c>
      <c r="B221" s="145" t="s">
        <v>1730</v>
      </c>
    </row>
    <row r="222" spans="1:2" x14ac:dyDescent="0.3">
      <c r="A222" s="142" t="s">
        <v>1731</v>
      </c>
      <c r="B222" s="145" t="s">
        <v>1732</v>
      </c>
    </row>
    <row r="223" spans="1:2" x14ac:dyDescent="0.3">
      <c r="A223" s="142" t="s">
        <v>1733</v>
      </c>
      <c r="B223" s="145" t="s">
        <v>1734</v>
      </c>
    </row>
    <row r="224" spans="1:2" x14ac:dyDescent="0.3">
      <c r="A224" s="142" t="s">
        <v>1735</v>
      </c>
      <c r="B224" s="145" t="s">
        <v>1736</v>
      </c>
    </row>
    <row r="225" spans="1:2" x14ac:dyDescent="0.3">
      <c r="A225" s="142" t="s">
        <v>1737</v>
      </c>
      <c r="B225" s="145" t="s">
        <v>1738</v>
      </c>
    </row>
    <row r="226" spans="1:2" x14ac:dyDescent="0.3">
      <c r="A226" s="142" t="s">
        <v>1739</v>
      </c>
      <c r="B226" s="144" t="s">
        <v>1740</v>
      </c>
    </row>
    <row r="227" spans="1:2" x14ac:dyDescent="0.3">
      <c r="A227" s="142" t="s">
        <v>1741</v>
      </c>
      <c r="B227" s="144" t="s">
        <v>1742</v>
      </c>
    </row>
    <row r="228" spans="1:2" x14ac:dyDescent="0.3">
      <c r="A228" s="142" t="s">
        <v>1743</v>
      </c>
      <c r="B228" s="147" t="s">
        <v>1744</v>
      </c>
    </row>
    <row r="229" spans="1:2" x14ac:dyDescent="0.3">
      <c r="A229" s="142" t="s">
        <v>55</v>
      </c>
      <c r="B229" s="147" t="s">
        <v>228</v>
      </c>
    </row>
    <row r="230" spans="1:2" x14ac:dyDescent="0.3">
      <c r="A230" s="142" t="s">
        <v>605</v>
      </c>
      <c r="B230" s="145" t="s">
        <v>389</v>
      </c>
    </row>
    <row r="231" spans="1:2" x14ac:dyDescent="0.3">
      <c r="A231" s="142" t="s">
        <v>1745</v>
      </c>
      <c r="B231" s="144" t="s">
        <v>1746</v>
      </c>
    </row>
    <row r="232" spans="1:2" x14ac:dyDescent="0.3">
      <c r="A232" s="142" t="s">
        <v>147</v>
      </c>
      <c r="B232" s="145" t="s">
        <v>46</v>
      </c>
    </row>
    <row r="233" spans="1:2" x14ac:dyDescent="0.3">
      <c r="A233" s="142">
        <v>148</v>
      </c>
      <c r="B233" s="145" t="s">
        <v>1747</v>
      </c>
    </row>
    <row r="234" spans="1:2" x14ac:dyDescent="0.3">
      <c r="A234" s="142" t="s">
        <v>205</v>
      </c>
      <c r="B234" s="145" t="s">
        <v>49</v>
      </c>
    </row>
    <row r="235" spans="1:2" x14ac:dyDescent="0.3">
      <c r="A235" s="142">
        <v>150</v>
      </c>
      <c r="B235" s="145" t="s">
        <v>1748</v>
      </c>
    </row>
    <row r="236" spans="1:2" x14ac:dyDescent="0.3">
      <c r="A236" s="142" t="s">
        <v>751</v>
      </c>
      <c r="B236" s="145" t="s">
        <v>1749</v>
      </c>
    </row>
    <row r="237" spans="1:2" x14ac:dyDescent="0.3">
      <c r="A237" s="142" t="s">
        <v>1750</v>
      </c>
      <c r="B237" s="145" t="s">
        <v>1751</v>
      </c>
    </row>
    <row r="238" spans="1:2" x14ac:dyDescent="0.3">
      <c r="A238" s="142" t="s">
        <v>1752</v>
      </c>
      <c r="B238" s="145" t="s">
        <v>1753</v>
      </c>
    </row>
    <row r="239" spans="1:2" x14ac:dyDescent="0.3">
      <c r="A239" s="142" t="s">
        <v>1754</v>
      </c>
      <c r="B239" s="145" t="s">
        <v>1755</v>
      </c>
    </row>
    <row r="240" spans="1:2" x14ac:dyDescent="0.3">
      <c r="A240" s="142" t="s">
        <v>1756</v>
      </c>
      <c r="B240" s="145" t="s">
        <v>1757</v>
      </c>
    </row>
    <row r="241" spans="1:2" x14ac:dyDescent="0.3">
      <c r="A241" s="142" t="s">
        <v>1758</v>
      </c>
      <c r="B241" s="145" t="s">
        <v>679</v>
      </c>
    </row>
    <row r="242" spans="1:2" x14ac:dyDescent="0.3">
      <c r="A242" s="142" t="s">
        <v>1759</v>
      </c>
      <c r="B242" s="145" t="s">
        <v>1760</v>
      </c>
    </row>
    <row r="243" spans="1:2" x14ac:dyDescent="0.3">
      <c r="A243" s="142" t="s">
        <v>1761</v>
      </c>
      <c r="B243" s="145" t="s">
        <v>1762</v>
      </c>
    </row>
    <row r="244" spans="1:2" x14ac:dyDescent="0.3">
      <c r="A244" s="142" t="s">
        <v>1763</v>
      </c>
      <c r="B244" s="145" t="s">
        <v>1764</v>
      </c>
    </row>
    <row r="245" spans="1:2" x14ac:dyDescent="0.3">
      <c r="A245" s="142" t="s">
        <v>1765</v>
      </c>
      <c r="B245" s="144" t="s">
        <v>1766</v>
      </c>
    </row>
    <row r="246" spans="1:2" x14ac:dyDescent="0.3">
      <c r="A246" s="142" t="s">
        <v>1767</v>
      </c>
      <c r="B246" s="144" t="s">
        <v>1768</v>
      </c>
    </row>
    <row r="247" spans="1:2" x14ac:dyDescent="0.3">
      <c r="A247" s="149" t="s">
        <v>1769</v>
      </c>
      <c r="B247" s="144" t="s">
        <v>1770</v>
      </c>
    </row>
    <row r="248" spans="1:2" x14ac:dyDescent="0.3">
      <c r="A248" s="149" t="s">
        <v>1771</v>
      </c>
      <c r="B248" s="144" t="s">
        <v>1772</v>
      </c>
    </row>
    <row r="249" spans="1:2" x14ac:dyDescent="0.3">
      <c r="A249" s="142" t="s">
        <v>1773</v>
      </c>
      <c r="B249" s="144" t="s">
        <v>1774</v>
      </c>
    </row>
    <row r="250" spans="1:2" x14ac:dyDescent="0.3">
      <c r="A250" s="148" t="s">
        <v>1775</v>
      </c>
      <c r="B250" s="144" t="s">
        <v>1776</v>
      </c>
    </row>
    <row r="251" spans="1:2" x14ac:dyDescent="0.3">
      <c r="A251" s="142" t="s">
        <v>1777</v>
      </c>
      <c r="B251" s="144" t="s">
        <v>1778</v>
      </c>
    </row>
    <row r="252" spans="1:2" x14ac:dyDescent="0.3">
      <c r="A252" s="142" t="s">
        <v>1779</v>
      </c>
      <c r="B252" s="144" t="s">
        <v>1780</v>
      </c>
    </row>
    <row r="253" spans="1:2" x14ac:dyDescent="0.3">
      <c r="A253" s="142" t="s">
        <v>1781</v>
      </c>
      <c r="B253" s="145" t="s">
        <v>1782</v>
      </c>
    </row>
    <row r="254" spans="1:2" x14ac:dyDescent="0.3">
      <c r="A254" s="142" t="s">
        <v>1783</v>
      </c>
      <c r="B254" s="145" t="s">
        <v>1784</v>
      </c>
    </row>
    <row r="255" spans="1:2" x14ac:dyDescent="0.3">
      <c r="A255" s="142" t="s">
        <v>1273</v>
      </c>
      <c r="B255" s="145" t="s">
        <v>390</v>
      </c>
    </row>
    <row r="256" spans="1:2" x14ac:dyDescent="0.3">
      <c r="A256" s="142" t="s">
        <v>1785</v>
      </c>
      <c r="B256" s="145" t="s">
        <v>1786</v>
      </c>
    </row>
    <row r="257" spans="1:2" x14ac:dyDescent="0.3">
      <c r="A257" s="142" t="s">
        <v>1787</v>
      </c>
      <c r="B257" s="146" t="s">
        <v>1788</v>
      </c>
    </row>
    <row r="258" spans="1:2" x14ac:dyDescent="0.3">
      <c r="A258" s="142" t="s">
        <v>1789</v>
      </c>
      <c r="B258" s="145" t="s">
        <v>1790</v>
      </c>
    </row>
    <row r="259" spans="1:2" x14ac:dyDescent="0.3">
      <c r="A259" s="142" t="s">
        <v>1791</v>
      </c>
      <c r="B259" s="145" t="s">
        <v>1792</v>
      </c>
    </row>
    <row r="260" spans="1:2" x14ac:dyDescent="0.3">
      <c r="A260" s="142" t="s">
        <v>1793</v>
      </c>
      <c r="B260" s="145" t="s">
        <v>1794</v>
      </c>
    </row>
    <row r="261" spans="1:2" x14ac:dyDescent="0.3">
      <c r="A261" s="142" t="s">
        <v>1795</v>
      </c>
      <c r="B261" s="145" t="s">
        <v>1796</v>
      </c>
    </row>
    <row r="262" spans="1:2" x14ac:dyDescent="0.3">
      <c r="A262" s="142" t="s">
        <v>1797</v>
      </c>
      <c r="B262" s="145" t="s">
        <v>1798</v>
      </c>
    </row>
    <row r="263" spans="1:2" x14ac:dyDescent="0.3">
      <c r="A263" s="142" t="s">
        <v>1799</v>
      </c>
      <c r="B263" s="144" t="s">
        <v>1800</v>
      </c>
    </row>
    <row r="264" spans="1:2" x14ac:dyDescent="0.3">
      <c r="A264" s="142" t="s">
        <v>1801</v>
      </c>
      <c r="B264" s="145" t="s">
        <v>1802</v>
      </c>
    </row>
    <row r="265" spans="1:2" x14ac:dyDescent="0.3">
      <c r="A265" s="142" t="s">
        <v>1803</v>
      </c>
      <c r="B265" s="145" t="s">
        <v>1804</v>
      </c>
    </row>
    <row r="266" spans="1:2" x14ac:dyDescent="0.3">
      <c r="A266" s="142" t="s">
        <v>1805</v>
      </c>
      <c r="B266" s="145" t="s">
        <v>1806</v>
      </c>
    </row>
    <row r="267" spans="1:2" x14ac:dyDescent="0.3">
      <c r="A267" s="142" t="s">
        <v>764</v>
      </c>
      <c r="B267" s="145" t="s">
        <v>1807</v>
      </c>
    </row>
    <row r="268" spans="1:2" x14ac:dyDescent="0.3">
      <c r="A268" s="142" t="s">
        <v>1808</v>
      </c>
      <c r="B268" s="145" t="s">
        <v>1809</v>
      </c>
    </row>
    <row r="269" spans="1:2" x14ac:dyDescent="0.3">
      <c r="A269" s="142" t="s">
        <v>1810</v>
      </c>
      <c r="B269" s="145" t="s">
        <v>1811</v>
      </c>
    </row>
    <row r="270" spans="1:2" x14ac:dyDescent="0.3">
      <c r="A270" s="142" t="s">
        <v>1812</v>
      </c>
      <c r="B270" s="145" t="s">
        <v>1813</v>
      </c>
    </row>
    <row r="271" spans="1:2" x14ac:dyDescent="0.3">
      <c r="A271" s="142" t="s">
        <v>1814</v>
      </c>
      <c r="B271" s="147" t="s">
        <v>1815</v>
      </c>
    </row>
    <row r="272" spans="1:2" x14ac:dyDescent="0.3">
      <c r="A272" s="142" t="s">
        <v>1816</v>
      </c>
      <c r="B272" s="144" t="s">
        <v>1817</v>
      </c>
    </row>
    <row r="273" spans="1:2" x14ac:dyDescent="0.3">
      <c r="A273" s="142">
        <v>200</v>
      </c>
      <c r="B273" s="144" t="s">
        <v>1818</v>
      </c>
    </row>
    <row r="274" spans="1:2" x14ac:dyDescent="0.3">
      <c r="A274" s="142" t="s">
        <v>758</v>
      </c>
      <c r="B274" s="145" t="s">
        <v>1819</v>
      </c>
    </row>
    <row r="275" spans="1:2" x14ac:dyDescent="0.3">
      <c r="A275" s="142" t="s">
        <v>1820</v>
      </c>
      <c r="B275" s="145" t="s">
        <v>1821</v>
      </c>
    </row>
    <row r="276" spans="1:2" x14ac:dyDescent="0.3">
      <c r="A276" s="142" t="s">
        <v>1822</v>
      </c>
      <c r="B276" s="145" t="s">
        <v>1823</v>
      </c>
    </row>
    <row r="277" spans="1:2" x14ac:dyDescent="0.3">
      <c r="A277" s="142" t="s">
        <v>1824</v>
      </c>
      <c r="B277" s="145" t="s">
        <v>1825</v>
      </c>
    </row>
    <row r="278" spans="1:2" x14ac:dyDescent="0.3">
      <c r="A278" s="142" t="s">
        <v>1826</v>
      </c>
      <c r="B278" s="145" t="s">
        <v>1827</v>
      </c>
    </row>
    <row r="279" spans="1:2" x14ac:dyDescent="0.3">
      <c r="A279" s="142" t="s">
        <v>1828</v>
      </c>
      <c r="B279" s="145" t="s">
        <v>1829</v>
      </c>
    </row>
    <row r="280" spans="1:2" x14ac:dyDescent="0.3">
      <c r="A280" s="142" t="s">
        <v>1830</v>
      </c>
      <c r="B280" s="145" t="s">
        <v>1831</v>
      </c>
    </row>
    <row r="281" spans="1:2" x14ac:dyDescent="0.3">
      <c r="A281" s="142" t="s">
        <v>1832</v>
      </c>
      <c r="B281" s="144" t="s">
        <v>1833</v>
      </c>
    </row>
    <row r="282" spans="1:2" x14ac:dyDescent="0.3">
      <c r="A282" s="142" t="s">
        <v>1834</v>
      </c>
      <c r="B282" s="147" t="s">
        <v>1835</v>
      </c>
    </row>
    <row r="283" spans="1:2" x14ac:dyDescent="0.3">
      <c r="A283" s="142" t="s">
        <v>1836</v>
      </c>
      <c r="B283" s="144" t="s">
        <v>1837</v>
      </c>
    </row>
    <row r="284" spans="1:2" x14ac:dyDescent="0.3">
      <c r="A284" s="142" t="s">
        <v>1838</v>
      </c>
      <c r="B284" s="144" t="s">
        <v>1839</v>
      </c>
    </row>
    <row r="285" spans="1:2" x14ac:dyDescent="0.3">
      <c r="A285" s="142" t="s">
        <v>1840</v>
      </c>
      <c r="B285" s="145" t="s">
        <v>1841</v>
      </c>
    </row>
    <row r="286" spans="1:2" x14ac:dyDescent="0.3">
      <c r="A286" s="142" t="s">
        <v>1842</v>
      </c>
      <c r="B286" s="145" t="s">
        <v>1843</v>
      </c>
    </row>
    <row r="287" spans="1:2" x14ac:dyDescent="0.3">
      <c r="A287" s="142" t="s">
        <v>1844</v>
      </c>
      <c r="B287" s="145" t="s">
        <v>1845</v>
      </c>
    </row>
    <row r="288" spans="1:2" x14ac:dyDescent="0.3">
      <c r="A288" s="142" t="s">
        <v>1846</v>
      </c>
      <c r="B288" s="145" t="s">
        <v>1847</v>
      </c>
    </row>
    <row r="289" spans="1:2" x14ac:dyDescent="0.3">
      <c r="A289" s="142" t="s">
        <v>1848</v>
      </c>
      <c r="B289" s="145" t="s">
        <v>1849</v>
      </c>
    </row>
    <row r="290" spans="1:2" x14ac:dyDescent="0.3">
      <c r="A290" s="142" t="s">
        <v>1850</v>
      </c>
      <c r="B290" s="144" t="s">
        <v>1851</v>
      </c>
    </row>
    <row r="291" spans="1:2" x14ac:dyDescent="0.3">
      <c r="A291" s="142" t="s">
        <v>1852</v>
      </c>
      <c r="B291" s="145" t="s">
        <v>1853</v>
      </c>
    </row>
    <row r="292" spans="1:2" x14ac:dyDescent="0.3">
      <c r="A292" s="142" t="s">
        <v>1854</v>
      </c>
      <c r="B292" s="145" t="s">
        <v>1855</v>
      </c>
    </row>
    <row r="293" spans="1:2" x14ac:dyDescent="0.3">
      <c r="A293" s="142" t="s">
        <v>1856</v>
      </c>
      <c r="B293" s="145" t="s">
        <v>1857</v>
      </c>
    </row>
    <row r="294" spans="1:2" x14ac:dyDescent="0.3">
      <c r="A294" s="142" t="s">
        <v>1858</v>
      </c>
      <c r="B294" s="145" t="s">
        <v>1859</v>
      </c>
    </row>
    <row r="295" spans="1:2" x14ac:dyDescent="0.3">
      <c r="A295" s="142" t="s">
        <v>1860</v>
      </c>
      <c r="B295" s="145" t="s">
        <v>1861</v>
      </c>
    </row>
    <row r="296" spans="1:2" x14ac:dyDescent="0.3">
      <c r="A296" s="142" t="s">
        <v>1862</v>
      </c>
      <c r="B296" s="145" t="s">
        <v>1863</v>
      </c>
    </row>
    <row r="297" spans="1:2" x14ac:dyDescent="0.3">
      <c r="A297" s="142" t="s">
        <v>1864</v>
      </c>
      <c r="B297" s="144" t="s">
        <v>1865</v>
      </c>
    </row>
    <row r="298" spans="1:2" x14ac:dyDescent="0.3">
      <c r="A298" s="142" t="s">
        <v>1866</v>
      </c>
      <c r="B298" s="144" t="s">
        <v>1867</v>
      </c>
    </row>
    <row r="299" spans="1:2" x14ac:dyDescent="0.3">
      <c r="A299" s="142" t="s">
        <v>1868</v>
      </c>
      <c r="B299" s="145" t="s">
        <v>1869</v>
      </c>
    </row>
    <row r="300" spans="1:2" x14ac:dyDescent="0.3">
      <c r="A300" s="142">
        <v>227</v>
      </c>
      <c r="B300" s="145" t="s">
        <v>1870</v>
      </c>
    </row>
    <row r="301" spans="1:2" x14ac:dyDescent="0.3">
      <c r="A301" s="142" t="s">
        <v>1871</v>
      </c>
      <c r="B301" s="145" t="s">
        <v>1872</v>
      </c>
    </row>
    <row r="302" spans="1:2" x14ac:dyDescent="0.3">
      <c r="A302" s="142" t="s">
        <v>1873</v>
      </c>
      <c r="B302" s="145" t="s">
        <v>1874</v>
      </c>
    </row>
    <row r="303" spans="1:2" x14ac:dyDescent="0.3">
      <c r="A303" s="142" t="s">
        <v>151</v>
      </c>
      <c r="B303" s="145" t="s">
        <v>391</v>
      </c>
    </row>
    <row r="304" spans="1:2" x14ac:dyDescent="0.3">
      <c r="A304" s="142" t="s">
        <v>1875</v>
      </c>
      <c r="B304" s="145" t="s">
        <v>1876</v>
      </c>
    </row>
    <row r="305" spans="1:2" x14ac:dyDescent="0.3">
      <c r="A305" s="142" t="s">
        <v>756</v>
      </c>
      <c r="B305" s="145" t="s">
        <v>1877</v>
      </c>
    </row>
    <row r="306" spans="1:2" x14ac:dyDescent="0.3">
      <c r="A306" s="142" t="s">
        <v>757</v>
      </c>
      <c r="B306" s="145" t="s">
        <v>1878</v>
      </c>
    </row>
    <row r="307" spans="1:2" x14ac:dyDescent="0.3">
      <c r="A307" s="142" t="s">
        <v>759</v>
      </c>
      <c r="B307" s="145" t="s">
        <v>725</v>
      </c>
    </row>
    <row r="308" spans="1:2" x14ac:dyDescent="0.3">
      <c r="A308" s="142" t="s">
        <v>1879</v>
      </c>
      <c r="B308" s="145" t="s">
        <v>1880</v>
      </c>
    </row>
    <row r="309" spans="1:2" x14ac:dyDescent="0.3">
      <c r="A309" s="142" t="s">
        <v>1881</v>
      </c>
      <c r="B309" s="145" t="s">
        <v>1882</v>
      </c>
    </row>
    <row r="310" spans="1:2" x14ac:dyDescent="0.3">
      <c r="A310" s="142" t="s">
        <v>1883</v>
      </c>
      <c r="B310" s="145" t="s">
        <v>1884</v>
      </c>
    </row>
    <row r="311" spans="1:2" x14ac:dyDescent="0.3">
      <c r="A311" s="142" t="s">
        <v>1885</v>
      </c>
      <c r="B311" s="145" t="s">
        <v>1886</v>
      </c>
    </row>
    <row r="312" spans="1:2" x14ac:dyDescent="0.3">
      <c r="A312" s="142" t="s">
        <v>1887</v>
      </c>
      <c r="B312" s="145" t="s">
        <v>1888</v>
      </c>
    </row>
    <row r="313" spans="1:2" x14ac:dyDescent="0.3">
      <c r="A313" s="142" t="s">
        <v>1889</v>
      </c>
      <c r="B313" s="145" t="s">
        <v>1890</v>
      </c>
    </row>
    <row r="314" spans="1:2" x14ac:dyDescent="0.3">
      <c r="A314" s="142" t="s">
        <v>1891</v>
      </c>
      <c r="B314" s="145" t="s">
        <v>1892</v>
      </c>
    </row>
    <row r="315" spans="1:2" x14ac:dyDescent="0.3">
      <c r="A315" s="142" t="s">
        <v>1893</v>
      </c>
      <c r="B315" s="145" t="s">
        <v>1894</v>
      </c>
    </row>
    <row r="316" spans="1:2" x14ac:dyDescent="0.3">
      <c r="A316" s="142" t="s">
        <v>1895</v>
      </c>
      <c r="B316" s="145" t="s">
        <v>1896</v>
      </c>
    </row>
    <row r="317" spans="1:2" x14ac:dyDescent="0.3">
      <c r="A317" s="142" t="s">
        <v>1897</v>
      </c>
      <c r="B317" s="145" t="s">
        <v>1898</v>
      </c>
    </row>
    <row r="318" spans="1:2" x14ac:dyDescent="0.3">
      <c r="A318" s="142" t="s">
        <v>1899</v>
      </c>
      <c r="B318" s="145" t="s">
        <v>1900</v>
      </c>
    </row>
    <row r="319" spans="1:2" x14ac:dyDescent="0.3">
      <c r="A319" s="142" t="s">
        <v>1901</v>
      </c>
      <c r="B319" s="144" t="s">
        <v>1902</v>
      </c>
    </row>
    <row r="320" spans="1:2" x14ac:dyDescent="0.3">
      <c r="A320" s="142" t="s">
        <v>1274</v>
      </c>
      <c r="B320" s="145" t="s">
        <v>392</v>
      </c>
    </row>
    <row r="321" spans="1:2" x14ac:dyDescent="0.3">
      <c r="A321" s="142" t="s">
        <v>1275</v>
      </c>
      <c r="B321" s="145" t="s">
        <v>393</v>
      </c>
    </row>
    <row r="322" spans="1:2" x14ac:dyDescent="0.3">
      <c r="A322" s="142">
        <v>239</v>
      </c>
      <c r="B322" s="145" t="s">
        <v>226</v>
      </c>
    </row>
    <row r="323" spans="1:2" x14ac:dyDescent="0.3">
      <c r="A323" s="142" t="s">
        <v>1903</v>
      </c>
      <c r="B323" s="144" t="s">
        <v>1904</v>
      </c>
    </row>
    <row r="324" spans="1:2" x14ac:dyDescent="0.3">
      <c r="A324" s="142" t="s">
        <v>1276</v>
      </c>
      <c r="B324" s="145" t="s">
        <v>394</v>
      </c>
    </row>
    <row r="325" spans="1:2" x14ac:dyDescent="0.3">
      <c r="A325" s="142" t="s">
        <v>1905</v>
      </c>
      <c r="B325" s="145" t="s">
        <v>1906</v>
      </c>
    </row>
    <row r="326" spans="1:2" x14ac:dyDescent="0.3">
      <c r="A326" s="142" t="s">
        <v>1907</v>
      </c>
      <c r="B326" s="144" t="s">
        <v>1908</v>
      </c>
    </row>
    <row r="327" spans="1:2" x14ac:dyDescent="0.3">
      <c r="A327" s="142" t="s">
        <v>1909</v>
      </c>
      <c r="B327" s="144" t="s">
        <v>1910</v>
      </c>
    </row>
    <row r="328" spans="1:2" x14ac:dyDescent="0.3">
      <c r="A328" s="142" t="s">
        <v>1911</v>
      </c>
      <c r="B328" s="145" t="s">
        <v>1912</v>
      </c>
    </row>
    <row r="329" spans="1:2" x14ac:dyDescent="0.3">
      <c r="A329" s="142">
        <v>352</v>
      </c>
      <c r="B329" s="145" t="s">
        <v>1913</v>
      </c>
    </row>
    <row r="330" spans="1:2" x14ac:dyDescent="0.3">
      <c r="A330" s="142" t="s">
        <v>1914</v>
      </c>
      <c r="B330" s="144" t="s">
        <v>1915</v>
      </c>
    </row>
    <row r="331" spans="1:2" x14ac:dyDescent="0.3">
      <c r="A331" s="142" t="s">
        <v>1916</v>
      </c>
      <c r="B331" s="144" t="s">
        <v>1917</v>
      </c>
    </row>
    <row r="332" spans="1:2" x14ac:dyDescent="0.3">
      <c r="A332" s="142" t="s">
        <v>1918</v>
      </c>
      <c r="B332" s="145" t="s">
        <v>1919</v>
      </c>
    </row>
    <row r="333" spans="1:2" x14ac:dyDescent="0.3">
      <c r="A333" s="142" t="s">
        <v>1920</v>
      </c>
      <c r="B333" s="144" t="s">
        <v>1921</v>
      </c>
    </row>
    <row r="334" spans="1:2" x14ac:dyDescent="0.3">
      <c r="A334" s="142" t="s">
        <v>1922</v>
      </c>
      <c r="B334" s="144" t="s">
        <v>1923</v>
      </c>
    </row>
    <row r="335" spans="1:2" x14ac:dyDescent="0.3">
      <c r="A335" s="142" t="s">
        <v>1924</v>
      </c>
      <c r="B335" s="145" t="s">
        <v>1925</v>
      </c>
    </row>
    <row r="336" spans="1:2" x14ac:dyDescent="0.3">
      <c r="A336" s="142" t="s">
        <v>1926</v>
      </c>
      <c r="B336" s="144" t="s">
        <v>1927</v>
      </c>
    </row>
    <row r="337" spans="1:2" x14ac:dyDescent="0.3">
      <c r="A337" s="142" t="s">
        <v>1928</v>
      </c>
      <c r="B337" s="145" t="s">
        <v>1929</v>
      </c>
    </row>
    <row r="338" spans="1:2" x14ac:dyDescent="0.3">
      <c r="A338" s="142" t="s">
        <v>1930</v>
      </c>
      <c r="B338" s="145" t="s">
        <v>1931</v>
      </c>
    </row>
    <row r="339" spans="1:2" x14ac:dyDescent="0.3">
      <c r="A339" s="142" t="s">
        <v>1932</v>
      </c>
      <c r="B339" s="145" t="s">
        <v>1933</v>
      </c>
    </row>
    <row r="340" spans="1:2" x14ac:dyDescent="0.3">
      <c r="A340" s="142" t="s">
        <v>1934</v>
      </c>
      <c r="B340" s="145" t="s">
        <v>1935</v>
      </c>
    </row>
    <row r="341" spans="1:2" x14ac:dyDescent="0.3">
      <c r="A341" s="142" t="s">
        <v>1936</v>
      </c>
      <c r="B341" s="145" t="s">
        <v>1937</v>
      </c>
    </row>
    <row r="342" spans="1:2" x14ac:dyDescent="0.3">
      <c r="A342" s="142" t="s">
        <v>1938</v>
      </c>
      <c r="B342" s="145" t="s">
        <v>1939</v>
      </c>
    </row>
    <row r="343" spans="1:2" x14ac:dyDescent="0.3">
      <c r="A343" s="142" t="s">
        <v>1940</v>
      </c>
      <c r="B343" s="145" t="s">
        <v>1941</v>
      </c>
    </row>
    <row r="344" spans="1:2" x14ac:dyDescent="0.3">
      <c r="A344" s="142" t="s">
        <v>603</v>
      </c>
      <c r="B344" s="145" t="s">
        <v>1942</v>
      </c>
    </row>
    <row r="345" spans="1:2" x14ac:dyDescent="0.3">
      <c r="A345" s="142" t="s">
        <v>1943</v>
      </c>
      <c r="B345" s="145" t="s">
        <v>1944</v>
      </c>
    </row>
    <row r="346" spans="1:2" x14ac:dyDescent="0.3">
      <c r="A346" s="142" t="s">
        <v>1945</v>
      </c>
      <c r="B346" s="144" t="s">
        <v>1946</v>
      </c>
    </row>
    <row r="347" spans="1:2" x14ac:dyDescent="0.3">
      <c r="A347" s="142" t="s">
        <v>1947</v>
      </c>
      <c r="B347" s="145" t="s">
        <v>1948</v>
      </c>
    </row>
    <row r="348" spans="1:2" x14ac:dyDescent="0.3">
      <c r="A348" s="142" t="s">
        <v>1949</v>
      </c>
      <c r="B348" s="145" t="s">
        <v>1950</v>
      </c>
    </row>
    <row r="349" spans="1:2" x14ac:dyDescent="0.3">
      <c r="A349" s="142" t="s">
        <v>760</v>
      </c>
      <c r="B349" s="145" t="s">
        <v>726</v>
      </c>
    </row>
    <row r="350" spans="1:2" x14ac:dyDescent="0.3">
      <c r="A350" s="149" t="s">
        <v>1951</v>
      </c>
      <c r="B350" s="145" t="s">
        <v>1952</v>
      </c>
    </row>
    <row r="351" spans="1:2" x14ac:dyDescent="0.3">
      <c r="A351" s="142" t="s">
        <v>1953</v>
      </c>
      <c r="B351" s="145" t="s">
        <v>1954</v>
      </c>
    </row>
    <row r="352" spans="1:2" x14ac:dyDescent="0.3">
      <c r="A352" s="142" t="s">
        <v>1277</v>
      </c>
      <c r="B352" s="145" t="s">
        <v>395</v>
      </c>
    </row>
    <row r="353" spans="1:2" x14ac:dyDescent="0.3">
      <c r="A353" s="142" t="s">
        <v>1955</v>
      </c>
      <c r="B353" s="145" t="s">
        <v>1956</v>
      </c>
    </row>
    <row r="354" spans="1:2" x14ac:dyDescent="0.3">
      <c r="A354" s="142" t="s">
        <v>1957</v>
      </c>
      <c r="B354" s="145" t="s">
        <v>1958</v>
      </c>
    </row>
    <row r="355" spans="1:2" x14ac:dyDescent="0.3">
      <c r="A355" s="142" t="s">
        <v>1959</v>
      </c>
      <c r="B355" s="145" t="s">
        <v>1960</v>
      </c>
    </row>
    <row r="356" spans="1:2" x14ac:dyDescent="0.3">
      <c r="A356" s="142" t="s">
        <v>1961</v>
      </c>
      <c r="B356" s="145" t="s">
        <v>1962</v>
      </c>
    </row>
    <row r="357" spans="1:2" x14ac:dyDescent="0.3">
      <c r="A357" s="142" t="s">
        <v>1963</v>
      </c>
      <c r="B357" s="145" t="s">
        <v>1964</v>
      </c>
    </row>
    <row r="358" spans="1:2" x14ac:dyDescent="0.3">
      <c r="A358" s="142" t="s">
        <v>755</v>
      </c>
      <c r="B358" s="145" t="s">
        <v>1965</v>
      </c>
    </row>
    <row r="359" spans="1:2" x14ac:dyDescent="0.3">
      <c r="A359" s="142" t="s">
        <v>1966</v>
      </c>
      <c r="B359" s="144" t="s">
        <v>1967</v>
      </c>
    </row>
    <row r="360" spans="1:2" x14ac:dyDescent="0.3">
      <c r="A360" s="142" t="s">
        <v>310</v>
      </c>
      <c r="B360" s="145" t="s">
        <v>72</v>
      </c>
    </row>
    <row r="361" spans="1:2" x14ac:dyDescent="0.3">
      <c r="A361" s="142" t="s">
        <v>1968</v>
      </c>
      <c r="B361" s="144" t="s">
        <v>1969</v>
      </c>
    </row>
    <row r="362" spans="1:2" x14ac:dyDescent="0.3">
      <c r="A362" s="142" t="s">
        <v>1970</v>
      </c>
      <c r="B362" s="145" t="s">
        <v>1971</v>
      </c>
    </row>
    <row r="363" spans="1:2" x14ac:dyDescent="0.3">
      <c r="A363" s="142" t="s">
        <v>181</v>
      </c>
      <c r="B363" s="145" t="s">
        <v>60</v>
      </c>
    </row>
    <row r="364" spans="1:2" x14ac:dyDescent="0.3">
      <c r="A364" s="142" t="s">
        <v>752</v>
      </c>
      <c r="B364" s="145" t="s">
        <v>1972</v>
      </c>
    </row>
    <row r="365" spans="1:2" x14ac:dyDescent="0.3">
      <c r="A365" s="142" t="s">
        <v>1973</v>
      </c>
      <c r="B365" s="144" t="s">
        <v>1974</v>
      </c>
    </row>
    <row r="366" spans="1:2" x14ac:dyDescent="0.3">
      <c r="A366" s="149" t="s">
        <v>1975</v>
      </c>
      <c r="B366" s="144" t="s">
        <v>1976</v>
      </c>
    </row>
    <row r="367" spans="1:2" x14ac:dyDescent="0.3">
      <c r="A367" s="142" t="s">
        <v>309</v>
      </c>
      <c r="B367" s="145" t="s">
        <v>57</v>
      </c>
    </row>
    <row r="368" spans="1:2" x14ac:dyDescent="0.3">
      <c r="A368" s="142" t="s">
        <v>763</v>
      </c>
      <c r="B368" s="145" t="s">
        <v>1977</v>
      </c>
    </row>
    <row r="369" spans="1:2" x14ac:dyDescent="0.3">
      <c r="A369" s="142" t="s">
        <v>1978</v>
      </c>
      <c r="B369" s="145" t="s">
        <v>1979</v>
      </c>
    </row>
    <row r="370" spans="1:2" x14ac:dyDescent="0.3">
      <c r="A370" s="142" t="s">
        <v>1980</v>
      </c>
      <c r="B370" s="145" t="s">
        <v>1981</v>
      </c>
    </row>
    <row r="371" spans="1:2" x14ac:dyDescent="0.3">
      <c r="A371" s="142" t="s">
        <v>1982</v>
      </c>
      <c r="B371" s="145" t="s">
        <v>1983</v>
      </c>
    </row>
    <row r="372" spans="1:2" x14ac:dyDescent="0.3">
      <c r="A372" s="142" t="s">
        <v>765</v>
      </c>
      <c r="B372" s="145" t="s">
        <v>1984</v>
      </c>
    </row>
    <row r="373" spans="1:2" x14ac:dyDescent="0.3">
      <c r="A373" s="142" t="s">
        <v>1985</v>
      </c>
      <c r="B373" s="145" t="s">
        <v>1986</v>
      </c>
    </row>
    <row r="374" spans="1:2" x14ac:dyDescent="0.3">
      <c r="A374" s="142" t="s">
        <v>1987</v>
      </c>
      <c r="B374" s="145" t="s">
        <v>1988</v>
      </c>
    </row>
    <row r="375" spans="1:2" x14ac:dyDescent="0.3">
      <c r="A375" s="142" t="s">
        <v>1989</v>
      </c>
      <c r="B375" s="144" t="s">
        <v>1990</v>
      </c>
    </row>
    <row r="376" spans="1:2" x14ac:dyDescent="0.3">
      <c r="A376" s="142" t="s">
        <v>766</v>
      </c>
      <c r="B376" s="145" t="s">
        <v>1991</v>
      </c>
    </row>
    <row r="377" spans="1:2" x14ac:dyDescent="0.3">
      <c r="A377" s="142" t="s">
        <v>762</v>
      </c>
      <c r="B377" s="145" t="s">
        <v>1992</v>
      </c>
    </row>
    <row r="378" spans="1:2" x14ac:dyDescent="0.3">
      <c r="A378" s="142" t="s">
        <v>1993</v>
      </c>
      <c r="B378" s="145" t="s">
        <v>1994</v>
      </c>
    </row>
    <row r="379" spans="1:2" x14ac:dyDescent="0.3">
      <c r="A379" s="142" t="s">
        <v>1995</v>
      </c>
      <c r="B379" s="144" t="s">
        <v>1996</v>
      </c>
    </row>
    <row r="380" spans="1:2" x14ac:dyDescent="0.3">
      <c r="A380" s="142" t="s">
        <v>1997</v>
      </c>
      <c r="B380" s="145" t="s">
        <v>1998</v>
      </c>
    </row>
    <row r="381" spans="1:2" x14ac:dyDescent="0.3">
      <c r="A381" s="142">
        <v>349</v>
      </c>
      <c r="B381" s="145" t="s">
        <v>1999</v>
      </c>
    </row>
    <row r="382" spans="1:2" x14ac:dyDescent="0.3">
      <c r="A382" s="142">
        <v>350</v>
      </c>
      <c r="B382" s="145" t="s">
        <v>2000</v>
      </c>
    </row>
    <row r="383" spans="1:2" x14ac:dyDescent="0.3">
      <c r="A383" s="142" t="s">
        <v>2001</v>
      </c>
      <c r="B383" s="144" t="s">
        <v>2002</v>
      </c>
    </row>
    <row r="384" spans="1:2" x14ac:dyDescent="0.3">
      <c r="A384" s="142" t="s">
        <v>2003</v>
      </c>
      <c r="B384" s="144" t="s">
        <v>2004</v>
      </c>
    </row>
    <row r="385" spans="1:2" x14ac:dyDescent="0.3">
      <c r="A385" s="142" t="s">
        <v>66</v>
      </c>
      <c r="B385" s="145" t="s">
        <v>2005</v>
      </c>
    </row>
    <row r="386" spans="1:2" x14ac:dyDescent="0.3">
      <c r="A386" s="142" t="s">
        <v>2006</v>
      </c>
      <c r="B386" s="144" t="s">
        <v>2007</v>
      </c>
    </row>
    <row r="387" spans="1:2" x14ac:dyDescent="0.3">
      <c r="A387" s="142" t="s">
        <v>773</v>
      </c>
      <c r="B387" s="145" t="s">
        <v>2008</v>
      </c>
    </row>
    <row r="388" spans="1:2" x14ac:dyDescent="0.3">
      <c r="A388" s="142" t="s">
        <v>2009</v>
      </c>
      <c r="B388" s="147" t="s">
        <v>2010</v>
      </c>
    </row>
    <row r="389" spans="1:2" x14ac:dyDescent="0.3">
      <c r="A389" s="142" t="s">
        <v>2011</v>
      </c>
      <c r="B389" s="145" t="s">
        <v>2012</v>
      </c>
    </row>
    <row r="390" spans="1:2" x14ac:dyDescent="0.3">
      <c r="A390" s="142" t="s">
        <v>2013</v>
      </c>
      <c r="B390" s="144" t="s">
        <v>2014</v>
      </c>
    </row>
    <row r="391" spans="1:2" x14ac:dyDescent="0.3">
      <c r="A391" s="142" t="s">
        <v>604</v>
      </c>
      <c r="B391" s="145" t="s">
        <v>396</v>
      </c>
    </row>
    <row r="392" spans="1:2" x14ac:dyDescent="0.3">
      <c r="A392" s="142" t="s">
        <v>2015</v>
      </c>
      <c r="B392" s="145" t="s">
        <v>2016</v>
      </c>
    </row>
    <row r="393" spans="1:2" x14ac:dyDescent="0.3">
      <c r="A393" s="142" t="s">
        <v>2017</v>
      </c>
      <c r="B393" s="145" t="s">
        <v>2018</v>
      </c>
    </row>
    <row r="394" spans="1:2" x14ac:dyDescent="0.3">
      <c r="A394" s="142" t="s">
        <v>212</v>
      </c>
      <c r="B394" s="145" t="s">
        <v>68</v>
      </c>
    </row>
    <row r="395" spans="1:2" x14ac:dyDescent="0.3">
      <c r="A395" s="142" t="s">
        <v>2019</v>
      </c>
      <c r="B395" s="145" t="s">
        <v>2020</v>
      </c>
    </row>
    <row r="396" spans="1:2" x14ac:dyDescent="0.3">
      <c r="A396" s="142" t="s">
        <v>2021</v>
      </c>
      <c r="B396" s="145" t="s">
        <v>2022</v>
      </c>
    </row>
    <row r="397" spans="1:2" x14ac:dyDescent="0.3">
      <c r="A397" s="142" t="s">
        <v>2023</v>
      </c>
      <c r="B397" s="145" t="s">
        <v>2024</v>
      </c>
    </row>
    <row r="398" spans="1:2" x14ac:dyDescent="0.3">
      <c r="A398" s="142" t="s">
        <v>2025</v>
      </c>
      <c r="B398" s="145" t="s">
        <v>2026</v>
      </c>
    </row>
    <row r="399" spans="1:2" x14ac:dyDescent="0.3">
      <c r="A399" s="142">
        <v>365</v>
      </c>
      <c r="B399" s="145" t="s">
        <v>2027</v>
      </c>
    </row>
    <row r="400" spans="1:2" x14ac:dyDescent="0.3">
      <c r="A400" s="142">
        <v>368</v>
      </c>
      <c r="B400" s="145" t="s">
        <v>2028</v>
      </c>
    </row>
    <row r="401" spans="1:2" x14ac:dyDescent="0.3">
      <c r="A401" s="142" t="s">
        <v>2029</v>
      </c>
      <c r="B401" s="145" t="s">
        <v>2030</v>
      </c>
    </row>
    <row r="402" spans="1:2" x14ac:dyDescent="0.3">
      <c r="A402" s="142" t="s">
        <v>2031</v>
      </c>
      <c r="B402" s="145" t="s">
        <v>2032</v>
      </c>
    </row>
    <row r="403" spans="1:2" x14ac:dyDescent="0.3">
      <c r="A403" s="142" t="s">
        <v>2033</v>
      </c>
      <c r="B403" s="145" t="s">
        <v>2034</v>
      </c>
    </row>
    <row r="404" spans="1:2" x14ac:dyDescent="0.3">
      <c r="A404" s="142" t="s">
        <v>2035</v>
      </c>
      <c r="B404" s="145" t="s">
        <v>2036</v>
      </c>
    </row>
    <row r="405" spans="1:2" x14ac:dyDescent="0.3">
      <c r="A405" s="142" t="s">
        <v>2037</v>
      </c>
      <c r="B405" s="145" t="s">
        <v>2038</v>
      </c>
    </row>
    <row r="406" spans="1:2" x14ac:dyDescent="0.3">
      <c r="A406" s="142" t="s">
        <v>2039</v>
      </c>
      <c r="B406" s="145" t="s">
        <v>2040</v>
      </c>
    </row>
    <row r="407" spans="1:2" x14ac:dyDescent="0.3">
      <c r="A407" s="142" t="s">
        <v>2041</v>
      </c>
      <c r="B407" s="145" t="s">
        <v>2042</v>
      </c>
    </row>
    <row r="408" spans="1:2" x14ac:dyDescent="0.3">
      <c r="A408" s="142" t="s">
        <v>2043</v>
      </c>
      <c r="B408" s="145" t="s">
        <v>2044</v>
      </c>
    </row>
    <row r="409" spans="1:2" x14ac:dyDescent="0.3">
      <c r="A409" s="142" t="s">
        <v>2045</v>
      </c>
      <c r="B409" s="144" t="s">
        <v>2046</v>
      </c>
    </row>
    <row r="410" spans="1:2" x14ac:dyDescent="0.3">
      <c r="A410" s="142" t="s">
        <v>2047</v>
      </c>
      <c r="B410" s="145" t="s">
        <v>2048</v>
      </c>
    </row>
    <row r="411" spans="1:2" x14ac:dyDescent="0.3">
      <c r="A411" s="142" t="s">
        <v>2049</v>
      </c>
      <c r="B411" s="145" t="s">
        <v>2050</v>
      </c>
    </row>
    <row r="412" spans="1:2" x14ac:dyDescent="0.3">
      <c r="A412" s="142" t="s">
        <v>2051</v>
      </c>
      <c r="B412" s="144" t="s">
        <v>2052</v>
      </c>
    </row>
    <row r="413" spans="1:2" x14ac:dyDescent="0.3">
      <c r="A413" s="142" t="s">
        <v>2053</v>
      </c>
      <c r="B413" s="145" t="s">
        <v>2054</v>
      </c>
    </row>
    <row r="414" spans="1:2" x14ac:dyDescent="0.3">
      <c r="A414" s="142" t="s">
        <v>2055</v>
      </c>
      <c r="B414" s="144" t="s">
        <v>2056</v>
      </c>
    </row>
    <row r="415" spans="1:2" x14ac:dyDescent="0.3">
      <c r="A415" s="142" t="s">
        <v>2057</v>
      </c>
      <c r="B415" s="144" t="s">
        <v>2058</v>
      </c>
    </row>
    <row r="416" spans="1:2" x14ac:dyDescent="0.3">
      <c r="A416" s="142" t="s">
        <v>2059</v>
      </c>
      <c r="B416" s="145" t="s">
        <v>2060</v>
      </c>
    </row>
    <row r="417" spans="1:2" x14ac:dyDescent="0.3">
      <c r="A417" s="142" t="s">
        <v>2061</v>
      </c>
      <c r="B417" s="144" t="s">
        <v>2062</v>
      </c>
    </row>
    <row r="418" spans="1:2" x14ac:dyDescent="0.3">
      <c r="A418" s="142" t="s">
        <v>2063</v>
      </c>
      <c r="B418" s="145" t="s">
        <v>2064</v>
      </c>
    </row>
    <row r="419" spans="1:2" x14ac:dyDescent="0.3">
      <c r="A419" s="142" t="s">
        <v>2065</v>
      </c>
      <c r="B419" s="145" t="s">
        <v>2066</v>
      </c>
    </row>
    <row r="420" spans="1:2" x14ac:dyDescent="0.3">
      <c r="A420" s="142" t="s">
        <v>2067</v>
      </c>
      <c r="B420" s="145" t="s">
        <v>2068</v>
      </c>
    </row>
    <row r="421" spans="1:2" x14ac:dyDescent="0.3">
      <c r="A421" s="142" t="s">
        <v>2069</v>
      </c>
      <c r="B421" s="145" t="s">
        <v>2070</v>
      </c>
    </row>
    <row r="422" spans="1:2" x14ac:dyDescent="0.3">
      <c r="A422" s="142" t="s">
        <v>2071</v>
      </c>
      <c r="B422" s="145" t="s">
        <v>2072</v>
      </c>
    </row>
    <row r="423" spans="1:2" x14ac:dyDescent="0.3">
      <c r="A423" s="142" t="s">
        <v>2073</v>
      </c>
      <c r="B423" s="145" t="s">
        <v>2074</v>
      </c>
    </row>
    <row r="424" spans="1:2" x14ac:dyDescent="0.3">
      <c r="A424" s="142" t="s">
        <v>2075</v>
      </c>
      <c r="B424" s="145" t="s">
        <v>2076</v>
      </c>
    </row>
    <row r="425" spans="1:2" x14ac:dyDescent="0.3">
      <c r="A425" s="142" t="s">
        <v>2077</v>
      </c>
      <c r="B425" s="145" t="s">
        <v>2078</v>
      </c>
    </row>
    <row r="426" spans="1:2" x14ac:dyDescent="0.3">
      <c r="A426" s="142" t="s">
        <v>2079</v>
      </c>
      <c r="B426" s="144" t="s">
        <v>2080</v>
      </c>
    </row>
    <row r="427" spans="1:2" x14ac:dyDescent="0.3">
      <c r="A427" s="142" t="s">
        <v>2081</v>
      </c>
      <c r="B427" s="145" t="s">
        <v>2082</v>
      </c>
    </row>
    <row r="428" spans="1:2" x14ac:dyDescent="0.3">
      <c r="A428" s="142" t="s">
        <v>2083</v>
      </c>
      <c r="B428" s="144" t="s">
        <v>2084</v>
      </c>
    </row>
    <row r="429" spans="1:2" x14ac:dyDescent="0.3">
      <c r="A429" s="142" t="s">
        <v>2085</v>
      </c>
      <c r="B429" s="144" t="s">
        <v>2086</v>
      </c>
    </row>
    <row r="430" spans="1:2" x14ac:dyDescent="0.3">
      <c r="A430" s="142" t="s">
        <v>2087</v>
      </c>
      <c r="B430" s="145" t="s">
        <v>2088</v>
      </c>
    </row>
    <row r="431" spans="1:2" x14ac:dyDescent="0.3">
      <c r="A431" s="142" t="s">
        <v>2089</v>
      </c>
      <c r="B431" s="145" t="s">
        <v>2090</v>
      </c>
    </row>
    <row r="432" spans="1:2" x14ac:dyDescent="0.3">
      <c r="A432" s="142" t="s">
        <v>2091</v>
      </c>
      <c r="B432" s="145" t="s">
        <v>2092</v>
      </c>
    </row>
    <row r="433" spans="1:2" x14ac:dyDescent="0.3">
      <c r="A433" s="142" t="s">
        <v>2093</v>
      </c>
      <c r="B433" s="144" t="s">
        <v>2094</v>
      </c>
    </row>
    <row r="434" spans="1:2" x14ac:dyDescent="0.3">
      <c r="A434" s="142" t="s">
        <v>753</v>
      </c>
      <c r="B434" s="145" t="s">
        <v>2095</v>
      </c>
    </row>
    <row r="435" spans="1:2" x14ac:dyDescent="0.3">
      <c r="A435" s="142" t="s">
        <v>2096</v>
      </c>
      <c r="B435" s="145" t="s">
        <v>2097</v>
      </c>
    </row>
    <row r="436" spans="1:2" x14ac:dyDescent="0.3">
      <c r="A436" s="142" t="s">
        <v>1278</v>
      </c>
      <c r="B436" s="145" t="s">
        <v>397</v>
      </c>
    </row>
    <row r="437" spans="1:2" x14ac:dyDescent="0.3">
      <c r="A437" s="142" t="s">
        <v>2098</v>
      </c>
      <c r="B437" s="145" t="s">
        <v>2099</v>
      </c>
    </row>
    <row r="438" spans="1:2" x14ac:dyDescent="0.3">
      <c r="A438" s="142" t="s">
        <v>2100</v>
      </c>
      <c r="B438" s="144" t="s">
        <v>2101</v>
      </c>
    </row>
    <row r="439" spans="1:2" x14ac:dyDescent="0.3">
      <c r="A439" s="142" t="s">
        <v>2102</v>
      </c>
      <c r="B439" s="144" t="s">
        <v>2103</v>
      </c>
    </row>
    <row r="440" spans="1:2" x14ac:dyDescent="0.3">
      <c r="A440" s="142" t="s">
        <v>2104</v>
      </c>
      <c r="B440" s="145" t="s">
        <v>2105</v>
      </c>
    </row>
    <row r="441" spans="1:2" x14ac:dyDescent="0.3">
      <c r="A441" s="142" t="s">
        <v>2106</v>
      </c>
      <c r="B441" s="144" t="s">
        <v>2107</v>
      </c>
    </row>
    <row r="442" spans="1:2" x14ac:dyDescent="0.3">
      <c r="A442" s="142" t="s">
        <v>774</v>
      </c>
      <c r="B442" s="145" t="s">
        <v>2108</v>
      </c>
    </row>
    <row r="443" spans="1:2" x14ac:dyDescent="0.3">
      <c r="A443" s="142" t="s">
        <v>2109</v>
      </c>
      <c r="B443" s="145" t="s">
        <v>2110</v>
      </c>
    </row>
    <row r="444" spans="1:2" x14ac:dyDescent="0.3">
      <c r="A444" s="142" t="s">
        <v>2111</v>
      </c>
      <c r="B444" s="147" t="s">
        <v>2112</v>
      </c>
    </row>
    <row r="445" spans="1:2" x14ac:dyDescent="0.3">
      <c r="A445" s="142" t="s">
        <v>2113</v>
      </c>
      <c r="B445" s="147" t="s">
        <v>2114</v>
      </c>
    </row>
    <row r="446" spans="1:2" x14ac:dyDescent="0.3">
      <c r="A446" s="142" t="s">
        <v>2115</v>
      </c>
      <c r="B446" s="147" t="s">
        <v>2116</v>
      </c>
    </row>
    <row r="447" spans="1:2" x14ac:dyDescent="0.3">
      <c r="A447" s="142" t="s">
        <v>2117</v>
      </c>
      <c r="B447" s="147" t="s">
        <v>2118</v>
      </c>
    </row>
    <row r="448" spans="1:2" x14ac:dyDescent="0.3">
      <c r="A448" s="142" t="s">
        <v>2119</v>
      </c>
      <c r="B448" s="147" t="s">
        <v>2120</v>
      </c>
    </row>
    <row r="449" spans="1:2" x14ac:dyDescent="0.3">
      <c r="A449" s="142" t="s">
        <v>2121</v>
      </c>
      <c r="B449" s="147" t="s">
        <v>2122</v>
      </c>
    </row>
    <row r="450" spans="1:2" x14ac:dyDescent="0.3">
      <c r="A450" s="142" t="s">
        <v>2123</v>
      </c>
      <c r="B450" s="147" t="s">
        <v>2124</v>
      </c>
    </row>
    <row r="451" spans="1:2" x14ac:dyDescent="0.3">
      <c r="A451" s="142" t="s">
        <v>2125</v>
      </c>
      <c r="B451" s="147" t="s">
        <v>2126</v>
      </c>
    </row>
    <row r="452" spans="1:2" x14ac:dyDescent="0.3">
      <c r="A452" s="142" t="s">
        <v>2127</v>
      </c>
      <c r="B452" s="150" t="s">
        <v>2128</v>
      </c>
    </row>
    <row r="453" spans="1:2" x14ac:dyDescent="0.3">
      <c r="A453" s="142" t="s">
        <v>2129</v>
      </c>
      <c r="B453" s="150" t="s">
        <v>2130</v>
      </c>
    </row>
    <row r="454" spans="1:2" x14ac:dyDescent="0.3">
      <c r="A454" s="142" t="s">
        <v>2131</v>
      </c>
      <c r="B454" s="150" t="s">
        <v>2132</v>
      </c>
    </row>
    <row r="455" spans="1:2" x14ac:dyDescent="0.3">
      <c r="A455" s="142" t="s">
        <v>2133</v>
      </c>
      <c r="B455" s="150" t="s">
        <v>2134</v>
      </c>
    </row>
    <row r="456" spans="1:2" x14ac:dyDescent="0.3">
      <c r="A456" s="142" t="s">
        <v>2135</v>
      </c>
      <c r="B456" s="150" t="s">
        <v>2136</v>
      </c>
    </row>
    <row r="457" spans="1:2" x14ac:dyDescent="0.3">
      <c r="A457" s="142" t="s">
        <v>2137</v>
      </c>
      <c r="B457" s="150" t="s">
        <v>2138</v>
      </c>
    </row>
    <row r="458" spans="1:2" x14ac:dyDescent="0.3">
      <c r="A458" s="142" t="s">
        <v>2139</v>
      </c>
      <c r="B458" s="150" t="s">
        <v>2140</v>
      </c>
    </row>
    <row r="459" spans="1:2" x14ac:dyDescent="0.3">
      <c r="A459" s="142" t="s">
        <v>2141</v>
      </c>
      <c r="B459" s="150" t="s">
        <v>2142</v>
      </c>
    </row>
    <row r="460" spans="1:2" x14ac:dyDescent="0.3">
      <c r="A460" s="142" t="s">
        <v>2143</v>
      </c>
      <c r="B460" s="150" t="s">
        <v>2144</v>
      </c>
    </row>
    <row r="461" spans="1:2" x14ac:dyDescent="0.3">
      <c r="A461" s="142" t="s">
        <v>2145</v>
      </c>
      <c r="B461" s="147" t="s">
        <v>2146</v>
      </c>
    </row>
    <row r="462" spans="1:2" x14ac:dyDescent="0.3">
      <c r="A462" s="142" t="s">
        <v>2147</v>
      </c>
      <c r="B462" s="150" t="s">
        <v>2148</v>
      </c>
    </row>
    <row r="463" spans="1:2" x14ac:dyDescent="0.3">
      <c r="A463" s="142" t="s">
        <v>2149</v>
      </c>
      <c r="B463" s="150" t="s">
        <v>2150</v>
      </c>
    </row>
    <row r="464" spans="1:2" x14ac:dyDescent="0.3">
      <c r="A464" s="142" t="s">
        <v>2151</v>
      </c>
      <c r="B464" s="150" t="s">
        <v>2152</v>
      </c>
    </row>
    <row r="465" spans="1:2" x14ac:dyDescent="0.3">
      <c r="A465" s="142" t="s">
        <v>2153</v>
      </c>
      <c r="B465" s="147" t="s">
        <v>2154</v>
      </c>
    </row>
    <row r="466" spans="1:2" x14ac:dyDescent="0.3">
      <c r="A466" s="142" t="s">
        <v>2155</v>
      </c>
      <c r="B466" s="147" t="s">
        <v>2156</v>
      </c>
    </row>
    <row r="467" spans="1:2" x14ac:dyDescent="0.3">
      <c r="A467" s="142" t="s">
        <v>2157</v>
      </c>
      <c r="B467" s="147" t="s">
        <v>2158</v>
      </c>
    </row>
    <row r="468" spans="1:2" x14ac:dyDescent="0.3">
      <c r="A468" s="142" t="s">
        <v>2159</v>
      </c>
      <c r="B468" s="147" t="s">
        <v>2160</v>
      </c>
    </row>
    <row r="469" spans="1:2" x14ac:dyDescent="0.3">
      <c r="A469" s="142" t="s">
        <v>2161</v>
      </c>
      <c r="B469" s="147" t="s">
        <v>2162</v>
      </c>
    </row>
    <row r="470" spans="1:2" x14ac:dyDescent="0.3">
      <c r="A470" s="142" t="s">
        <v>2163</v>
      </c>
      <c r="B470" s="147" t="s">
        <v>2164</v>
      </c>
    </row>
    <row r="471" spans="1:2" x14ac:dyDescent="0.3">
      <c r="A471" s="142" t="s">
        <v>2165</v>
      </c>
      <c r="B471" s="147" t="s">
        <v>2166</v>
      </c>
    </row>
    <row r="472" spans="1:2" x14ac:dyDescent="0.3">
      <c r="A472" s="142" t="s">
        <v>2167</v>
      </c>
      <c r="B472" s="147" t="s">
        <v>2168</v>
      </c>
    </row>
    <row r="473" spans="1:2" x14ac:dyDescent="0.3">
      <c r="A473" s="142" t="s">
        <v>2169</v>
      </c>
      <c r="B473" s="147" t="s">
        <v>2170</v>
      </c>
    </row>
    <row r="474" spans="1:2" x14ac:dyDescent="0.3">
      <c r="A474" s="142" t="s">
        <v>2171</v>
      </c>
      <c r="B474" s="147" t="s">
        <v>2172</v>
      </c>
    </row>
    <row r="475" spans="1:2" x14ac:dyDescent="0.3">
      <c r="A475" s="142" t="s">
        <v>2173</v>
      </c>
      <c r="B475" s="147" t="s">
        <v>2174</v>
      </c>
    </row>
    <row r="476" spans="1:2" x14ac:dyDescent="0.3">
      <c r="A476" s="142" t="s">
        <v>2175</v>
      </c>
      <c r="B476" s="147" t="s">
        <v>2176</v>
      </c>
    </row>
    <row r="477" spans="1:2" x14ac:dyDescent="0.3">
      <c r="A477" s="142" t="s">
        <v>2177</v>
      </c>
      <c r="B477" s="147" t="s">
        <v>2178</v>
      </c>
    </row>
    <row r="478" spans="1:2" x14ac:dyDescent="0.3">
      <c r="A478" s="142" t="s">
        <v>2179</v>
      </c>
      <c r="B478" s="147" t="s">
        <v>2180</v>
      </c>
    </row>
    <row r="479" spans="1:2" x14ac:dyDescent="0.3">
      <c r="A479" s="142" t="s">
        <v>2181</v>
      </c>
      <c r="B479" s="147" t="s">
        <v>2182</v>
      </c>
    </row>
    <row r="480" spans="1:2" x14ac:dyDescent="0.3">
      <c r="A480" s="142" t="s">
        <v>2183</v>
      </c>
      <c r="B480" s="145" t="s">
        <v>2184</v>
      </c>
    </row>
    <row r="481" spans="1:2" x14ac:dyDescent="0.3">
      <c r="A481" s="142" t="s">
        <v>2185</v>
      </c>
      <c r="B481" s="145" t="s">
        <v>2186</v>
      </c>
    </row>
    <row r="482" spans="1:2" x14ac:dyDescent="0.3">
      <c r="A482" s="142" t="s">
        <v>2187</v>
      </c>
      <c r="B482" s="145" t="s">
        <v>2188</v>
      </c>
    </row>
    <row r="483" spans="1:2" x14ac:dyDescent="0.3">
      <c r="A483" s="142" t="s">
        <v>754</v>
      </c>
      <c r="B483" s="145" t="s">
        <v>2189</v>
      </c>
    </row>
    <row r="484" spans="1:2" x14ac:dyDescent="0.3">
      <c r="A484" s="142" t="s">
        <v>2190</v>
      </c>
      <c r="B484" s="145" t="s">
        <v>2191</v>
      </c>
    </row>
    <row r="485" spans="1:2" x14ac:dyDescent="0.3">
      <c r="A485" s="142" t="s">
        <v>2192</v>
      </c>
      <c r="B485" s="144" t="s">
        <v>2193</v>
      </c>
    </row>
    <row r="486" spans="1:2" x14ac:dyDescent="0.3">
      <c r="A486" s="142" t="s">
        <v>2194</v>
      </c>
      <c r="B486" s="145" t="s">
        <v>2195</v>
      </c>
    </row>
    <row r="487" spans="1:2" x14ac:dyDescent="0.3">
      <c r="A487" s="142" t="s">
        <v>2196</v>
      </c>
      <c r="B487" s="145" t="s">
        <v>2197</v>
      </c>
    </row>
    <row r="488" spans="1:2" x14ac:dyDescent="0.3">
      <c r="A488" s="142" t="s">
        <v>2198</v>
      </c>
      <c r="B488" s="145" t="s">
        <v>2199</v>
      </c>
    </row>
    <row r="489" spans="1:2" x14ac:dyDescent="0.3">
      <c r="A489" s="142">
        <v>489</v>
      </c>
      <c r="B489" s="145" t="s">
        <v>2200</v>
      </c>
    </row>
    <row r="490" spans="1:2" x14ac:dyDescent="0.3">
      <c r="A490" s="142" t="s">
        <v>2201</v>
      </c>
      <c r="B490" s="145" t="s">
        <v>2202</v>
      </c>
    </row>
    <row r="491" spans="1:2" x14ac:dyDescent="0.3">
      <c r="A491" s="142" t="s">
        <v>2203</v>
      </c>
      <c r="B491" s="145" t="s">
        <v>2204</v>
      </c>
    </row>
    <row r="492" spans="1:2" x14ac:dyDescent="0.3">
      <c r="A492" s="142" t="s">
        <v>2205</v>
      </c>
      <c r="B492" s="145" t="s">
        <v>2206</v>
      </c>
    </row>
    <row r="493" spans="1:2" x14ac:dyDescent="0.3">
      <c r="A493" s="142" t="s">
        <v>2207</v>
      </c>
      <c r="B493" s="144" t="s">
        <v>2208</v>
      </c>
    </row>
    <row r="494" spans="1:2" x14ac:dyDescent="0.3">
      <c r="A494" s="142" t="s">
        <v>767</v>
      </c>
      <c r="B494" s="145" t="s">
        <v>400</v>
      </c>
    </row>
    <row r="495" spans="1:2" x14ac:dyDescent="0.3">
      <c r="A495" s="142" t="s">
        <v>2209</v>
      </c>
      <c r="B495" s="144" t="s">
        <v>2210</v>
      </c>
    </row>
    <row r="496" spans="1:2" x14ac:dyDescent="0.3">
      <c r="A496" s="142" t="s">
        <v>2211</v>
      </c>
      <c r="B496" s="144" t="s">
        <v>2212</v>
      </c>
    </row>
    <row r="497" spans="1:2" x14ac:dyDescent="0.3">
      <c r="A497" s="149" t="s">
        <v>2213</v>
      </c>
      <c r="B497" s="144" t="s">
        <v>2214</v>
      </c>
    </row>
    <row r="498" spans="1:2" x14ac:dyDescent="0.3">
      <c r="A498" s="142" t="s">
        <v>2215</v>
      </c>
      <c r="B498" s="144" t="s">
        <v>2216</v>
      </c>
    </row>
    <row r="499" spans="1:2" x14ac:dyDescent="0.3">
      <c r="A499" s="142" t="s">
        <v>768</v>
      </c>
      <c r="B499" s="145" t="s">
        <v>734</v>
      </c>
    </row>
    <row r="500" spans="1:2" x14ac:dyDescent="0.3">
      <c r="A500" s="142" t="s">
        <v>2217</v>
      </c>
      <c r="B500" s="144" t="s">
        <v>2218</v>
      </c>
    </row>
    <row r="501" spans="1:2" x14ac:dyDescent="0.3">
      <c r="A501" s="142" t="s">
        <v>2219</v>
      </c>
      <c r="B501" s="144" t="s">
        <v>2220</v>
      </c>
    </row>
    <row r="502" spans="1:2" x14ac:dyDescent="0.3">
      <c r="A502" s="142" t="s">
        <v>2221</v>
      </c>
      <c r="B502" s="145" t="s">
        <v>2222</v>
      </c>
    </row>
    <row r="503" spans="1:2" x14ac:dyDescent="0.3">
      <c r="A503" s="142" t="s">
        <v>2223</v>
      </c>
      <c r="B503" s="145" t="s">
        <v>2224</v>
      </c>
    </row>
    <row r="504" spans="1:2" x14ac:dyDescent="0.3">
      <c r="A504" s="142" t="s">
        <v>2225</v>
      </c>
      <c r="B504" s="145" t="s">
        <v>2226</v>
      </c>
    </row>
    <row r="505" spans="1:2" x14ac:dyDescent="0.3">
      <c r="A505" s="141">
        <v>504</v>
      </c>
      <c r="B505" s="145" t="s">
        <v>70</v>
      </c>
    </row>
    <row r="506" spans="1:2" x14ac:dyDescent="0.3">
      <c r="A506" s="142" t="s">
        <v>2227</v>
      </c>
      <c r="B506" s="145" t="s">
        <v>2228</v>
      </c>
    </row>
    <row r="507" spans="1:2" x14ac:dyDescent="0.3">
      <c r="A507" s="142" t="s">
        <v>2229</v>
      </c>
      <c r="B507" s="145" t="s">
        <v>2230</v>
      </c>
    </row>
    <row r="508" spans="1:2" x14ac:dyDescent="0.3">
      <c r="A508" s="142" t="s">
        <v>316</v>
      </c>
      <c r="B508" s="145" t="s">
        <v>2231</v>
      </c>
    </row>
    <row r="509" spans="1:2" x14ac:dyDescent="0.3">
      <c r="A509" s="149" t="s">
        <v>2232</v>
      </c>
      <c r="B509" s="145" t="s">
        <v>2233</v>
      </c>
    </row>
    <row r="510" spans="1:2" x14ac:dyDescent="0.3">
      <c r="A510" s="142" t="s">
        <v>2234</v>
      </c>
      <c r="B510" s="145" t="s">
        <v>2235</v>
      </c>
    </row>
    <row r="511" spans="1:2" x14ac:dyDescent="0.3">
      <c r="A511" s="142">
        <v>518</v>
      </c>
      <c r="B511" s="145" t="s">
        <v>2236</v>
      </c>
    </row>
    <row r="512" spans="1:2" x14ac:dyDescent="0.3">
      <c r="A512" s="142" t="s">
        <v>2237</v>
      </c>
      <c r="B512" s="145" t="s">
        <v>2238</v>
      </c>
    </row>
    <row r="513" spans="1:2" x14ac:dyDescent="0.3">
      <c r="A513" s="142" t="s">
        <v>2239</v>
      </c>
      <c r="B513" s="145" t="s">
        <v>2240</v>
      </c>
    </row>
    <row r="514" spans="1:2" x14ac:dyDescent="0.3">
      <c r="A514" s="142">
        <v>447</v>
      </c>
      <c r="B514" s="145" t="s">
        <v>2241</v>
      </c>
    </row>
    <row r="515" spans="1:2" x14ac:dyDescent="0.3">
      <c r="A515" s="142" t="s">
        <v>1279</v>
      </c>
      <c r="B515" s="145" t="s">
        <v>399</v>
      </c>
    </row>
    <row r="516" spans="1:2" x14ac:dyDescent="0.3">
      <c r="A516" s="142">
        <v>645</v>
      </c>
      <c r="B516" s="145" t="s">
        <v>2242</v>
      </c>
    </row>
    <row r="517" spans="1:2" x14ac:dyDescent="0.3">
      <c r="A517" s="142">
        <v>646</v>
      </c>
      <c r="B517" s="145" t="s">
        <v>2243</v>
      </c>
    </row>
    <row r="518" spans="1:2" x14ac:dyDescent="0.3">
      <c r="A518" s="142">
        <v>432</v>
      </c>
      <c r="B518" s="145" t="s">
        <v>2244</v>
      </c>
    </row>
    <row r="519" spans="1:2" x14ac:dyDescent="0.3">
      <c r="A519" s="142">
        <v>401</v>
      </c>
      <c r="B519" s="145" t="s">
        <v>2245</v>
      </c>
    </row>
    <row r="520" spans="1:2" x14ac:dyDescent="0.3">
      <c r="A520" s="149" t="s">
        <v>2246</v>
      </c>
      <c r="B520" s="144" t="s">
        <v>2247</v>
      </c>
    </row>
    <row r="521" spans="1:2" x14ac:dyDescent="0.3">
      <c r="A521" s="142" t="s">
        <v>2248</v>
      </c>
      <c r="B521" s="144" t="s">
        <v>2249</v>
      </c>
    </row>
    <row r="522" spans="1:2" x14ac:dyDescent="0.3">
      <c r="A522" s="149" t="s">
        <v>2250</v>
      </c>
      <c r="B522" s="145" t="s">
        <v>2251</v>
      </c>
    </row>
    <row r="523" spans="1:2" x14ac:dyDescent="0.3">
      <c r="A523" s="142" t="s">
        <v>2252</v>
      </c>
      <c r="B523" s="145" t="s">
        <v>2253</v>
      </c>
    </row>
    <row r="524" spans="1:2" x14ac:dyDescent="0.3">
      <c r="A524" s="142" t="s">
        <v>2254</v>
      </c>
      <c r="B524" s="144" t="s">
        <v>2255</v>
      </c>
    </row>
    <row r="525" spans="1:2" x14ac:dyDescent="0.3">
      <c r="A525" s="142" t="s">
        <v>2256</v>
      </c>
      <c r="B525" s="144" t="s">
        <v>2257</v>
      </c>
    </row>
    <row r="526" spans="1:2" x14ac:dyDescent="0.3">
      <c r="A526" s="142" t="s">
        <v>2258</v>
      </c>
      <c r="B526" s="145" t="s">
        <v>2259</v>
      </c>
    </row>
    <row r="527" spans="1:2" x14ac:dyDescent="0.3">
      <c r="A527" s="142" t="s">
        <v>2260</v>
      </c>
      <c r="B527" s="145" t="s">
        <v>2261</v>
      </c>
    </row>
    <row r="528" spans="1:2" x14ac:dyDescent="0.3">
      <c r="A528" s="142" t="s">
        <v>2262</v>
      </c>
      <c r="B528" s="145" t="s">
        <v>2263</v>
      </c>
    </row>
    <row r="529" spans="1:2" x14ac:dyDescent="0.3">
      <c r="A529" s="142" t="s">
        <v>2264</v>
      </c>
      <c r="B529" s="144" t="s">
        <v>2265</v>
      </c>
    </row>
    <row r="530" spans="1:2" x14ac:dyDescent="0.3">
      <c r="A530" s="142" t="s">
        <v>2266</v>
      </c>
      <c r="B530" s="145" t="s">
        <v>2267</v>
      </c>
    </row>
    <row r="531" spans="1:2" x14ac:dyDescent="0.3">
      <c r="A531" s="142" t="s">
        <v>2268</v>
      </c>
      <c r="B531" s="145" t="s">
        <v>2269</v>
      </c>
    </row>
    <row r="532" spans="1:2" x14ac:dyDescent="0.3">
      <c r="A532" s="142" t="s">
        <v>769</v>
      </c>
      <c r="B532" s="145" t="s">
        <v>735</v>
      </c>
    </row>
    <row r="533" spans="1:2" x14ac:dyDescent="0.3">
      <c r="A533" s="142" t="s">
        <v>2270</v>
      </c>
      <c r="B533" s="144" t="s">
        <v>2271</v>
      </c>
    </row>
    <row r="534" spans="1:2" x14ac:dyDescent="0.3">
      <c r="A534" s="142" t="s">
        <v>775</v>
      </c>
      <c r="B534" s="145" t="s">
        <v>2272</v>
      </c>
    </row>
    <row r="535" spans="1:2" x14ac:dyDescent="0.3">
      <c r="A535" s="142" t="s">
        <v>1280</v>
      </c>
      <c r="B535" s="145" t="s">
        <v>401</v>
      </c>
    </row>
    <row r="536" spans="1:2" x14ac:dyDescent="0.3">
      <c r="A536" s="142" t="s">
        <v>2273</v>
      </c>
      <c r="B536" s="145" t="s">
        <v>2274</v>
      </c>
    </row>
    <row r="537" spans="1:2" x14ac:dyDescent="0.3">
      <c r="A537" s="142" t="s">
        <v>2275</v>
      </c>
      <c r="B537" s="145" t="s">
        <v>2276</v>
      </c>
    </row>
    <row r="538" spans="1:2" x14ac:dyDescent="0.3">
      <c r="A538" s="142" t="s">
        <v>2277</v>
      </c>
      <c r="B538" s="145" t="s">
        <v>2278</v>
      </c>
    </row>
    <row r="539" spans="1:2" x14ac:dyDescent="0.3">
      <c r="A539" s="142">
        <v>571</v>
      </c>
      <c r="B539" s="145" t="s">
        <v>2279</v>
      </c>
    </row>
    <row r="540" spans="1:2" x14ac:dyDescent="0.3">
      <c r="A540" s="142">
        <v>572</v>
      </c>
      <c r="B540" s="145" t="s">
        <v>2280</v>
      </c>
    </row>
    <row r="541" spans="1:2" x14ac:dyDescent="0.3">
      <c r="A541" s="142" t="s">
        <v>2281</v>
      </c>
      <c r="B541" s="145" t="s">
        <v>2282</v>
      </c>
    </row>
    <row r="542" spans="1:2" x14ac:dyDescent="0.3">
      <c r="A542" s="142">
        <v>353</v>
      </c>
      <c r="B542" s="145" t="s">
        <v>2283</v>
      </c>
    </row>
    <row r="543" spans="1:2" x14ac:dyDescent="0.3">
      <c r="A543" s="142" t="s">
        <v>2284</v>
      </c>
      <c r="B543" s="144" t="s">
        <v>2285</v>
      </c>
    </row>
    <row r="544" spans="1:2" x14ac:dyDescent="0.3">
      <c r="A544" s="142" t="s">
        <v>2286</v>
      </c>
      <c r="B544" s="145" t="s">
        <v>2287</v>
      </c>
    </row>
    <row r="545" spans="1:2" x14ac:dyDescent="0.3">
      <c r="A545" s="149" t="s">
        <v>2288</v>
      </c>
      <c r="B545" s="145" t="s">
        <v>2289</v>
      </c>
    </row>
    <row r="546" spans="1:2" x14ac:dyDescent="0.3">
      <c r="A546" s="142" t="s">
        <v>312</v>
      </c>
      <c r="B546" s="145" t="s">
        <v>76</v>
      </c>
    </row>
    <row r="547" spans="1:2" x14ac:dyDescent="0.3">
      <c r="A547" s="142" t="s">
        <v>2290</v>
      </c>
      <c r="B547" s="145" t="s">
        <v>2291</v>
      </c>
    </row>
    <row r="548" spans="1:2" x14ac:dyDescent="0.3">
      <c r="A548" s="142" t="s">
        <v>183</v>
      </c>
      <c r="B548" s="144" t="s">
        <v>90</v>
      </c>
    </row>
    <row r="549" spans="1:2" x14ac:dyDescent="0.3">
      <c r="A549" s="142" t="s">
        <v>305</v>
      </c>
      <c r="B549" s="145" t="s">
        <v>33</v>
      </c>
    </row>
    <row r="550" spans="1:2" x14ac:dyDescent="0.3">
      <c r="A550" s="142">
        <v>354</v>
      </c>
      <c r="B550" s="145" t="s">
        <v>2292</v>
      </c>
    </row>
    <row r="551" spans="1:2" x14ac:dyDescent="0.3">
      <c r="A551" s="142" t="s">
        <v>2293</v>
      </c>
      <c r="B551" s="145" t="s">
        <v>2294</v>
      </c>
    </row>
    <row r="552" spans="1:2" x14ac:dyDescent="0.3">
      <c r="A552" s="142" t="s">
        <v>2295</v>
      </c>
      <c r="B552" s="144" t="s">
        <v>2296</v>
      </c>
    </row>
    <row r="553" spans="1:2" x14ac:dyDescent="0.3">
      <c r="A553" s="142" t="s">
        <v>2297</v>
      </c>
      <c r="B553" s="144" t="s">
        <v>2298</v>
      </c>
    </row>
    <row r="554" spans="1:2" x14ac:dyDescent="0.3">
      <c r="A554" s="142" t="s">
        <v>770</v>
      </c>
      <c r="B554" s="145" t="s">
        <v>736</v>
      </c>
    </row>
    <row r="555" spans="1:2" x14ac:dyDescent="0.3">
      <c r="A555" s="142" t="s">
        <v>2299</v>
      </c>
      <c r="B555" s="145" t="s">
        <v>2300</v>
      </c>
    </row>
    <row r="556" spans="1:2" x14ac:dyDescent="0.3">
      <c r="A556" s="142" t="s">
        <v>2301</v>
      </c>
      <c r="B556" s="144" t="s">
        <v>2302</v>
      </c>
    </row>
    <row r="557" spans="1:2" x14ac:dyDescent="0.3">
      <c r="A557" s="142" t="s">
        <v>2303</v>
      </c>
      <c r="B557" s="144" t="s">
        <v>2304</v>
      </c>
    </row>
    <row r="558" spans="1:2" x14ac:dyDescent="0.3">
      <c r="A558" s="149" t="s">
        <v>317</v>
      </c>
      <c r="B558" s="145" t="s">
        <v>92</v>
      </c>
    </row>
    <row r="559" spans="1:2" x14ac:dyDescent="0.3">
      <c r="A559" s="142" t="s">
        <v>2305</v>
      </c>
      <c r="B559" s="145" t="s">
        <v>2306</v>
      </c>
    </row>
    <row r="560" spans="1:2" x14ac:dyDescent="0.3">
      <c r="A560" s="142">
        <v>358</v>
      </c>
      <c r="B560" s="145" t="s">
        <v>2307</v>
      </c>
    </row>
    <row r="561" spans="1:2" x14ac:dyDescent="0.3">
      <c r="A561" s="142" t="s">
        <v>2308</v>
      </c>
      <c r="B561" s="145" t="s">
        <v>2309</v>
      </c>
    </row>
    <row r="562" spans="1:2" x14ac:dyDescent="0.3">
      <c r="A562" s="142" t="s">
        <v>2310</v>
      </c>
      <c r="B562" s="145" t="s">
        <v>2311</v>
      </c>
    </row>
    <row r="563" spans="1:2" x14ac:dyDescent="0.3">
      <c r="A563" s="142" t="s">
        <v>2312</v>
      </c>
      <c r="B563" s="145" t="s">
        <v>2313</v>
      </c>
    </row>
    <row r="564" spans="1:2" x14ac:dyDescent="0.3">
      <c r="A564" s="142" t="s">
        <v>2314</v>
      </c>
      <c r="B564" s="144" t="s">
        <v>2315</v>
      </c>
    </row>
    <row r="565" spans="1:2" x14ac:dyDescent="0.3">
      <c r="A565" s="142" t="s">
        <v>129</v>
      </c>
      <c r="B565" s="145" t="s">
        <v>2316</v>
      </c>
    </row>
    <row r="566" spans="1:2" x14ac:dyDescent="0.3">
      <c r="A566" s="142" t="s">
        <v>314</v>
      </c>
      <c r="B566" s="145" t="s">
        <v>313</v>
      </c>
    </row>
    <row r="567" spans="1:2" x14ac:dyDescent="0.3">
      <c r="A567" s="142" t="s">
        <v>2317</v>
      </c>
      <c r="B567" s="145" t="s">
        <v>2318</v>
      </c>
    </row>
    <row r="568" spans="1:2" x14ac:dyDescent="0.3">
      <c r="A568" s="142" t="s">
        <v>2319</v>
      </c>
      <c r="B568" s="145" t="s">
        <v>2320</v>
      </c>
    </row>
    <row r="569" spans="1:2" x14ac:dyDescent="0.3">
      <c r="A569" s="142" t="s">
        <v>2321</v>
      </c>
      <c r="B569" s="145" t="s">
        <v>2322</v>
      </c>
    </row>
    <row r="570" spans="1:2" x14ac:dyDescent="0.3">
      <c r="A570" s="142" t="s">
        <v>606</v>
      </c>
      <c r="B570" s="145" t="s">
        <v>402</v>
      </c>
    </row>
    <row r="571" spans="1:2" x14ac:dyDescent="0.3">
      <c r="A571" s="142" t="s">
        <v>772</v>
      </c>
      <c r="B571" s="145" t="s">
        <v>2323</v>
      </c>
    </row>
    <row r="572" spans="1:2" x14ac:dyDescent="0.3">
      <c r="A572" s="142" t="s">
        <v>2324</v>
      </c>
      <c r="B572" s="145" t="s">
        <v>2325</v>
      </c>
    </row>
    <row r="573" spans="1:2" x14ac:dyDescent="0.3">
      <c r="A573" s="142" t="s">
        <v>2326</v>
      </c>
      <c r="B573" s="145" t="s">
        <v>2327</v>
      </c>
    </row>
    <row r="574" spans="1:2" x14ac:dyDescent="0.3">
      <c r="A574" s="142" t="s">
        <v>2328</v>
      </c>
      <c r="B574" s="145" t="s">
        <v>2329</v>
      </c>
    </row>
    <row r="575" spans="1:2" x14ac:dyDescent="0.3">
      <c r="A575" s="142" t="s">
        <v>2330</v>
      </c>
      <c r="B575" s="145" t="s">
        <v>2331</v>
      </c>
    </row>
    <row r="576" spans="1:2" x14ac:dyDescent="0.3">
      <c r="A576" s="142" t="s">
        <v>2332</v>
      </c>
      <c r="B576" s="145" t="s">
        <v>2333</v>
      </c>
    </row>
    <row r="577" spans="1:2" x14ac:dyDescent="0.3">
      <c r="A577" s="142" t="s">
        <v>2334</v>
      </c>
      <c r="B577" s="145" t="s">
        <v>2335</v>
      </c>
    </row>
    <row r="578" spans="1:2" x14ac:dyDescent="0.3">
      <c r="A578" s="142" t="s">
        <v>2336</v>
      </c>
      <c r="B578" s="145" t="s">
        <v>2337</v>
      </c>
    </row>
    <row r="579" spans="1:2" x14ac:dyDescent="0.3">
      <c r="A579" s="142" t="s">
        <v>2338</v>
      </c>
      <c r="B579" s="145" t="s">
        <v>2339</v>
      </c>
    </row>
    <row r="580" spans="1:2" x14ac:dyDescent="0.3">
      <c r="A580" s="142" t="s">
        <v>2340</v>
      </c>
      <c r="B580" s="145" t="s">
        <v>2341</v>
      </c>
    </row>
    <row r="581" spans="1:2" x14ac:dyDescent="0.3">
      <c r="A581" s="142" t="s">
        <v>2342</v>
      </c>
      <c r="B581" s="145" t="s">
        <v>2343</v>
      </c>
    </row>
    <row r="582" spans="1:2" x14ac:dyDescent="0.3">
      <c r="A582" s="142" t="s">
        <v>2344</v>
      </c>
      <c r="B582" s="145" t="s">
        <v>2345</v>
      </c>
    </row>
    <row r="583" spans="1:2" x14ac:dyDescent="0.3">
      <c r="A583" s="142" t="s">
        <v>2346</v>
      </c>
      <c r="B583" s="144" t="s">
        <v>2347</v>
      </c>
    </row>
    <row r="584" spans="1:2" x14ac:dyDescent="0.3">
      <c r="A584" s="142" t="s">
        <v>2348</v>
      </c>
      <c r="B584" s="144" t="s">
        <v>2349</v>
      </c>
    </row>
    <row r="585" spans="1:2" x14ac:dyDescent="0.3">
      <c r="A585" s="142" t="s">
        <v>2350</v>
      </c>
      <c r="B585" s="147" t="s">
        <v>2351</v>
      </c>
    </row>
    <row r="586" spans="1:2" x14ac:dyDescent="0.3">
      <c r="A586" s="142" t="s">
        <v>2352</v>
      </c>
      <c r="B586" s="145" t="s">
        <v>2353</v>
      </c>
    </row>
    <row r="587" spans="1:2" x14ac:dyDescent="0.3">
      <c r="A587" s="142" t="s">
        <v>2354</v>
      </c>
      <c r="B587" s="145" t="s">
        <v>2355</v>
      </c>
    </row>
    <row r="588" spans="1:2" x14ac:dyDescent="0.3">
      <c r="A588" s="142" t="s">
        <v>2356</v>
      </c>
      <c r="B588" s="145" t="s">
        <v>2357</v>
      </c>
    </row>
    <row r="589" spans="1:2" x14ac:dyDescent="0.3">
      <c r="A589" s="142" t="s">
        <v>2358</v>
      </c>
      <c r="B589" s="145" t="s">
        <v>2359</v>
      </c>
    </row>
    <row r="590" spans="1:2" x14ac:dyDescent="0.3">
      <c r="A590" s="142" t="s">
        <v>2360</v>
      </c>
      <c r="B590" s="145" t="s">
        <v>2361</v>
      </c>
    </row>
    <row r="591" spans="1:2" x14ac:dyDescent="0.3">
      <c r="A591" s="142" t="s">
        <v>2362</v>
      </c>
      <c r="B591" s="145" t="s">
        <v>2363</v>
      </c>
    </row>
    <row r="592" spans="1:2" x14ac:dyDescent="0.3">
      <c r="A592" s="142" t="s">
        <v>2364</v>
      </c>
      <c r="B592" s="145" t="s">
        <v>2365</v>
      </c>
    </row>
    <row r="593" spans="1:2" x14ac:dyDescent="0.3">
      <c r="A593" s="142" t="s">
        <v>2366</v>
      </c>
      <c r="B593" s="145" t="s">
        <v>2367</v>
      </c>
    </row>
    <row r="594" spans="1:2" x14ac:dyDescent="0.3">
      <c r="A594" s="142" t="s">
        <v>2368</v>
      </c>
      <c r="B594" s="145" t="s">
        <v>2369</v>
      </c>
    </row>
    <row r="595" spans="1:2" x14ac:dyDescent="0.3">
      <c r="A595" s="142" t="s">
        <v>2370</v>
      </c>
      <c r="B595" s="145" t="s">
        <v>2371</v>
      </c>
    </row>
    <row r="596" spans="1:2" x14ac:dyDescent="0.3">
      <c r="A596" s="142" t="s">
        <v>2372</v>
      </c>
      <c r="B596" s="145" t="s">
        <v>2373</v>
      </c>
    </row>
    <row r="597" spans="1:2" x14ac:dyDescent="0.3">
      <c r="A597" s="142" t="s">
        <v>2374</v>
      </c>
      <c r="B597" s="144" t="s">
        <v>2375</v>
      </c>
    </row>
    <row r="598" spans="1:2" x14ac:dyDescent="0.3">
      <c r="A598" s="142" t="s">
        <v>2376</v>
      </c>
      <c r="B598" s="144" t="s">
        <v>2377</v>
      </c>
    </row>
    <row r="599" spans="1:2" x14ac:dyDescent="0.3">
      <c r="A599" s="142" t="s">
        <v>2378</v>
      </c>
      <c r="B599" s="144" t="s">
        <v>2379</v>
      </c>
    </row>
    <row r="600" spans="1:2" x14ac:dyDescent="0.3">
      <c r="A600" s="142" t="s">
        <v>2380</v>
      </c>
      <c r="B600" s="144" t="s">
        <v>2381</v>
      </c>
    </row>
    <row r="601" spans="1:2" x14ac:dyDescent="0.3">
      <c r="A601" s="142" t="s">
        <v>2382</v>
      </c>
      <c r="B601" s="145" t="s">
        <v>2383</v>
      </c>
    </row>
    <row r="602" spans="1:2" x14ac:dyDescent="0.3">
      <c r="A602" s="142" t="s">
        <v>214</v>
      </c>
      <c r="B602" s="145" t="s">
        <v>80</v>
      </c>
    </row>
    <row r="603" spans="1:2" x14ac:dyDescent="0.3">
      <c r="A603" s="142" t="s">
        <v>318</v>
      </c>
      <c r="B603" s="145" t="s">
        <v>94</v>
      </c>
    </row>
    <row r="604" spans="1:2" x14ac:dyDescent="0.3">
      <c r="A604" s="142" t="s">
        <v>2384</v>
      </c>
      <c r="B604" s="145" t="s">
        <v>2385</v>
      </c>
    </row>
    <row r="605" spans="1:2" x14ac:dyDescent="0.3">
      <c r="A605" s="142" t="s">
        <v>2386</v>
      </c>
      <c r="B605" s="145" t="s">
        <v>2387</v>
      </c>
    </row>
    <row r="606" spans="1:2" x14ac:dyDescent="0.3">
      <c r="A606" s="142" t="s">
        <v>2388</v>
      </c>
      <c r="B606" s="145" t="s">
        <v>2389</v>
      </c>
    </row>
    <row r="607" spans="1:2" x14ac:dyDescent="0.3">
      <c r="A607" s="142" t="s">
        <v>2390</v>
      </c>
      <c r="B607" s="145" t="s">
        <v>2391</v>
      </c>
    </row>
    <row r="608" spans="1:2" x14ac:dyDescent="0.3">
      <c r="A608" s="142" t="s">
        <v>2392</v>
      </c>
      <c r="B608" s="145" t="s">
        <v>2393</v>
      </c>
    </row>
    <row r="609" spans="1:2" x14ac:dyDescent="0.3">
      <c r="A609" s="142" t="s">
        <v>144</v>
      </c>
      <c r="B609" s="145" t="s">
        <v>398</v>
      </c>
    </row>
    <row r="610" spans="1:2" x14ac:dyDescent="0.3">
      <c r="A610" s="142" t="s">
        <v>315</v>
      </c>
      <c r="B610" s="145" t="s">
        <v>83</v>
      </c>
    </row>
    <row r="611" spans="1:2" x14ac:dyDescent="0.3">
      <c r="A611" s="142" t="s">
        <v>125</v>
      </c>
      <c r="B611" s="145" t="s">
        <v>124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95408-B155-47B8-BDC8-9244698508F4}">
  <dimension ref="A2:M37"/>
  <sheetViews>
    <sheetView view="pageBreakPreview" zoomScale="60" zoomScaleNormal="100" workbookViewId="0">
      <selection activeCell="M33" sqref="M33"/>
    </sheetView>
  </sheetViews>
  <sheetFormatPr defaultColWidth="8.85546875" defaultRowHeight="12.75" x14ac:dyDescent="0.2"/>
  <cols>
    <col min="1" max="1" width="8.85546875" style="368"/>
    <col min="2" max="2" width="15.7109375" style="389" customWidth="1"/>
    <col min="3" max="3" width="27.28515625" style="389" customWidth="1"/>
    <col min="4" max="4" width="25.7109375" style="389" customWidth="1"/>
    <col min="5" max="5" width="16.85546875" style="406" customWidth="1"/>
    <col min="6" max="6" width="19" style="406" customWidth="1"/>
    <col min="7" max="7" width="19.85546875" style="391" customWidth="1"/>
    <col min="8" max="8" width="19.42578125" style="391" customWidth="1"/>
    <col min="9" max="9" width="17.5703125" style="391" customWidth="1"/>
    <col min="10" max="10" width="19.5703125" style="391" customWidth="1"/>
    <col min="11" max="11" width="21" style="391" customWidth="1"/>
    <col min="12" max="12" width="31" style="391" customWidth="1"/>
    <col min="13" max="13" width="29.28515625" style="355" customWidth="1"/>
    <col min="14" max="14" width="8.85546875" style="368"/>
    <col min="15" max="15" width="31.28515625" style="368" customWidth="1"/>
    <col min="16" max="20" width="8.85546875" style="368"/>
    <col min="21" max="21" width="23.7109375" style="368" customWidth="1"/>
    <col min="22" max="29" width="8.85546875" style="368"/>
    <col min="30" max="30" width="30.7109375" style="368" customWidth="1"/>
    <col min="31" max="16384" width="8.85546875" style="368"/>
  </cols>
  <sheetData>
    <row r="2" spans="2:13" x14ac:dyDescent="0.2">
      <c r="B2" s="388" t="s">
        <v>19</v>
      </c>
      <c r="E2" s="389"/>
      <c r="F2" s="389"/>
      <c r="G2" s="390"/>
    </row>
    <row r="3" spans="2:13" s="395" customFormat="1" ht="14.25" x14ac:dyDescent="0.25">
      <c r="B3" s="392" t="s">
        <v>20</v>
      </c>
      <c r="C3" s="392" t="s">
        <v>4</v>
      </c>
      <c r="D3" s="392" t="s">
        <v>21</v>
      </c>
      <c r="E3" s="392" t="s">
        <v>22</v>
      </c>
      <c r="F3" s="392" t="s">
        <v>23</v>
      </c>
      <c r="G3" s="392" t="s">
        <v>24</v>
      </c>
      <c r="H3" s="393" t="s">
        <v>25</v>
      </c>
      <c r="I3" s="392" t="s">
        <v>26</v>
      </c>
      <c r="J3" s="394" t="s">
        <v>27</v>
      </c>
      <c r="K3" s="392" t="s">
        <v>28</v>
      </c>
      <c r="L3" s="392" t="s">
        <v>29</v>
      </c>
      <c r="M3" s="392" t="s">
        <v>30</v>
      </c>
    </row>
    <row r="4" spans="2:13" x14ac:dyDescent="0.2">
      <c r="B4" s="396" t="s">
        <v>31</v>
      </c>
      <c r="C4" s="396" t="s">
        <v>32</v>
      </c>
      <c r="D4" s="396" t="s">
        <v>33</v>
      </c>
      <c r="E4" s="396" t="str">
        <f>INDEX('DEQ Pollutant List'!$A$7:$A$611, MATCH(D4, 'DEQ Pollutant List'!$B$7:$B$611,0))</f>
        <v>7440-22-4</v>
      </c>
      <c r="F4" s="396" t="str">
        <f>IF(ISNUMBER(MATCH(E4, 'DEQ Pollutant List'!A:A, 0)), "Yes", "No")</f>
        <v>Yes</v>
      </c>
      <c r="G4" s="397" t="s">
        <v>34</v>
      </c>
      <c r="H4" s="398">
        <f>0.05/2</f>
        <v>2.5000000000000001E-2</v>
      </c>
      <c r="I4" s="399">
        <f t="shared" ref="I4:I15" si="0">H4/$C$34/100</f>
        <v>2.5000000000000002E-8</v>
      </c>
      <c r="J4" s="398" t="s">
        <v>34</v>
      </c>
      <c r="K4" s="398">
        <f>0.05/2</f>
        <v>2.5000000000000001E-2</v>
      </c>
      <c r="L4" s="400">
        <f t="shared" ref="L4:L15" si="1">K4/$C$34/100</f>
        <v>2.5000000000000002E-8</v>
      </c>
      <c r="M4" s="401">
        <f>MAX(I4,L4)</f>
        <v>2.5000000000000002E-8</v>
      </c>
    </row>
    <row r="5" spans="2:13" x14ac:dyDescent="0.2">
      <c r="B5" s="396" t="s">
        <v>35</v>
      </c>
      <c r="C5" s="396" t="s">
        <v>32</v>
      </c>
      <c r="D5" s="396" t="s">
        <v>36</v>
      </c>
      <c r="E5" s="396" t="str">
        <f>INDEX('DEQ Pollutant List'!$A$7:$A$611, MATCH(D5, 'DEQ Pollutant List'!$B$7:$B$611,0))</f>
        <v>7429-90-5</v>
      </c>
      <c r="F5" s="396" t="str">
        <f>IF(ISNUMBER(MATCH(E5, 'DEQ Pollutant List'!A:A, 0)), "Yes", "No")</f>
        <v>Yes</v>
      </c>
      <c r="G5" s="397">
        <v>62446</v>
      </c>
      <c r="H5" s="398">
        <f t="shared" ref="H5:H9" si="2">IF(ISNUMBER(G5),G5,FALSE)</f>
        <v>62446</v>
      </c>
      <c r="I5" s="399">
        <f t="shared" si="0"/>
        <v>6.2446000000000002E-2</v>
      </c>
      <c r="J5" s="398">
        <v>63725</v>
      </c>
      <c r="K5" s="398">
        <f t="shared" ref="K5:K9" si="3">IF(ISNUMBER(J5),J5,FALSE)</f>
        <v>63725</v>
      </c>
      <c r="L5" s="400">
        <f t="shared" si="1"/>
        <v>6.372499999999999E-2</v>
      </c>
      <c r="M5" s="401">
        <f t="shared" ref="M5:M30" si="4">MAX(I5,L5)</f>
        <v>6.372499999999999E-2</v>
      </c>
    </row>
    <row r="6" spans="2:13" x14ac:dyDescent="0.2">
      <c r="B6" s="396" t="s">
        <v>37</v>
      </c>
      <c r="C6" s="396" t="s">
        <v>32</v>
      </c>
      <c r="D6" s="396" t="s">
        <v>38</v>
      </c>
      <c r="E6" s="396" t="str">
        <f>INDEX('DEQ Pollutant List'!$A$7:$A$611, MATCH(D6, 'DEQ Pollutant List'!$B$7:$B$611,0))</f>
        <v>7440-38-2</v>
      </c>
      <c r="F6" s="396" t="str">
        <f>IF(ISNUMBER(MATCH(E6, 'DEQ Pollutant List'!A:A, 0)), "Yes", "No")</f>
        <v>Yes</v>
      </c>
      <c r="G6" s="397">
        <v>2.6</v>
      </c>
      <c r="H6" s="398">
        <f t="shared" si="2"/>
        <v>2.6</v>
      </c>
      <c r="I6" s="399">
        <f t="shared" si="0"/>
        <v>2.6000000000000005E-6</v>
      </c>
      <c r="J6" s="398">
        <v>1.4</v>
      </c>
      <c r="K6" s="398">
        <f t="shared" si="3"/>
        <v>1.4</v>
      </c>
      <c r="L6" s="400">
        <f t="shared" si="1"/>
        <v>1.3999999999999999E-6</v>
      </c>
      <c r="M6" s="401">
        <f t="shared" si="4"/>
        <v>2.6000000000000005E-6</v>
      </c>
    </row>
    <row r="7" spans="2:13" x14ac:dyDescent="0.2">
      <c r="B7" s="396" t="s">
        <v>39</v>
      </c>
      <c r="C7" s="396" t="s">
        <v>32</v>
      </c>
      <c r="D7" s="396" t="s">
        <v>40</v>
      </c>
      <c r="E7" s="396" t="str">
        <f>INDEX('DEQ Pollutant List'!$A$7:$A$611, MATCH(D7, 'DEQ Pollutant List'!$B$7:$B$611,0))</f>
        <v>7440-39-3</v>
      </c>
      <c r="F7" s="396" t="str">
        <f>IF(ISNUMBER(MATCH(E7, 'DEQ Pollutant List'!A:A, 0)), "Yes", "No")</f>
        <v>Yes</v>
      </c>
      <c r="G7" s="397">
        <v>278</v>
      </c>
      <c r="H7" s="398">
        <f t="shared" si="2"/>
        <v>278</v>
      </c>
      <c r="I7" s="399">
        <f t="shared" si="0"/>
        <v>2.7799999999999998E-4</v>
      </c>
      <c r="J7" s="398">
        <v>280</v>
      </c>
      <c r="K7" s="398">
        <f t="shared" si="3"/>
        <v>280</v>
      </c>
      <c r="L7" s="400">
        <f t="shared" si="1"/>
        <v>2.8000000000000003E-4</v>
      </c>
      <c r="M7" s="401">
        <f t="shared" si="4"/>
        <v>2.8000000000000003E-4</v>
      </c>
    </row>
    <row r="8" spans="2:13" x14ac:dyDescent="0.2">
      <c r="B8" s="396" t="s">
        <v>41</v>
      </c>
      <c r="C8" s="396" t="s">
        <v>32</v>
      </c>
      <c r="D8" s="396" t="s">
        <v>42</v>
      </c>
      <c r="E8" s="396" t="str">
        <f>INDEX('DEQ Pollutant List'!$A$7:$A$611, MATCH(D8, 'DEQ Pollutant List'!$B$7:$B$611,0))</f>
        <v>7440-41-7</v>
      </c>
      <c r="F8" s="396" t="str">
        <f>IF(ISNUMBER(MATCH(E8, 'DEQ Pollutant List'!A:A, 0)), "Yes", "No")</f>
        <v>Yes</v>
      </c>
      <c r="G8" s="397">
        <v>3.03</v>
      </c>
      <c r="H8" s="398">
        <f t="shared" si="2"/>
        <v>3.03</v>
      </c>
      <c r="I8" s="399">
        <f t="shared" si="0"/>
        <v>3.0299999999999998E-6</v>
      </c>
      <c r="J8" s="398">
        <v>3.06</v>
      </c>
      <c r="K8" s="398">
        <f t="shared" si="3"/>
        <v>3.06</v>
      </c>
      <c r="L8" s="400">
        <f t="shared" si="1"/>
        <v>3.0599999999999999E-6</v>
      </c>
      <c r="M8" s="401">
        <f t="shared" si="4"/>
        <v>3.0599999999999999E-6</v>
      </c>
    </row>
    <row r="9" spans="2:13" x14ac:dyDescent="0.2">
      <c r="B9" s="396" t="s">
        <v>43</v>
      </c>
      <c r="C9" s="396" t="s">
        <v>32</v>
      </c>
      <c r="D9" s="396" t="s">
        <v>44</v>
      </c>
      <c r="E9" s="396" t="str">
        <f>INDEX('DEQ Pollutant List'!$A$7:$A$611, MATCH(D9, 'DEQ Pollutant List'!$B$7:$B$611,0))</f>
        <v>7440-43-9</v>
      </c>
      <c r="F9" s="396" t="str">
        <f>IF(ISNUMBER(MATCH(E9, 'DEQ Pollutant List'!A:A, 0)), "Yes", "No")</f>
        <v>Yes</v>
      </c>
      <c r="G9" s="397">
        <v>0.08</v>
      </c>
      <c r="H9" s="398">
        <f t="shared" si="2"/>
        <v>0.08</v>
      </c>
      <c r="I9" s="399">
        <f t="shared" si="0"/>
        <v>8.0000000000000002E-8</v>
      </c>
      <c r="J9" s="398">
        <v>7.0000000000000007E-2</v>
      </c>
      <c r="K9" s="398">
        <f t="shared" si="3"/>
        <v>7.0000000000000007E-2</v>
      </c>
      <c r="L9" s="400">
        <f t="shared" si="1"/>
        <v>7.0000000000000005E-8</v>
      </c>
      <c r="M9" s="401">
        <f t="shared" si="4"/>
        <v>8.0000000000000002E-8</v>
      </c>
    </row>
    <row r="10" spans="2:13" x14ac:dyDescent="0.2">
      <c r="B10" s="396" t="s">
        <v>45</v>
      </c>
      <c r="C10" s="396" t="s">
        <v>32</v>
      </c>
      <c r="D10" s="396" t="s">
        <v>46</v>
      </c>
      <c r="E10" s="396" t="str">
        <f>INDEX('DEQ Pollutant List'!$A$7:$A$611, MATCH(D10, 'DEQ Pollutant List'!$B$7:$B$611,0))</f>
        <v>7440-48-4</v>
      </c>
      <c r="F10" s="396" t="str">
        <f>IF(ISNUMBER(MATCH(E10, 'DEQ Pollutant List'!A:A, 0)), "Yes", "No")</f>
        <v>Yes</v>
      </c>
      <c r="G10" s="397" t="s">
        <v>47</v>
      </c>
      <c r="H10" s="398">
        <f>0.2/2</f>
        <v>0.1</v>
      </c>
      <c r="I10" s="399">
        <f t="shared" si="0"/>
        <v>1.0000000000000001E-7</v>
      </c>
      <c r="J10" s="398" t="s">
        <v>47</v>
      </c>
      <c r="K10" s="398">
        <f>0.2/2</f>
        <v>0.1</v>
      </c>
      <c r="L10" s="400">
        <f t="shared" si="1"/>
        <v>1.0000000000000001E-7</v>
      </c>
      <c r="M10" s="401">
        <f t="shared" si="4"/>
        <v>1.0000000000000001E-7</v>
      </c>
    </row>
    <row r="11" spans="2:13" x14ac:dyDescent="0.2">
      <c r="B11" s="396" t="s">
        <v>48</v>
      </c>
      <c r="C11" s="396" t="s">
        <v>32</v>
      </c>
      <c r="D11" s="396" t="s">
        <v>49</v>
      </c>
      <c r="E11" s="396" t="str">
        <f>INDEX('DEQ Pollutant List'!$A$7:$A$611, MATCH(D11, 'DEQ Pollutant List'!$B$7:$B$611,0))</f>
        <v>7440-50-8</v>
      </c>
      <c r="F11" s="396" t="str">
        <f>IF(ISNUMBER(MATCH(E11, 'DEQ Pollutant List'!A:A, 0)), "Yes", "No")</f>
        <v>Yes</v>
      </c>
      <c r="G11" s="397">
        <v>5.2</v>
      </c>
      <c r="H11" s="398">
        <f t="shared" ref="H11:H23" si="5">IF(ISNUMBER(G11),G11,FALSE)</f>
        <v>5.2</v>
      </c>
      <c r="I11" s="399">
        <f t="shared" si="0"/>
        <v>5.200000000000001E-6</v>
      </c>
      <c r="J11" s="398">
        <v>3.6</v>
      </c>
      <c r="K11" s="398">
        <f>IF(ISNUMBER(J11),J11,FALSE)</f>
        <v>3.6</v>
      </c>
      <c r="L11" s="400">
        <f t="shared" si="1"/>
        <v>3.6000000000000003E-6</v>
      </c>
      <c r="M11" s="401">
        <f t="shared" si="4"/>
        <v>5.200000000000001E-6</v>
      </c>
    </row>
    <row r="12" spans="2:13" x14ac:dyDescent="0.2">
      <c r="B12" s="396" t="s">
        <v>50</v>
      </c>
      <c r="C12" s="396" t="s">
        <v>32</v>
      </c>
      <c r="D12" s="396" t="s">
        <v>51</v>
      </c>
      <c r="E12" s="396" t="s">
        <v>52</v>
      </c>
      <c r="F12" s="396" t="str">
        <f>IF(ISNUMBER(MATCH(E12, 'DEQ Pollutant List'!A:A, 0)), "Yes", "No")</f>
        <v>No</v>
      </c>
      <c r="G12" s="397">
        <v>113.8</v>
      </c>
      <c r="H12" s="398">
        <f>IF(ISNUMBER(G12),G12,FALSE)</f>
        <v>113.8</v>
      </c>
      <c r="I12" s="402">
        <f t="shared" si="0"/>
        <v>1.138E-4</v>
      </c>
      <c r="J12" s="398">
        <v>78.3</v>
      </c>
      <c r="K12" s="398">
        <f>IF(ISNUMBER(J12),J12,FALSE)</f>
        <v>78.3</v>
      </c>
      <c r="L12" s="402">
        <f t="shared" si="1"/>
        <v>7.8300000000000006E-5</v>
      </c>
      <c r="M12" s="401">
        <f>MAX(I12,L12)</f>
        <v>1.138E-4</v>
      </c>
    </row>
    <row r="13" spans="2:13" x14ac:dyDescent="0.2">
      <c r="B13" s="396" t="s">
        <v>53</v>
      </c>
      <c r="C13" s="396" t="s">
        <v>32</v>
      </c>
      <c r="D13" s="396" t="s">
        <v>54</v>
      </c>
      <c r="E13" s="396" t="s">
        <v>55</v>
      </c>
      <c r="F13" s="396" t="str">
        <f>IF(ISNUMBER(MATCH(E13, 'DEQ Pollutant List'!A:A, 0)), "Yes", "No")</f>
        <v>Yes</v>
      </c>
      <c r="G13" s="397">
        <f>0.07*G12</f>
        <v>7.9660000000000002</v>
      </c>
      <c r="H13" s="398">
        <f>IF(ISNUMBER(G13),G13,FALSE)</f>
        <v>7.9660000000000002</v>
      </c>
      <c r="I13" s="399">
        <f t="shared" si="0"/>
        <v>7.9660000000000013E-6</v>
      </c>
      <c r="J13" s="398">
        <f>0.07*79</f>
        <v>5.53</v>
      </c>
      <c r="K13" s="398">
        <f>IF(ISNUMBER(J13),J13,FALSE)</f>
        <v>5.53</v>
      </c>
      <c r="L13" s="400">
        <f t="shared" si="1"/>
        <v>5.5299999999999996E-6</v>
      </c>
      <c r="M13" s="401">
        <f>MAX(I13,L13)</f>
        <v>7.9660000000000013E-6</v>
      </c>
    </row>
    <row r="14" spans="2:13" x14ac:dyDescent="0.2">
      <c r="B14" s="396" t="s">
        <v>56</v>
      </c>
      <c r="C14" s="396" t="s">
        <v>32</v>
      </c>
      <c r="D14" s="396" t="s">
        <v>57</v>
      </c>
      <c r="E14" s="396" t="str">
        <f>INDEX('DEQ Pollutant List'!$A$7:$A$611, MATCH(D14, 'DEQ Pollutant List'!$B$7:$B$611,0))</f>
        <v>7439-97-6</v>
      </c>
      <c r="F14" s="396" t="str">
        <f>IF(ISNUMBER(MATCH(E14, 'DEQ Pollutant List'!A:A, 0)), "Yes", "No")</f>
        <v>Yes</v>
      </c>
      <c r="G14" s="397">
        <v>0.02</v>
      </c>
      <c r="H14" s="398">
        <f t="shared" si="5"/>
        <v>0.02</v>
      </c>
      <c r="I14" s="399">
        <f t="shared" si="0"/>
        <v>2E-8</v>
      </c>
      <c r="J14" s="398" t="s">
        <v>58</v>
      </c>
      <c r="K14" s="398">
        <f>0.01/2</f>
        <v>5.0000000000000001E-3</v>
      </c>
      <c r="L14" s="400">
        <f t="shared" si="1"/>
        <v>5.0000000000000001E-9</v>
      </c>
      <c r="M14" s="401">
        <f t="shared" si="4"/>
        <v>2E-8</v>
      </c>
    </row>
    <row r="15" spans="2:13" x14ac:dyDescent="0.2">
      <c r="B15" s="396" t="s">
        <v>59</v>
      </c>
      <c r="C15" s="396" t="s">
        <v>32</v>
      </c>
      <c r="D15" s="396" t="s">
        <v>60</v>
      </c>
      <c r="E15" s="396" t="str">
        <f>INDEX('DEQ Pollutant List'!$A$7:$A$611, MATCH(D15, 'DEQ Pollutant List'!$B$7:$B$611,0))</f>
        <v>7439-96-5</v>
      </c>
      <c r="F15" s="396" t="str">
        <f>IF(ISNUMBER(MATCH(E15, 'DEQ Pollutant List'!A:A, 0)), "Yes", "No")</f>
        <v>Yes</v>
      </c>
      <c r="G15" s="397">
        <v>503</v>
      </c>
      <c r="H15" s="398">
        <f t="shared" si="5"/>
        <v>503</v>
      </c>
      <c r="I15" s="399">
        <f t="shared" si="0"/>
        <v>5.0299999999999997E-4</v>
      </c>
      <c r="J15" s="398">
        <v>503</v>
      </c>
      <c r="K15" s="398">
        <f t="shared" ref="K15:K23" si="6">IF(ISNUMBER(J15),J15,FALSE)</f>
        <v>503</v>
      </c>
      <c r="L15" s="400">
        <f t="shared" si="1"/>
        <v>5.0299999999999997E-4</v>
      </c>
      <c r="M15" s="401">
        <f t="shared" si="4"/>
        <v>5.0299999999999997E-4</v>
      </c>
    </row>
    <row r="16" spans="2:13" x14ac:dyDescent="0.2">
      <c r="B16" s="396" t="s">
        <v>61</v>
      </c>
      <c r="C16" s="396" t="s">
        <v>32</v>
      </c>
      <c r="D16" s="396" t="s">
        <v>62</v>
      </c>
      <c r="E16" s="396" t="s">
        <v>63</v>
      </c>
      <c r="F16" s="396" t="str">
        <f>IF(ISNUMBER(MATCH(E16, 'DEQ Pollutant List'!A:A, 0)), "Yes", "No")</f>
        <v>No</v>
      </c>
      <c r="G16" s="397">
        <v>3.7</v>
      </c>
      <c r="H16" s="398">
        <f>IF(ISNUMBER(G16),G16,FALSE)</f>
        <v>3.7</v>
      </c>
      <c r="I16" s="402">
        <f>(H16*(143.94/95.95))/$C$34/100</f>
        <v>5.5505784262636798E-6</v>
      </c>
      <c r="J16" s="398">
        <v>3.2</v>
      </c>
      <c r="K16" s="398">
        <f>IF(ISNUMBER(J16),J16,FALSE)</f>
        <v>3.2</v>
      </c>
      <c r="L16" s="402">
        <f>(K16*(143.94/95.95))/$C$34/100</f>
        <v>4.8005002605523711E-6</v>
      </c>
      <c r="M16" s="401">
        <f>MAX(I16,L16)</f>
        <v>5.5505784262636798E-6</v>
      </c>
    </row>
    <row r="17" spans="2:13" x14ac:dyDescent="0.2">
      <c r="B17" s="396" t="s">
        <v>64</v>
      </c>
      <c r="C17" s="396" t="s">
        <v>32</v>
      </c>
      <c r="D17" s="396" t="s">
        <v>65</v>
      </c>
      <c r="E17" s="396" t="s">
        <v>66</v>
      </c>
      <c r="F17" s="396" t="str">
        <f>IF(ISNUMBER(MATCH(E17, 'DEQ Pollutant List'!A:A, 0)), "Yes", "No")</f>
        <v>Yes</v>
      </c>
      <c r="G17" s="398">
        <f>G16*(143.94/85.95)</f>
        <v>6.196369982547993</v>
      </c>
      <c r="H17" s="398">
        <f>IF(ISNUMBER(G17),G17,FALSE)</f>
        <v>6.196369982547993</v>
      </c>
      <c r="I17" s="404">
        <f>(H17*(143.94/95.95))/$C$34/100</f>
        <v>9.295523661156416E-6</v>
      </c>
      <c r="J17" s="398">
        <f>J16*(143.94/85.95)</f>
        <v>5.359022687609075</v>
      </c>
      <c r="K17" s="398">
        <f>IF(ISNUMBER(J17),J17,FALSE)</f>
        <v>5.359022687609075</v>
      </c>
      <c r="L17" s="405">
        <f>(K17*(143.94/95.95))/$C$34/100</f>
        <v>8.0393718150541978E-6</v>
      </c>
      <c r="M17" s="401">
        <f>MAX(I17,L17)</f>
        <v>9.295523661156416E-6</v>
      </c>
    </row>
    <row r="18" spans="2:13" x14ac:dyDescent="0.2">
      <c r="B18" s="396" t="s">
        <v>67</v>
      </c>
      <c r="C18" s="396" t="s">
        <v>32</v>
      </c>
      <c r="D18" s="396" t="s">
        <v>68</v>
      </c>
      <c r="E18" s="396" t="str">
        <f>INDEX('DEQ Pollutant List'!$A$7:$A$611, MATCH(D18, 'DEQ Pollutant List'!$B$7:$B$611,0))</f>
        <v>7440-02-0</v>
      </c>
      <c r="F18" s="396" t="str">
        <f>IF(ISNUMBER(MATCH(E18, 'DEQ Pollutant List'!A:A, 0)), "Yes", "No")</f>
        <v>Yes</v>
      </c>
      <c r="G18" s="397">
        <v>2</v>
      </c>
      <c r="H18" s="398">
        <f t="shared" si="5"/>
        <v>2</v>
      </c>
      <c r="I18" s="399">
        <f t="shared" ref="I18:I25" si="7">H18/$C$34/100</f>
        <v>1.9999999999999999E-6</v>
      </c>
      <c r="J18" s="398">
        <v>1.3</v>
      </c>
      <c r="K18" s="398">
        <f t="shared" si="6"/>
        <v>1.3</v>
      </c>
      <c r="L18" s="400">
        <f t="shared" ref="L18:L25" si="8">K18/$C$34/100</f>
        <v>1.3000000000000003E-6</v>
      </c>
      <c r="M18" s="401">
        <f t="shared" si="4"/>
        <v>1.9999999999999999E-6</v>
      </c>
    </row>
    <row r="19" spans="2:13" x14ac:dyDescent="0.2">
      <c r="B19" s="396" t="s">
        <v>69</v>
      </c>
      <c r="C19" s="396" t="s">
        <v>32</v>
      </c>
      <c r="D19" s="396" t="s">
        <v>70</v>
      </c>
      <c r="E19" s="396">
        <f>INDEX('DEQ Pollutant List'!$A$7:$A$611, MATCH(D19, 'DEQ Pollutant List'!$B$7:$B$611,0))</f>
        <v>504</v>
      </c>
      <c r="F19" s="396" t="str">
        <f>IF(ISNUMBER(MATCH(E19, 'DEQ Pollutant List'!A:A, 0)), "Yes", "No")</f>
        <v>Yes</v>
      </c>
      <c r="G19" s="397">
        <v>33</v>
      </c>
      <c r="H19" s="398">
        <f t="shared" si="5"/>
        <v>33</v>
      </c>
      <c r="I19" s="399">
        <f t="shared" si="7"/>
        <v>3.3000000000000003E-5</v>
      </c>
      <c r="J19" s="398">
        <v>25</v>
      </c>
      <c r="K19" s="398">
        <f t="shared" si="6"/>
        <v>25</v>
      </c>
      <c r="L19" s="400">
        <f t="shared" si="8"/>
        <v>2.5000000000000001E-5</v>
      </c>
      <c r="M19" s="401">
        <f t="shared" si="4"/>
        <v>3.3000000000000003E-5</v>
      </c>
    </row>
    <row r="20" spans="2:13" x14ac:dyDescent="0.2">
      <c r="B20" s="396" t="s">
        <v>71</v>
      </c>
      <c r="C20" s="396" t="s">
        <v>32</v>
      </c>
      <c r="D20" s="396" t="s">
        <v>72</v>
      </c>
      <c r="E20" s="396" t="str">
        <f>INDEX('DEQ Pollutant List'!$A$7:$A$611, MATCH(D20, 'DEQ Pollutant List'!$B$7:$B$611,0))</f>
        <v>7439-92-1</v>
      </c>
      <c r="F20" s="396" t="str">
        <f>IF(ISNUMBER(MATCH(E20, 'DEQ Pollutant List'!A:A, 0)), "Yes", "No")</f>
        <v>Yes</v>
      </c>
      <c r="G20" s="397">
        <v>25</v>
      </c>
      <c r="H20" s="398">
        <f t="shared" si="5"/>
        <v>25</v>
      </c>
      <c r="I20" s="399">
        <f t="shared" si="7"/>
        <v>2.5000000000000001E-5</v>
      </c>
      <c r="J20" s="398">
        <v>24</v>
      </c>
      <c r="K20" s="398">
        <f t="shared" si="6"/>
        <v>24</v>
      </c>
      <c r="L20" s="400">
        <f t="shared" si="8"/>
        <v>2.3999999999999997E-5</v>
      </c>
      <c r="M20" s="401">
        <f t="shared" si="4"/>
        <v>2.5000000000000001E-5</v>
      </c>
    </row>
    <row r="21" spans="2:13" x14ac:dyDescent="0.2">
      <c r="B21" s="396" t="s">
        <v>73</v>
      </c>
      <c r="C21" s="396" t="s">
        <v>32</v>
      </c>
      <c r="D21" s="396" t="s">
        <v>74</v>
      </c>
      <c r="E21" s="396" t="str">
        <f>INDEX('DEQ Pollutant List'!$A$7:$A$611, MATCH(D21, 'DEQ Pollutant List'!$B$7:$B$611,0))</f>
        <v>7440-36-0</v>
      </c>
      <c r="F21" s="396" t="str">
        <f>IF(ISNUMBER(MATCH(E21, 'DEQ Pollutant List'!A:A, 0)), "Yes", "No")</f>
        <v>Yes</v>
      </c>
      <c r="G21" s="397">
        <v>0.37</v>
      </c>
      <c r="H21" s="398">
        <f t="shared" si="5"/>
        <v>0.37</v>
      </c>
      <c r="I21" s="399">
        <f t="shared" si="7"/>
        <v>3.7E-7</v>
      </c>
      <c r="J21" s="398">
        <v>0.22</v>
      </c>
      <c r="K21" s="398">
        <f t="shared" si="6"/>
        <v>0.22</v>
      </c>
      <c r="L21" s="400">
        <f t="shared" si="8"/>
        <v>2.1999999999999998E-7</v>
      </c>
      <c r="M21" s="401">
        <f t="shared" si="4"/>
        <v>3.7E-7</v>
      </c>
    </row>
    <row r="22" spans="2:13" x14ac:dyDescent="0.2">
      <c r="B22" s="396" t="s">
        <v>75</v>
      </c>
      <c r="C22" s="396" t="s">
        <v>32</v>
      </c>
      <c r="D22" s="396" t="s">
        <v>76</v>
      </c>
      <c r="E22" s="396" t="str">
        <f>INDEX('DEQ Pollutant List'!$A$7:$A$611, MATCH(D22, 'DEQ Pollutant List'!$B$7:$B$611,0))</f>
        <v>7782-49-2</v>
      </c>
      <c r="F22" s="396" t="str">
        <f>IF(ISNUMBER(MATCH(E22, 'DEQ Pollutant List'!A:A, 0)), "Yes", "No")</f>
        <v>Yes</v>
      </c>
      <c r="G22" s="397">
        <v>0.19</v>
      </c>
      <c r="H22" s="398">
        <f t="shared" si="5"/>
        <v>0.19</v>
      </c>
      <c r="I22" s="399">
        <f t="shared" si="7"/>
        <v>1.9000000000000001E-7</v>
      </c>
      <c r="J22" s="398">
        <v>0.15</v>
      </c>
      <c r="K22" s="398">
        <f t="shared" si="6"/>
        <v>0.15</v>
      </c>
      <c r="L22" s="400">
        <f t="shared" si="8"/>
        <v>1.4999999999999999E-7</v>
      </c>
      <c r="M22" s="401">
        <f t="shared" si="4"/>
        <v>1.9000000000000001E-7</v>
      </c>
    </row>
    <row r="23" spans="2:13" s="355" customFormat="1" x14ac:dyDescent="0.2">
      <c r="B23" s="396" t="s">
        <v>77</v>
      </c>
      <c r="C23" s="396" t="s">
        <v>32</v>
      </c>
      <c r="D23" s="396" t="s">
        <v>78</v>
      </c>
      <c r="E23" s="396" t="str">
        <f>INDEX('DEQ Pollutant List'!$A$7:$A$611, MATCH(D23, 'DEQ Pollutant List'!$B$7:$B$611,0))</f>
        <v>7440-28-0</v>
      </c>
      <c r="F23" s="396" t="str">
        <f>IF(ISNUMBER(MATCH(E23, 'DEQ Pollutant List'!A:A, 0)), "Yes", "No")</f>
        <v>Yes</v>
      </c>
      <c r="G23" s="397">
        <v>0.439</v>
      </c>
      <c r="H23" s="398">
        <f t="shared" si="5"/>
        <v>0.439</v>
      </c>
      <c r="I23" s="399">
        <f t="shared" si="7"/>
        <v>4.3900000000000005E-7</v>
      </c>
      <c r="J23" s="398">
        <v>0.42599999999999999</v>
      </c>
      <c r="K23" s="398">
        <f t="shared" si="6"/>
        <v>0.42599999999999999</v>
      </c>
      <c r="L23" s="400">
        <f t="shared" si="8"/>
        <v>4.2599999999999998E-7</v>
      </c>
      <c r="M23" s="401">
        <f t="shared" si="4"/>
        <v>4.3900000000000005E-7</v>
      </c>
    </row>
    <row r="24" spans="2:13" s="403" customFormat="1" x14ac:dyDescent="0.2">
      <c r="B24" s="396" t="s">
        <v>79</v>
      </c>
      <c r="C24" s="396" t="s">
        <v>32</v>
      </c>
      <c r="D24" s="396" t="s">
        <v>80</v>
      </c>
      <c r="E24" s="396" t="str">
        <f>INDEX('DEQ Pollutant List'!$A$7:$A$611, MATCH(D24, 'DEQ Pollutant List'!$B$7:$B$611,0))</f>
        <v>7440-62-2</v>
      </c>
      <c r="F24" s="396" t="str">
        <f>IF(ISNUMBER(MATCH(E24, 'DEQ Pollutant List'!A:A, 0)), "Yes", "No")</f>
        <v>Yes</v>
      </c>
      <c r="G24" s="397" t="s">
        <v>81</v>
      </c>
      <c r="H24" s="398">
        <f>3/2</f>
        <v>1.5</v>
      </c>
      <c r="I24" s="399">
        <f t="shared" si="7"/>
        <v>1.4999999999999998E-6</v>
      </c>
      <c r="J24" s="398" t="s">
        <v>81</v>
      </c>
      <c r="K24" s="398">
        <f>3/2</f>
        <v>1.5</v>
      </c>
      <c r="L24" s="400">
        <f t="shared" si="8"/>
        <v>1.4999999999999998E-6</v>
      </c>
      <c r="M24" s="401">
        <f t="shared" si="4"/>
        <v>1.4999999999999998E-6</v>
      </c>
    </row>
    <row r="25" spans="2:13" x14ac:dyDescent="0.2">
      <c r="B25" s="396" t="s">
        <v>82</v>
      </c>
      <c r="C25" s="396" t="s">
        <v>32</v>
      </c>
      <c r="D25" s="396" t="s">
        <v>83</v>
      </c>
      <c r="E25" s="396" t="str">
        <f>INDEX('DEQ Pollutant List'!$A$7:$A$611, MATCH(D25, 'DEQ Pollutant List'!$B$7:$B$611,0))</f>
        <v>7440-66-6</v>
      </c>
      <c r="F25" s="396" t="str">
        <f>IF(ISNUMBER(MATCH(E25, 'DEQ Pollutant List'!A:A, 0)), "Yes", "No")</f>
        <v>Yes</v>
      </c>
      <c r="G25" s="397">
        <v>29</v>
      </c>
      <c r="H25" s="398">
        <f>IF(ISNUMBER(G25),G25,FALSE)</f>
        <v>29</v>
      </c>
      <c r="I25" s="399">
        <f t="shared" si="7"/>
        <v>2.8999999999999997E-5</v>
      </c>
      <c r="J25" s="398">
        <v>30</v>
      </c>
      <c r="K25" s="398">
        <f>IF(ISNUMBER(J25),J25,FALSE)</f>
        <v>30</v>
      </c>
      <c r="L25" s="400">
        <f t="shared" si="8"/>
        <v>3.0000000000000001E-5</v>
      </c>
      <c r="M25" s="401">
        <f t="shared" si="4"/>
        <v>3.0000000000000001E-5</v>
      </c>
    </row>
    <row r="26" spans="2:13" x14ac:dyDescent="0.2">
      <c r="B26" s="396" t="s">
        <v>84</v>
      </c>
      <c r="C26" s="396" t="s">
        <v>85</v>
      </c>
      <c r="D26" s="396" t="s">
        <v>40</v>
      </c>
      <c r="E26" s="396" t="str">
        <f>INDEX('DEQ Pollutant List'!$A$7:$A$611, MATCH(D26, 'DEQ Pollutant List'!$B$7:$B$611,0))</f>
        <v>7440-39-3</v>
      </c>
      <c r="F26" s="396" t="str">
        <f>IF(ISNUMBER(MATCH(E26, 'DEQ Pollutant List'!A:A, 0)), "Yes", "No")</f>
        <v>Yes</v>
      </c>
      <c r="G26" s="397">
        <v>0.02</v>
      </c>
      <c r="H26" s="398">
        <f>IF(ISNUMBER(G26),G26,FALSE)</f>
        <v>0.02</v>
      </c>
      <c r="I26" s="399">
        <f>H26/100</f>
        <v>2.0000000000000001E-4</v>
      </c>
      <c r="J26" s="398">
        <v>0.02</v>
      </c>
      <c r="K26" s="398">
        <f>IF(ISNUMBER(J26),J26,FALSE)</f>
        <v>0.02</v>
      </c>
      <c r="L26" s="400">
        <f>K26/100</f>
        <v>2.0000000000000001E-4</v>
      </c>
      <c r="M26" s="401">
        <f t="shared" si="4"/>
        <v>2.0000000000000001E-4</v>
      </c>
    </row>
    <row r="27" spans="2:13" x14ac:dyDescent="0.2">
      <c r="B27" s="396" t="s">
        <v>86</v>
      </c>
      <c r="C27" s="396" t="s">
        <v>85</v>
      </c>
      <c r="D27" s="396" t="s">
        <v>87</v>
      </c>
      <c r="E27" s="396" t="str">
        <f>INDEX('DEQ Pollutant List'!$A$7:$A$611, MATCH(D27, 'DEQ Pollutant List'!$B$7:$B$611,0))</f>
        <v>1314-56-3</v>
      </c>
      <c r="F27" s="396" t="str">
        <f>IF(ISNUMBER(MATCH(E27, 'DEQ Pollutant List'!A:A, 0)), "Yes", "No")</f>
        <v>Yes</v>
      </c>
      <c r="G27" s="397">
        <v>8.0000000000000002E-3</v>
      </c>
      <c r="H27" s="398">
        <f>IF(ISNUMBER(G27),G27,FALSE)</f>
        <v>8.0000000000000002E-3</v>
      </c>
      <c r="I27" s="399">
        <f>H27/100</f>
        <v>8.0000000000000007E-5</v>
      </c>
      <c r="J27" s="398" t="s">
        <v>88</v>
      </c>
      <c r="K27" s="398">
        <f>0.005/2</f>
        <v>2.5000000000000001E-3</v>
      </c>
      <c r="L27" s="400">
        <f>K27/100</f>
        <v>2.5000000000000001E-5</v>
      </c>
      <c r="M27" s="401">
        <f t="shared" si="4"/>
        <v>8.0000000000000007E-5</v>
      </c>
    </row>
    <row r="28" spans="2:13" x14ac:dyDescent="0.2">
      <c r="B28" s="396" t="s">
        <v>89</v>
      </c>
      <c r="C28" s="396" t="s">
        <v>85</v>
      </c>
      <c r="D28" s="396" t="s">
        <v>90</v>
      </c>
      <c r="E28" s="396" t="str">
        <f>INDEX('DEQ Pollutant List'!$A$7:$A$611, MATCH(D28, 'DEQ Pollutant List'!$B$7:$B$611,0))</f>
        <v>7631-86-9</v>
      </c>
      <c r="F28" s="396" t="str">
        <f>IF(ISNUMBER(MATCH(E28, 'DEQ Pollutant List'!A:A, 0)), "Yes", "No")</f>
        <v>Yes</v>
      </c>
      <c r="G28" s="397">
        <v>74.53</v>
      </c>
      <c r="H28" s="398">
        <f>IF(ISNUMBER(G28),G28,FALSE)</f>
        <v>74.53</v>
      </c>
      <c r="I28" s="399">
        <f>H28/100*(5%)</f>
        <v>3.7265E-2</v>
      </c>
      <c r="J28" s="398">
        <v>74.25</v>
      </c>
      <c r="K28" s="398">
        <f>IF(ISNUMBER(J28),J28,FALSE)</f>
        <v>74.25</v>
      </c>
      <c r="L28" s="400">
        <f>K28/100*(5%)</f>
        <v>3.7125000000000005E-2</v>
      </c>
      <c r="M28" s="401">
        <f t="shared" si="4"/>
        <v>3.7265E-2</v>
      </c>
    </row>
    <row r="29" spans="2:13" x14ac:dyDescent="0.2">
      <c r="B29" s="396" t="s">
        <v>91</v>
      </c>
      <c r="C29" s="396" t="s">
        <v>85</v>
      </c>
      <c r="D29" s="396" t="s">
        <v>92</v>
      </c>
      <c r="E29" s="396" t="str">
        <f>INDEX('DEQ Pollutant List'!$A$7:$A$611, MATCH(D29, 'DEQ Pollutant List'!$B$7:$B$611,0))</f>
        <v>7446-11-9</v>
      </c>
      <c r="F29" s="396" t="str">
        <f>IF(ISNUMBER(MATCH(E29, 'DEQ Pollutant List'!A:A, 0)), "Yes", "No")</f>
        <v>Yes</v>
      </c>
      <c r="G29" s="397" t="s">
        <v>88</v>
      </c>
      <c r="H29" s="398">
        <f>0.005/2</f>
        <v>2.5000000000000001E-3</v>
      </c>
      <c r="I29" s="399">
        <f>H29/100</f>
        <v>2.5000000000000001E-5</v>
      </c>
      <c r="J29" s="398" t="s">
        <v>88</v>
      </c>
      <c r="K29" s="398">
        <f>0.005/2</f>
        <v>2.5000000000000001E-3</v>
      </c>
      <c r="L29" s="400">
        <f>K29/100</f>
        <v>2.5000000000000001E-5</v>
      </c>
      <c r="M29" s="401">
        <f t="shared" si="4"/>
        <v>2.5000000000000001E-5</v>
      </c>
    </row>
    <row r="30" spans="2:13" x14ac:dyDescent="0.2">
      <c r="B30" s="396" t="s">
        <v>93</v>
      </c>
      <c r="C30" s="396" t="s">
        <v>85</v>
      </c>
      <c r="D30" s="396" t="s">
        <v>94</v>
      </c>
      <c r="E30" s="396" t="str">
        <f>INDEX('DEQ Pollutant List'!$A$7:$A$611, MATCH(D30, 'DEQ Pollutant List'!$B$7:$B$611,0))</f>
        <v>1314-62-1</v>
      </c>
      <c r="F30" s="396" t="str">
        <f>IF(ISNUMBER(MATCH(E30, 'DEQ Pollutant List'!A:A, 0)), "Yes", "No")</f>
        <v>Yes</v>
      </c>
      <c r="G30" s="397" t="s">
        <v>88</v>
      </c>
      <c r="H30" s="398">
        <f>0.005/2</f>
        <v>2.5000000000000001E-3</v>
      </c>
      <c r="I30" s="399">
        <f>H30/100</f>
        <v>2.5000000000000001E-5</v>
      </c>
      <c r="J30" s="398" t="s">
        <v>88</v>
      </c>
      <c r="K30" s="398">
        <f>0.005/2</f>
        <v>2.5000000000000001E-3</v>
      </c>
      <c r="L30" s="400">
        <f>K30/100</f>
        <v>2.5000000000000001E-5</v>
      </c>
      <c r="M30" s="401">
        <f t="shared" si="4"/>
        <v>2.5000000000000001E-5</v>
      </c>
    </row>
    <row r="31" spans="2:13" x14ac:dyDescent="0.2">
      <c r="B31" s="396" t="s">
        <v>95</v>
      </c>
      <c r="C31" s="396" t="s">
        <v>85</v>
      </c>
      <c r="D31" s="396" t="s">
        <v>96</v>
      </c>
      <c r="E31" s="396" t="s">
        <v>97</v>
      </c>
      <c r="F31" s="396" t="str">
        <f>IF(ISNUMBER(MATCH(E31, 'DEQ Pollutant List'!A:A, 0)), "Yes", "No")</f>
        <v>No</v>
      </c>
      <c r="G31" s="397">
        <v>2.89</v>
      </c>
      <c r="H31" s="398">
        <f>IF(ISNUMBER(G31),G31,FALSE)</f>
        <v>2.89</v>
      </c>
      <c r="I31" s="402">
        <f>H31/100</f>
        <v>2.8900000000000002E-2</v>
      </c>
      <c r="J31" s="398">
        <v>2.94</v>
      </c>
      <c r="K31" s="398">
        <f>IF(ISNUMBER(J31),J31,FALSE)</f>
        <v>2.94</v>
      </c>
      <c r="L31" s="402">
        <f t="shared" ref="L31" si="9">K31/100</f>
        <v>2.9399999999999999E-2</v>
      </c>
      <c r="M31" s="401">
        <f t="shared" ref="M31:M32" si="10">MAX(I31,L31)</f>
        <v>2.9399999999999999E-2</v>
      </c>
    </row>
    <row r="32" spans="2:13" x14ac:dyDescent="0.2">
      <c r="B32" s="396" t="s">
        <v>98</v>
      </c>
      <c r="C32" s="396" t="s">
        <v>99</v>
      </c>
      <c r="D32" s="396" t="s">
        <v>100</v>
      </c>
      <c r="E32" s="396" t="s">
        <v>97</v>
      </c>
      <c r="F32" s="396" t="s">
        <v>97</v>
      </c>
      <c r="G32" s="397">
        <v>1.17</v>
      </c>
      <c r="H32" s="398">
        <f>IF(ISNUMBER(G32),G32,FALSE)</f>
        <v>1.17</v>
      </c>
      <c r="I32" s="402">
        <f>H32/H32</f>
        <v>1</v>
      </c>
      <c r="J32" s="398">
        <v>1.28</v>
      </c>
      <c r="K32" s="398">
        <f>IF(ISNUMBER(J32),J32,FALSE)</f>
        <v>1.28</v>
      </c>
      <c r="L32" s="402">
        <f>K32/J32</f>
        <v>1</v>
      </c>
      <c r="M32" s="401">
        <f t="shared" si="10"/>
        <v>1</v>
      </c>
    </row>
    <row r="33" spans="1:12" ht="13.5" x14ac:dyDescent="0.2">
      <c r="A33" s="411">
        <v>1</v>
      </c>
      <c r="B33" s="171" t="s">
        <v>101</v>
      </c>
      <c r="E33" s="389"/>
      <c r="F33" s="389"/>
      <c r="I33" s="407"/>
      <c r="L33" s="407"/>
    </row>
    <row r="34" spans="1:12" ht="13.5" x14ac:dyDescent="0.2">
      <c r="A34" s="412"/>
      <c r="B34" s="170" t="s">
        <v>102</v>
      </c>
      <c r="C34" s="409">
        <v>10000</v>
      </c>
      <c r="D34" s="389" t="s">
        <v>32</v>
      </c>
      <c r="E34" s="389"/>
      <c r="F34" s="389"/>
      <c r="G34" s="407"/>
      <c r="I34" s="410"/>
      <c r="L34" s="410"/>
    </row>
    <row r="35" spans="1:12" ht="13.5" x14ac:dyDescent="0.2">
      <c r="A35" s="411">
        <v>2</v>
      </c>
      <c r="B35" s="171" t="s">
        <v>103</v>
      </c>
      <c r="D35" s="391"/>
      <c r="E35" s="391"/>
      <c r="F35" s="391"/>
      <c r="G35" s="355"/>
      <c r="H35" s="355"/>
      <c r="I35" s="355"/>
      <c r="J35" s="355"/>
      <c r="K35" s="355"/>
      <c r="L35" s="355"/>
    </row>
    <row r="36" spans="1:12" ht="13.5" x14ac:dyDescent="0.2">
      <c r="A36" s="411">
        <v>3</v>
      </c>
      <c r="B36" s="171" t="s">
        <v>104</v>
      </c>
    </row>
    <row r="37" spans="1:12" ht="13.5" x14ac:dyDescent="0.2">
      <c r="A37" s="411">
        <v>4</v>
      </c>
      <c r="B37" s="171" t="s">
        <v>105</v>
      </c>
    </row>
  </sheetData>
  <autoFilter ref="B3:L35" xr:uid="{80495408-B155-47B8-BDC8-9244698508F4}">
    <sortState xmlns:xlrd2="http://schemas.microsoft.com/office/spreadsheetml/2017/richdata2" ref="B4:L35">
      <sortCondition descending="1" ref="F3:F35"/>
    </sortState>
  </autoFilter>
  <pageMargins left="0.7" right="0.7" top="0.75" bottom="0.75" header="0.3" footer="0.3"/>
  <pageSetup scale="52" orientation="portrait"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F72A4-C3C3-49DC-BD60-450AD9DD5732}">
  <sheetPr>
    <tabColor theme="1"/>
  </sheetPr>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25C92-CD51-4AC2-8A4C-5BF538CB3A26}">
  <dimension ref="A1:S20"/>
  <sheetViews>
    <sheetView view="pageBreakPreview" zoomScale="60" zoomScaleNormal="100" workbookViewId="0">
      <selection activeCell="D34" sqref="D34"/>
    </sheetView>
  </sheetViews>
  <sheetFormatPr defaultColWidth="8.85546875" defaultRowHeight="12.75" x14ac:dyDescent="0.2"/>
  <cols>
    <col min="1" max="1" width="8.85546875" style="355"/>
    <col min="2" max="2" width="30.5703125" style="389" customWidth="1"/>
    <col min="3" max="3" width="35.28515625" style="389" customWidth="1"/>
    <col min="4" max="4" width="25.42578125" style="389" bestFit="1" customWidth="1"/>
    <col min="5" max="7" width="15.5703125" style="389" customWidth="1"/>
    <col min="8" max="8" width="16.140625" style="389" customWidth="1"/>
    <col min="9" max="9" width="4.28515625" style="389" bestFit="1" customWidth="1"/>
    <col min="10" max="10" width="41" style="389" bestFit="1" customWidth="1"/>
    <col min="11" max="11" width="22" style="389" customWidth="1"/>
    <col min="12" max="12" width="21.7109375" style="389" customWidth="1"/>
    <col min="13" max="15" width="18.140625" style="389" customWidth="1"/>
    <col min="16" max="19" width="9.140625" style="420"/>
    <col min="20" max="22" width="8.85546875" style="368"/>
    <col min="23" max="23" width="36.5703125" style="368" bestFit="1" customWidth="1"/>
    <col min="24" max="24" width="15.7109375" style="368" bestFit="1" customWidth="1"/>
    <col min="25" max="16384" width="8.85546875" style="368"/>
  </cols>
  <sheetData>
    <row r="1" spans="1:19" x14ac:dyDescent="0.2">
      <c r="B1" s="388" t="s">
        <v>106</v>
      </c>
    </row>
    <row r="2" spans="1:19" x14ac:dyDescent="0.2">
      <c r="B2" s="761" t="s">
        <v>107</v>
      </c>
      <c r="C2" s="761" t="s">
        <v>108</v>
      </c>
      <c r="D2" s="762" t="s">
        <v>109</v>
      </c>
      <c r="E2" s="762" t="s">
        <v>110</v>
      </c>
      <c r="F2" s="764" t="s">
        <v>111</v>
      </c>
      <c r="G2" s="762" t="s">
        <v>112</v>
      </c>
      <c r="H2" s="761" t="s">
        <v>113</v>
      </c>
      <c r="I2" s="761"/>
      <c r="J2" s="761"/>
      <c r="K2" s="761"/>
      <c r="L2" s="761"/>
      <c r="M2" s="761"/>
      <c r="N2" s="392"/>
      <c r="O2" s="392"/>
    </row>
    <row r="3" spans="1:19" ht="38.25" x14ac:dyDescent="0.2">
      <c r="B3" s="761"/>
      <c r="C3" s="761"/>
      <c r="D3" s="762"/>
      <c r="E3" s="762"/>
      <c r="F3" s="765"/>
      <c r="G3" s="762"/>
      <c r="H3" s="394" t="s">
        <v>114</v>
      </c>
      <c r="I3" s="394" t="s">
        <v>115</v>
      </c>
      <c r="J3" s="413" t="s">
        <v>116</v>
      </c>
      <c r="K3" s="413" t="s">
        <v>117</v>
      </c>
      <c r="L3" s="414" t="s">
        <v>118</v>
      </c>
      <c r="M3" s="415" t="s">
        <v>119</v>
      </c>
      <c r="N3" s="415" t="s">
        <v>120</v>
      </c>
      <c r="O3" s="414" t="s">
        <v>121</v>
      </c>
    </row>
    <row r="4" spans="1:19" ht="14.25" x14ac:dyDescent="0.2">
      <c r="B4" s="416" t="s">
        <v>122</v>
      </c>
      <c r="C4" s="416" t="s">
        <v>123</v>
      </c>
      <c r="D4" s="416" t="s">
        <v>124</v>
      </c>
      <c r="E4" s="416">
        <v>24</v>
      </c>
      <c r="F4" s="416">
        <v>0.95</v>
      </c>
      <c r="G4" s="417">
        <f>CONVERT(((CONVERT(8,"oz","l")*1000)*F4),"g","lbm")*E4</f>
        <v>11.892201344127546</v>
      </c>
      <c r="H4" s="416" t="s">
        <v>125</v>
      </c>
      <c r="I4" s="416" t="str">
        <f>IF(ISNUMBER(MATCH(H4,'DEQ Pollutant List'!A20:A624,0)),"Yes", "No")</f>
        <v>Yes</v>
      </c>
      <c r="J4" s="416" t="str">
        <f>IF(I4="Yes", INDEX('DEQ Pollutant List'!B19:B623, MATCH(H4, 'DEQ Pollutant List'!A19:A623, 0)), D4)</f>
        <v>Zinc oxide</v>
      </c>
      <c r="K4" s="421">
        <v>0</v>
      </c>
      <c r="L4" s="421">
        <v>0.01</v>
      </c>
      <c r="M4" s="417">
        <f>G4*L4</f>
        <v>0.11892201344127547</v>
      </c>
      <c r="N4" s="417" t="s">
        <v>126</v>
      </c>
      <c r="O4" s="417" t="s">
        <v>126</v>
      </c>
    </row>
    <row r="5" spans="1:19" x14ac:dyDescent="0.2">
      <c r="B5" s="418" t="s">
        <v>127</v>
      </c>
      <c r="C5" s="418" t="s">
        <v>127</v>
      </c>
      <c r="D5" s="416" t="s">
        <v>128</v>
      </c>
      <c r="E5" s="416">
        <v>24</v>
      </c>
      <c r="F5" s="416">
        <v>1.62</v>
      </c>
      <c r="G5" s="417">
        <f>CONVERT(((CONVERT(19,"oz","l")*1000)*F5),"g","lbm")*E5</f>
        <v>48.163415443716573</v>
      </c>
      <c r="H5" s="416" t="s">
        <v>129</v>
      </c>
      <c r="I5" s="416" t="str">
        <f>IF(ISNUMBER(MATCH(H5,'DEQ Pollutant List'!A29:A633,0)),"Yes", "No")</f>
        <v>Yes</v>
      </c>
      <c r="J5" s="416" t="str">
        <f>IF(I5="Yes", INDEX('DEQ Pollutant List'!B28:B632, MATCH(H5, 'DEQ Pollutant List'!A28:A632, 0)), D5)</f>
        <v>Tetrachloroethene (perchloroethylene)</v>
      </c>
      <c r="K5" s="421">
        <v>0.9</v>
      </c>
      <c r="L5" s="421">
        <v>1</v>
      </c>
      <c r="M5" s="417">
        <f t="shared" ref="M5:M6" si="0">G5*L5</f>
        <v>48.163415443716573</v>
      </c>
      <c r="N5" s="417" t="s">
        <v>130</v>
      </c>
      <c r="O5" s="417" t="s">
        <v>131</v>
      </c>
    </row>
    <row r="6" spans="1:19" ht="25.5" x14ac:dyDescent="0.2">
      <c r="B6" s="416" t="s">
        <v>132</v>
      </c>
      <c r="C6" s="418" t="s">
        <v>133</v>
      </c>
      <c r="D6" s="416" t="s">
        <v>134</v>
      </c>
      <c r="E6" s="416">
        <v>24</v>
      </c>
      <c r="F6" s="417">
        <v>0.71140000000000003</v>
      </c>
      <c r="G6" s="417">
        <f>CONVERT(((CONVERT(11,"oz","l")*1000)*F6),"g","lbm")*E6</f>
        <v>12.244898999781013</v>
      </c>
      <c r="H6" s="416" t="s">
        <v>135</v>
      </c>
      <c r="I6" s="416" t="str">
        <f>IF(ISNUMBER(MATCH(H6,'DEQ Pollutant List'!A35:A639,0)),"Yes", "No")</f>
        <v>Yes</v>
      </c>
      <c r="J6" s="416" t="str">
        <f>IF(I6="Yes", INDEX('DEQ Pollutant List'!B34:B638, MATCH(H6, 'DEQ Pollutant List'!A34:A638, 0)), D6)</f>
        <v>Chloroethane (ethyl chloride)</v>
      </c>
      <c r="K6" s="421">
        <v>1E-3</v>
      </c>
      <c r="L6" s="421">
        <v>0.01</v>
      </c>
      <c r="M6" s="417">
        <f t="shared" si="0"/>
        <v>0.12244898999781013</v>
      </c>
      <c r="N6" s="417" t="s">
        <v>136</v>
      </c>
      <c r="O6" s="417" t="s">
        <v>131</v>
      </c>
    </row>
    <row r="7" spans="1:19" ht="15" customHeight="1" x14ac:dyDescent="0.2">
      <c r="B7" s="763" t="s">
        <v>137</v>
      </c>
      <c r="C7" s="769" t="s">
        <v>138</v>
      </c>
      <c r="D7" s="416" t="s">
        <v>139</v>
      </c>
      <c r="E7" s="763">
        <v>24</v>
      </c>
      <c r="F7" s="766">
        <v>0.79</v>
      </c>
      <c r="G7" s="770">
        <f>CONVERT(((CONVERT(12,"oz","l")*1000)*F7),"g","lbm")*E7</f>
        <v>14.83395641346436</v>
      </c>
      <c r="H7" s="416" t="s">
        <v>140</v>
      </c>
      <c r="I7" s="416" t="str">
        <f>IF(ISNUMBER(MATCH(H7,'DEQ Pollutant List'!A36:A640,0)),"Yes", "No")</f>
        <v>Yes</v>
      </c>
      <c r="J7" s="416" t="str">
        <f>IF(I7="Yes", INDEX('DEQ Pollutant List'!B35:B639, MATCH(H7, 'DEQ Pollutant List'!A35:A639, 0)), D7)</f>
        <v>Acetone</v>
      </c>
      <c r="K7" s="421">
        <v>0.25</v>
      </c>
      <c r="L7" s="421">
        <v>0.5</v>
      </c>
      <c r="M7" s="417">
        <f>$G$7*L7</f>
        <v>7.4169782067321801</v>
      </c>
      <c r="N7" s="417" t="s">
        <v>136</v>
      </c>
      <c r="O7" s="417" t="s">
        <v>131</v>
      </c>
    </row>
    <row r="8" spans="1:19" x14ac:dyDescent="0.2">
      <c r="B8" s="763"/>
      <c r="C8" s="769"/>
      <c r="D8" s="416" t="s">
        <v>141</v>
      </c>
      <c r="E8" s="763"/>
      <c r="F8" s="767"/>
      <c r="G8" s="770"/>
      <c r="H8" s="416" t="s">
        <v>142</v>
      </c>
      <c r="I8" s="416" t="str">
        <f>IF(ISNUMBER(MATCH(H8,'DEQ Pollutant List'!A37:A641,0)),"Yes", "No")</f>
        <v>Yes</v>
      </c>
      <c r="J8" s="416" t="str">
        <f>IF(I8="Yes", INDEX('DEQ Pollutant List'!B36:B640, MATCH(H8, 'DEQ Pollutant List'!A36:A640, 0)), D8)</f>
        <v>Barium and compounds</v>
      </c>
      <c r="K8" s="421">
        <v>2.5000000000000001E-2</v>
      </c>
      <c r="L8" s="421">
        <v>0.1</v>
      </c>
      <c r="M8" s="417">
        <f t="shared" ref="M8:M11" si="1">$G$7*L8</f>
        <v>1.4833956413464362</v>
      </c>
      <c r="N8" s="417" t="s">
        <v>126</v>
      </c>
      <c r="O8" s="417" t="s">
        <v>126</v>
      </c>
    </row>
    <row r="9" spans="1:19" x14ac:dyDescent="0.2">
      <c r="B9" s="763"/>
      <c r="C9" s="769"/>
      <c r="D9" s="416" t="s">
        <v>143</v>
      </c>
      <c r="E9" s="763"/>
      <c r="F9" s="767"/>
      <c r="G9" s="770"/>
      <c r="H9" s="416" t="s">
        <v>144</v>
      </c>
      <c r="I9" s="416" t="str">
        <f>IF(ISNUMBER(MATCH(H9,'DEQ Pollutant List'!A41:A645,0)),"Yes", "No")</f>
        <v>Yes</v>
      </c>
      <c r="J9" s="416" t="str">
        <f>IF(I9="Yes", INDEX('DEQ Pollutant List'!B40:B644, MATCH(H9, 'DEQ Pollutant List'!A40:A644, 0)), D9)</f>
        <v>Xylene (mixture), including m-xylene, o-xylene, p-xylene</v>
      </c>
      <c r="K9" s="421">
        <v>2.5000000000000001E-2</v>
      </c>
      <c r="L9" s="421">
        <v>0.1</v>
      </c>
      <c r="M9" s="417">
        <f>$G$7*L9</f>
        <v>1.4833956413464362</v>
      </c>
      <c r="N9" s="417" t="s">
        <v>136</v>
      </c>
      <c r="O9" s="417" t="s">
        <v>131</v>
      </c>
    </row>
    <row r="10" spans="1:19" x14ac:dyDescent="0.2">
      <c r="B10" s="763"/>
      <c r="C10" s="769"/>
      <c r="D10" s="416" t="s">
        <v>145</v>
      </c>
      <c r="E10" s="763"/>
      <c r="F10" s="767"/>
      <c r="G10" s="770"/>
      <c r="H10" s="416">
        <v>89</v>
      </c>
      <c r="I10" s="416" t="str">
        <f>IF(ISNUMBER(MATCH(H10,'DEQ Pollutant List'!A42:A646,0)),"Yes", "No")</f>
        <v>Yes</v>
      </c>
      <c r="J10" s="416" t="str">
        <f>IF(I10="Yes", INDEX('DEQ Pollutant List'!B43:B647, MATCH(H10, 'DEQ Pollutant List'!A43:A647, 0)), D10)</f>
        <v>Carbon black extracts</v>
      </c>
      <c r="K10" s="421">
        <v>0.01</v>
      </c>
      <c r="L10" s="421">
        <v>2.5000000000000001E-2</v>
      </c>
      <c r="M10" s="417">
        <f t="shared" si="1"/>
        <v>0.37084891033660905</v>
      </c>
      <c r="N10" s="417" t="s">
        <v>126</v>
      </c>
      <c r="O10" s="417" t="s">
        <v>126</v>
      </c>
    </row>
    <row r="11" spans="1:19" x14ac:dyDescent="0.2">
      <c r="B11" s="763"/>
      <c r="C11" s="769"/>
      <c r="D11" s="416" t="s">
        <v>146</v>
      </c>
      <c r="E11" s="763"/>
      <c r="F11" s="767"/>
      <c r="G11" s="770"/>
      <c r="H11" s="416" t="s">
        <v>147</v>
      </c>
      <c r="I11" s="416" t="str">
        <f>IF(ISNUMBER(MATCH(H11,'DEQ Pollutant List'!A43:A647,0)),"Yes", "No")</f>
        <v>Yes</v>
      </c>
      <c r="J11" s="416" t="str">
        <f>IF(I11="Yes", INDEX('DEQ Pollutant List'!B44:B648, MATCH(H11, 'DEQ Pollutant List'!A44:A648, 0)), D11)</f>
        <v>Cobalt and compounds</v>
      </c>
      <c r="K11" s="421">
        <v>1E-3</v>
      </c>
      <c r="L11" s="421">
        <v>0.01</v>
      </c>
      <c r="M11" s="417">
        <f t="shared" si="1"/>
        <v>0.14833956413464361</v>
      </c>
      <c r="N11" s="417" t="s">
        <v>148</v>
      </c>
      <c r="O11" s="417" t="s">
        <v>149</v>
      </c>
    </row>
    <row r="12" spans="1:19" x14ac:dyDescent="0.2">
      <c r="B12" s="763"/>
      <c r="C12" s="769"/>
      <c r="D12" s="416" t="s">
        <v>150</v>
      </c>
      <c r="E12" s="763"/>
      <c r="F12" s="768"/>
      <c r="G12" s="770"/>
      <c r="H12" s="416" t="s">
        <v>151</v>
      </c>
      <c r="I12" s="416" t="str">
        <f>IF(ISNUMBER(MATCH(H12,'DEQ Pollutant List'!A46:A650,0)),"Yes", "No")</f>
        <v>Yes</v>
      </c>
      <c r="J12" s="416" t="str">
        <f>IF(I12="Yes", INDEX('DEQ Pollutant List'!B45:B649, MATCH(H12, 'DEQ Pollutant List'!A45:A649, 0)), D12)</f>
        <v>Ethyl benzene</v>
      </c>
      <c r="K12" s="421">
        <v>0.01</v>
      </c>
      <c r="L12" s="421">
        <v>2.5000000000000001E-2</v>
      </c>
      <c r="M12" s="417">
        <f>$G$7*L12</f>
        <v>0.37084891033660905</v>
      </c>
      <c r="N12" s="417" t="s">
        <v>152</v>
      </c>
      <c r="O12" s="417" t="s">
        <v>131</v>
      </c>
    </row>
    <row r="13" spans="1:19" s="153" customFormat="1" ht="14.1" customHeight="1" x14ac:dyDescent="0.2">
      <c r="A13" s="355"/>
      <c r="B13" s="416" t="s">
        <v>153</v>
      </c>
      <c r="C13" s="418" t="s">
        <v>154</v>
      </c>
      <c r="D13" s="423" t="s">
        <v>155</v>
      </c>
      <c r="E13" s="416">
        <v>24</v>
      </c>
      <c r="F13" s="416">
        <v>1.137</v>
      </c>
      <c r="G13" s="417">
        <f>CONVERT(((CONVERT(11,"oz","l")*1000)*F13),"g","lbm")*E13</f>
        <v>19.570495027763581</v>
      </c>
      <c r="H13" s="423" t="s">
        <v>155</v>
      </c>
      <c r="I13" s="423" t="s">
        <v>155</v>
      </c>
      <c r="J13" s="423" t="s">
        <v>155</v>
      </c>
      <c r="K13" s="423" t="s">
        <v>155</v>
      </c>
      <c r="L13" s="423" t="s">
        <v>155</v>
      </c>
      <c r="M13" s="423" t="s">
        <v>155</v>
      </c>
      <c r="N13" s="423" t="s">
        <v>155</v>
      </c>
      <c r="O13" s="423" t="s">
        <v>155</v>
      </c>
      <c r="P13" s="424"/>
      <c r="Q13" s="425"/>
      <c r="R13" s="425"/>
      <c r="S13" s="425"/>
    </row>
    <row r="14" spans="1:19" s="153" customFormat="1" ht="25.5" x14ac:dyDescent="0.2">
      <c r="A14" s="355"/>
      <c r="B14" s="416" t="s">
        <v>156</v>
      </c>
      <c r="C14" s="418" t="s">
        <v>157</v>
      </c>
      <c r="D14" s="423" t="s">
        <v>155</v>
      </c>
      <c r="E14" s="416">
        <v>24</v>
      </c>
      <c r="F14" s="416">
        <v>0.82</v>
      </c>
      <c r="G14" s="417">
        <f>CONVERT(((CONVERT(13,"oz","l")*1000)*F14),"g","lbm")*E14</f>
        <v>16.680377148473639</v>
      </c>
      <c r="H14" s="423" t="s">
        <v>155</v>
      </c>
      <c r="I14" s="423" t="s">
        <v>155</v>
      </c>
      <c r="J14" s="423" t="s">
        <v>155</v>
      </c>
      <c r="K14" s="423" t="s">
        <v>155</v>
      </c>
      <c r="L14" s="423" t="s">
        <v>155</v>
      </c>
      <c r="M14" s="423" t="s">
        <v>155</v>
      </c>
      <c r="N14" s="423" t="s">
        <v>155</v>
      </c>
      <c r="O14" s="423" t="s">
        <v>155</v>
      </c>
      <c r="P14" s="425"/>
      <c r="Q14" s="425"/>
      <c r="R14" s="425"/>
      <c r="S14" s="425"/>
    </row>
    <row r="15" spans="1:19" ht="13.5" x14ac:dyDescent="0.2">
      <c r="A15" s="387">
        <v>1</v>
      </c>
      <c r="B15" s="167" t="s">
        <v>158</v>
      </c>
      <c r="P15" s="368"/>
      <c r="Q15" s="368"/>
      <c r="R15" s="368"/>
      <c r="S15" s="368"/>
    </row>
    <row r="16" spans="1:19" ht="13.5" x14ac:dyDescent="0.2">
      <c r="A16" s="387">
        <v>2</v>
      </c>
      <c r="B16" s="167" t="s">
        <v>159</v>
      </c>
      <c r="P16" s="368"/>
      <c r="Q16" s="368"/>
      <c r="R16" s="368"/>
      <c r="S16" s="368"/>
    </row>
    <row r="17" spans="1:19" ht="13.5" x14ac:dyDescent="0.2">
      <c r="A17" s="411">
        <v>2</v>
      </c>
      <c r="B17" s="171" t="s">
        <v>160</v>
      </c>
      <c r="P17" s="368"/>
      <c r="Q17" s="368"/>
      <c r="R17" s="368"/>
      <c r="S17" s="368"/>
    </row>
    <row r="18" spans="1:19" ht="13.5" x14ac:dyDescent="0.2">
      <c r="A18" s="411">
        <v>3</v>
      </c>
      <c r="B18" s="171" t="s">
        <v>161</v>
      </c>
    </row>
    <row r="19" spans="1:19" ht="14.1" customHeight="1" x14ac:dyDescent="0.2">
      <c r="A19" s="387">
        <v>4</v>
      </c>
      <c r="B19" s="171" t="s">
        <v>162</v>
      </c>
    </row>
    <row r="20" spans="1:19" x14ac:dyDescent="0.2">
      <c r="E20" s="408"/>
      <c r="F20" s="408"/>
    </row>
  </sheetData>
  <mergeCells count="12">
    <mergeCell ref="H2:M2"/>
    <mergeCell ref="B2:B3"/>
    <mergeCell ref="C2:C3"/>
    <mergeCell ref="E2:E3"/>
    <mergeCell ref="E7:E12"/>
    <mergeCell ref="D2:D3"/>
    <mergeCell ref="F2:F3"/>
    <mergeCell ref="F7:F12"/>
    <mergeCell ref="B7:B12"/>
    <mergeCell ref="C7:C12"/>
    <mergeCell ref="G7:G12"/>
    <mergeCell ref="G2:G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7BB77-A2CF-453B-9B78-3BCE734EB535}">
  <dimension ref="A2:X34"/>
  <sheetViews>
    <sheetView zoomScaleNormal="100" workbookViewId="0">
      <selection activeCell="I36" sqref="I36"/>
    </sheetView>
  </sheetViews>
  <sheetFormatPr defaultColWidth="8.85546875" defaultRowHeight="12.75" x14ac:dyDescent="0.2"/>
  <cols>
    <col min="1" max="1" width="2.85546875" style="366" customWidth="1"/>
    <col min="2" max="2" width="8.85546875" style="366"/>
    <col min="3" max="4" width="24.28515625" style="369" customWidth="1"/>
    <col min="5" max="5" width="39.28515625" style="369" bestFit="1" customWidth="1"/>
    <col min="6" max="6" width="12.28515625" style="369" bestFit="1" customWidth="1"/>
    <col min="7" max="7" width="12.28515625" style="369" customWidth="1"/>
    <col min="8" max="8" width="8.5703125" style="369" customWidth="1"/>
    <col min="9" max="9" width="13.28515625" style="369" customWidth="1"/>
    <col min="10" max="10" width="9" style="369" customWidth="1"/>
    <col min="11" max="11" width="26.7109375" style="369" customWidth="1"/>
    <col min="12" max="12" width="20.140625" style="369" bestFit="1" customWidth="1"/>
    <col min="13" max="13" width="20.42578125" style="369" bestFit="1" customWidth="1"/>
    <col min="14" max="14" width="13" style="369" bestFit="1" customWidth="1"/>
    <col min="15" max="15" width="17.42578125" style="369" bestFit="1" customWidth="1"/>
    <col min="16" max="16" width="9" style="369" customWidth="1"/>
    <col min="17" max="24" width="9.140625" style="420" customWidth="1"/>
    <col min="25" max="16384" width="8.85546875" style="368"/>
  </cols>
  <sheetData>
    <row r="2" spans="2:16" x14ac:dyDescent="0.2">
      <c r="B2" s="430" t="s">
        <v>163</v>
      </c>
    </row>
    <row r="3" spans="2:16" x14ac:dyDescent="0.2">
      <c r="B3" s="779" t="s">
        <v>164</v>
      </c>
      <c r="C3" s="781" t="s">
        <v>107</v>
      </c>
      <c r="D3" s="781" t="s">
        <v>108</v>
      </c>
      <c r="E3" s="780" t="s">
        <v>165</v>
      </c>
      <c r="F3" s="780" t="s">
        <v>166</v>
      </c>
      <c r="G3" s="782" t="s">
        <v>167</v>
      </c>
      <c r="H3" s="780" t="s">
        <v>168</v>
      </c>
      <c r="I3" s="781" t="s">
        <v>113</v>
      </c>
      <c r="J3" s="781"/>
      <c r="K3" s="781"/>
      <c r="L3" s="781"/>
      <c r="M3" s="781"/>
      <c r="N3" s="781"/>
      <c r="O3" s="780" t="s">
        <v>169</v>
      </c>
      <c r="P3" s="780" t="s">
        <v>170</v>
      </c>
    </row>
    <row r="4" spans="2:16" ht="51" x14ac:dyDescent="0.2">
      <c r="B4" s="779"/>
      <c r="C4" s="781"/>
      <c r="D4" s="781"/>
      <c r="E4" s="780"/>
      <c r="F4" s="780"/>
      <c r="G4" s="783"/>
      <c r="H4" s="780"/>
      <c r="I4" s="426" t="s">
        <v>171</v>
      </c>
      <c r="J4" s="426" t="s">
        <v>115</v>
      </c>
      <c r="K4" s="374" t="s">
        <v>116</v>
      </c>
      <c r="L4" s="374" t="s">
        <v>117</v>
      </c>
      <c r="M4" s="427" t="s">
        <v>118</v>
      </c>
      <c r="N4" s="428" t="s">
        <v>172</v>
      </c>
      <c r="O4" s="780"/>
      <c r="P4" s="780"/>
    </row>
    <row r="5" spans="2:16" x14ac:dyDescent="0.2">
      <c r="B5" s="775" t="s">
        <v>173</v>
      </c>
      <c r="C5" s="775" t="s">
        <v>174</v>
      </c>
      <c r="D5" s="775" t="s">
        <v>175</v>
      </c>
      <c r="E5" s="416" t="s">
        <v>176</v>
      </c>
      <c r="F5" s="766">
        <f>165/1000</f>
        <v>0.16500000000000001</v>
      </c>
      <c r="G5" s="766" t="s">
        <v>177</v>
      </c>
      <c r="H5" s="766" t="s">
        <v>178</v>
      </c>
      <c r="I5" s="416">
        <v>239</v>
      </c>
      <c r="J5" s="416" t="str">
        <f>IF(ISNUMBER(MATCH(I5,'DEQ Pollutant List'!$A:$A,0)),"Yes", "No")</f>
        <v>Yes</v>
      </c>
      <c r="K5" s="416" t="str">
        <f>IF(J5="Yes", INDEX('DEQ Pollutant List'!B9:B613, MATCH(I5, 'DEQ Pollutant List'!A9:A613, 0)), E5)</f>
        <v>Fluorides</v>
      </c>
      <c r="L5" s="421">
        <v>0.05</v>
      </c>
      <c r="M5" s="431">
        <v>0.1</v>
      </c>
      <c r="N5" s="373">
        <f>IF(J5="Yes",$F$5* M5, "--")</f>
        <v>1.6500000000000001E-2</v>
      </c>
      <c r="O5" s="772" t="s">
        <v>179</v>
      </c>
      <c r="P5" s="772" t="s">
        <v>131</v>
      </c>
    </row>
    <row r="6" spans="2:16" x14ac:dyDescent="0.2">
      <c r="B6" s="776"/>
      <c r="C6" s="776"/>
      <c r="D6" s="776"/>
      <c r="E6" s="416" t="s">
        <v>180</v>
      </c>
      <c r="F6" s="767"/>
      <c r="G6" s="767"/>
      <c r="H6" s="767"/>
      <c r="I6" s="416" t="s">
        <v>181</v>
      </c>
      <c r="J6" s="416" t="str">
        <f>IF(ISNUMBER(MATCH(I6,'DEQ Pollutant List'!$A:$A,0)),"Yes", "No")</f>
        <v>Yes</v>
      </c>
      <c r="K6" s="416" t="str">
        <f>IF(J6="Yes", INDEX('DEQ Pollutant List'!B10:B614, MATCH(I6, 'DEQ Pollutant List'!A10:A614, 0)), E6)</f>
        <v>Manganese and compounds</v>
      </c>
      <c r="L6" s="421">
        <v>0.01</v>
      </c>
      <c r="M6" s="431">
        <v>0.05</v>
      </c>
      <c r="N6" s="373">
        <f t="shared" ref="N6:N13" si="0">IF(J6="Yes",$F$5* M6, "--")</f>
        <v>8.2500000000000004E-3</v>
      </c>
      <c r="O6" s="773"/>
      <c r="P6" s="773"/>
    </row>
    <row r="7" spans="2:16" x14ac:dyDescent="0.2">
      <c r="B7" s="776"/>
      <c r="C7" s="776"/>
      <c r="D7" s="776"/>
      <c r="E7" s="416" t="s">
        <v>182</v>
      </c>
      <c r="F7" s="767"/>
      <c r="G7" s="767"/>
      <c r="H7" s="767"/>
      <c r="I7" s="416" t="s">
        <v>183</v>
      </c>
      <c r="J7" s="416" t="s">
        <v>149</v>
      </c>
      <c r="K7" s="416" t="str">
        <f>IF(J7="Yes", INDEX('DEQ Pollutant List'!B12:B616, MATCH(I7, 'DEQ Pollutant List'!A12:A616, 0)), E7)</f>
        <v>Silica, crystalline (respirable)</v>
      </c>
      <c r="L7" s="421">
        <v>0.01</v>
      </c>
      <c r="M7" s="421">
        <v>0.05</v>
      </c>
      <c r="N7" s="416">
        <f t="shared" si="0"/>
        <v>8.2500000000000004E-3</v>
      </c>
      <c r="O7" s="773"/>
      <c r="P7" s="773"/>
    </row>
    <row r="8" spans="2:16" x14ac:dyDescent="0.2">
      <c r="B8" s="776"/>
      <c r="C8" s="776"/>
      <c r="D8" s="776"/>
      <c r="E8" s="416" t="s">
        <v>184</v>
      </c>
      <c r="F8" s="767"/>
      <c r="G8" s="767"/>
      <c r="H8" s="767"/>
      <c r="I8" s="416" t="s">
        <v>183</v>
      </c>
      <c r="J8" s="416" t="s">
        <v>149</v>
      </c>
      <c r="K8" s="416" t="str">
        <f>IF(J8="Yes", INDEX('DEQ Pollutant List'!B13:B617, MATCH(I8, 'DEQ Pollutant List'!A13:A617, 0)), E8)</f>
        <v>Silica, crystalline (respirable)</v>
      </c>
      <c r="L8" s="421">
        <v>0.01</v>
      </c>
      <c r="M8" s="421">
        <v>0.05</v>
      </c>
      <c r="N8" s="416">
        <f t="shared" si="0"/>
        <v>8.2500000000000004E-3</v>
      </c>
      <c r="O8" s="773"/>
      <c r="P8" s="773"/>
    </row>
    <row r="9" spans="2:16" x14ac:dyDescent="0.2">
      <c r="B9" s="776"/>
      <c r="C9" s="776"/>
      <c r="D9" s="776"/>
      <c r="E9" s="416" t="s">
        <v>185</v>
      </c>
      <c r="F9" s="767"/>
      <c r="G9" s="767"/>
      <c r="H9" s="767"/>
      <c r="I9" s="416" t="s">
        <v>183</v>
      </c>
      <c r="J9" s="416" t="s">
        <v>149</v>
      </c>
      <c r="K9" s="416" t="str">
        <f>IF(J9="Yes", INDEX('DEQ Pollutant List'!B14:B618, MATCH(I9, 'DEQ Pollutant List'!A14:A618, 0)), E9)</f>
        <v>Silica, crystalline (respirable)</v>
      </c>
      <c r="L9" s="421">
        <v>1E-3</v>
      </c>
      <c r="M9" s="421">
        <v>0.01</v>
      </c>
      <c r="N9" s="416">
        <f>IF(J9="Yes",$F$5* M9, "--")</f>
        <v>1.6500000000000002E-3</v>
      </c>
      <c r="O9" s="773"/>
      <c r="P9" s="773"/>
    </row>
    <row r="10" spans="2:16" x14ac:dyDescent="0.2">
      <c r="B10" s="776"/>
      <c r="C10" s="776"/>
      <c r="D10" s="776"/>
      <c r="E10" s="416" t="s">
        <v>186</v>
      </c>
      <c r="F10" s="767"/>
      <c r="G10" s="767"/>
      <c r="H10" s="767"/>
      <c r="I10" s="416" t="s">
        <v>183</v>
      </c>
      <c r="J10" s="416" t="str">
        <f>IF(ISNUMBER(MATCH(I10,'DEQ Pollutant List'!$A:$A,0)),"Yes", "No")</f>
        <v>Yes</v>
      </c>
      <c r="K10" s="416" t="str">
        <f>IF(J10="Yes", INDEX('DEQ Pollutant List'!B20:B624, MATCH(I10, 'DEQ Pollutant List'!A20:A624, 0)), E10)</f>
        <v>Silica, crystalline (respirable)</v>
      </c>
      <c r="L10" s="421">
        <v>1E-3</v>
      </c>
      <c r="M10" s="421">
        <v>0.01</v>
      </c>
      <c r="N10" s="416">
        <f>IF(J10="Yes",$F$5* M10, "--")</f>
        <v>1.6500000000000002E-3</v>
      </c>
      <c r="O10" s="773"/>
      <c r="P10" s="773"/>
    </row>
    <row r="11" spans="2:16" x14ac:dyDescent="0.2">
      <c r="B11" s="776"/>
      <c r="C11" s="776"/>
      <c r="D11" s="776"/>
      <c r="E11" s="416" t="s">
        <v>187</v>
      </c>
      <c r="F11" s="767"/>
      <c r="G11" s="767"/>
      <c r="H11" s="767"/>
      <c r="I11" s="416" t="s">
        <v>183</v>
      </c>
      <c r="J11" s="416" t="s">
        <v>149</v>
      </c>
      <c r="K11" s="416" t="str">
        <f>IF(J11="Yes", INDEX('DEQ Pollutant List'!B21:B625, MATCH(I11, 'DEQ Pollutant List'!A21:A625, 0)), E11)</f>
        <v>Silica, crystalline (respirable)</v>
      </c>
      <c r="L11" s="421">
        <v>0.01</v>
      </c>
      <c r="M11" s="421">
        <v>0.05</v>
      </c>
      <c r="N11" s="416">
        <f>IF(J11="Yes",$F$5* M11, "--")</f>
        <v>8.2500000000000004E-3</v>
      </c>
      <c r="O11" s="773"/>
      <c r="P11" s="773"/>
    </row>
    <row r="12" spans="2:16" x14ac:dyDescent="0.2">
      <c r="B12" s="776"/>
      <c r="C12" s="776"/>
      <c r="D12" s="776"/>
      <c r="E12" s="416" t="s">
        <v>188</v>
      </c>
      <c r="F12" s="767"/>
      <c r="G12" s="767"/>
      <c r="H12" s="767"/>
      <c r="I12" s="416" t="s">
        <v>183</v>
      </c>
      <c r="J12" s="416" t="s">
        <v>149</v>
      </c>
      <c r="K12" s="416" t="str">
        <f>IF(J12="Yes", INDEX('DEQ Pollutant List'!B22:B626, MATCH(I12, 'DEQ Pollutant List'!A22:A626, 0)), E12)</f>
        <v>Silica, crystalline (respirable)</v>
      </c>
      <c r="L12" s="421">
        <v>1E-3</v>
      </c>
      <c r="M12" s="421">
        <v>0.01</v>
      </c>
      <c r="N12" s="416">
        <f>IF(J12="Yes",$F$5* M12, "--")</f>
        <v>1.6500000000000002E-3</v>
      </c>
      <c r="O12" s="773"/>
      <c r="P12" s="773"/>
    </row>
    <row r="13" spans="2:16" x14ac:dyDescent="0.2">
      <c r="B13" s="777"/>
      <c r="C13" s="777"/>
      <c r="D13" s="777"/>
      <c r="E13" s="416" t="s">
        <v>189</v>
      </c>
      <c r="F13" s="768"/>
      <c r="G13" s="768"/>
      <c r="H13" s="768"/>
      <c r="I13" s="416" t="s">
        <v>190</v>
      </c>
      <c r="J13" s="416" t="str">
        <f>IF(ISNUMBER(MATCH(I13,'DEQ Pollutant List'!$A:$A,0)),"Yes", "No")</f>
        <v>Yes</v>
      </c>
      <c r="K13" s="416" t="str">
        <f>IF(J13="Yes", INDEX('DEQ Pollutant List'!B22:B626, MATCH(I13, 'DEQ Pollutant List'!A22:A626, 0)), E13)</f>
        <v>Aluminum and compounds</v>
      </c>
      <c r="L13" s="421">
        <v>1E-3</v>
      </c>
      <c r="M13" s="421">
        <v>0.01</v>
      </c>
      <c r="N13" s="416">
        <f t="shared" si="0"/>
        <v>1.6500000000000002E-3</v>
      </c>
      <c r="O13" s="774"/>
      <c r="P13" s="774"/>
    </row>
    <row r="14" spans="2:16" x14ac:dyDescent="0.2">
      <c r="B14" s="775" t="s">
        <v>191</v>
      </c>
      <c r="C14" s="775" t="s">
        <v>192</v>
      </c>
      <c r="D14" s="775" t="s">
        <v>193</v>
      </c>
      <c r="E14" s="416" t="s">
        <v>194</v>
      </c>
      <c r="F14" s="766">
        <f t="shared" ref="F14" si="1">100/1000</f>
        <v>0.1</v>
      </c>
      <c r="G14" s="766" t="s">
        <v>195</v>
      </c>
      <c r="H14" s="766" t="s">
        <v>196</v>
      </c>
      <c r="I14" s="416">
        <v>239</v>
      </c>
      <c r="J14" s="416" t="str">
        <f>IF(ISNUMBER(MATCH(I14,'DEQ Pollutant List'!$A:$A,0)),"Yes", "No")</f>
        <v>Yes</v>
      </c>
      <c r="K14" s="416" t="str">
        <f>IF(J14="Yes", INDEX('DEQ Pollutant List'!B24:B628, MATCH(I14, 'DEQ Pollutant List'!A24:A628, 0)), E14)</f>
        <v>Fluorides</v>
      </c>
      <c r="L14" s="421">
        <v>0.01</v>
      </c>
      <c r="M14" s="421">
        <v>0.05</v>
      </c>
      <c r="N14" s="416">
        <f t="shared" ref="N14:N19" si="2">IF(J14="Yes",$F$14* M14, "--")</f>
        <v>5.000000000000001E-3</v>
      </c>
      <c r="O14" s="775" t="s">
        <v>197</v>
      </c>
      <c r="P14" s="772" t="s">
        <v>149</v>
      </c>
    </row>
    <row r="15" spans="2:16" x14ac:dyDescent="0.2">
      <c r="B15" s="776"/>
      <c r="C15" s="776"/>
      <c r="D15" s="776"/>
      <c r="E15" s="416" t="s">
        <v>198</v>
      </c>
      <c r="F15" s="767"/>
      <c r="G15" s="767"/>
      <c r="H15" s="767"/>
      <c r="I15" s="416">
        <v>239</v>
      </c>
      <c r="J15" s="416" t="str">
        <f>IF(ISNUMBER(MATCH(I15,'DEQ Pollutant List'!$A:$A,0)),"Yes", "No")</f>
        <v>Yes</v>
      </c>
      <c r="K15" s="416" t="str">
        <f>IF(J15="Yes", INDEX('DEQ Pollutant List'!B25:B629, MATCH(I15, 'DEQ Pollutant List'!A25:A629, 0)), E15)</f>
        <v>Fluorides</v>
      </c>
      <c r="L15" s="421">
        <v>1E-3</v>
      </c>
      <c r="M15" s="421">
        <v>0.01</v>
      </c>
      <c r="N15" s="416">
        <f t="shared" si="2"/>
        <v>1E-3</v>
      </c>
      <c r="O15" s="776"/>
      <c r="P15" s="773"/>
    </row>
    <row r="16" spans="2:16" x14ac:dyDescent="0.2">
      <c r="B16" s="776"/>
      <c r="C16" s="776"/>
      <c r="D16" s="776"/>
      <c r="E16" s="416" t="s">
        <v>36</v>
      </c>
      <c r="F16" s="767"/>
      <c r="G16" s="767"/>
      <c r="H16" s="767"/>
      <c r="I16" s="416" t="s">
        <v>190</v>
      </c>
      <c r="J16" s="416" t="str">
        <f>IF(ISNUMBER(MATCH(I16,'DEQ Pollutant List'!$A:$A,0)),"Yes", "No")</f>
        <v>Yes</v>
      </c>
      <c r="K16" s="416" t="str">
        <f>IF(J16="Yes", INDEX('DEQ Pollutant List'!B25:B629, MATCH(I16, 'DEQ Pollutant List'!A25:A629, 0)), E16)</f>
        <v>Aluminum and compounds</v>
      </c>
      <c r="L16" s="421">
        <v>0.01</v>
      </c>
      <c r="M16" s="421">
        <v>0.05</v>
      </c>
      <c r="N16" s="416">
        <f t="shared" si="2"/>
        <v>5.000000000000001E-3</v>
      </c>
      <c r="O16" s="776"/>
      <c r="P16" s="773"/>
    </row>
    <row r="17" spans="1:16" x14ac:dyDescent="0.2">
      <c r="B17" s="776"/>
      <c r="C17" s="776"/>
      <c r="D17" s="776"/>
      <c r="E17" s="416" t="s">
        <v>199</v>
      </c>
      <c r="F17" s="767"/>
      <c r="G17" s="767"/>
      <c r="H17" s="767"/>
      <c r="I17" s="416" t="s">
        <v>183</v>
      </c>
      <c r="J17" s="416" t="s">
        <v>149</v>
      </c>
      <c r="K17" s="416" t="str">
        <f>IF(J17="Yes", INDEX('DEQ Pollutant List'!B26:B630, MATCH(I17, 'DEQ Pollutant List'!A26:A630, 0)), E17)</f>
        <v>Silica, crystalline (respirable)</v>
      </c>
      <c r="L17" s="421">
        <v>1E-3</v>
      </c>
      <c r="M17" s="421">
        <v>0.01</v>
      </c>
      <c r="N17" s="416">
        <f t="shared" si="2"/>
        <v>1E-3</v>
      </c>
      <c r="O17" s="776"/>
      <c r="P17" s="773"/>
    </row>
    <row r="18" spans="1:16" x14ac:dyDescent="0.2">
      <c r="B18" s="776"/>
      <c r="C18" s="776"/>
      <c r="D18" s="776"/>
      <c r="E18" s="416" t="s">
        <v>185</v>
      </c>
      <c r="F18" s="767"/>
      <c r="G18" s="767"/>
      <c r="H18" s="767"/>
      <c r="I18" s="416" t="s">
        <v>183</v>
      </c>
      <c r="J18" s="416" t="s">
        <v>149</v>
      </c>
      <c r="K18" s="416" t="str">
        <f>IF(J18="Yes", INDEX('DEQ Pollutant List'!B26:B630, MATCH(I18, 'DEQ Pollutant List'!A26:A630, 0)), E18)</f>
        <v>Silica, crystalline (respirable)</v>
      </c>
      <c r="L18" s="421">
        <v>1E-3</v>
      </c>
      <c r="M18" s="421">
        <v>0.01</v>
      </c>
      <c r="N18" s="416">
        <f t="shared" si="2"/>
        <v>1E-3</v>
      </c>
      <c r="O18" s="776"/>
      <c r="P18" s="773"/>
    </row>
    <row r="19" spans="1:16" x14ac:dyDescent="0.2">
      <c r="B19" s="777"/>
      <c r="C19" s="777"/>
      <c r="D19" s="777"/>
      <c r="E19" s="416" t="s">
        <v>180</v>
      </c>
      <c r="F19" s="768"/>
      <c r="G19" s="768"/>
      <c r="H19" s="768"/>
      <c r="I19" s="416" t="s">
        <v>181</v>
      </c>
      <c r="J19" s="416" t="str">
        <f>IF(ISNUMBER(MATCH(I19,'DEQ Pollutant List'!$A:$A,0)),"Yes", "No")</f>
        <v>Yes</v>
      </c>
      <c r="K19" s="416" t="str">
        <f>IF(J19="Yes", INDEX('DEQ Pollutant List'!B27:B631, MATCH(I19, 'DEQ Pollutant List'!A27:A631, 0)), E19)</f>
        <v>Manganese and compounds</v>
      </c>
      <c r="L19" s="421">
        <v>1E-3</v>
      </c>
      <c r="M19" s="421">
        <v>0.01</v>
      </c>
      <c r="N19" s="416">
        <f t="shared" si="2"/>
        <v>1E-3</v>
      </c>
      <c r="O19" s="777"/>
      <c r="P19" s="774"/>
    </row>
    <row r="20" spans="1:16" ht="15" customHeight="1" x14ac:dyDescent="0.2">
      <c r="B20" s="775" t="s">
        <v>200</v>
      </c>
      <c r="C20" s="775" t="s">
        <v>201</v>
      </c>
      <c r="D20" s="775" t="s">
        <v>202</v>
      </c>
      <c r="E20" s="416" t="s">
        <v>180</v>
      </c>
      <c r="F20" s="766">
        <f t="shared" ref="F20" si="3">5/1000</f>
        <v>5.0000000000000001E-3</v>
      </c>
      <c r="G20" s="766" t="s">
        <v>203</v>
      </c>
      <c r="H20" s="766" t="s">
        <v>178</v>
      </c>
      <c r="I20" s="416" t="s">
        <v>181</v>
      </c>
      <c r="J20" s="416" t="str">
        <f>IF(ISNUMBER(MATCH(I20,'DEQ Pollutant List'!$A:$A,0)),"Yes", "No")</f>
        <v>Yes</v>
      </c>
      <c r="K20" s="416" t="str">
        <f>IF(J20="Yes", INDEX('DEQ Pollutant List'!B36:B640, MATCH(I20, 'DEQ Pollutant List'!A36:A640, 0)), E20)</f>
        <v>Manganese and compounds</v>
      </c>
      <c r="L20" s="421">
        <v>0.01</v>
      </c>
      <c r="M20" s="421">
        <v>0.05</v>
      </c>
      <c r="N20" s="416">
        <f t="shared" ref="N20:N25" si="4">IF(J20="Yes",$F$20* M20, "--")</f>
        <v>2.5000000000000001E-4</v>
      </c>
      <c r="O20" s="775" t="s">
        <v>197</v>
      </c>
      <c r="P20" s="772" t="s">
        <v>149</v>
      </c>
    </row>
    <row r="21" spans="1:16" ht="15" customHeight="1" x14ac:dyDescent="0.2">
      <c r="B21" s="776"/>
      <c r="C21" s="776"/>
      <c r="D21" s="776"/>
      <c r="E21" s="416" t="s">
        <v>182</v>
      </c>
      <c r="F21" s="767"/>
      <c r="G21" s="767"/>
      <c r="H21" s="767"/>
      <c r="I21" s="416" t="s">
        <v>183</v>
      </c>
      <c r="J21" s="416" t="s">
        <v>149</v>
      </c>
      <c r="K21" s="416" t="str">
        <f>IF(J21="Yes", INDEX('DEQ Pollutant List'!B37:B641, MATCH(I21, 'DEQ Pollutant List'!A37:A641, 0)), E21)</f>
        <v>Silica, crystalline (respirable)</v>
      </c>
      <c r="L21" s="421">
        <v>0.01</v>
      </c>
      <c r="M21" s="421">
        <v>0.05</v>
      </c>
      <c r="N21" s="416">
        <f t="shared" si="4"/>
        <v>2.5000000000000001E-4</v>
      </c>
      <c r="O21" s="776"/>
      <c r="P21" s="773"/>
    </row>
    <row r="22" spans="1:16" ht="15" customHeight="1" x14ac:dyDescent="0.2">
      <c r="B22" s="776"/>
      <c r="C22" s="776"/>
      <c r="D22" s="776"/>
      <c r="E22" s="416" t="s">
        <v>184</v>
      </c>
      <c r="F22" s="767"/>
      <c r="G22" s="767"/>
      <c r="H22" s="767"/>
      <c r="I22" s="416" t="s">
        <v>183</v>
      </c>
      <c r="J22" s="416" t="s">
        <v>149</v>
      </c>
      <c r="K22" s="416" t="str">
        <f>IF(J22="Yes", INDEX('DEQ Pollutant List'!B38:B642, MATCH(I22, 'DEQ Pollutant List'!A38:A642, 0)), E22)</f>
        <v>Silica, crystalline (respirable)</v>
      </c>
      <c r="L22" s="421">
        <v>1E-3</v>
      </c>
      <c r="M22" s="421">
        <v>0.01</v>
      </c>
      <c r="N22" s="416">
        <f t="shared" si="4"/>
        <v>5.0000000000000002E-5</v>
      </c>
      <c r="O22" s="776"/>
      <c r="P22" s="773"/>
    </row>
    <row r="23" spans="1:16" x14ac:dyDescent="0.2">
      <c r="B23" s="776"/>
      <c r="C23" s="776"/>
      <c r="D23" s="776"/>
      <c r="E23" s="416" t="s">
        <v>187</v>
      </c>
      <c r="F23" s="767"/>
      <c r="G23" s="767"/>
      <c r="H23" s="767"/>
      <c r="I23" s="416" t="s">
        <v>183</v>
      </c>
      <c r="J23" s="416" t="s">
        <v>149</v>
      </c>
      <c r="K23" s="416" t="str">
        <f>IF(J23="Yes", INDEX('DEQ Pollutant List'!B38:B642, MATCH(I23, 'DEQ Pollutant List'!A38:A642, 0)), E23)</f>
        <v>Silica, crystalline (respirable)</v>
      </c>
      <c r="L23" s="421">
        <v>1E-3</v>
      </c>
      <c r="M23" s="421">
        <v>0.01</v>
      </c>
      <c r="N23" s="416">
        <f t="shared" si="4"/>
        <v>5.0000000000000002E-5</v>
      </c>
      <c r="O23" s="776"/>
      <c r="P23" s="773"/>
    </row>
    <row r="24" spans="1:16" x14ac:dyDescent="0.2">
      <c r="B24" s="776"/>
      <c r="C24" s="776"/>
      <c r="D24" s="776"/>
      <c r="E24" s="416" t="s">
        <v>204</v>
      </c>
      <c r="F24" s="767"/>
      <c r="G24" s="767"/>
      <c r="H24" s="767"/>
      <c r="I24" s="416" t="s">
        <v>205</v>
      </c>
      <c r="J24" s="416" t="str">
        <f>IF(ISNUMBER(MATCH(I24,'DEQ Pollutant List'!$A:$A,0)),"Yes", "No")</f>
        <v>Yes</v>
      </c>
      <c r="K24" s="416" t="str">
        <f>IF(J24="Yes", INDEX('DEQ Pollutant List'!B43:B647, MATCH(I24, 'DEQ Pollutant List'!A43:A647, 0)), E24)</f>
        <v>Copper and compounds</v>
      </c>
      <c r="L24" s="421">
        <v>1E-3</v>
      </c>
      <c r="M24" s="421">
        <v>0.01</v>
      </c>
      <c r="N24" s="416">
        <f t="shared" si="4"/>
        <v>5.0000000000000002E-5</v>
      </c>
      <c r="O24" s="776"/>
      <c r="P24" s="773"/>
    </row>
    <row r="25" spans="1:16" x14ac:dyDescent="0.2">
      <c r="B25" s="777"/>
      <c r="C25" s="777"/>
      <c r="D25" s="777"/>
      <c r="E25" s="416" t="s">
        <v>186</v>
      </c>
      <c r="F25" s="768"/>
      <c r="G25" s="768"/>
      <c r="H25" s="768"/>
      <c r="I25" s="416" t="s">
        <v>183</v>
      </c>
      <c r="J25" s="416" t="str">
        <f>IF(ISNUMBER(MATCH(I25,'DEQ Pollutant List'!$A:$A,0)),"Yes", "No")</f>
        <v>Yes</v>
      </c>
      <c r="K25" s="416" t="str">
        <f>IF(J25="Yes", INDEX('DEQ Pollutant List'!B44:B648, MATCH(I25, 'DEQ Pollutant List'!A44:A648, 0)), E25)</f>
        <v>Silica, crystalline (respirable)</v>
      </c>
      <c r="L25" s="421">
        <v>1E-3</v>
      </c>
      <c r="M25" s="421">
        <v>0.01</v>
      </c>
      <c r="N25" s="416">
        <f t="shared" si="4"/>
        <v>5.0000000000000002E-5</v>
      </c>
      <c r="O25" s="777"/>
      <c r="P25" s="774"/>
    </row>
    <row r="26" spans="1:16" x14ac:dyDescent="0.2">
      <c r="B26" s="779" t="s">
        <v>206</v>
      </c>
      <c r="C26" s="778" t="s">
        <v>207</v>
      </c>
      <c r="D26" s="779" t="s">
        <v>208</v>
      </c>
      <c r="E26" s="416" t="s">
        <v>209</v>
      </c>
      <c r="F26" s="763">
        <f>200/1000</f>
        <v>0.2</v>
      </c>
      <c r="G26" s="766" t="s">
        <v>97</v>
      </c>
      <c r="H26" s="763" t="s">
        <v>196</v>
      </c>
      <c r="I26" s="416">
        <v>239</v>
      </c>
      <c r="J26" s="416" t="str">
        <f>IF(ISNUMBER(MATCH(I26,'DEQ Pollutant List'!$A:$A,0)),"Yes", "No")</f>
        <v>Yes</v>
      </c>
      <c r="K26" s="416" t="str">
        <f xml:space="preserve"> IF(J26="Yes", INDEX('DEQ Pollutant List'!B65:B669, MATCH(I26, 'DEQ Pollutant List'!A65:A669, 0)),E26)</f>
        <v>Fluorides</v>
      </c>
      <c r="L26" s="421">
        <v>0</v>
      </c>
      <c r="M26" s="421">
        <v>0.03</v>
      </c>
      <c r="N26" s="416">
        <f>IF(J26="Yes",$F$26* M26, "--")</f>
        <v>6.0000000000000001E-3</v>
      </c>
      <c r="O26" s="771" t="s">
        <v>126</v>
      </c>
      <c r="P26" s="771" t="s">
        <v>131</v>
      </c>
    </row>
    <row r="27" spans="1:16" x14ac:dyDescent="0.2">
      <c r="B27" s="779"/>
      <c r="C27" s="778"/>
      <c r="D27" s="779"/>
      <c r="E27" s="416" t="s">
        <v>210</v>
      </c>
      <c r="F27" s="763"/>
      <c r="G27" s="767"/>
      <c r="H27" s="763"/>
      <c r="I27" s="416" t="s">
        <v>181</v>
      </c>
      <c r="J27" s="416" t="str">
        <f>IF(ISNUMBER(MATCH(I27,'DEQ Pollutant List'!$A:$A,0)),"Yes", "No")</f>
        <v>Yes</v>
      </c>
      <c r="K27" s="416" t="str">
        <f xml:space="preserve"> IF(J27="Yes", INDEX('DEQ Pollutant List'!B70:B674, MATCH(I27, 'DEQ Pollutant List'!A70:A674, 0)),E27)</f>
        <v>Manganese and compounds</v>
      </c>
      <c r="L27" s="421">
        <v>0.01</v>
      </c>
      <c r="M27" s="421">
        <v>0.03</v>
      </c>
      <c r="N27" s="416">
        <f t="shared" ref="N27:N30" si="5">IF(J27="Yes",$F$26* M27, "--")</f>
        <v>6.0000000000000001E-3</v>
      </c>
      <c r="O27" s="771"/>
      <c r="P27" s="771"/>
    </row>
    <row r="28" spans="1:16" x14ac:dyDescent="0.2">
      <c r="B28" s="779"/>
      <c r="C28" s="778"/>
      <c r="D28" s="779"/>
      <c r="E28" s="416" t="s">
        <v>211</v>
      </c>
      <c r="F28" s="763"/>
      <c r="G28" s="767"/>
      <c r="H28" s="763"/>
      <c r="I28" s="416" t="s">
        <v>212</v>
      </c>
      <c r="J28" s="416" t="str">
        <f>IF(ISNUMBER(MATCH(I28,'DEQ Pollutant List'!$A:$A,0)),"Yes", "No")</f>
        <v>Yes</v>
      </c>
      <c r="K28" s="416" t="str">
        <f xml:space="preserve"> IF(J28="Yes", INDEX('DEQ Pollutant List'!B71:B675, MATCH(I28, 'DEQ Pollutant List'!A71:A675, 0)),E28)</f>
        <v>Nickel and compounds</v>
      </c>
      <c r="L28" s="421">
        <v>0</v>
      </c>
      <c r="M28" s="421">
        <v>0.03</v>
      </c>
      <c r="N28" s="416">
        <f t="shared" si="5"/>
        <v>6.0000000000000001E-3</v>
      </c>
      <c r="O28" s="771"/>
      <c r="P28" s="771"/>
    </row>
    <row r="29" spans="1:16" x14ac:dyDescent="0.2">
      <c r="B29" s="779"/>
      <c r="C29" s="778"/>
      <c r="D29" s="779"/>
      <c r="E29" s="416" t="s">
        <v>185</v>
      </c>
      <c r="F29" s="763"/>
      <c r="G29" s="767"/>
      <c r="H29" s="763"/>
      <c r="I29" s="416" t="s">
        <v>183</v>
      </c>
      <c r="J29" s="416" t="s">
        <v>149</v>
      </c>
      <c r="K29" s="416" t="str">
        <f xml:space="preserve"> IF(J29="Yes", INDEX('DEQ Pollutant List'!B72:B676, MATCH(I29, 'DEQ Pollutant List'!A72:A676, 0)),E29)</f>
        <v>Silica, crystalline (respirable)</v>
      </c>
      <c r="L29" s="421">
        <v>0.01</v>
      </c>
      <c r="M29" s="421">
        <v>0.04</v>
      </c>
      <c r="N29" s="416">
        <f t="shared" si="5"/>
        <v>8.0000000000000002E-3</v>
      </c>
      <c r="O29" s="771"/>
      <c r="P29" s="771"/>
    </row>
    <row r="30" spans="1:16" x14ac:dyDescent="0.2">
      <c r="B30" s="779"/>
      <c r="C30" s="778"/>
      <c r="D30" s="779"/>
      <c r="E30" s="416" t="s">
        <v>213</v>
      </c>
      <c r="F30" s="763"/>
      <c r="G30" s="768"/>
      <c r="H30" s="763"/>
      <c r="I30" s="416" t="s">
        <v>214</v>
      </c>
      <c r="J30" s="416" t="str">
        <f>IF(ISNUMBER(MATCH(I30,'DEQ Pollutant List'!$A:$A,0)),"Yes", "No")</f>
        <v>Yes</v>
      </c>
      <c r="K30" s="416" t="str">
        <f xml:space="preserve"> IF(J30="Yes", INDEX('DEQ Pollutant List'!B75:B679, MATCH(I30, 'DEQ Pollutant List'!A75:A679, 0)),E30)</f>
        <v>Vanadium (fume or dust)</v>
      </c>
      <c r="L30" s="421">
        <v>0</v>
      </c>
      <c r="M30" s="431">
        <v>7.0000000000000007E-2</v>
      </c>
      <c r="N30" s="373">
        <f t="shared" si="5"/>
        <v>1.4000000000000002E-2</v>
      </c>
      <c r="O30" s="771"/>
      <c r="P30" s="771"/>
    </row>
    <row r="31" spans="1:16" s="433" customFormat="1" x14ac:dyDescent="0.25">
      <c r="A31" s="435">
        <v>1</v>
      </c>
      <c r="B31" s="429" t="s">
        <v>215</v>
      </c>
      <c r="C31" s="432"/>
      <c r="D31" s="432"/>
      <c r="E31" s="432"/>
      <c r="F31" s="432"/>
      <c r="G31" s="432"/>
      <c r="H31" s="432"/>
      <c r="I31" s="432"/>
      <c r="J31" s="432"/>
      <c r="K31" s="432"/>
      <c r="L31" s="432"/>
      <c r="M31" s="432"/>
      <c r="N31" s="432"/>
      <c r="O31" s="432"/>
      <c r="P31" s="432"/>
    </row>
    <row r="32" spans="1:16" s="434" customFormat="1" x14ac:dyDescent="0.25">
      <c r="A32" s="435">
        <v>2</v>
      </c>
      <c r="B32" s="429" t="s">
        <v>216</v>
      </c>
      <c r="C32" s="432"/>
      <c r="D32" s="432"/>
      <c r="E32" s="432"/>
      <c r="F32" s="432"/>
      <c r="G32" s="432"/>
      <c r="H32" s="432"/>
      <c r="I32" s="432"/>
      <c r="J32" s="432"/>
      <c r="K32" s="432"/>
      <c r="L32" s="432"/>
      <c r="M32" s="432"/>
      <c r="N32" s="432"/>
      <c r="O32" s="432"/>
      <c r="P32" s="432"/>
    </row>
    <row r="33" spans="1:2" ht="13.5" x14ac:dyDescent="0.2">
      <c r="A33" s="436">
        <v>3</v>
      </c>
      <c r="B33" s="365" t="s">
        <v>217</v>
      </c>
    </row>
    <row r="34" spans="1:2" ht="14.25" customHeight="1" x14ac:dyDescent="0.2">
      <c r="A34" s="436">
        <v>4</v>
      </c>
      <c r="B34" s="365" t="s">
        <v>218</v>
      </c>
    </row>
  </sheetData>
  <mergeCells count="42">
    <mergeCell ref="P5:P13"/>
    <mergeCell ref="O5:O13"/>
    <mergeCell ref="H5:H13"/>
    <mergeCell ref="G5:G13"/>
    <mergeCell ref="F5:F13"/>
    <mergeCell ref="D5:D13"/>
    <mergeCell ref="C5:C13"/>
    <mergeCell ref="D14:D19"/>
    <mergeCell ref="C14:C19"/>
    <mergeCell ref="B14:B19"/>
    <mergeCell ref="B20:B25"/>
    <mergeCell ref="B5:B13"/>
    <mergeCell ref="B26:B30"/>
    <mergeCell ref="B3:B4"/>
    <mergeCell ref="P3:P4"/>
    <mergeCell ref="C3:C4"/>
    <mergeCell ref="D3:D4"/>
    <mergeCell ref="E3:E4"/>
    <mergeCell ref="F3:F4"/>
    <mergeCell ref="O3:O4"/>
    <mergeCell ref="I3:N3"/>
    <mergeCell ref="H3:H4"/>
    <mergeCell ref="G3:G4"/>
    <mergeCell ref="F26:F30"/>
    <mergeCell ref="H26:H30"/>
    <mergeCell ref="G26:G30"/>
    <mergeCell ref="H14:H19"/>
    <mergeCell ref="G14:G19"/>
    <mergeCell ref="F14:F19"/>
    <mergeCell ref="C26:C30"/>
    <mergeCell ref="D26:D30"/>
    <mergeCell ref="H20:H25"/>
    <mergeCell ref="G20:G25"/>
    <mergeCell ref="F20:F25"/>
    <mergeCell ref="D20:D25"/>
    <mergeCell ref="C20:C25"/>
    <mergeCell ref="O26:O30"/>
    <mergeCell ref="P26:P30"/>
    <mergeCell ref="P14:P19"/>
    <mergeCell ref="O14:O19"/>
    <mergeCell ref="P20:P25"/>
    <mergeCell ref="O20:O25"/>
  </mergeCells>
  <phoneticPr fontId="25"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CE1B3-9044-4DFB-92F0-5D9A4AB19A56}">
  <dimension ref="A2:AK34"/>
  <sheetViews>
    <sheetView view="pageBreakPreview" zoomScale="60" zoomScaleNormal="100" workbookViewId="0">
      <selection activeCell="P11" sqref="P11"/>
    </sheetView>
  </sheetViews>
  <sheetFormatPr defaultColWidth="8.85546875" defaultRowHeight="12.75" x14ac:dyDescent="0.2"/>
  <cols>
    <col min="1" max="1" width="9.140625" style="366" customWidth="1"/>
    <col min="2" max="2" width="17.42578125" style="366" customWidth="1"/>
    <col min="3" max="26" width="16.140625" style="366" customWidth="1"/>
    <col min="27" max="37" width="9.140625" style="153" customWidth="1"/>
    <col min="38" max="16384" width="8.85546875" style="368"/>
  </cols>
  <sheetData>
    <row r="2" spans="1:37" ht="14.45" customHeight="1" x14ac:dyDescent="0.2">
      <c r="B2" s="367" t="s">
        <v>219</v>
      </c>
    </row>
    <row r="3" spans="1:37" ht="32.450000000000003" customHeight="1" x14ac:dyDescent="0.2">
      <c r="B3" s="780" t="s">
        <v>220</v>
      </c>
      <c r="C3" s="780"/>
      <c r="D3" s="780"/>
      <c r="E3" s="780"/>
      <c r="F3" s="780"/>
      <c r="G3" s="780"/>
      <c r="H3" s="780"/>
      <c r="I3" s="780"/>
      <c r="J3" s="780"/>
      <c r="K3" s="780"/>
      <c r="L3" s="438"/>
      <c r="M3" s="438"/>
      <c r="N3" s="438"/>
    </row>
    <row r="4" spans="1:37" s="471" customFormat="1" ht="25.5" x14ac:dyDescent="0.2">
      <c r="B4" s="784" t="s">
        <v>221</v>
      </c>
      <c r="C4" s="785"/>
      <c r="D4" s="597" t="s">
        <v>222</v>
      </c>
      <c r="E4" s="376" t="s">
        <v>45</v>
      </c>
      <c r="F4" s="376" t="s">
        <v>223</v>
      </c>
      <c r="G4" s="376" t="s">
        <v>59</v>
      </c>
      <c r="H4" s="376" t="s">
        <v>67</v>
      </c>
      <c r="I4" s="598" t="s">
        <v>224</v>
      </c>
      <c r="J4" s="376" t="s">
        <v>225</v>
      </c>
      <c r="K4" s="376" t="s">
        <v>226</v>
      </c>
      <c r="N4" s="440"/>
    </row>
    <row r="5" spans="1:37" s="472" customFormat="1" ht="51" x14ac:dyDescent="0.2">
      <c r="B5" s="786"/>
      <c r="C5" s="787"/>
      <c r="D5" s="595" t="str">
        <f>'Welding SDS Review'!K13</f>
        <v>Aluminum and compounds</v>
      </c>
      <c r="E5" s="441" t="s">
        <v>227</v>
      </c>
      <c r="F5" s="441" t="s">
        <v>228</v>
      </c>
      <c r="G5" s="441" t="str">
        <f>'Welding SDS Review'!K19</f>
        <v>Manganese and compounds</v>
      </c>
      <c r="H5" s="441" t="str">
        <f>'DEQ Pollutant List'!B399</f>
        <v>Nickel compounds, insoluble</v>
      </c>
      <c r="I5" s="441" t="str">
        <f>'Welding SDS Review'!K10</f>
        <v>Silica, crystalline (respirable)</v>
      </c>
      <c r="J5" s="441" t="str">
        <f>'Welding SDS Review'!K30</f>
        <v>Vanadium (fume or dust)</v>
      </c>
      <c r="K5" s="441" t="str">
        <f>'Welding SDS Review'!K26</f>
        <v>Fluorides</v>
      </c>
      <c r="N5" s="442"/>
    </row>
    <row r="6" spans="1:37" s="471" customFormat="1" ht="27.75" customHeight="1" x14ac:dyDescent="0.2">
      <c r="B6" s="371"/>
      <c r="C6" s="372" t="s">
        <v>229</v>
      </c>
      <c r="D6" s="594" t="str">
        <f>'Welding SDS Review'!I13</f>
        <v>7429-90-5</v>
      </c>
      <c r="E6" s="439" t="s">
        <v>147</v>
      </c>
      <c r="F6" s="439" t="s">
        <v>55</v>
      </c>
      <c r="G6" s="439" t="str">
        <f>'Welding SDS Review'!I19</f>
        <v>7439-96-5</v>
      </c>
      <c r="H6" s="439">
        <f>365</f>
        <v>365</v>
      </c>
      <c r="I6" s="375" t="str">
        <f>'Welding SDS Review'!I10</f>
        <v>7631-86-9</v>
      </c>
      <c r="J6" s="439" t="str">
        <f>'Welding SDS Review'!I30</f>
        <v>7440-62-2</v>
      </c>
      <c r="K6" s="439">
        <f>'Welding SDS Review'!I5</f>
        <v>239</v>
      </c>
      <c r="N6" s="440"/>
    </row>
    <row r="7" spans="1:37" s="153" customFormat="1" ht="27.75" customHeight="1" x14ac:dyDescent="0.2">
      <c r="B7" s="596" t="s">
        <v>230</v>
      </c>
      <c r="C7" s="596" t="s">
        <v>231</v>
      </c>
      <c r="D7" s="473" t="str">
        <f>IF(ISNUMBER(MATCH(D6,'DEQ Pollutant List'!$A:$A, 0)), "Yes", "No")</f>
        <v>Yes</v>
      </c>
      <c r="E7" s="473" t="s">
        <v>149</v>
      </c>
      <c r="F7" s="473" t="s">
        <v>149</v>
      </c>
      <c r="G7" s="473" t="str">
        <f>IF(ISNUMBER(MATCH(G6,'DEQ Pollutant List'!$A:$A, 0)), "Yes", "No")</f>
        <v>Yes</v>
      </c>
      <c r="H7" s="473" t="str">
        <f>IF(ISNUMBER(MATCH(H6,'DEQ Pollutant List'!$A:$A, 0)), "Yes", "No")</f>
        <v>Yes</v>
      </c>
      <c r="I7" s="473" t="str">
        <f>IF(ISNUMBER(MATCH(I6,'DEQ Pollutant List'!$A:$A, 0)), "Yes", "No")</f>
        <v>Yes</v>
      </c>
      <c r="J7" s="473" t="str">
        <f>IF(ISNUMBER(MATCH(J6,'DEQ Pollutant List'!$A:$A, 0)), "Yes", "No")</f>
        <v>Yes</v>
      </c>
      <c r="K7" s="473" t="str">
        <f>IF(ISNUMBER(MATCH(K6,'DEQ Pollutant List'!$A:$A, 0)), "Yes", "No")</f>
        <v>Yes</v>
      </c>
      <c r="N7" s="369"/>
    </row>
    <row r="8" spans="1:37" x14ac:dyDescent="0.2">
      <c r="B8" s="474"/>
      <c r="C8" s="444" t="s">
        <v>178</v>
      </c>
      <c r="D8" s="367"/>
      <c r="E8" s="367"/>
      <c r="F8" s="367"/>
      <c r="G8" s="367"/>
      <c r="H8" s="367"/>
      <c r="I8" s="367"/>
      <c r="J8" s="367"/>
      <c r="K8" s="445"/>
      <c r="N8" s="367"/>
    </row>
    <row r="9" spans="1:37" s="471" customFormat="1" x14ac:dyDescent="0.2">
      <c r="B9" s="443" t="s">
        <v>173</v>
      </c>
      <c r="C9" s="446">
        <v>7018</v>
      </c>
      <c r="D9" s="447">
        <f>IF(((($E$20)*$C$23*'Welding Emission Factors'!C30)=0),"--",(($E$20)*$C$23*'Welding Emission Factors'!C30))</f>
        <v>0.13442579999999998</v>
      </c>
      <c r="E9" s="448">
        <v>1E-3</v>
      </c>
      <c r="F9" s="449">
        <v>3.3E-3</v>
      </c>
      <c r="G9" s="450">
        <v>1.03</v>
      </c>
      <c r="H9" s="451">
        <v>2E-3</v>
      </c>
      <c r="I9" s="447">
        <f>IF(((($E$20)*$C$23*'Welding Emission Factors'!F30)=0),"--",(($E$20)*$C$23*'Welding Emission Factors'!F30))</f>
        <v>0.56142539999999996</v>
      </c>
      <c r="J9" s="452">
        <v>2.6357999999999999E-2</v>
      </c>
      <c r="K9" s="447">
        <f>IF(((($E$20)*$C$23*'Welding Emission Factors'!H30)=0),"--",(($E$20)*$C$23*'Welding Emission Factors'!H30))</f>
        <v>0.39537</v>
      </c>
      <c r="N9" s="453"/>
    </row>
    <row r="10" spans="1:37" x14ac:dyDescent="0.2">
      <c r="B10" s="474"/>
      <c r="C10" s="454" t="s">
        <v>196</v>
      </c>
      <c r="D10" s="455"/>
      <c r="E10" s="455"/>
      <c r="F10" s="455"/>
      <c r="G10" s="455"/>
      <c r="H10" s="455"/>
      <c r="I10" s="455"/>
      <c r="J10" s="456"/>
      <c r="K10" s="457"/>
      <c r="N10" s="455"/>
    </row>
    <row r="11" spans="1:37" s="471" customFormat="1" x14ac:dyDescent="0.2">
      <c r="B11" s="443" t="s">
        <v>206</v>
      </c>
      <c r="C11" s="458" t="s">
        <v>208</v>
      </c>
      <c r="D11" s="459" t="str">
        <f>IF((($F$21*$C$24*'Welding Emission Factors'!C31)=0),"--",(($F$21/1000)*$C$24*'Welding Emission Factors'!C31))</f>
        <v>--</v>
      </c>
      <c r="E11" s="459"/>
      <c r="F11" s="459"/>
      <c r="G11" s="460">
        <f>IF((($F$21*$C$24*'Welding Emission Factors'!D31)=0),"--",(($F$21)*$C$24*'Welding Emission Factors'!D31))</f>
        <v>1.1459999999999999E-4</v>
      </c>
      <c r="H11" s="460">
        <f>IF((($F$21*$C$24*'Welding Emission Factors'!E31)=0),"--",(($F$21)*$C$24*'Welding Emission Factors'!E31))</f>
        <v>8.5949999999999989E-5</v>
      </c>
      <c r="I11" s="460">
        <f>IF((($F$21*$C$24*'Welding Emission Factors'!F31)=0),"--",(($F$21)*$C$24*'Welding Emission Factors'!F31))</f>
        <v>1.4325000000000001E-4</v>
      </c>
      <c r="J11" s="460">
        <f>IF((($F$21*$C$24*'Welding Emission Factors'!G31)=0),"--",(($F$21)*$C$24*'Welding Emission Factors'!G31))</f>
        <v>2.0055000000000002E-4</v>
      </c>
      <c r="K11" s="460">
        <f>IF((($F$21*$C$24*'Welding Emission Factors'!H31)=0),"--",(($F$21)*$C$24*'Welding Emission Factors'!H31))</f>
        <v>8.5949999999999989E-5</v>
      </c>
      <c r="N11" s="461"/>
    </row>
    <row r="12" spans="1:37" ht="13.5" customHeight="1" x14ac:dyDescent="0.2">
      <c r="A12" s="436">
        <v>1</v>
      </c>
      <c r="B12" s="462" t="s">
        <v>232</v>
      </c>
      <c r="C12" s="462"/>
      <c r="D12" s="462"/>
      <c r="E12" s="462"/>
      <c r="F12" s="462"/>
      <c r="G12" s="462"/>
      <c r="H12" s="462"/>
      <c r="I12" s="462"/>
      <c r="J12" s="462"/>
      <c r="K12" s="462"/>
      <c r="L12" s="462"/>
      <c r="M12" s="364"/>
      <c r="N12" s="364"/>
      <c r="O12" s="368"/>
      <c r="P12" s="368"/>
      <c r="Q12" s="368"/>
      <c r="R12" s="368"/>
      <c r="S12" s="368"/>
      <c r="T12" s="368"/>
      <c r="U12" s="368"/>
      <c r="V12" s="368"/>
      <c r="W12" s="368"/>
      <c r="X12" s="368"/>
      <c r="Y12" s="368"/>
      <c r="Z12" s="368"/>
      <c r="AA12" s="368"/>
      <c r="AB12" s="368"/>
      <c r="AC12" s="368"/>
      <c r="AD12" s="368"/>
      <c r="AE12" s="368"/>
      <c r="AF12" s="368"/>
      <c r="AG12" s="368"/>
      <c r="AH12" s="368"/>
      <c r="AI12" s="368"/>
      <c r="AJ12" s="368"/>
      <c r="AK12" s="368"/>
    </row>
    <row r="13" spans="1:37" ht="13.5" x14ac:dyDescent="0.2">
      <c r="A13" s="436">
        <v>2</v>
      </c>
      <c r="B13" s="790" t="s">
        <v>233</v>
      </c>
      <c r="C13" s="790"/>
      <c r="D13" s="790"/>
      <c r="E13" s="463"/>
      <c r="F13" s="364"/>
      <c r="G13" s="364"/>
      <c r="H13" s="364"/>
      <c r="I13" s="364"/>
      <c r="J13" s="364"/>
      <c r="K13" s="364"/>
      <c r="L13" s="364"/>
      <c r="M13" s="364"/>
      <c r="N13" s="364"/>
      <c r="O13" s="368"/>
      <c r="P13" s="368"/>
      <c r="Q13" s="368"/>
      <c r="R13" s="368"/>
      <c r="S13" s="368"/>
      <c r="T13" s="368"/>
      <c r="U13" s="368"/>
      <c r="V13" s="368"/>
      <c r="W13" s="368"/>
      <c r="X13" s="368"/>
      <c r="Y13" s="368"/>
      <c r="Z13" s="368"/>
      <c r="AA13" s="368"/>
      <c r="AB13" s="368"/>
      <c r="AC13" s="368"/>
      <c r="AD13" s="368"/>
      <c r="AE13" s="368"/>
      <c r="AF13" s="368"/>
      <c r="AG13" s="368"/>
      <c r="AH13" s="368"/>
      <c r="AI13" s="368"/>
      <c r="AJ13" s="368"/>
      <c r="AK13" s="368"/>
    </row>
    <row r="14" spans="1:37" ht="56.25" customHeight="1" x14ac:dyDescent="0.2">
      <c r="A14" s="436">
        <v>3</v>
      </c>
      <c r="B14" s="789" t="s">
        <v>234</v>
      </c>
      <c r="C14" s="789"/>
      <c r="D14" s="789"/>
      <c r="E14" s="789"/>
      <c r="F14" s="789"/>
      <c r="G14" s="789"/>
      <c r="H14" s="789"/>
      <c r="I14" s="789"/>
      <c r="J14" s="789"/>
      <c r="K14" s="789"/>
      <c r="L14" s="789"/>
      <c r="M14" s="789"/>
      <c r="N14" s="789"/>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row>
    <row r="15" spans="1:37" ht="13.5" x14ac:dyDescent="0.2">
      <c r="A15" s="436">
        <v>4</v>
      </c>
      <c r="B15" s="364" t="s">
        <v>235</v>
      </c>
      <c r="C15" s="464"/>
      <c r="D15" s="464"/>
      <c r="E15" s="464"/>
      <c r="F15" s="464"/>
      <c r="G15" s="464"/>
      <c r="H15" s="464"/>
      <c r="I15" s="464"/>
      <c r="J15" s="464"/>
      <c r="K15" s="464"/>
      <c r="L15" s="464"/>
      <c r="M15" s="464"/>
      <c r="N15" s="464"/>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row>
    <row r="16" spans="1:37" ht="13.5" x14ac:dyDescent="0.2">
      <c r="A16" s="436">
        <v>5</v>
      </c>
      <c r="B16" s="364" t="s">
        <v>236</v>
      </c>
      <c r="C16" s="364"/>
      <c r="D16" s="364"/>
      <c r="E16" s="364"/>
      <c r="F16" s="364"/>
      <c r="G16" s="364"/>
      <c r="H16" s="364"/>
      <c r="I16" s="364"/>
      <c r="J16" s="364"/>
      <c r="K16" s="364"/>
      <c r="L16" s="364"/>
      <c r="M16" s="364"/>
      <c r="N16" s="364"/>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row>
    <row r="18" spans="1:37" ht="15" customHeight="1" x14ac:dyDescent="0.2">
      <c r="B18" s="791" t="s">
        <v>237</v>
      </c>
      <c r="C18" s="792"/>
      <c r="D18" s="781" t="s">
        <v>238</v>
      </c>
      <c r="E18" s="793" t="s">
        <v>239</v>
      </c>
      <c r="F18" s="794"/>
      <c r="G18" s="442"/>
    </row>
    <row r="19" spans="1:37" ht="52.5" x14ac:dyDescent="0.2">
      <c r="B19" s="791"/>
      <c r="C19" s="792"/>
      <c r="D19" s="781"/>
      <c r="E19" s="437" t="s">
        <v>240</v>
      </c>
      <c r="F19" s="467" t="s">
        <v>241</v>
      </c>
      <c r="G19" s="442"/>
    </row>
    <row r="20" spans="1:37" x14ac:dyDescent="0.2">
      <c r="B20" s="465" t="s">
        <v>242</v>
      </c>
      <c r="C20" s="475" t="s">
        <v>178</v>
      </c>
      <c r="D20" s="371" t="s">
        <v>177</v>
      </c>
      <c r="E20" s="476">
        <v>18.399999999999999</v>
      </c>
      <c r="F20" s="477">
        <v>0.02</v>
      </c>
      <c r="G20" s="369"/>
    </row>
    <row r="21" spans="1:37" x14ac:dyDescent="0.2">
      <c r="B21" s="465" t="s">
        <v>208</v>
      </c>
      <c r="C21" s="475" t="s">
        <v>196</v>
      </c>
      <c r="D21" s="371" t="s">
        <v>97</v>
      </c>
      <c r="E21" s="478" t="s">
        <v>155</v>
      </c>
      <c r="F21" s="477">
        <v>0.02</v>
      </c>
      <c r="G21" s="369"/>
    </row>
    <row r="22" spans="1:37" ht="13.5" x14ac:dyDescent="0.2">
      <c r="A22" s="436">
        <v>1</v>
      </c>
      <c r="B22" s="364" t="s">
        <v>243</v>
      </c>
      <c r="C22" s="364"/>
      <c r="D22" s="364"/>
      <c r="E22" s="364"/>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row>
    <row r="23" spans="1:37" ht="13.5" x14ac:dyDescent="0.2">
      <c r="A23" s="436"/>
      <c r="B23" s="364" t="s">
        <v>178</v>
      </c>
      <c r="C23" s="364">
        <v>0.28649999999999998</v>
      </c>
      <c r="D23" s="364"/>
      <c r="E23" s="364"/>
      <c r="L23" s="368"/>
      <c r="M23" s="368"/>
      <c r="N23" s="368"/>
      <c r="O23" s="368"/>
      <c r="P23" s="368"/>
      <c r="Q23" s="368"/>
      <c r="R23" s="368"/>
      <c r="S23" s="368"/>
      <c r="T23" s="368"/>
      <c r="U23" s="368"/>
      <c r="V23" s="368"/>
      <c r="W23" s="368"/>
      <c r="X23" s="368"/>
      <c r="Y23" s="368"/>
      <c r="Z23" s="368"/>
      <c r="AA23" s="368"/>
      <c r="AB23" s="368"/>
      <c r="AC23" s="368"/>
      <c r="AD23" s="368"/>
      <c r="AE23" s="368"/>
      <c r="AF23" s="368"/>
      <c r="AG23" s="368"/>
      <c r="AH23" s="368"/>
      <c r="AI23" s="368"/>
      <c r="AJ23" s="368"/>
      <c r="AK23" s="368"/>
    </row>
    <row r="24" spans="1:37" ht="13.5" x14ac:dyDescent="0.2">
      <c r="A24" s="436"/>
      <c r="B24" s="364" t="s">
        <v>196</v>
      </c>
      <c r="C24" s="364">
        <v>0.28649999999999998</v>
      </c>
      <c r="D24" s="364"/>
      <c r="E24" s="364"/>
      <c r="L24" s="368"/>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row>
    <row r="25" spans="1:37" ht="13.5" x14ac:dyDescent="0.2">
      <c r="A25" s="436">
        <v>2</v>
      </c>
      <c r="B25" s="365" t="s">
        <v>244</v>
      </c>
      <c r="C25" s="364"/>
      <c r="D25" s="364"/>
      <c r="E25" s="364"/>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8"/>
      <c r="AI25" s="368"/>
      <c r="AJ25" s="368"/>
      <c r="AK25" s="368"/>
    </row>
    <row r="28" spans="1:37" x14ac:dyDescent="0.2">
      <c r="B28" s="367" t="s">
        <v>245</v>
      </c>
    </row>
    <row r="29" spans="1:37" ht="27" x14ac:dyDescent="0.2">
      <c r="A29" s="384"/>
      <c r="B29" s="465"/>
      <c r="C29" s="466" t="s">
        <v>222</v>
      </c>
      <c r="D29" s="466" t="s">
        <v>59</v>
      </c>
      <c r="E29" s="466" t="s">
        <v>67</v>
      </c>
      <c r="F29" s="467" t="s">
        <v>246</v>
      </c>
      <c r="G29" s="466" t="s">
        <v>225</v>
      </c>
      <c r="H29" s="466" t="s">
        <v>247</v>
      </c>
    </row>
    <row r="30" spans="1:37" x14ac:dyDescent="0.2">
      <c r="B30" s="446">
        <v>7018</v>
      </c>
      <c r="C30" s="468">
        <f>AVERAGE(0.1%,5%)</f>
        <v>2.5500000000000002E-2</v>
      </c>
      <c r="D30" s="468">
        <f>AVERAGE(1%,5%)</f>
        <v>3.0000000000000002E-2</v>
      </c>
      <c r="E30" s="468"/>
      <c r="F30" s="496">
        <f>+AVERAGE('Welding SDS Review'!L7,'Welding SDS Review'!M7)+AVERAGE('Welding SDS Review'!L8,'Welding SDS Review'!M8)+AVERAGE('Welding SDS Review'!L9,'Welding SDS Review'!M9)+AVERAGE('Welding SDS Review'!L10,'Welding SDS Review'!M10)+AVERAGE('Welding SDS Review'!L11,'Welding SDS Review'!M11)+AVERAGE('Welding SDS Review'!L12,'Welding SDS Review'!M12)</f>
        <v>0.10650000000000001</v>
      </c>
      <c r="G30" s="468"/>
      <c r="H30" s="468">
        <f>AVERAGE(5%,10%)</f>
        <v>7.5000000000000011E-2</v>
      </c>
    </row>
    <row r="31" spans="1:37" x14ac:dyDescent="0.2">
      <c r="B31" s="446" t="s">
        <v>208</v>
      </c>
      <c r="C31" s="468"/>
      <c r="D31" s="468">
        <f>AVERAGE(1%,3%)</f>
        <v>0.02</v>
      </c>
      <c r="E31" s="468">
        <f>AVERAGE(0%,3%)</f>
        <v>1.4999999999999999E-2</v>
      </c>
      <c r="F31" s="496">
        <f>AVERAGE('Welding SDS Review'!L29,'Welding SDS Review'!M29)</f>
        <v>2.5000000000000001E-2</v>
      </c>
      <c r="G31" s="468">
        <f>AVERAGE(0%,7%)</f>
        <v>3.5000000000000003E-2</v>
      </c>
      <c r="H31" s="468">
        <f>AVERAGE(0%,1%)*3</f>
        <v>1.4999999999999999E-2</v>
      </c>
    </row>
    <row r="32" spans="1:37" ht="13.5" x14ac:dyDescent="0.2">
      <c r="A32" s="436">
        <v>1</v>
      </c>
      <c r="B32" s="364" t="s">
        <v>248</v>
      </c>
    </row>
    <row r="33" spans="1:19" ht="13.5" x14ac:dyDescent="0.2">
      <c r="A33" s="436">
        <v>2</v>
      </c>
      <c r="B33" s="364" t="s">
        <v>249</v>
      </c>
      <c r="K33" s="469"/>
      <c r="L33" s="469"/>
      <c r="M33" s="469"/>
      <c r="N33" s="470"/>
      <c r="O33" s="469"/>
      <c r="P33" s="470"/>
      <c r="Q33" s="470"/>
      <c r="R33" s="470"/>
    </row>
    <row r="34" spans="1:19" x14ac:dyDescent="0.2">
      <c r="C34" s="788"/>
      <c r="D34" s="788"/>
      <c r="E34" s="788"/>
      <c r="F34" s="788"/>
      <c r="G34" s="788"/>
      <c r="H34" s="788"/>
      <c r="I34" s="788"/>
      <c r="J34" s="788"/>
      <c r="K34" s="788"/>
      <c r="L34" s="788"/>
      <c r="M34" s="788"/>
      <c r="N34" s="788"/>
      <c r="O34" s="788"/>
      <c r="P34" s="788"/>
      <c r="Q34" s="788"/>
      <c r="R34" s="788"/>
      <c r="S34" s="788"/>
    </row>
  </sheetData>
  <sortState xmlns:xlrd2="http://schemas.microsoft.com/office/spreadsheetml/2017/richdata2" ref="AA23:BA49">
    <sortCondition ref="AA21:AA49"/>
  </sortState>
  <mergeCells count="8">
    <mergeCell ref="B3:K3"/>
    <mergeCell ref="B4:C5"/>
    <mergeCell ref="C34:S34"/>
    <mergeCell ref="B14:N14"/>
    <mergeCell ref="B13:D13"/>
    <mergeCell ref="B18:C19"/>
    <mergeCell ref="D18:D19"/>
    <mergeCell ref="E18:F1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9A95D-99ED-4061-8213-5339F0893164}">
  <sheetPr>
    <tabColor theme="1"/>
  </sheetPr>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9C295-BAC3-404E-9CFA-C7B698AB464E}">
  <dimension ref="A1:H68"/>
  <sheetViews>
    <sheetView view="pageBreakPreview" topLeftCell="A47" zoomScale="60" zoomScaleNormal="100" workbookViewId="0">
      <selection activeCell="C59" sqref="C59"/>
    </sheetView>
  </sheetViews>
  <sheetFormatPr defaultColWidth="8.85546875" defaultRowHeight="12.75" x14ac:dyDescent="0.2"/>
  <cols>
    <col min="1" max="1" width="3.85546875" style="355" customWidth="1"/>
    <col min="2" max="2" width="30.140625" style="355" customWidth="1"/>
    <col min="3" max="3" width="14" style="355" customWidth="1"/>
    <col min="4" max="4" width="16.28515625" style="355" customWidth="1"/>
    <col min="5" max="5" width="17.85546875" style="355" customWidth="1"/>
    <col min="6" max="6" width="17.42578125" style="355" customWidth="1"/>
    <col min="7" max="7" width="28.42578125" style="355" customWidth="1"/>
    <col min="8" max="8" width="30.140625" style="355" customWidth="1"/>
    <col min="9" max="9" width="14" style="355" customWidth="1"/>
    <col min="10" max="10" width="16.28515625" style="355" customWidth="1"/>
    <col min="11" max="11" width="17.85546875" style="355" customWidth="1"/>
    <col min="12" max="12" width="17.42578125" style="355" customWidth="1"/>
    <col min="13" max="16384" width="8.85546875" style="355"/>
  </cols>
  <sheetData>
    <row r="1" spans="2:8" x14ac:dyDescent="0.2">
      <c r="B1" s="480" t="s">
        <v>250</v>
      </c>
    </row>
    <row r="3" spans="2:8" x14ac:dyDescent="0.2">
      <c r="B3" s="480" t="s">
        <v>251</v>
      </c>
    </row>
    <row r="4" spans="2:8" x14ac:dyDescent="0.2">
      <c r="B4" s="621" t="s">
        <v>252</v>
      </c>
      <c r="C4" s="622"/>
      <c r="D4" s="622"/>
      <c r="E4" s="622"/>
      <c r="F4" s="623"/>
    </row>
    <row r="5" spans="2:8" x14ac:dyDescent="0.2">
      <c r="B5" s="621" t="s">
        <v>253</v>
      </c>
      <c r="C5" s="622"/>
      <c r="D5" s="622"/>
      <c r="E5" s="622"/>
      <c r="F5" s="623"/>
    </row>
    <row r="6" spans="2:8" x14ac:dyDescent="0.2">
      <c r="B6" s="621" t="s">
        <v>254</v>
      </c>
      <c r="C6" s="622"/>
      <c r="D6" s="622"/>
      <c r="E6" s="622"/>
      <c r="F6" s="623"/>
    </row>
    <row r="7" spans="2:8" x14ac:dyDescent="0.2">
      <c r="B7" s="621" t="s">
        <v>255</v>
      </c>
      <c r="C7" s="622"/>
      <c r="D7" s="622"/>
      <c r="E7" s="622"/>
      <c r="F7" s="623"/>
    </row>
    <row r="8" spans="2:8" x14ac:dyDescent="0.2">
      <c r="B8" s="503" t="s">
        <v>256</v>
      </c>
      <c r="C8" s="622"/>
      <c r="D8" s="622"/>
      <c r="E8" s="622"/>
      <c r="F8" s="623"/>
    </row>
    <row r="9" spans="2:8" x14ac:dyDescent="0.2">
      <c r="B9" s="621" t="s">
        <v>257</v>
      </c>
      <c r="C9" s="622"/>
      <c r="D9" s="622"/>
      <c r="E9" s="622"/>
      <c r="F9" s="623"/>
    </row>
    <row r="10" spans="2:8" x14ac:dyDescent="0.2">
      <c r="B10" s="621" t="s">
        <v>258</v>
      </c>
      <c r="C10" s="622"/>
      <c r="D10" s="622"/>
      <c r="E10" s="622"/>
      <c r="F10" s="623"/>
    </row>
    <row r="11" spans="2:8" x14ac:dyDescent="0.2">
      <c r="B11" s="624" t="s">
        <v>259</v>
      </c>
      <c r="C11" s="625"/>
      <c r="D11" s="625"/>
      <c r="E11" s="625"/>
      <c r="F11" s="626"/>
    </row>
    <row r="14" spans="2:8" x14ac:dyDescent="0.2">
      <c r="B14" s="480" t="s">
        <v>260</v>
      </c>
      <c r="C14" s="389"/>
      <c r="D14" s="389"/>
    </row>
    <row r="15" spans="2:8" x14ac:dyDescent="0.2">
      <c r="B15" s="525" t="s">
        <v>261</v>
      </c>
      <c r="C15" s="525" t="s">
        <v>262</v>
      </c>
      <c r="D15" s="525" t="s">
        <v>4</v>
      </c>
      <c r="E15" s="796" t="s">
        <v>263</v>
      </c>
      <c r="F15" s="796"/>
      <c r="G15" s="796"/>
      <c r="H15" s="796"/>
    </row>
    <row r="16" spans="2:8" x14ac:dyDescent="0.2">
      <c r="B16" s="761" t="s">
        <v>264</v>
      </c>
      <c r="C16" s="761"/>
      <c r="D16" s="761"/>
      <c r="E16" s="761"/>
      <c r="F16" s="761"/>
      <c r="G16" s="761"/>
      <c r="H16" s="761"/>
    </row>
    <row r="17" spans="2:8" x14ac:dyDescent="0.2">
      <c r="B17" s="484" t="s">
        <v>265</v>
      </c>
      <c r="C17" s="627">
        <f>Throughputs!D5</f>
        <v>262800</v>
      </c>
      <c r="D17" s="396" t="s">
        <v>11</v>
      </c>
      <c r="E17" s="795" t="s">
        <v>266</v>
      </c>
      <c r="F17" s="795"/>
      <c r="G17" s="795"/>
      <c r="H17" s="795"/>
    </row>
    <row r="18" spans="2:8" x14ac:dyDescent="0.2">
      <c r="B18" s="484" t="s">
        <v>265</v>
      </c>
      <c r="C18" s="627">
        <v>800</v>
      </c>
      <c r="D18" s="396" t="s">
        <v>267</v>
      </c>
      <c r="E18" s="797" t="s">
        <v>268</v>
      </c>
      <c r="F18" s="798"/>
      <c r="G18" s="798"/>
      <c r="H18" s="799"/>
    </row>
    <row r="19" spans="2:8" x14ac:dyDescent="0.2">
      <c r="B19" s="761" t="s">
        <v>269</v>
      </c>
      <c r="C19" s="761"/>
      <c r="D19" s="761"/>
      <c r="E19" s="761"/>
      <c r="F19" s="761"/>
      <c r="G19" s="761"/>
      <c r="H19" s="761"/>
    </row>
    <row r="20" spans="2:8" x14ac:dyDescent="0.2">
      <c r="B20" s="484" t="s">
        <v>270</v>
      </c>
      <c r="C20" s="396">
        <v>4</v>
      </c>
      <c r="D20" s="396" t="s">
        <v>271</v>
      </c>
      <c r="E20" s="795" t="s">
        <v>272</v>
      </c>
      <c r="F20" s="795"/>
      <c r="G20" s="795"/>
      <c r="H20" s="795"/>
    </row>
    <row r="21" spans="2:8" ht="14.45" customHeight="1" x14ac:dyDescent="0.2">
      <c r="B21" s="796" t="s">
        <v>273</v>
      </c>
      <c r="C21" s="796"/>
      <c r="D21" s="796"/>
      <c r="E21" s="796"/>
      <c r="F21" s="796"/>
      <c r="G21" s="796"/>
      <c r="H21" s="796"/>
    </row>
    <row r="22" spans="2:8" x14ac:dyDescent="0.2">
      <c r="B22" s="484" t="s">
        <v>274</v>
      </c>
      <c r="C22" s="396">
        <v>6</v>
      </c>
      <c r="D22" s="484" t="s">
        <v>275</v>
      </c>
      <c r="E22" s="795" t="s">
        <v>276</v>
      </c>
      <c r="F22" s="795"/>
      <c r="G22" s="795"/>
      <c r="H22" s="795"/>
    </row>
    <row r="23" spans="2:8" x14ac:dyDescent="0.2">
      <c r="B23" s="761" t="s">
        <v>277</v>
      </c>
      <c r="C23" s="761"/>
      <c r="D23" s="761"/>
      <c r="E23" s="761"/>
      <c r="F23" s="761"/>
      <c r="G23" s="761"/>
      <c r="H23" s="761"/>
    </row>
    <row r="24" spans="2:8" x14ac:dyDescent="0.2">
      <c r="B24" s="484" t="s">
        <v>278</v>
      </c>
      <c r="C24" s="523">
        <f>CONVERT(3.83,"m/sec","mph")</f>
        <v>8.5674659985683608</v>
      </c>
      <c r="D24" s="396" t="s">
        <v>279</v>
      </c>
      <c r="E24" s="795" t="s">
        <v>280</v>
      </c>
      <c r="F24" s="795"/>
      <c r="G24" s="795"/>
      <c r="H24" s="795"/>
    </row>
    <row r="25" spans="2:8" x14ac:dyDescent="0.2">
      <c r="B25" s="484" t="s">
        <v>281</v>
      </c>
      <c r="C25" s="523">
        <f>CONVERT(10.28,"m/sec","mph")</f>
        <v>22.995705082319255</v>
      </c>
      <c r="D25" s="396" t="s">
        <v>279</v>
      </c>
      <c r="E25" s="795" t="s">
        <v>280</v>
      </c>
      <c r="F25" s="795"/>
      <c r="G25" s="795"/>
      <c r="H25" s="795"/>
    </row>
    <row r="26" spans="2:8" x14ac:dyDescent="0.2">
      <c r="C26" s="389"/>
      <c r="D26" s="389"/>
      <c r="E26" s="408"/>
      <c r="F26" s="408"/>
      <c r="G26" s="408"/>
      <c r="H26" s="408"/>
    </row>
    <row r="27" spans="2:8" x14ac:dyDescent="0.2">
      <c r="B27" s="480" t="s">
        <v>282</v>
      </c>
      <c r="C27" s="389"/>
      <c r="D27" s="389"/>
    </row>
    <row r="28" spans="2:8" x14ac:dyDescent="0.2">
      <c r="B28" s="392" t="s">
        <v>283</v>
      </c>
      <c r="C28" s="392" t="s">
        <v>262</v>
      </c>
      <c r="D28" s="392" t="s">
        <v>4</v>
      </c>
      <c r="E28" s="796" t="s">
        <v>263</v>
      </c>
      <c r="F28" s="796"/>
      <c r="G28" s="796"/>
      <c r="H28" s="796"/>
    </row>
    <row r="29" spans="2:8" x14ac:dyDescent="0.2">
      <c r="B29" s="526" t="s">
        <v>284</v>
      </c>
      <c r="C29" s="416">
        <v>0.74</v>
      </c>
      <c r="D29" s="416" t="s">
        <v>285</v>
      </c>
      <c r="E29" s="795" t="s">
        <v>286</v>
      </c>
      <c r="F29" s="795"/>
      <c r="G29" s="795"/>
      <c r="H29" s="795"/>
    </row>
    <row r="30" spans="2:8" ht="14.25" x14ac:dyDescent="0.25">
      <c r="B30" s="484" t="s">
        <v>287</v>
      </c>
      <c r="C30" s="416">
        <v>0.35</v>
      </c>
      <c r="D30" s="396" t="s">
        <v>285</v>
      </c>
      <c r="E30" s="795" t="s">
        <v>286</v>
      </c>
      <c r="F30" s="795"/>
      <c r="G30" s="795"/>
      <c r="H30" s="795"/>
    </row>
    <row r="31" spans="2:8" ht="14.25" x14ac:dyDescent="0.25">
      <c r="B31" s="484" t="s">
        <v>288</v>
      </c>
      <c r="C31" s="416">
        <v>5.2999999999999999E-2</v>
      </c>
      <c r="D31" s="396" t="s">
        <v>285</v>
      </c>
      <c r="E31" s="795" t="s">
        <v>286</v>
      </c>
      <c r="F31" s="795"/>
      <c r="G31" s="795"/>
      <c r="H31" s="795"/>
    </row>
    <row r="34" spans="1:8" x14ac:dyDescent="0.2">
      <c r="B34" s="480" t="s">
        <v>289</v>
      </c>
    </row>
    <row r="35" spans="1:8" ht="15" customHeight="1" x14ac:dyDescent="0.2">
      <c r="B35" s="761" t="s">
        <v>290</v>
      </c>
      <c r="C35" s="762" t="s">
        <v>291</v>
      </c>
      <c r="D35" s="800" t="s">
        <v>292</v>
      </c>
      <c r="E35" s="802" t="s">
        <v>293</v>
      </c>
      <c r="F35" s="803" t="s">
        <v>294</v>
      </c>
    </row>
    <row r="36" spans="1:8" ht="31.5" customHeight="1" x14ac:dyDescent="0.2">
      <c r="B36" s="761"/>
      <c r="C36" s="762"/>
      <c r="D36" s="801"/>
      <c r="E36" s="802"/>
      <c r="F36" s="804"/>
    </row>
    <row r="37" spans="1:8" ht="35.25" customHeight="1" x14ac:dyDescent="0.2">
      <c r="B37" s="761"/>
      <c r="C37" s="762"/>
      <c r="D37" s="413" t="s">
        <v>295</v>
      </c>
      <c r="E37" s="610" t="s">
        <v>295</v>
      </c>
      <c r="F37" s="611" t="s">
        <v>295</v>
      </c>
    </row>
    <row r="38" spans="1:8" x14ac:dyDescent="0.2">
      <c r="B38" s="484" t="s">
        <v>265</v>
      </c>
      <c r="C38" s="528">
        <f>Throughputs!D8</f>
        <v>262800</v>
      </c>
      <c r="D38" s="529">
        <f>(C30)*0.0032*(($C$24/5)^1.3)/((C20)/2)^1.4</f>
        <v>8.5471854984670763E-4</v>
      </c>
      <c r="E38" s="612">
        <f>(C30)*0.0032*(($C$25/5)^1.3)/((C20)/2)^1.4</f>
        <v>3.0850042906954101E-3</v>
      </c>
      <c r="F38" s="613">
        <f>D38*$C$22*$C$38/2000</f>
        <v>0.67386010469914426</v>
      </c>
    </row>
    <row r="39" spans="1:8" ht="13.5" x14ac:dyDescent="0.2">
      <c r="A39" s="387">
        <v>1</v>
      </c>
      <c r="B39" s="167" t="s">
        <v>296</v>
      </c>
    </row>
    <row r="42" spans="1:8" x14ac:dyDescent="0.2">
      <c r="B42" s="480" t="s">
        <v>297</v>
      </c>
    </row>
    <row r="43" spans="1:8" ht="25.5" x14ac:dyDescent="0.2">
      <c r="B43" s="392" t="s">
        <v>298</v>
      </c>
      <c r="C43" s="392" t="s">
        <v>299</v>
      </c>
      <c r="D43" s="392" t="s">
        <v>300</v>
      </c>
      <c r="E43" s="413" t="s">
        <v>301</v>
      </c>
      <c r="F43" s="413" t="s">
        <v>302</v>
      </c>
      <c r="G43" s="413" t="s">
        <v>303</v>
      </c>
      <c r="H43" s="527" t="s">
        <v>304</v>
      </c>
    </row>
    <row r="44" spans="1:8" x14ac:dyDescent="0.2">
      <c r="B44" s="396" t="s">
        <v>33</v>
      </c>
      <c r="C44" s="396" t="s">
        <v>305</v>
      </c>
      <c r="D44" s="490">
        <f>'Perlite Concentrations'!M4</f>
        <v>2.5000000000000002E-8</v>
      </c>
      <c r="E44" s="491">
        <f>D44*$D$38</f>
        <v>2.1367963746167694E-11</v>
      </c>
      <c r="F44" s="491">
        <f>E44*$C$38</f>
        <v>5.6155008724928695E-6</v>
      </c>
      <c r="G44" s="529">
        <f>D44*$E$38</f>
        <v>7.7125107267385263E-11</v>
      </c>
      <c r="H44" s="491">
        <f>G44*$C$18</f>
        <v>6.1700085813908209E-8</v>
      </c>
    </row>
    <row r="45" spans="1:8" x14ac:dyDescent="0.2">
      <c r="B45" s="396" t="s">
        <v>36</v>
      </c>
      <c r="C45" s="396" t="s">
        <v>190</v>
      </c>
      <c r="D45" s="490">
        <f>'Perlite Concentrations'!M5</f>
        <v>6.372499999999999E-2</v>
      </c>
      <c r="E45" s="491">
        <f t="shared" ref="E45:E67" si="0">D45*$D$38</f>
        <v>5.4466939588981438E-5</v>
      </c>
      <c r="F45" s="491">
        <f t="shared" ref="F45:F67" si="1">E45*$C$38</f>
        <v>14.313911723984322</v>
      </c>
      <c r="G45" s="529">
        <f t="shared" ref="G45:G67" si="2">D45*$E$38</f>
        <v>1.9659189842456497E-4</v>
      </c>
      <c r="H45" s="491">
        <f t="shared" ref="H45:H66" si="3">G45*$C$18</f>
        <v>0.15727351873965198</v>
      </c>
    </row>
    <row r="46" spans="1:8" x14ac:dyDescent="0.2">
      <c r="B46" s="396" t="s">
        <v>38</v>
      </c>
      <c r="C46" s="396" t="s">
        <v>306</v>
      </c>
      <c r="D46" s="490">
        <f>'Perlite Concentrations'!M6</f>
        <v>2.6000000000000005E-6</v>
      </c>
      <c r="E46" s="491">
        <f t="shared" si="0"/>
        <v>2.2222682296014402E-9</v>
      </c>
      <c r="F46" s="491">
        <f t="shared" si="1"/>
        <v>5.8401209073925852E-4</v>
      </c>
      <c r="G46" s="529">
        <f t="shared" si="2"/>
        <v>8.0210111558080674E-9</v>
      </c>
      <c r="H46" s="491">
        <f t="shared" si="3"/>
        <v>6.4168089246464537E-6</v>
      </c>
    </row>
    <row r="47" spans="1:8" x14ac:dyDescent="0.2">
      <c r="B47" s="396" t="s">
        <v>40</v>
      </c>
      <c r="C47" s="396" t="s">
        <v>142</v>
      </c>
      <c r="D47" s="490">
        <f>'Perlite Concentrations'!M7</f>
        <v>2.8000000000000003E-4</v>
      </c>
      <c r="E47" s="491">
        <f t="shared" si="0"/>
        <v>2.3932119395707819E-7</v>
      </c>
      <c r="F47" s="491">
        <f t="shared" si="1"/>
        <v>6.2893609771920142E-2</v>
      </c>
      <c r="G47" s="529">
        <f t="shared" si="2"/>
        <v>8.6380120139471493E-7</v>
      </c>
      <c r="H47" s="491">
        <f t="shared" si="3"/>
        <v>6.910409611157719E-4</v>
      </c>
    </row>
    <row r="48" spans="1:8" x14ac:dyDescent="0.2">
      <c r="B48" s="396" t="s">
        <v>42</v>
      </c>
      <c r="C48" s="396" t="s">
        <v>307</v>
      </c>
      <c r="D48" s="490">
        <f>'Perlite Concentrations'!M8</f>
        <v>3.0599999999999999E-6</v>
      </c>
      <c r="E48" s="491">
        <f t="shared" si="0"/>
        <v>2.6154387625309254E-9</v>
      </c>
      <c r="F48" s="491">
        <f t="shared" si="1"/>
        <v>6.8733730679312725E-4</v>
      </c>
      <c r="G48" s="529">
        <f t="shared" si="2"/>
        <v>9.4401131295279542E-9</v>
      </c>
      <c r="H48" s="491">
        <f t="shared" si="3"/>
        <v>7.5520905036223634E-6</v>
      </c>
    </row>
    <row r="49" spans="2:8" x14ac:dyDescent="0.2">
      <c r="B49" s="396" t="s">
        <v>44</v>
      </c>
      <c r="C49" s="396" t="s">
        <v>308</v>
      </c>
      <c r="D49" s="490">
        <f>'Perlite Concentrations'!M9</f>
        <v>8.0000000000000002E-8</v>
      </c>
      <c r="E49" s="491">
        <f t="shared" si="0"/>
        <v>6.8377483987736617E-11</v>
      </c>
      <c r="F49" s="491">
        <f t="shared" si="1"/>
        <v>1.7969602791977182E-5</v>
      </c>
      <c r="G49" s="529">
        <f t="shared" si="2"/>
        <v>2.4680034325563284E-10</v>
      </c>
      <c r="H49" s="491">
        <f t="shared" si="3"/>
        <v>1.9744027460450628E-7</v>
      </c>
    </row>
    <row r="50" spans="2:8" x14ac:dyDescent="0.2">
      <c r="B50" s="396" t="s">
        <v>46</v>
      </c>
      <c r="C50" s="396" t="s">
        <v>147</v>
      </c>
      <c r="D50" s="490">
        <f>'Perlite Concentrations'!M10</f>
        <v>1.0000000000000001E-7</v>
      </c>
      <c r="E50" s="491">
        <f t="shared" si="0"/>
        <v>8.5471854984670774E-11</v>
      </c>
      <c r="F50" s="491">
        <f t="shared" si="1"/>
        <v>2.2462003489971478E-5</v>
      </c>
      <c r="G50" s="529">
        <f t="shared" si="2"/>
        <v>3.0850042906954105E-10</v>
      </c>
      <c r="H50" s="491">
        <f t="shared" si="3"/>
        <v>2.4680034325563284E-7</v>
      </c>
    </row>
    <row r="51" spans="2:8" x14ac:dyDescent="0.2">
      <c r="B51" s="396" t="s">
        <v>49</v>
      </c>
      <c r="C51" s="396" t="s">
        <v>205</v>
      </c>
      <c r="D51" s="490">
        <f>'Perlite Concentrations'!M11</f>
        <v>5.200000000000001E-6</v>
      </c>
      <c r="E51" s="491">
        <f t="shared" si="0"/>
        <v>4.4445364592028804E-9</v>
      </c>
      <c r="F51" s="491">
        <f t="shared" si="1"/>
        <v>1.168024181478517E-3</v>
      </c>
      <c r="G51" s="529">
        <f t="shared" si="2"/>
        <v>1.6042022311616135E-8</v>
      </c>
      <c r="H51" s="491">
        <f t="shared" si="3"/>
        <v>1.2833617849292907E-5</v>
      </c>
    </row>
    <row r="52" spans="2:8" x14ac:dyDescent="0.2">
      <c r="B52" s="396" t="s">
        <v>54</v>
      </c>
      <c r="C52" s="396" t="s">
        <v>55</v>
      </c>
      <c r="D52" s="490">
        <f>'Perlite Concentrations'!M13</f>
        <v>7.9660000000000013E-6</v>
      </c>
      <c r="E52" s="491">
        <f>D52*$D$38</f>
        <v>6.8086879680788741E-9</v>
      </c>
      <c r="F52" s="491">
        <f>E52*$C$38</f>
        <v>1.7893231980111281E-3</v>
      </c>
      <c r="G52" s="529">
        <f t="shared" si="2"/>
        <v>2.4575144179679643E-8</v>
      </c>
      <c r="H52" s="491">
        <f t="shared" si="3"/>
        <v>1.9660115343743713E-5</v>
      </c>
    </row>
    <row r="53" spans="2:8" x14ac:dyDescent="0.2">
      <c r="B53" s="396" t="s">
        <v>57</v>
      </c>
      <c r="C53" s="396" t="s">
        <v>309</v>
      </c>
      <c r="D53" s="490">
        <f>'Perlite Concentrations'!M14</f>
        <v>2E-8</v>
      </c>
      <c r="E53" s="491">
        <f t="shared" si="0"/>
        <v>1.7094370996934154E-11</v>
      </c>
      <c r="F53" s="491">
        <f t="shared" si="1"/>
        <v>4.4924006979942954E-6</v>
      </c>
      <c r="G53" s="529">
        <f t="shared" si="2"/>
        <v>6.170008581390821E-11</v>
      </c>
      <c r="H53" s="491">
        <f t="shared" si="3"/>
        <v>4.936006865112657E-8</v>
      </c>
    </row>
    <row r="54" spans="2:8" x14ac:dyDescent="0.2">
      <c r="B54" s="396" t="s">
        <v>60</v>
      </c>
      <c r="C54" s="396" t="s">
        <v>181</v>
      </c>
      <c r="D54" s="490">
        <f>'Perlite Concentrations'!M15</f>
        <v>5.0299999999999997E-4</v>
      </c>
      <c r="E54" s="491">
        <f t="shared" si="0"/>
        <v>4.2992343057289394E-7</v>
      </c>
      <c r="F54" s="491">
        <f t="shared" si="1"/>
        <v>0.11298387755455652</v>
      </c>
      <c r="G54" s="529">
        <f t="shared" si="2"/>
        <v>1.5517571582197912E-6</v>
      </c>
      <c r="H54" s="491">
        <f t="shared" si="3"/>
        <v>1.241405726575833E-3</v>
      </c>
    </row>
    <row r="55" spans="2:8" x14ac:dyDescent="0.2">
      <c r="B55" s="396" t="s">
        <v>65</v>
      </c>
      <c r="C55" s="396" t="s">
        <v>66</v>
      </c>
      <c r="D55" s="490">
        <f>'Perlite Concentrations'!M17</f>
        <v>9.295523661156416E-6</v>
      </c>
      <c r="E55" s="491">
        <f t="shared" si="0"/>
        <v>7.9450565037293711E-9</v>
      </c>
      <c r="F55" s="491">
        <f t="shared" si="1"/>
        <v>2.0879608491800785E-3</v>
      </c>
      <c r="G55" s="529">
        <f t="shared" si="2"/>
        <v>2.8676730378928252E-8</v>
      </c>
      <c r="H55" s="491">
        <f t="shared" si="3"/>
        <v>2.2941384303142602E-5</v>
      </c>
    </row>
    <row r="56" spans="2:8" x14ac:dyDescent="0.2">
      <c r="B56" s="396" t="s">
        <v>68</v>
      </c>
      <c r="C56" s="396" t="s">
        <v>212</v>
      </c>
      <c r="D56" s="490">
        <f>'Perlite Concentrations'!M18</f>
        <v>1.9999999999999999E-6</v>
      </c>
      <c r="E56" s="491">
        <f t="shared" si="0"/>
        <v>1.7094370996934152E-9</v>
      </c>
      <c r="F56" s="491">
        <f t="shared" si="1"/>
        <v>4.4924006979942953E-4</v>
      </c>
      <c r="G56" s="529">
        <f t="shared" si="2"/>
        <v>6.1700085813908204E-9</v>
      </c>
      <c r="H56" s="491">
        <f t="shared" si="3"/>
        <v>4.9360068651126567E-6</v>
      </c>
    </row>
    <row r="57" spans="2:8" x14ac:dyDescent="0.2">
      <c r="B57" s="396" t="s">
        <v>70</v>
      </c>
      <c r="C57" s="396">
        <v>504</v>
      </c>
      <c r="D57" s="490">
        <f>'Perlite Concentrations'!M19</f>
        <v>3.3000000000000003E-5</v>
      </c>
      <c r="E57" s="491">
        <f t="shared" si="0"/>
        <v>2.8205712144941355E-8</v>
      </c>
      <c r="F57" s="491">
        <f t="shared" si="1"/>
        <v>7.4124611516905884E-3</v>
      </c>
      <c r="G57" s="529">
        <f t="shared" si="2"/>
        <v>1.0180514159294854E-7</v>
      </c>
      <c r="H57" s="491">
        <f t="shared" si="3"/>
        <v>8.1444113274358834E-5</v>
      </c>
    </row>
    <row r="58" spans="2:8" x14ac:dyDescent="0.2">
      <c r="B58" s="396" t="s">
        <v>72</v>
      </c>
      <c r="C58" s="396" t="s">
        <v>310</v>
      </c>
      <c r="D58" s="490">
        <f>'Perlite Concentrations'!M20</f>
        <v>2.5000000000000001E-5</v>
      </c>
      <c r="E58" s="491">
        <f t="shared" si="0"/>
        <v>2.1367963746167693E-8</v>
      </c>
      <c r="F58" s="491">
        <f t="shared" si="1"/>
        <v>5.6155008724928695E-3</v>
      </c>
      <c r="G58" s="529">
        <f t="shared" si="2"/>
        <v>7.7125107267385261E-8</v>
      </c>
      <c r="H58" s="491">
        <f t="shared" si="3"/>
        <v>6.1700085813908207E-5</v>
      </c>
    </row>
    <row r="59" spans="2:8" x14ac:dyDescent="0.2">
      <c r="B59" s="396" t="s">
        <v>74</v>
      </c>
      <c r="C59" s="396" t="s">
        <v>311</v>
      </c>
      <c r="D59" s="490">
        <f>'Perlite Concentrations'!M21</f>
        <v>3.7E-7</v>
      </c>
      <c r="E59" s="491">
        <f t="shared" si="0"/>
        <v>3.1624586344328182E-10</v>
      </c>
      <c r="F59" s="491">
        <f t="shared" si="1"/>
        <v>8.3109412912894462E-5</v>
      </c>
      <c r="G59" s="529">
        <f t="shared" si="2"/>
        <v>1.1414515875573018E-9</v>
      </c>
      <c r="H59" s="491">
        <f t="shared" si="3"/>
        <v>9.1316127004584143E-7</v>
      </c>
    </row>
    <row r="60" spans="2:8" x14ac:dyDescent="0.2">
      <c r="B60" s="396" t="s">
        <v>76</v>
      </c>
      <c r="C60" s="396" t="s">
        <v>312</v>
      </c>
      <c r="D60" s="490">
        <f>'Perlite Concentrations'!M22</f>
        <v>1.9000000000000001E-7</v>
      </c>
      <c r="E60" s="491">
        <f t="shared" si="0"/>
        <v>1.6239652447087446E-10</v>
      </c>
      <c r="F60" s="491">
        <f t="shared" si="1"/>
        <v>4.2677806630945806E-5</v>
      </c>
      <c r="G60" s="529">
        <f t="shared" si="2"/>
        <v>5.8615081523212797E-10</v>
      </c>
      <c r="H60" s="491">
        <f t="shared" si="3"/>
        <v>4.6892065218570237E-7</v>
      </c>
    </row>
    <row r="61" spans="2:8" x14ac:dyDescent="0.2">
      <c r="B61" s="396" t="s">
        <v>313</v>
      </c>
      <c r="C61" s="396" t="s">
        <v>314</v>
      </c>
      <c r="D61" s="490">
        <f>'Perlite Concentrations'!M23</f>
        <v>4.3900000000000005E-7</v>
      </c>
      <c r="E61" s="491">
        <f t="shared" si="0"/>
        <v>3.7522144338270468E-10</v>
      </c>
      <c r="F61" s="491">
        <f t="shared" si="1"/>
        <v>9.8608195320974796E-5</v>
      </c>
      <c r="G61" s="529">
        <f t="shared" si="2"/>
        <v>1.3543168836152852E-9</v>
      </c>
      <c r="H61" s="491">
        <f t="shared" si="3"/>
        <v>1.0834535068922281E-6</v>
      </c>
    </row>
    <row r="62" spans="2:8" x14ac:dyDescent="0.2">
      <c r="B62" s="396" t="s">
        <v>83</v>
      </c>
      <c r="C62" s="396" t="s">
        <v>315</v>
      </c>
      <c r="D62" s="490">
        <f>'Perlite Concentrations'!M25</f>
        <v>3.0000000000000001E-5</v>
      </c>
      <c r="E62" s="491">
        <f t="shared" si="0"/>
        <v>2.5641556495401228E-8</v>
      </c>
      <c r="F62" s="491">
        <f t="shared" si="1"/>
        <v>6.7386010469914423E-3</v>
      </c>
      <c r="G62" s="529">
        <f t="shared" si="2"/>
        <v>9.25501287208623E-8</v>
      </c>
      <c r="H62" s="491">
        <f t="shared" si="3"/>
        <v>7.4040102976689841E-5</v>
      </c>
    </row>
    <row r="63" spans="2:8" x14ac:dyDescent="0.2">
      <c r="B63" s="396" t="s">
        <v>40</v>
      </c>
      <c r="C63" s="396" t="s">
        <v>142</v>
      </c>
      <c r="D63" s="490">
        <f>'Perlite Concentrations'!M26</f>
        <v>2.0000000000000001E-4</v>
      </c>
      <c r="E63" s="491">
        <f t="shared" si="0"/>
        <v>1.7094370996934154E-7</v>
      </c>
      <c r="F63" s="491">
        <f t="shared" si="1"/>
        <v>4.4924006979942956E-2</v>
      </c>
      <c r="G63" s="529">
        <f t="shared" si="2"/>
        <v>6.1700085813908209E-7</v>
      </c>
      <c r="H63" s="491">
        <f t="shared" si="3"/>
        <v>4.9360068651126566E-4</v>
      </c>
    </row>
    <row r="64" spans="2:8" x14ac:dyDescent="0.2">
      <c r="B64" s="396" t="s">
        <v>87</v>
      </c>
      <c r="C64" s="396" t="s">
        <v>316</v>
      </c>
      <c r="D64" s="490">
        <f>'Perlite Concentrations'!M27</f>
        <v>8.0000000000000007E-5</v>
      </c>
      <c r="E64" s="491">
        <f t="shared" si="0"/>
        <v>6.8377483987736617E-8</v>
      </c>
      <c r="F64" s="491">
        <f t="shared" si="1"/>
        <v>1.7969602791977183E-2</v>
      </c>
      <c r="G64" s="529">
        <f t="shared" si="2"/>
        <v>2.4680034325563284E-7</v>
      </c>
      <c r="H64" s="491">
        <f t="shared" si="3"/>
        <v>1.9744027460450627E-4</v>
      </c>
    </row>
    <row r="65" spans="1:8" x14ac:dyDescent="0.2">
      <c r="B65" s="396" t="s">
        <v>90</v>
      </c>
      <c r="C65" s="396" t="s">
        <v>183</v>
      </c>
      <c r="D65" s="490">
        <f>'Perlite Concentrations'!M28</f>
        <v>3.7265E-2</v>
      </c>
      <c r="E65" s="491">
        <f t="shared" si="0"/>
        <v>3.185108676003756E-5</v>
      </c>
      <c r="F65" s="491">
        <f t="shared" si="1"/>
        <v>8.3704656005378713</v>
      </c>
      <c r="G65" s="529">
        <f t="shared" si="2"/>
        <v>1.1496268489276445E-4</v>
      </c>
      <c r="H65" s="491">
        <f t="shared" si="3"/>
        <v>9.1970147914211556E-2</v>
      </c>
    </row>
    <row r="66" spans="1:8" x14ac:dyDescent="0.2">
      <c r="B66" s="396" t="s">
        <v>92</v>
      </c>
      <c r="C66" s="396" t="s">
        <v>317</v>
      </c>
      <c r="D66" s="490">
        <f>'Perlite Concentrations'!M29</f>
        <v>2.5000000000000001E-5</v>
      </c>
      <c r="E66" s="491">
        <f t="shared" si="0"/>
        <v>2.1367963746167693E-8</v>
      </c>
      <c r="F66" s="491">
        <f t="shared" si="1"/>
        <v>5.6155008724928695E-3</v>
      </c>
      <c r="G66" s="529">
        <f t="shared" si="2"/>
        <v>7.7125107267385261E-8</v>
      </c>
      <c r="H66" s="491">
        <f t="shared" si="3"/>
        <v>6.1700085813908207E-5</v>
      </c>
    </row>
    <row r="67" spans="1:8" x14ac:dyDescent="0.2">
      <c r="B67" s="396" t="s">
        <v>94</v>
      </c>
      <c r="C67" s="396" t="s">
        <v>318</v>
      </c>
      <c r="D67" s="490">
        <f>'Perlite Concentrations'!M30</f>
        <v>2.5000000000000001E-5</v>
      </c>
      <c r="E67" s="491">
        <f t="shared" si="0"/>
        <v>2.1367963746167693E-8</v>
      </c>
      <c r="F67" s="491">
        <f t="shared" si="1"/>
        <v>5.6155008724928695E-3</v>
      </c>
      <c r="G67" s="529">
        <f t="shared" si="2"/>
        <v>7.7125107267385261E-8</v>
      </c>
      <c r="H67" s="491">
        <f>G67*$C$18</f>
        <v>6.1700085813908207E-5</v>
      </c>
    </row>
    <row r="68" spans="1:8" ht="13.5" x14ac:dyDescent="0.2">
      <c r="A68" s="387">
        <v>1</v>
      </c>
      <c r="B68" s="171" t="s">
        <v>319</v>
      </c>
      <c r="C68" s="389"/>
      <c r="D68" s="628"/>
    </row>
  </sheetData>
  <mergeCells count="20">
    <mergeCell ref="B21:H21"/>
    <mergeCell ref="E22:H22"/>
    <mergeCell ref="B23:H23"/>
    <mergeCell ref="E24:H24"/>
    <mergeCell ref="E28:H28"/>
    <mergeCell ref="E25:H25"/>
    <mergeCell ref="E29:H29"/>
    <mergeCell ref="E30:H30"/>
    <mergeCell ref="E31:H31"/>
    <mergeCell ref="B35:B37"/>
    <mergeCell ref="C35:C37"/>
    <mergeCell ref="D35:D36"/>
    <mergeCell ref="E35:E36"/>
    <mergeCell ref="F35:F36"/>
    <mergeCell ref="E20:H20"/>
    <mergeCell ref="E15:H15"/>
    <mergeCell ref="B16:H16"/>
    <mergeCell ref="E17:H17"/>
    <mergeCell ref="B19:H19"/>
    <mergeCell ref="E18:H1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cf280a4bc12a5bbeea6c142ee8a532dc">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6d6c697508c4af6479fdf8947031f386"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CAOProjectManager xmlns="6076d197-b432-4a89-8b9d-b97676e775aa">
      <UserInfo>
        <DisplayName/>
        <AccountId xsi:nil="true"/>
        <AccountType/>
      </UserInfo>
    </CAOProjectManag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71352A-C7E3-472F-A73E-EC26B5B3BE68}"/>
</file>

<file path=customXml/itemProps2.xml><?xml version="1.0" encoding="utf-8"?>
<ds:datastoreItem xmlns:ds="http://schemas.openxmlformats.org/officeDocument/2006/customXml" ds:itemID="{AFC7A287-5775-4F99-8820-41CF3E6D8449}">
  <ds:schemaRefs>
    <ds:schemaRef ds:uri="http://schemas.microsoft.com/office/2006/metadata/properties"/>
    <ds:schemaRef ds:uri="http://schemas.microsoft.com/office/infopath/2007/PartnerControls"/>
    <ds:schemaRef ds:uri="693b0515-2e13-4998-a073-ecba7635c423"/>
    <ds:schemaRef ds:uri="f7a89346-0d21-48f2-9c89-181b2c39b17f"/>
  </ds:schemaRefs>
</ds:datastoreItem>
</file>

<file path=customXml/itemProps3.xml><?xml version="1.0" encoding="utf-8"?>
<ds:datastoreItem xmlns:ds="http://schemas.openxmlformats.org/officeDocument/2006/customXml" ds:itemID="{E8702600-C6DF-41E1-B1D6-2CB11ACC6491}">
  <ds:schemaRefs>
    <ds:schemaRef ds:uri="http://schemas.microsoft.com/sharepoint/v3/contenttype/forms"/>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4</vt:i4>
      </vt:variant>
    </vt:vector>
  </HeadingPairs>
  <TitlesOfParts>
    <vt:vector size="32" baseType="lpstr">
      <vt:lpstr>Throughputs</vt:lpstr>
      <vt:lpstr>Test Data --&gt;</vt:lpstr>
      <vt:lpstr>Perlite Concentrations</vt:lpstr>
      <vt:lpstr>SDS Emissions --&gt;</vt:lpstr>
      <vt:lpstr>Maintenance Activities SDS</vt:lpstr>
      <vt:lpstr>Welding SDS Review</vt:lpstr>
      <vt:lpstr>Welding Emission Factors</vt:lpstr>
      <vt:lpstr>EU Emissions --&gt;</vt:lpstr>
      <vt:lpstr>Drop points</vt:lpstr>
      <vt:lpstr>Baghouses</vt:lpstr>
      <vt:lpstr>Dryer</vt:lpstr>
      <vt:lpstr>Stockpiles</vt:lpstr>
      <vt:lpstr>Crusher</vt:lpstr>
      <vt:lpstr>Unpaved Roads</vt:lpstr>
      <vt:lpstr>Storage Tanks</vt:lpstr>
      <vt:lpstr>ESP--&gt;</vt:lpstr>
      <vt:lpstr>ESP Input</vt:lpstr>
      <vt:lpstr>ESP Output</vt:lpstr>
      <vt:lpstr>Tank Sample Calc - 1</vt:lpstr>
      <vt:lpstr>Tank Sample Calc - 2</vt:lpstr>
      <vt:lpstr>Tank Sample Calc - 3</vt:lpstr>
      <vt:lpstr>Mock AQ520--&gt;</vt:lpstr>
      <vt:lpstr>2. Emissions Units &amp; Activities</vt:lpstr>
      <vt:lpstr>3. Pollutant Emissions - EF</vt:lpstr>
      <vt:lpstr>4. Material Balance Activities</vt:lpstr>
      <vt:lpstr>5. Pollutant Emissions - MB</vt:lpstr>
      <vt:lpstr>REF--&gt;</vt:lpstr>
      <vt:lpstr>DEQ Pollutant List</vt:lpstr>
      <vt:lpstr>Dryer!Print_Area</vt:lpstr>
      <vt:lpstr>'Tank Sample Calc - 3'!Print_Area</vt:lpstr>
      <vt:lpstr>'Unpaved Roads'!Print_Area</vt:lpstr>
      <vt:lpstr>'Welding Emission Factors'!Print_Area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 Nostrand</dc:creator>
  <cp:keywords/>
  <dc:description/>
  <cp:lastModifiedBy>Greg Nostrand</cp:lastModifiedBy>
  <cp:revision/>
  <dcterms:created xsi:type="dcterms:W3CDTF">2025-03-05T19:58:16Z</dcterms:created>
  <dcterms:modified xsi:type="dcterms:W3CDTF">2026-04-08T22:54:30Z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ediaServiceImageTags">
    <vt:lpwstr/>
  </property>
</Properties>
</file>