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ib656e\Desktop\CAO_Resubmittal\Files_For_Submittal_FEB2026\Response Attachment\"/>
    </mc:Choice>
  </mc:AlternateContent>
  <xr:revisionPtr revIDLastSave="0" documentId="13_ncr:1_{156FBB0B-9BFC-4196-B280-EF0D1134ED87}" xr6:coauthVersionLast="47" xr6:coauthVersionMax="47" xr10:uidLastSave="{00000000-0000-0000-0000-000000000000}"/>
  <bookViews>
    <workbookView xWindow="-27630" yWindow="1170" windowWidth="25335" windowHeight="14055" tabRatio="807"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EF'!$A$8:$T$2357</definedName>
    <definedName name="_xlnm._FilterDatabase" localSheetId="3" hidden="1">'4. TEUs &amp; Activities- MB'!$A$8:$W$8</definedName>
    <definedName name="_xlnm._FilterDatabase" localSheetId="4" hidden="1">'5. Pollutant Emissions - MB'!$A$7:$N$27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4" i="21" l="1" a="1"/>
  <c r="L154" i="21" s="1"/>
  <c r="M154" i="21" a="1"/>
  <c r="M154" i="21" s="1"/>
  <c r="M1817" i="19"/>
  <c r="J1817" i="19"/>
  <c r="N1817" i="19" s="1"/>
  <c r="D1817" i="19"/>
  <c r="M1816" i="19"/>
  <c r="J1816" i="19"/>
  <c r="N1816" i="19" s="1"/>
  <c r="D1816" i="19"/>
  <c r="N1815" i="19"/>
  <c r="M1815" i="19"/>
  <c r="J1815" i="19"/>
  <c r="D1815" i="19"/>
  <c r="N1814" i="19"/>
  <c r="M1814" i="19"/>
  <c r="J1814" i="19"/>
  <c r="D1814" i="19"/>
  <c r="M1813" i="19"/>
  <c r="J1813" i="19"/>
  <c r="N1813" i="19" s="1"/>
  <c r="D1813" i="19"/>
  <c r="M1812" i="19"/>
  <c r="J1812" i="19"/>
  <c r="N1812" i="19" s="1"/>
  <c r="D1812" i="19"/>
  <c r="M1811" i="19"/>
  <c r="J1811" i="19"/>
  <c r="N1811" i="19" s="1"/>
  <c r="D1811" i="19"/>
  <c r="M1810" i="19"/>
  <c r="J1810" i="19"/>
  <c r="N1810" i="19" s="1"/>
  <c r="D1810" i="19"/>
  <c r="N1809" i="19"/>
  <c r="M1809" i="19"/>
  <c r="J1809" i="19"/>
  <c r="D1809" i="19"/>
  <c r="N1808" i="19"/>
  <c r="M1808" i="19"/>
  <c r="J1808" i="19"/>
  <c r="D1808" i="19"/>
  <c r="N1807" i="19"/>
  <c r="M1807" i="19"/>
  <c r="J1807" i="19"/>
  <c r="D1807" i="19"/>
  <c r="M1806" i="19"/>
  <c r="J1806" i="19"/>
  <c r="N1806" i="19" s="1"/>
  <c r="D1806" i="19"/>
  <c r="M1805" i="19"/>
  <c r="J1805" i="19"/>
  <c r="N1805" i="19" s="1"/>
  <c r="D1805" i="19"/>
  <c r="M1804" i="19"/>
  <c r="J1804" i="19"/>
  <c r="N1804" i="19" s="1"/>
  <c r="D1804" i="19"/>
  <c r="M1803" i="19"/>
  <c r="J1803" i="19"/>
  <c r="N1803" i="19" s="1"/>
  <c r="D1803" i="19"/>
  <c r="N1802" i="19"/>
  <c r="M1802" i="19"/>
  <c r="J1802" i="19"/>
  <c r="D1802" i="19"/>
  <c r="N1801" i="19"/>
  <c r="M1801" i="19"/>
  <c r="J1801" i="19"/>
  <c r="D1801" i="19"/>
  <c r="N1800" i="19"/>
  <c r="M1800" i="19"/>
  <c r="J1800" i="19"/>
  <c r="D1800" i="19"/>
  <c r="M1799" i="19"/>
  <c r="J1799" i="19"/>
  <c r="N1799" i="19" s="1"/>
  <c r="D1799" i="19"/>
  <c r="M1798" i="19"/>
  <c r="J1798" i="19"/>
  <c r="N1798" i="19" s="1"/>
  <c r="D1798" i="19"/>
  <c r="M1797" i="19"/>
  <c r="J1797" i="19"/>
  <c r="N1797" i="19" s="1"/>
  <c r="D1797" i="19"/>
  <c r="M1796" i="19"/>
  <c r="J1796" i="19"/>
  <c r="N1796" i="19" s="1"/>
  <c r="D1796" i="19"/>
  <c r="N1795" i="19"/>
  <c r="M1795" i="19"/>
  <c r="J1795" i="19"/>
  <c r="D1795" i="19"/>
  <c r="N1794" i="19"/>
  <c r="M1794" i="19"/>
  <c r="J1794" i="19"/>
  <c r="D1794" i="19"/>
  <c r="N1793" i="19"/>
  <c r="M1793" i="19"/>
  <c r="J1793" i="19"/>
  <c r="D1793" i="19"/>
  <c r="M1792" i="19"/>
  <c r="J1792" i="19"/>
  <c r="N1792" i="19" s="1"/>
  <c r="D1792" i="19"/>
  <c r="M1791" i="19"/>
  <c r="J1791" i="19"/>
  <c r="N1791" i="19" s="1"/>
  <c r="D1791" i="19"/>
  <c r="N1790" i="19"/>
  <c r="M1790" i="19"/>
  <c r="D1790" i="19"/>
  <c r="N1789" i="19"/>
  <c r="M1789" i="19"/>
  <c r="J1789" i="19"/>
  <c r="D1789" i="19"/>
  <c r="N1788" i="19"/>
  <c r="M1788" i="19"/>
  <c r="J1788" i="19"/>
  <c r="D1788" i="19"/>
  <c r="N1787" i="19"/>
  <c r="M1787" i="19"/>
  <c r="J1787" i="19"/>
  <c r="D1787" i="19"/>
  <c r="M1786" i="19"/>
  <c r="J1786" i="19"/>
  <c r="N1786" i="19" s="1"/>
  <c r="D1786" i="19"/>
  <c r="M1785" i="19"/>
  <c r="J1785" i="19"/>
  <c r="N1785" i="19" s="1"/>
  <c r="D1785" i="19"/>
  <c r="M1784" i="19"/>
  <c r="J1784" i="19"/>
  <c r="N1784" i="19" s="1"/>
  <c r="D1784" i="19"/>
  <c r="M1783" i="19"/>
  <c r="J1783" i="19"/>
  <c r="N1783" i="19" s="1"/>
  <c r="D1783" i="19"/>
  <c r="N1782" i="19"/>
  <c r="M1782" i="19"/>
  <c r="J1782" i="19"/>
  <c r="D1782" i="19"/>
  <c r="N1781" i="19"/>
  <c r="M1781" i="19"/>
  <c r="J1781" i="19"/>
  <c r="D1781" i="19"/>
  <c r="N1780" i="19"/>
  <c r="M1780" i="19"/>
  <c r="J1780" i="19"/>
  <c r="D1780" i="19"/>
  <c r="M1779" i="19"/>
  <c r="J1779" i="19"/>
  <c r="N1779" i="19" s="1"/>
  <c r="D1779" i="19"/>
  <c r="M1778" i="19"/>
  <c r="J1778" i="19"/>
  <c r="N1778" i="19" s="1"/>
  <c r="D1778" i="19"/>
  <c r="M1777" i="19"/>
  <c r="J1777" i="19"/>
  <c r="N1777" i="19" s="1"/>
  <c r="D1777" i="19"/>
  <c r="M1776" i="19"/>
  <c r="J1776" i="19"/>
  <c r="N1776" i="19" s="1"/>
  <c r="D1776" i="19"/>
  <c r="N1775" i="19"/>
  <c r="M1775" i="19"/>
  <c r="J1775" i="19"/>
  <c r="D1775" i="19"/>
  <c r="N1774" i="19"/>
  <c r="M1774" i="19"/>
  <c r="J1774" i="19"/>
  <c r="D1774" i="19"/>
  <c r="N1773" i="19"/>
  <c r="M1773" i="19"/>
  <c r="J1773" i="19"/>
  <c r="D1773" i="19"/>
  <c r="M1772" i="19"/>
  <c r="J1772" i="19"/>
  <c r="N1772" i="19" s="1"/>
  <c r="D1772" i="19"/>
  <c r="M1771" i="19"/>
  <c r="J1771" i="19"/>
  <c r="N1771" i="19" s="1"/>
  <c r="D1771" i="19"/>
  <c r="M1770" i="19"/>
  <c r="J1770" i="19"/>
  <c r="N1770" i="19" s="1"/>
  <c r="D1770" i="19"/>
  <c r="M1769" i="19"/>
  <c r="J1769" i="19"/>
  <c r="N1769" i="19" s="1"/>
  <c r="D1769" i="19"/>
  <c r="N1768" i="19"/>
  <c r="M1768" i="19"/>
  <c r="J1768" i="19"/>
  <c r="D1768" i="19"/>
  <c r="N1767" i="19"/>
  <c r="M1767" i="19"/>
  <c r="J1767" i="19"/>
  <c r="D1767" i="19"/>
  <c r="N1766" i="19"/>
  <c r="M1766" i="19"/>
  <c r="J1766" i="19"/>
  <c r="D1766" i="19"/>
  <c r="M1765" i="19"/>
  <c r="J1765" i="19"/>
  <c r="N1765" i="19" s="1"/>
  <c r="D1765" i="19"/>
  <c r="M1764" i="19"/>
  <c r="J1764" i="19"/>
  <c r="N1764" i="19" s="1"/>
  <c r="D1764" i="19"/>
  <c r="M1763" i="19"/>
  <c r="J1763" i="19"/>
  <c r="N1763" i="19" s="1"/>
  <c r="D1763" i="19"/>
  <c r="N1762" i="19"/>
  <c r="M1762" i="19"/>
  <c r="D1762" i="19"/>
  <c r="M1761" i="19"/>
  <c r="J1761" i="19"/>
  <c r="N1761" i="19" s="1"/>
  <c r="D1761" i="19"/>
  <c r="N1760" i="19"/>
  <c r="M1760" i="19"/>
  <c r="J1760" i="19"/>
  <c r="D1760" i="19"/>
  <c r="M1759" i="19"/>
  <c r="J1759" i="19"/>
  <c r="N1759" i="19" s="1"/>
  <c r="D1759" i="19"/>
  <c r="N1758" i="19"/>
  <c r="M1758" i="19"/>
  <c r="J1758" i="19"/>
  <c r="D1758" i="19"/>
  <c r="N1757" i="19"/>
  <c r="M1757" i="19"/>
  <c r="J1757" i="19"/>
  <c r="D1757" i="19"/>
  <c r="N1756" i="19"/>
  <c r="M1756" i="19"/>
  <c r="J1756" i="19"/>
  <c r="D1756" i="19"/>
  <c r="M1755" i="19"/>
  <c r="J1755" i="19"/>
  <c r="N1755" i="19" s="1"/>
  <c r="D1755" i="19"/>
  <c r="M1754" i="19"/>
  <c r="J1754" i="19"/>
  <c r="N1754" i="19" s="1"/>
  <c r="D1754" i="19"/>
  <c r="N1753" i="19"/>
  <c r="M1753" i="19"/>
  <c r="J1753" i="19"/>
  <c r="D1753" i="19"/>
  <c r="M1752" i="19"/>
  <c r="J1752" i="19"/>
  <c r="N1752" i="19" s="1"/>
  <c r="D1752" i="19"/>
  <c r="N1751" i="19"/>
  <c r="M1751" i="19"/>
  <c r="J1751" i="19"/>
  <c r="D1751" i="19"/>
  <c r="N1750" i="19"/>
  <c r="M1750" i="19"/>
  <c r="J1750" i="19"/>
  <c r="D1750" i="19"/>
  <c r="N1749" i="19"/>
  <c r="M1749" i="19"/>
  <c r="J1749" i="19"/>
  <c r="D1749" i="19"/>
  <c r="M1748" i="19"/>
  <c r="J1748" i="19"/>
  <c r="N1748" i="19" s="1"/>
  <c r="D1748" i="19"/>
  <c r="M1747" i="19"/>
  <c r="J1747" i="19"/>
  <c r="N1747" i="19" s="1"/>
  <c r="D1747" i="19"/>
  <c r="N1746" i="19"/>
  <c r="M1746" i="19"/>
  <c r="J1746" i="19"/>
  <c r="D1746" i="19"/>
  <c r="M1745" i="19"/>
  <c r="J1745" i="19"/>
  <c r="N1745" i="19" s="1"/>
  <c r="D1745" i="19"/>
  <c r="N1744" i="19"/>
  <c r="M1744" i="19"/>
  <c r="J1744" i="19"/>
  <c r="D1744" i="19"/>
  <c r="N1743" i="19"/>
  <c r="M1743" i="19"/>
  <c r="J1743" i="19"/>
  <c r="D1743" i="19"/>
  <c r="N1742" i="19"/>
  <c r="M1742" i="19"/>
  <c r="J1742" i="19"/>
  <c r="D1742" i="19"/>
  <c r="M1741" i="19"/>
  <c r="J1741" i="19"/>
  <c r="N1741" i="19" s="1"/>
  <c r="D1741" i="19"/>
  <c r="M1740" i="19"/>
  <c r="J1740" i="19"/>
  <c r="N1740" i="19" s="1"/>
  <c r="D1740" i="19"/>
  <c r="N1739" i="19"/>
  <c r="M1739" i="19"/>
  <c r="J1739" i="19"/>
  <c r="D1739" i="19"/>
  <c r="M1738" i="19"/>
  <c r="J1738" i="19"/>
  <c r="N1738" i="19" s="1"/>
  <c r="D1738" i="19"/>
  <c r="N1737" i="19"/>
  <c r="M1737" i="19"/>
  <c r="J1737" i="19"/>
  <c r="D1737" i="19"/>
  <c r="N1736" i="19"/>
  <c r="M1736" i="19"/>
  <c r="J1736" i="19"/>
  <c r="D1736" i="19"/>
  <c r="N1735" i="19"/>
  <c r="M1735" i="19"/>
  <c r="J1735" i="19"/>
  <c r="D1735" i="19"/>
  <c r="N1734" i="19"/>
  <c r="M1734" i="19"/>
  <c r="D1734" i="19"/>
  <c r="M1733" i="19"/>
  <c r="J1733" i="19"/>
  <c r="N1733" i="19" s="1"/>
  <c r="D1733" i="19"/>
  <c r="M1732" i="19"/>
  <c r="J1732" i="19"/>
  <c r="N1732" i="19" s="1"/>
  <c r="D1732" i="19"/>
  <c r="M1731" i="19"/>
  <c r="J1731" i="19"/>
  <c r="N1731" i="19" s="1"/>
  <c r="D1731" i="19"/>
  <c r="N1730" i="19"/>
  <c r="M1730" i="19"/>
  <c r="J1730" i="19"/>
  <c r="D1730" i="19"/>
  <c r="N1729" i="19"/>
  <c r="M1729" i="19"/>
  <c r="J1729" i="19"/>
  <c r="D1729" i="19"/>
  <c r="N1728" i="19"/>
  <c r="M1728" i="19"/>
  <c r="J1728" i="19"/>
  <c r="D1728" i="19"/>
  <c r="N1727" i="19"/>
  <c r="M1727" i="19"/>
  <c r="J1727" i="19"/>
  <c r="D1727" i="19"/>
  <c r="M1726" i="19"/>
  <c r="J1726" i="19"/>
  <c r="N1726" i="19" s="1"/>
  <c r="D1726" i="19"/>
  <c r="M1725" i="19"/>
  <c r="J1725" i="19"/>
  <c r="N1725" i="19" s="1"/>
  <c r="D1725" i="19"/>
  <c r="M1724" i="19"/>
  <c r="J1724" i="19"/>
  <c r="N1724" i="19" s="1"/>
  <c r="D1724" i="19"/>
  <c r="N1723" i="19"/>
  <c r="M1723" i="19"/>
  <c r="J1723" i="19"/>
  <c r="D1723" i="19"/>
  <c r="N1722" i="19"/>
  <c r="M1722" i="19"/>
  <c r="J1722" i="19"/>
  <c r="D1722" i="19"/>
  <c r="N1721" i="19"/>
  <c r="M1721" i="19"/>
  <c r="J1721" i="19"/>
  <c r="D1721" i="19"/>
  <c r="N1720" i="19"/>
  <c r="M1720" i="19"/>
  <c r="J1720" i="19"/>
  <c r="D1720" i="19"/>
  <c r="M1719" i="19"/>
  <c r="J1719" i="19"/>
  <c r="N1719" i="19" s="1"/>
  <c r="D1719" i="19"/>
  <c r="M1718" i="19"/>
  <c r="J1718" i="19"/>
  <c r="N1718" i="19" s="1"/>
  <c r="D1718" i="19"/>
  <c r="M1717" i="19"/>
  <c r="J1717" i="19"/>
  <c r="N1717" i="19" s="1"/>
  <c r="D1717" i="19"/>
  <c r="N1716" i="19"/>
  <c r="M1716" i="19"/>
  <c r="J1716" i="19"/>
  <c r="D1716" i="19"/>
  <c r="N1715" i="19"/>
  <c r="M1715" i="19"/>
  <c r="J1715" i="19"/>
  <c r="D1715" i="19"/>
  <c r="N1714" i="19"/>
  <c r="M1714" i="19"/>
  <c r="J1714" i="19"/>
  <c r="D1714" i="19"/>
  <c r="N1713" i="19"/>
  <c r="M1713" i="19"/>
  <c r="J1713" i="19"/>
  <c r="D1713" i="19"/>
  <c r="M1712" i="19"/>
  <c r="J1712" i="19"/>
  <c r="N1712" i="19" s="1"/>
  <c r="D1712" i="19"/>
  <c r="M1711" i="19"/>
  <c r="J1711" i="19"/>
  <c r="N1711" i="19" s="1"/>
  <c r="D1711" i="19"/>
  <c r="M1710" i="19"/>
  <c r="J1710" i="19"/>
  <c r="N1710" i="19" s="1"/>
  <c r="D1710" i="19"/>
  <c r="N1709" i="19"/>
  <c r="M1709" i="19"/>
  <c r="J1709" i="19"/>
  <c r="D1709" i="19"/>
  <c r="N1708" i="19"/>
  <c r="M1708" i="19"/>
  <c r="J1708" i="19"/>
  <c r="D1708" i="19"/>
  <c r="N1707" i="19"/>
  <c r="M1707" i="19"/>
  <c r="J1707" i="19"/>
  <c r="D1707" i="19"/>
  <c r="N1706" i="19"/>
  <c r="M1706" i="19"/>
  <c r="D1706" i="19"/>
  <c r="N1705" i="19"/>
  <c r="M1705" i="19"/>
  <c r="J1705" i="19"/>
  <c r="D1705" i="19"/>
  <c r="N1704" i="19"/>
  <c r="M1704" i="19"/>
  <c r="J1704" i="19"/>
  <c r="D1704" i="19"/>
  <c r="N1703" i="19"/>
  <c r="M1703" i="19"/>
  <c r="J1703" i="19"/>
  <c r="D1703" i="19"/>
  <c r="M1702" i="19"/>
  <c r="J1702" i="19"/>
  <c r="N1702" i="19" s="1"/>
  <c r="D1702" i="19"/>
  <c r="M1701" i="19"/>
  <c r="J1701" i="19"/>
  <c r="N1701" i="19" s="1"/>
  <c r="D1701" i="19"/>
  <c r="N1700" i="19"/>
  <c r="M1700" i="19"/>
  <c r="J1700" i="19"/>
  <c r="D1700" i="19"/>
  <c r="M1699" i="19"/>
  <c r="J1699" i="19"/>
  <c r="N1699" i="19" s="1"/>
  <c r="D1699" i="19"/>
  <c r="N1698" i="19"/>
  <c r="M1698" i="19"/>
  <c r="J1698" i="19"/>
  <c r="D1698" i="19"/>
  <c r="N1697" i="19"/>
  <c r="M1697" i="19"/>
  <c r="J1697" i="19"/>
  <c r="D1697" i="19"/>
  <c r="N1696" i="19"/>
  <c r="M1696" i="19"/>
  <c r="J1696" i="19"/>
  <c r="D1696" i="19"/>
  <c r="M1695" i="19"/>
  <c r="J1695" i="19"/>
  <c r="N1695" i="19" s="1"/>
  <c r="D1695" i="19"/>
  <c r="M1694" i="19"/>
  <c r="J1694" i="19"/>
  <c r="N1694" i="19" s="1"/>
  <c r="D1694" i="19"/>
  <c r="N1693" i="19"/>
  <c r="M1693" i="19"/>
  <c r="J1693" i="19"/>
  <c r="D1693" i="19"/>
  <c r="M1692" i="19"/>
  <c r="J1692" i="19"/>
  <c r="N1692" i="19" s="1"/>
  <c r="D1692" i="19"/>
  <c r="N1691" i="19"/>
  <c r="M1691" i="19"/>
  <c r="J1691" i="19"/>
  <c r="D1691" i="19"/>
  <c r="N1690" i="19"/>
  <c r="M1690" i="19"/>
  <c r="J1690" i="19"/>
  <c r="D1690" i="19"/>
  <c r="N1689" i="19"/>
  <c r="M1689" i="19"/>
  <c r="J1689" i="19"/>
  <c r="D1689" i="19"/>
  <c r="M1688" i="19"/>
  <c r="J1688" i="19"/>
  <c r="N1688" i="19" s="1"/>
  <c r="D1688" i="19"/>
  <c r="M1687" i="19"/>
  <c r="J1687" i="19"/>
  <c r="N1687" i="19" s="1"/>
  <c r="D1687" i="19"/>
  <c r="N1686" i="19"/>
  <c r="M1686" i="19"/>
  <c r="J1686" i="19"/>
  <c r="D1686" i="19"/>
  <c r="M1685" i="19"/>
  <c r="J1685" i="19"/>
  <c r="N1685" i="19" s="1"/>
  <c r="D1685" i="19"/>
  <c r="N1684" i="19"/>
  <c r="M1684" i="19"/>
  <c r="J1684" i="19"/>
  <c r="D1684" i="19"/>
  <c r="N1683" i="19"/>
  <c r="M1683" i="19"/>
  <c r="J1683" i="19"/>
  <c r="D1683" i="19"/>
  <c r="N1682" i="19"/>
  <c r="M1682" i="19"/>
  <c r="J1682" i="19"/>
  <c r="D1682" i="19"/>
  <c r="M1681" i="19"/>
  <c r="J1681" i="19"/>
  <c r="N1681" i="19" s="1"/>
  <c r="D1681" i="19"/>
  <c r="M1680" i="19"/>
  <c r="J1680" i="19"/>
  <c r="N1680" i="19" s="1"/>
  <c r="D1680" i="19"/>
  <c r="N1679" i="19"/>
  <c r="M1679" i="19"/>
  <c r="J1679" i="19"/>
  <c r="D1679" i="19"/>
  <c r="N1678" i="19"/>
  <c r="M1678" i="19"/>
  <c r="D1678" i="19"/>
  <c r="N1677" i="19"/>
  <c r="M1677" i="19"/>
  <c r="J1677" i="19"/>
  <c r="D1677" i="19"/>
  <c r="N1676" i="19"/>
  <c r="M1676" i="19"/>
  <c r="J1676" i="19"/>
  <c r="D1676" i="19"/>
  <c r="N1675" i="19"/>
  <c r="M1675" i="19"/>
  <c r="J1675" i="19"/>
  <c r="D1675" i="19"/>
  <c r="M1674" i="19"/>
  <c r="J1674" i="19"/>
  <c r="N1674" i="19" s="1"/>
  <c r="D1674" i="19"/>
  <c r="M1673" i="19"/>
  <c r="J1673" i="19"/>
  <c r="N1673" i="19" s="1"/>
  <c r="D1673" i="19"/>
  <c r="M1672" i="19"/>
  <c r="J1672" i="19"/>
  <c r="N1672" i="19" s="1"/>
  <c r="D1672" i="19"/>
  <c r="M1671" i="19"/>
  <c r="J1671" i="19"/>
  <c r="N1671" i="19" s="1"/>
  <c r="D1671" i="19"/>
  <c r="N1670" i="19"/>
  <c r="M1670" i="19"/>
  <c r="J1670" i="19"/>
  <c r="D1670" i="19"/>
  <c r="N1669" i="19"/>
  <c r="M1669" i="19"/>
  <c r="J1669" i="19"/>
  <c r="D1669" i="19"/>
  <c r="N1668" i="19"/>
  <c r="M1668" i="19"/>
  <c r="J1668" i="19"/>
  <c r="D1668" i="19"/>
  <c r="M1667" i="19"/>
  <c r="J1667" i="19"/>
  <c r="N1667" i="19" s="1"/>
  <c r="D1667" i="19"/>
  <c r="M1666" i="19"/>
  <c r="J1666" i="19"/>
  <c r="N1666" i="19" s="1"/>
  <c r="D1666" i="19"/>
  <c r="M1665" i="19"/>
  <c r="J1665" i="19"/>
  <c r="N1665" i="19" s="1"/>
  <c r="D1665" i="19"/>
  <c r="M1664" i="19"/>
  <c r="J1664" i="19"/>
  <c r="N1664" i="19" s="1"/>
  <c r="D1664" i="19"/>
  <c r="N1663" i="19"/>
  <c r="M1663" i="19"/>
  <c r="J1663" i="19"/>
  <c r="D1663" i="19"/>
  <c r="N1662" i="19"/>
  <c r="M1662" i="19"/>
  <c r="J1662" i="19"/>
  <c r="D1662" i="19"/>
  <c r="N1661" i="19"/>
  <c r="M1661" i="19"/>
  <c r="J1661" i="19"/>
  <c r="D1661" i="19"/>
  <c r="M1660" i="19"/>
  <c r="J1660" i="19"/>
  <c r="N1660" i="19" s="1"/>
  <c r="D1660" i="19"/>
  <c r="M1659" i="19"/>
  <c r="J1659" i="19"/>
  <c r="N1659" i="19" s="1"/>
  <c r="D1659" i="19"/>
  <c r="M1658" i="19"/>
  <c r="J1658" i="19"/>
  <c r="N1658" i="19" s="1"/>
  <c r="D1658" i="19"/>
  <c r="M1657" i="19"/>
  <c r="J1657" i="19"/>
  <c r="N1657" i="19" s="1"/>
  <c r="D1657" i="19"/>
  <c r="N1656" i="19"/>
  <c r="M1656" i="19"/>
  <c r="J1656" i="19"/>
  <c r="D1656" i="19"/>
  <c r="N1655" i="19"/>
  <c r="M1655" i="19"/>
  <c r="J1655" i="19"/>
  <c r="D1655" i="19"/>
  <c r="N1654" i="19"/>
  <c r="M1654" i="19"/>
  <c r="J1654" i="19"/>
  <c r="D1654" i="19"/>
  <c r="M1653" i="19"/>
  <c r="J1653" i="19"/>
  <c r="N1653" i="19" s="1"/>
  <c r="D1653" i="19"/>
  <c r="M1652" i="19"/>
  <c r="J1652" i="19"/>
  <c r="N1652" i="19" s="1"/>
  <c r="D1652" i="19"/>
  <c r="M1651" i="19"/>
  <c r="J1651" i="19"/>
  <c r="N1651" i="19" s="1"/>
  <c r="D1651" i="19"/>
  <c r="N1650" i="19"/>
  <c r="M1650" i="19"/>
  <c r="D1650" i="19"/>
  <c r="M1649" i="19"/>
  <c r="J1649" i="19"/>
  <c r="N1649" i="19" s="1"/>
  <c r="D1649" i="19"/>
  <c r="M1648" i="19"/>
  <c r="J1648" i="19"/>
  <c r="N1648" i="19" s="1"/>
  <c r="D1648" i="19"/>
  <c r="N1647" i="19"/>
  <c r="M1647" i="19"/>
  <c r="J1647" i="19"/>
  <c r="D1647" i="19"/>
  <c r="M1646" i="19"/>
  <c r="J1646" i="19"/>
  <c r="N1646" i="19" s="1"/>
  <c r="D1646" i="19"/>
  <c r="N1645" i="19"/>
  <c r="M1645" i="19"/>
  <c r="J1645" i="19"/>
  <c r="D1645" i="19"/>
  <c r="N1644" i="19"/>
  <c r="M1644" i="19"/>
  <c r="J1644" i="19"/>
  <c r="D1644" i="19"/>
  <c r="N1643" i="19"/>
  <c r="M1643" i="19"/>
  <c r="J1643" i="19"/>
  <c r="D1643" i="19"/>
  <c r="M1642" i="19"/>
  <c r="J1642" i="19"/>
  <c r="N1642" i="19" s="1"/>
  <c r="D1642" i="19"/>
  <c r="M1641" i="19"/>
  <c r="J1641" i="19"/>
  <c r="N1641" i="19" s="1"/>
  <c r="D1641" i="19"/>
  <c r="N1640" i="19"/>
  <c r="M1640" i="19"/>
  <c r="J1640" i="19"/>
  <c r="D1640" i="19"/>
  <c r="M1639" i="19"/>
  <c r="J1639" i="19"/>
  <c r="N1639" i="19" s="1"/>
  <c r="D1639" i="19"/>
  <c r="N1638" i="19"/>
  <c r="M1638" i="19"/>
  <c r="J1638" i="19"/>
  <c r="D1638" i="19"/>
  <c r="N1637" i="19"/>
  <c r="M1637" i="19"/>
  <c r="J1637" i="19"/>
  <c r="D1637" i="19"/>
  <c r="N1636" i="19"/>
  <c r="M1636" i="19"/>
  <c r="J1636" i="19"/>
  <c r="D1636" i="19"/>
  <c r="M1635" i="19"/>
  <c r="J1635" i="19"/>
  <c r="N1635" i="19" s="1"/>
  <c r="D1635" i="19"/>
  <c r="M1634" i="19"/>
  <c r="J1634" i="19"/>
  <c r="N1634" i="19" s="1"/>
  <c r="D1634" i="19"/>
  <c r="N1633" i="19"/>
  <c r="M1633" i="19"/>
  <c r="J1633" i="19"/>
  <c r="D1633" i="19"/>
  <c r="M1632" i="19"/>
  <c r="J1632" i="19"/>
  <c r="N1632" i="19" s="1"/>
  <c r="D1632" i="19"/>
  <c r="N1631" i="19"/>
  <c r="M1631" i="19"/>
  <c r="J1631" i="19"/>
  <c r="D1631" i="19"/>
  <c r="N1630" i="19"/>
  <c r="M1630" i="19"/>
  <c r="J1630" i="19"/>
  <c r="D1630" i="19"/>
  <c r="N1629" i="19"/>
  <c r="M1629" i="19"/>
  <c r="J1629" i="19"/>
  <c r="D1629" i="19"/>
  <c r="M1628" i="19"/>
  <c r="J1628" i="19"/>
  <c r="N1628" i="19" s="1"/>
  <c r="D1628" i="19"/>
  <c r="M1627" i="19"/>
  <c r="J1627" i="19"/>
  <c r="N1627" i="19" s="1"/>
  <c r="D1627" i="19"/>
  <c r="N1626" i="19"/>
  <c r="M1626" i="19"/>
  <c r="J1626" i="19"/>
  <c r="D1626" i="19"/>
  <c r="M1625" i="19"/>
  <c r="J1625" i="19"/>
  <c r="N1625" i="19" s="1"/>
  <c r="D1625" i="19"/>
  <c r="N1624" i="19"/>
  <c r="M1624" i="19"/>
  <c r="J1624" i="19"/>
  <c r="D1624" i="19"/>
  <c r="N1623" i="19"/>
  <c r="M1623" i="19"/>
  <c r="J1623" i="19"/>
  <c r="D1623" i="19"/>
  <c r="N1622" i="19"/>
  <c r="M1622" i="19"/>
  <c r="D1622" i="19"/>
  <c r="M1621" i="19"/>
  <c r="J1621" i="19"/>
  <c r="N1621" i="19" s="1"/>
  <c r="D1621" i="19"/>
  <c r="N1620" i="19"/>
  <c r="M1620" i="19"/>
  <c r="J1620" i="19"/>
  <c r="D1620" i="19"/>
  <c r="M1619" i="19"/>
  <c r="J1619" i="19"/>
  <c r="N1619" i="19" s="1"/>
  <c r="D1619" i="19"/>
  <c r="M1618" i="19"/>
  <c r="J1618" i="19"/>
  <c r="N1618" i="19" s="1"/>
  <c r="D1618" i="19"/>
  <c r="N1617" i="19"/>
  <c r="M1617" i="19"/>
  <c r="J1617" i="19"/>
  <c r="D1617" i="19"/>
  <c r="M1616" i="19"/>
  <c r="J1616" i="19"/>
  <c r="N1616" i="19" s="1"/>
  <c r="D1616" i="19"/>
  <c r="N1615" i="19"/>
  <c r="M1615" i="19"/>
  <c r="J1615" i="19"/>
  <c r="D1615" i="19"/>
  <c r="M1614" i="19"/>
  <c r="J1614" i="19"/>
  <c r="N1614" i="19" s="1"/>
  <c r="D1614" i="19"/>
  <c r="N1613" i="19"/>
  <c r="M1613" i="19"/>
  <c r="J1613" i="19"/>
  <c r="D1613" i="19"/>
  <c r="M1612" i="19"/>
  <c r="J1612" i="19"/>
  <c r="N1612" i="19" s="1"/>
  <c r="D1612" i="19"/>
  <c r="M1611" i="19"/>
  <c r="J1611" i="19"/>
  <c r="N1611" i="19" s="1"/>
  <c r="D1611" i="19"/>
  <c r="N1610" i="19"/>
  <c r="M1610" i="19"/>
  <c r="J1610" i="19"/>
  <c r="D1610" i="19"/>
  <c r="M1609" i="19"/>
  <c r="J1609" i="19"/>
  <c r="N1609" i="19" s="1"/>
  <c r="D1609" i="19"/>
  <c r="N1608" i="19"/>
  <c r="M1608" i="19"/>
  <c r="J1608" i="19"/>
  <c r="D1608" i="19"/>
  <c r="M1607" i="19"/>
  <c r="J1607" i="19"/>
  <c r="N1607" i="19" s="1"/>
  <c r="D1607" i="19"/>
  <c r="N1606" i="19"/>
  <c r="M1606" i="19"/>
  <c r="J1606" i="19"/>
  <c r="D1606" i="19"/>
  <c r="M1605" i="19"/>
  <c r="J1605" i="19"/>
  <c r="N1605" i="19" s="1"/>
  <c r="D1605" i="19"/>
  <c r="M1604" i="19"/>
  <c r="J1604" i="19"/>
  <c r="N1604" i="19" s="1"/>
  <c r="D1604" i="19"/>
  <c r="N1603" i="19"/>
  <c r="M1603" i="19"/>
  <c r="J1603" i="19"/>
  <c r="D1603" i="19"/>
  <c r="M1602" i="19"/>
  <c r="J1602" i="19"/>
  <c r="N1602" i="19" s="1"/>
  <c r="D1602" i="19"/>
  <c r="N1601" i="19"/>
  <c r="M1601" i="19"/>
  <c r="J1601" i="19"/>
  <c r="D1601" i="19"/>
  <c r="M1600" i="19"/>
  <c r="J1600" i="19"/>
  <c r="N1600" i="19" s="1"/>
  <c r="D1600" i="19"/>
  <c r="N1599" i="19"/>
  <c r="M1599" i="19"/>
  <c r="J1599" i="19"/>
  <c r="D1599" i="19"/>
  <c r="M1598" i="19"/>
  <c r="J1598" i="19"/>
  <c r="N1598" i="19" s="1"/>
  <c r="D1598" i="19"/>
  <c r="M1597" i="19"/>
  <c r="J1597" i="19"/>
  <c r="N1597" i="19" s="1"/>
  <c r="D1597" i="19"/>
  <c r="N1596" i="19"/>
  <c r="M1596" i="19"/>
  <c r="J1596" i="19"/>
  <c r="D1596" i="19"/>
  <c r="M1595" i="19"/>
  <c r="J1595" i="19"/>
  <c r="N1595" i="19" s="1"/>
  <c r="D1595" i="19"/>
  <c r="N1594" i="19"/>
  <c r="M1594" i="19"/>
  <c r="D1594" i="19"/>
  <c r="M1593" i="19"/>
  <c r="J1593" i="19"/>
  <c r="N1593" i="19" s="1"/>
  <c r="D1593" i="19"/>
  <c r="N1592" i="19"/>
  <c r="M1592" i="19"/>
  <c r="J1592" i="19"/>
  <c r="D1592" i="19"/>
  <c r="M1591" i="19"/>
  <c r="J1591" i="19"/>
  <c r="N1591" i="19" s="1"/>
  <c r="D1591" i="19"/>
  <c r="N1590" i="19"/>
  <c r="M1590" i="19"/>
  <c r="J1590" i="19"/>
  <c r="D1590" i="19"/>
  <c r="M1589" i="19"/>
  <c r="J1589" i="19"/>
  <c r="N1589" i="19" s="1"/>
  <c r="D1589" i="19"/>
  <c r="M1588" i="19"/>
  <c r="J1588" i="19"/>
  <c r="N1588" i="19" s="1"/>
  <c r="D1588" i="19"/>
  <c r="N1587" i="19"/>
  <c r="M1587" i="19"/>
  <c r="J1587" i="19"/>
  <c r="D1587" i="19"/>
  <c r="M1586" i="19"/>
  <c r="J1586" i="19"/>
  <c r="N1586" i="19" s="1"/>
  <c r="D1586" i="19"/>
  <c r="N1585" i="19"/>
  <c r="M1585" i="19"/>
  <c r="J1585" i="19"/>
  <c r="D1585" i="19"/>
  <c r="M1584" i="19"/>
  <c r="J1584" i="19"/>
  <c r="N1584" i="19" s="1"/>
  <c r="D1584" i="19"/>
  <c r="N1583" i="19"/>
  <c r="M1583" i="19"/>
  <c r="J1583" i="19"/>
  <c r="D1583" i="19"/>
  <c r="M1582" i="19"/>
  <c r="J1582" i="19"/>
  <c r="N1582" i="19" s="1"/>
  <c r="D1582" i="19"/>
  <c r="M1581" i="19"/>
  <c r="J1581" i="19"/>
  <c r="N1581" i="19" s="1"/>
  <c r="D1581" i="19"/>
  <c r="N1580" i="19"/>
  <c r="M1580" i="19"/>
  <c r="J1580" i="19"/>
  <c r="D1580" i="19"/>
  <c r="M1579" i="19"/>
  <c r="J1579" i="19"/>
  <c r="N1579" i="19" s="1"/>
  <c r="D1579" i="19"/>
  <c r="N1578" i="19"/>
  <c r="M1578" i="19"/>
  <c r="J1578" i="19"/>
  <c r="D1578" i="19"/>
  <c r="M1577" i="19"/>
  <c r="J1577" i="19"/>
  <c r="N1577" i="19" s="1"/>
  <c r="D1577" i="19"/>
  <c r="N1576" i="19"/>
  <c r="M1576" i="19"/>
  <c r="J1576" i="19"/>
  <c r="D1576" i="19"/>
  <c r="M1575" i="19"/>
  <c r="J1575" i="19"/>
  <c r="N1575" i="19" s="1"/>
  <c r="D1575" i="19"/>
  <c r="M1574" i="19"/>
  <c r="J1574" i="19"/>
  <c r="N1574" i="19" s="1"/>
  <c r="D1574" i="19"/>
  <c r="N1573" i="19"/>
  <c r="M1573" i="19"/>
  <c r="J1573" i="19"/>
  <c r="D1573" i="19"/>
  <c r="M1572" i="19"/>
  <c r="J1572" i="19"/>
  <c r="N1572" i="19" s="1"/>
  <c r="D1572" i="19"/>
  <c r="N1571" i="19"/>
  <c r="M1571" i="19"/>
  <c r="J1571" i="19"/>
  <c r="D1571" i="19"/>
  <c r="M1570" i="19"/>
  <c r="J1570" i="19"/>
  <c r="N1570" i="19" s="1"/>
  <c r="D1570" i="19"/>
  <c r="N1569" i="19"/>
  <c r="M1569" i="19"/>
  <c r="J1569" i="19"/>
  <c r="D1569" i="19"/>
  <c r="M1568" i="19"/>
  <c r="J1568" i="19"/>
  <c r="N1568" i="19" s="1"/>
  <c r="D1568" i="19"/>
  <c r="M1567" i="19"/>
  <c r="J1567" i="19"/>
  <c r="N1567" i="19" s="1"/>
  <c r="D1567" i="19"/>
  <c r="N1566" i="19"/>
  <c r="M1566" i="19"/>
  <c r="D1566" i="19"/>
  <c r="M1565" i="19"/>
  <c r="J1565" i="19"/>
  <c r="N1565" i="19" s="1"/>
  <c r="D1565" i="19"/>
  <c r="N1564" i="19"/>
  <c r="M1564" i="19"/>
  <c r="J1564" i="19"/>
  <c r="D1564" i="19"/>
  <c r="N1563" i="19"/>
  <c r="M1563" i="19"/>
  <c r="J1563" i="19"/>
  <c r="D1563" i="19"/>
  <c r="N1562" i="19"/>
  <c r="M1562" i="19"/>
  <c r="J1562" i="19"/>
  <c r="D1562" i="19"/>
  <c r="M1561" i="19"/>
  <c r="J1561" i="19"/>
  <c r="N1561" i="19" s="1"/>
  <c r="D1561" i="19"/>
  <c r="M1560" i="19"/>
  <c r="J1560" i="19"/>
  <c r="N1560" i="19" s="1"/>
  <c r="D1560" i="19"/>
  <c r="M1559" i="19"/>
  <c r="J1559" i="19"/>
  <c r="N1559" i="19" s="1"/>
  <c r="D1559" i="19"/>
  <c r="M1558" i="19"/>
  <c r="J1558" i="19"/>
  <c r="N1558" i="19" s="1"/>
  <c r="D1558" i="19"/>
  <c r="N1557" i="19"/>
  <c r="M1557" i="19"/>
  <c r="J1557" i="19"/>
  <c r="D1557" i="19"/>
  <c r="N1556" i="19"/>
  <c r="M1556" i="19"/>
  <c r="J1556" i="19"/>
  <c r="D1556" i="19"/>
  <c r="N1555" i="19"/>
  <c r="M1555" i="19"/>
  <c r="J1555" i="19"/>
  <c r="D1555" i="19"/>
  <c r="M1554" i="19"/>
  <c r="J1554" i="19"/>
  <c r="N1554" i="19" s="1"/>
  <c r="D1554" i="19"/>
  <c r="M1553" i="19"/>
  <c r="J1553" i="19"/>
  <c r="N1553" i="19" s="1"/>
  <c r="D1553" i="19"/>
  <c r="M1552" i="19"/>
  <c r="J1552" i="19"/>
  <c r="N1552" i="19" s="1"/>
  <c r="D1552" i="19"/>
  <c r="M1551" i="19"/>
  <c r="J1551" i="19"/>
  <c r="N1551" i="19" s="1"/>
  <c r="D1551" i="19"/>
  <c r="N1550" i="19"/>
  <c r="M1550" i="19"/>
  <c r="J1550" i="19"/>
  <c r="D1550" i="19"/>
  <c r="N1549" i="19"/>
  <c r="M1549" i="19"/>
  <c r="J1549" i="19"/>
  <c r="D1549" i="19"/>
  <c r="N1548" i="19"/>
  <c r="M1548" i="19"/>
  <c r="J1548" i="19"/>
  <c r="D1548" i="19"/>
  <c r="M1547" i="19"/>
  <c r="J1547" i="19"/>
  <c r="N1547" i="19" s="1"/>
  <c r="D1547" i="19"/>
  <c r="M1546" i="19"/>
  <c r="J1546" i="19"/>
  <c r="N1546" i="19" s="1"/>
  <c r="D1546" i="19"/>
  <c r="M1545" i="19"/>
  <c r="J1545" i="19"/>
  <c r="N1545" i="19" s="1"/>
  <c r="D1545" i="19"/>
  <c r="M1544" i="19"/>
  <c r="J1544" i="19"/>
  <c r="N1544" i="19" s="1"/>
  <c r="D1544" i="19"/>
  <c r="N1543" i="19"/>
  <c r="M1543" i="19"/>
  <c r="J1543" i="19"/>
  <c r="D1543" i="19"/>
  <c r="N1542" i="19"/>
  <c r="M1542" i="19"/>
  <c r="J1542" i="19"/>
  <c r="D1542" i="19"/>
  <c r="N1541" i="19"/>
  <c r="M1541" i="19"/>
  <c r="J1541" i="19"/>
  <c r="D1541" i="19"/>
  <c r="M1540" i="19"/>
  <c r="J1540" i="19"/>
  <c r="N1540" i="19" s="1"/>
  <c r="D1540" i="19"/>
  <c r="M1539" i="19"/>
  <c r="J1539" i="19"/>
  <c r="N1539" i="19" s="1"/>
  <c r="D1539" i="19"/>
  <c r="N1538" i="19"/>
  <c r="M1538" i="19"/>
  <c r="D1538" i="19"/>
  <c r="N1537" i="19"/>
  <c r="M1537" i="19"/>
  <c r="J1537" i="19"/>
  <c r="D1537" i="19"/>
  <c r="M1536" i="19"/>
  <c r="J1536" i="19"/>
  <c r="N1536" i="19" s="1"/>
  <c r="D1536" i="19"/>
  <c r="M1535" i="19"/>
  <c r="J1535" i="19"/>
  <c r="N1535" i="19" s="1"/>
  <c r="D1535" i="19"/>
  <c r="N1534" i="19"/>
  <c r="M1534" i="19"/>
  <c r="J1534" i="19"/>
  <c r="D1534" i="19"/>
  <c r="M1533" i="19"/>
  <c r="J1533" i="19"/>
  <c r="N1533" i="19" s="1"/>
  <c r="D1533" i="19"/>
  <c r="N1532" i="19"/>
  <c r="M1532" i="19"/>
  <c r="J1532" i="19"/>
  <c r="D1532" i="19"/>
  <c r="M1531" i="19"/>
  <c r="J1531" i="19"/>
  <c r="N1531" i="19" s="1"/>
  <c r="D1531" i="19"/>
  <c r="N1530" i="19"/>
  <c r="M1530" i="19"/>
  <c r="J1530" i="19"/>
  <c r="D1530" i="19"/>
  <c r="M1529" i="19"/>
  <c r="J1529" i="19"/>
  <c r="N1529" i="19" s="1"/>
  <c r="D1529" i="19"/>
  <c r="M1528" i="19"/>
  <c r="J1528" i="19"/>
  <c r="N1528" i="19" s="1"/>
  <c r="D1528" i="19"/>
  <c r="N1527" i="19"/>
  <c r="M1527" i="19"/>
  <c r="J1527" i="19"/>
  <c r="D1527" i="19"/>
  <c r="M1526" i="19"/>
  <c r="J1526" i="19"/>
  <c r="N1526" i="19" s="1"/>
  <c r="D1526" i="19"/>
  <c r="N1525" i="19"/>
  <c r="M1525" i="19"/>
  <c r="J1525" i="19"/>
  <c r="D1525" i="19"/>
  <c r="M1524" i="19"/>
  <c r="J1524" i="19"/>
  <c r="N1524" i="19" s="1"/>
  <c r="D1524" i="19"/>
  <c r="N1523" i="19"/>
  <c r="M1523" i="19"/>
  <c r="J1523" i="19"/>
  <c r="D1523" i="19"/>
  <c r="M1522" i="19"/>
  <c r="J1522" i="19"/>
  <c r="N1522" i="19" s="1"/>
  <c r="D1522" i="19"/>
  <c r="M1521" i="19"/>
  <c r="J1521" i="19"/>
  <c r="N1521" i="19" s="1"/>
  <c r="D1521" i="19"/>
  <c r="N1520" i="19"/>
  <c r="M1520" i="19"/>
  <c r="J1520" i="19"/>
  <c r="D1520" i="19"/>
  <c r="M1519" i="19"/>
  <c r="J1519" i="19"/>
  <c r="N1519" i="19" s="1"/>
  <c r="D1519" i="19"/>
  <c r="N1518" i="19"/>
  <c r="M1518" i="19"/>
  <c r="J1518" i="19"/>
  <c r="D1518" i="19"/>
  <c r="M1517" i="19"/>
  <c r="J1517" i="19"/>
  <c r="N1517" i="19" s="1"/>
  <c r="D1517" i="19"/>
  <c r="N1516" i="19"/>
  <c r="M1516" i="19"/>
  <c r="J1516" i="19"/>
  <c r="D1516" i="19"/>
  <c r="M1515" i="19"/>
  <c r="J1515" i="19"/>
  <c r="N1515" i="19" s="1"/>
  <c r="D1515" i="19"/>
  <c r="M1514" i="19"/>
  <c r="J1514" i="19"/>
  <c r="N1514" i="19" s="1"/>
  <c r="D1514" i="19"/>
  <c r="N1513" i="19"/>
  <c r="M1513" i="19"/>
  <c r="J1513" i="19"/>
  <c r="D1513" i="19"/>
  <c r="M1512" i="19"/>
  <c r="J1512" i="19"/>
  <c r="N1512" i="19" s="1"/>
  <c r="D1512" i="19"/>
  <c r="N1511" i="19"/>
  <c r="M1511" i="19"/>
  <c r="J1511" i="19"/>
  <c r="D1511" i="19"/>
  <c r="N1510" i="19"/>
  <c r="M1510" i="19"/>
  <c r="D1510" i="19"/>
  <c r="N1509" i="19"/>
  <c r="M1509" i="19"/>
  <c r="J1509" i="19"/>
  <c r="D1509" i="19"/>
  <c r="M1508" i="19"/>
  <c r="J1508" i="19"/>
  <c r="N1508" i="19" s="1"/>
  <c r="D1508" i="19"/>
  <c r="M1507" i="19"/>
  <c r="J1507" i="19"/>
  <c r="N1507" i="19" s="1"/>
  <c r="D1507" i="19"/>
  <c r="M1506" i="19"/>
  <c r="J1506" i="19"/>
  <c r="N1506" i="19" s="1"/>
  <c r="D1506" i="19"/>
  <c r="M1505" i="19"/>
  <c r="J1505" i="19"/>
  <c r="N1505" i="19" s="1"/>
  <c r="D1505" i="19"/>
  <c r="N1504" i="19"/>
  <c r="M1504" i="19"/>
  <c r="J1504" i="19"/>
  <c r="D1504" i="19"/>
  <c r="N1503" i="19"/>
  <c r="M1503" i="19"/>
  <c r="J1503" i="19"/>
  <c r="D1503" i="19"/>
  <c r="N1502" i="19"/>
  <c r="M1502" i="19"/>
  <c r="J1502" i="19"/>
  <c r="D1502" i="19"/>
  <c r="M1501" i="19"/>
  <c r="J1501" i="19"/>
  <c r="N1501" i="19" s="1"/>
  <c r="D1501" i="19"/>
  <c r="M1500" i="19"/>
  <c r="J1500" i="19"/>
  <c r="N1500" i="19" s="1"/>
  <c r="D1500" i="19"/>
  <c r="M1499" i="19"/>
  <c r="J1499" i="19"/>
  <c r="N1499" i="19" s="1"/>
  <c r="D1499" i="19"/>
  <c r="M1498" i="19"/>
  <c r="J1498" i="19"/>
  <c r="N1498" i="19" s="1"/>
  <c r="D1498" i="19"/>
  <c r="N1497" i="19"/>
  <c r="M1497" i="19"/>
  <c r="J1497" i="19"/>
  <c r="D1497" i="19"/>
  <c r="N1496" i="19"/>
  <c r="M1496" i="19"/>
  <c r="J1496" i="19"/>
  <c r="D1496" i="19"/>
  <c r="N1495" i="19"/>
  <c r="M1495" i="19"/>
  <c r="J1495" i="19"/>
  <c r="D1495" i="19"/>
  <c r="M1494" i="19"/>
  <c r="J1494" i="19"/>
  <c r="N1494" i="19" s="1"/>
  <c r="D1494" i="19"/>
  <c r="M1493" i="19"/>
  <c r="J1493" i="19"/>
  <c r="N1493" i="19" s="1"/>
  <c r="D1493" i="19"/>
  <c r="M1492" i="19"/>
  <c r="J1492" i="19"/>
  <c r="N1492" i="19" s="1"/>
  <c r="D1492" i="19"/>
  <c r="M1491" i="19"/>
  <c r="J1491" i="19"/>
  <c r="N1491" i="19" s="1"/>
  <c r="D1491" i="19"/>
  <c r="N1490" i="19"/>
  <c r="M1490" i="19"/>
  <c r="J1490" i="19"/>
  <c r="D1490" i="19"/>
  <c r="N1489" i="19"/>
  <c r="M1489" i="19"/>
  <c r="J1489" i="19"/>
  <c r="D1489" i="19"/>
  <c r="N1488" i="19"/>
  <c r="M1488" i="19"/>
  <c r="J1488" i="19"/>
  <c r="D1488" i="19"/>
  <c r="M1487" i="19"/>
  <c r="J1487" i="19"/>
  <c r="N1487" i="19" s="1"/>
  <c r="D1487" i="19"/>
  <c r="M1486" i="19"/>
  <c r="J1486" i="19"/>
  <c r="N1486" i="19" s="1"/>
  <c r="D1486" i="19"/>
  <c r="M1485" i="19"/>
  <c r="J1485" i="19"/>
  <c r="N1485" i="19" s="1"/>
  <c r="D1485" i="19"/>
  <c r="M1484" i="19"/>
  <c r="J1484" i="19"/>
  <c r="N1484" i="19" s="1"/>
  <c r="D1484" i="19"/>
  <c r="N1483" i="19"/>
  <c r="M1483" i="19"/>
  <c r="J1483" i="19"/>
  <c r="D1483" i="19"/>
  <c r="N1482" i="19"/>
  <c r="M1482" i="19"/>
  <c r="D1482" i="19"/>
  <c r="N1481" i="19"/>
  <c r="M1481" i="19"/>
  <c r="J1481" i="19"/>
  <c r="D1481" i="19"/>
  <c r="M1480" i="19"/>
  <c r="J1480" i="19"/>
  <c r="N1480" i="19" s="1"/>
  <c r="D1480" i="19"/>
  <c r="N1479" i="19"/>
  <c r="M1479" i="19"/>
  <c r="J1479" i="19"/>
  <c r="D1479" i="19"/>
  <c r="M1478" i="19"/>
  <c r="J1478" i="19"/>
  <c r="N1478" i="19" s="1"/>
  <c r="D1478" i="19"/>
  <c r="N1477" i="19"/>
  <c r="M1477" i="19"/>
  <c r="J1477" i="19"/>
  <c r="D1477" i="19"/>
  <c r="M1476" i="19"/>
  <c r="J1476" i="19"/>
  <c r="N1476" i="19" s="1"/>
  <c r="D1476" i="19"/>
  <c r="M1475" i="19"/>
  <c r="J1475" i="19"/>
  <c r="N1475" i="19" s="1"/>
  <c r="D1475" i="19"/>
  <c r="N1474" i="19"/>
  <c r="M1474" i="19"/>
  <c r="J1474" i="19"/>
  <c r="D1474" i="19"/>
  <c r="M1473" i="19"/>
  <c r="J1473" i="19"/>
  <c r="N1473" i="19" s="1"/>
  <c r="D1473" i="19"/>
  <c r="N1472" i="19"/>
  <c r="M1472" i="19"/>
  <c r="J1472" i="19"/>
  <c r="D1472" i="19"/>
  <c r="M1471" i="19"/>
  <c r="J1471" i="19"/>
  <c r="N1471" i="19" s="1"/>
  <c r="D1471" i="19"/>
  <c r="N1470" i="19"/>
  <c r="M1470" i="19"/>
  <c r="J1470" i="19"/>
  <c r="D1470" i="19"/>
  <c r="M1469" i="19"/>
  <c r="J1469" i="19"/>
  <c r="N1469" i="19" s="1"/>
  <c r="D1469" i="19"/>
  <c r="M1468" i="19"/>
  <c r="J1468" i="19"/>
  <c r="N1468" i="19" s="1"/>
  <c r="D1468" i="19"/>
  <c r="N1467" i="19"/>
  <c r="M1467" i="19"/>
  <c r="J1467" i="19"/>
  <c r="D1467" i="19"/>
  <c r="M1466" i="19"/>
  <c r="J1466" i="19"/>
  <c r="N1466" i="19" s="1"/>
  <c r="D1466" i="19"/>
  <c r="N1465" i="19"/>
  <c r="M1465" i="19"/>
  <c r="J1465" i="19"/>
  <c r="D1465" i="19"/>
  <c r="M1464" i="19"/>
  <c r="J1464" i="19"/>
  <c r="N1464" i="19" s="1"/>
  <c r="D1464" i="19"/>
  <c r="N1463" i="19"/>
  <c r="M1463" i="19"/>
  <c r="J1463" i="19"/>
  <c r="D1463" i="19"/>
  <c r="M1462" i="19"/>
  <c r="J1462" i="19"/>
  <c r="N1462" i="19" s="1"/>
  <c r="D1462" i="19"/>
  <c r="M1461" i="19"/>
  <c r="J1461" i="19"/>
  <c r="N1461" i="19" s="1"/>
  <c r="D1461" i="19"/>
  <c r="N1460" i="19"/>
  <c r="M1460" i="19"/>
  <c r="J1460" i="19"/>
  <c r="D1460" i="19"/>
  <c r="M1459" i="19"/>
  <c r="J1459" i="19"/>
  <c r="N1459" i="19" s="1"/>
  <c r="D1459" i="19"/>
  <c r="N1458" i="19"/>
  <c r="M1458" i="19"/>
  <c r="J1458" i="19"/>
  <c r="D1458" i="19"/>
  <c r="M1457" i="19"/>
  <c r="J1457" i="19"/>
  <c r="N1457" i="19" s="1"/>
  <c r="D1457" i="19"/>
  <c r="N1456" i="19"/>
  <c r="M1456" i="19"/>
  <c r="J1456" i="19"/>
  <c r="D1456" i="19"/>
  <c r="M1455" i="19"/>
  <c r="J1455" i="19"/>
  <c r="N1455" i="19" s="1"/>
  <c r="D1455" i="19"/>
  <c r="N1454" i="19"/>
  <c r="M1454" i="19"/>
  <c r="D1454" i="19"/>
  <c r="M1453" i="19"/>
  <c r="J1453" i="19"/>
  <c r="N1453" i="19" s="1"/>
  <c r="D1453" i="19"/>
  <c r="M1452" i="19"/>
  <c r="J1452" i="19"/>
  <c r="N1452" i="19" s="1"/>
  <c r="D1452" i="19"/>
  <c r="N1451" i="19"/>
  <c r="M1451" i="19"/>
  <c r="J1451" i="19"/>
  <c r="D1451" i="19"/>
  <c r="N1450" i="19"/>
  <c r="M1450" i="19"/>
  <c r="J1450" i="19"/>
  <c r="D1450" i="19"/>
  <c r="N1449" i="19"/>
  <c r="M1449" i="19"/>
  <c r="J1449" i="19"/>
  <c r="D1449" i="19"/>
  <c r="M1448" i="19"/>
  <c r="J1448" i="19"/>
  <c r="N1448" i="19" s="1"/>
  <c r="D1448" i="19"/>
  <c r="M1447" i="19"/>
  <c r="J1447" i="19"/>
  <c r="N1447" i="19" s="1"/>
  <c r="D1447" i="19"/>
  <c r="M1446" i="19"/>
  <c r="J1446" i="19"/>
  <c r="N1446" i="19" s="1"/>
  <c r="D1446" i="19"/>
  <c r="M1445" i="19"/>
  <c r="J1445" i="19"/>
  <c r="N1445" i="19" s="1"/>
  <c r="D1445" i="19"/>
  <c r="N1444" i="19"/>
  <c r="M1444" i="19"/>
  <c r="J1444" i="19"/>
  <c r="D1444" i="19"/>
  <c r="N1443" i="19"/>
  <c r="M1443" i="19"/>
  <c r="J1443" i="19"/>
  <c r="D1443" i="19"/>
  <c r="N1442" i="19"/>
  <c r="M1442" i="19"/>
  <c r="J1442" i="19"/>
  <c r="D1442" i="19"/>
  <c r="M1441" i="19"/>
  <c r="J1441" i="19"/>
  <c r="N1441" i="19" s="1"/>
  <c r="D1441" i="19"/>
  <c r="M1440" i="19"/>
  <c r="J1440" i="19"/>
  <c r="N1440" i="19" s="1"/>
  <c r="D1440" i="19"/>
  <c r="M1439" i="19"/>
  <c r="J1439" i="19"/>
  <c r="N1439" i="19" s="1"/>
  <c r="D1439" i="19"/>
  <c r="M1438" i="19"/>
  <c r="J1438" i="19"/>
  <c r="N1438" i="19" s="1"/>
  <c r="D1438" i="19"/>
  <c r="N1437" i="19"/>
  <c r="M1437" i="19"/>
  <c r="J1437" i="19"/>
  <c r="D1437" i="19"/>
  <c r="N1436" i="19"/>
  <c r="M1436" i="19"/>
  <c r="J1436" i="19"/>
  <c r="D1436" i="19"/>
  <c r="N1435" i="19"/>
  <c r="M1435" i="19"/>
  <c r="J1435" i="19"/>
  <c r="D1435" i="19"/>
  <c r="M1434" i="19"/>
  <c r="J1434" i="19"/>
  <c r="N1434" i="19" s="1"/>
  <c r="D1434" i="19"/>
  <c r="M1433" i="19"/>
  <c r="J1433" i="19"/>
  <c r="N1433" i="19" s="1"/>
  <c r="D1433" i="19"/>
  <c r="M1432" i="19"/>
  <c r="J1432" i="19"/>
  <c r="N1432" i="19" s="1"/>
  <c r="D1432" i="19"/>
  <c r="M1431" i="19"/>
  <c r="J1431" i="19"/>
  <c r="N1431" i="19" s="1"/>
  <c r="D1431" i="19"/>
  <c r="N1430" i="19"/>
  <c r="M1430" i="19"/>
  <c r="J1430" i="19"/>
  <c r="D1430" i="19"/>
  <c r="N1429" i="19"/>
  <c r="M1429" i="19"/>
  <c r="J1429" i="19"/>
  <c r="D1429" i="19"/>
  <c r="N1428" i="19"/>
  <c r="M1428" i="19"/>
  <c r="J1428" i="19"/>
  <c r="D1428" i="19"/>
  <c r="M1427" i="19"/>
  <c r="J1427" i="19"/>
  <c r="N1427" i="19" s="1"/>
  <c r="D1427" i="19"/>
  <c r="N1426" i="19"/>
  <c r="M1426" i="19"/>
  <c r="D1426" i="19"/>
  <c r="M1425" i="19"/>
  <c r="J1425" i="19"/>
  <c r="N1425" i="19" s="1"/>
  <c r="D1425" i="19"/>
  <c r="N1424" i="19"/>
  <c r="M1424" i="19"/>
  <c r="J1424" i="19"/>
  <c r="D1424" i="19"/>
  <c r="M1423" i="19"/>
  <c r="J1423" i="19"/>
  <c r="N1423" i="19" s="1"/>
  <c r="D1423" i="19"/>
  <c r="M1422" i="19"/>
  <c r="J1422" i="19"/>
  <c r="N1422" i="19" s="1"/>
  <c r="D1422" i="19"/>
  <c r="N1421" i="19"/>
  <c r="M1421" i="19"/>
  <c r="J1421" i="19"/>
  <c r="D1421" i="19"/>
  <c r="M1420" i="19"/>
  <c r="J1420" i="19"/>
  <c r="N1420" i="19" s="1"/>
  <c r="D1420" i="19"/>
  <c r="N1419" i="19"/>
  <c r="M1419" i="19"/>
  <c r="J1419" i="19"/>
  <c r="D1419" i="19"/>
  <c r="M1418" i="19"/>
  <c r="J1418" i="19"/>
  <c r="N1418" i="19" s="1"/>
  <c r="D1418" i="19"/>
  <c r="N1417" i="19"/>
  <c r="M1417" i="19"/>
  <c r="J1417" i="19"/>
  <c r="D1417" i="19"/>
  <c r="M1416" i="19"/>
  <c r="J1416" i="19"/>
  <c r="N1416" i="19" s="1"/>
  <c r="D1416" i="19"/>
  <c r="M1415" i="19"/>
  <c r="J1415" i="19"/>
  <c r="N1415" i="19" s="1"/>
  <c r="D1415" i="19"/>
  <c r="N1414" i="19"/>
  <c r="M1414" i="19"/>
  <c r="J1414" i="19"/>
  <c r="D1414" i="19"/>
  <c r="M1413" i="19"/>
  <c r="J1413" i="19"/>
  <c r="N1413" i="19" s="1"/>
  <c r="D1413" i="19"/>
  <c r="N1412" i="19"/>
  <c r="M1412" i="19"/>
  <c r="J1412" i="19"/>
  <c r="D1412" i="19"/>
  <c r="M1411" i="19"/>
  <c r="J1411" i="19"/>
  <c r="N1411" i="19" s="1"/>
  <c r="D1411" i="19"/>
  <c r="N1410" i="19"/>
  <c r="M1410" i="19"/>
  <c r="J1410" i="19"/>
  <c r="D1410" i="19"/>
  <c r="M1409" i="19"/>
  <c r="J1409" i="19"/>
  <c r="N1409" i="19" s="1"/>
  <c r="D1409" i="19"/>
  <c r="M1408" i="19"/>
  <c r="J1408" i="19"/>
  <c r="N1408" i="19" s="1"/>
  <c r="D1408" i="19"/>
  <c r="N1407" i="19"/>
  <c r="M1407" i="19"/>
  <c r="J1407" i="19"/>
  <c r="D1407" i="19"/>
  <c r="M1406" i="19"/>
  <c r="J1406" i="19"/>
  <c r="N1406" i="19" s="1"/>
  <c r="D1406" i="19"/>
  <c r="N1405" i="19"/>
  <c r="M1405" i="19"/>
  <c r="J1405" i="19"/>
  <c r="D1405" i="19"/>
  <c r="M1404" i="19"/>
  <c r="J1404" i="19"/>
  <c r="N1404" i="19" s="1"/>
  <c r="D1404" i="19"/>
  <c r="N1403" i="19"/>
  <c r="M1403" i="19"/>
  <c r="J1403" i="19"/>
  <c r="D1403" i="19"/>
  <c r="M1402" i="19"/>
  <c r="J1402" i="19"/>
  <c r="N1402" i="19" s="1"/>
  <c r="D1402" i="19"/>
  <c r="M1401" i="19"/>
  <c r="J1401" i="19"/>
  <c r="N1401" i="19" s="1"/>
  <c r="D1401" i="19"/>
  <c r="N1400" i="19"/>
  <c r="M1400" i="19"/>
  <c r="J1400" i="19"/>
  <c r="D1400" i="19"/>
  <c r="M1399" i="19"/>
  <c r="J1399" i="19"/>
  <c r="N1399" i="19" s="1"/>
  <c r="D1399" i="19"/>
  <c r="N1398" i="19"/>
  <c r="M1398" i="19"/>
  <c r="D1398" i="19"/>
  <c r="N1397" i="19"/>
  <c r="M1397" i="19"/>
  <c r="J1397" i="19"/>
  <c r="D1397" i="19"/>
  <c r="N1396" i="19"/>
  <c r="M1396" i="19"/>
  <c r="J1396" i="19"/>
  <c r="D1396" i="19"/>
  <c r="M1395" i="19"/>
  <c r="J1395" i="19"/>
  <c r="N1395" i="19" s="1"/>
  <c r="D1395" i="19"/>
  <c r="M1394" i="19"/>
  <c r="J1394" i="19"/>
  <c r="N1394" i="19" s="1"/>
  <c r="D1394" i="19"/>
  <c r="M1393" i="19"/>
  <c r="J1393" i="19"/>
  <c r="N1393" i="19" s="1"/>
  <c r="D1393" i="19"/>
  <c r="M1392" i="19"/>
  <c r="J1392" i="19"/>
  <c r="N1392" i="19" s="1"/>
  <c r="D1392" i="19"/>
  <c r="N1391" i="19"/>
  <c r="M1391" i="19"/>
  <c r="J1391" i="19"/>
  <c r="D1391" i="19"/>
  <c r="N1390" i="19"/>
  <c r="M1390" i="19"/>
  <c r="J1390" i="19"/>
  <c r="D1390" i="19"/>
  <c r="N1389" i="19"/>
  <c r="M1389" i="19"/>
  <c r="J1389" i="19"/>
  <c r="D1389" i="19"/>
  <c r="M1388" i="19"/>
  <c r="J1388" i="19"/>
  <c r="N1388" i="19" s="1"/>
  <c r="D1388" i="19"/>
  <c r="M1387" i="19"/>
  <c r="J1387" i="19"/>
  <c r="N1387" i="19" s="1"/>
  <c r="D1387" i="19"/>
  <c r="M1386" i="19"/>
  <c r="J1386" i="19"/>
  <c r="N1386" i="19" s="1"/>
  <c r="D1386" i="19"/>
  <c r="M1385" i="19"/>
  <c r="J1385" i="19"/>
  <c r="N1385" i="19" s="1"/>
  <c r="D1385" i="19"/>
  <c r="N1384" i="19"/>
  <c r="M1384" i="19"/>
  <c r="J1384" i="19"/>
  <c r="D1384" i="19"/>
  <c r="N1383" i="19"/>
  <c r="M1383" i="19"/>
  <c r="J1383" i="19"/>
  <c r="D1383" i="19"/>
  <c r="N1382" i="19"/>
  <c r="M1382" i="19"/>
  <c r="J1382" i="19"/>
  <c r="D1382" i="19"/>
  <c r="M1381" i="19"/>
  <c r="J1381" i="19"/>
  <c r="N1381" i="19" s="1"/>
  <c r="D1381" i="19"/>
  <c r="M1380" i="19"/>
  <c r="J1380" i="19"/>
  <c r="N1380" i="19" s="1"/>
  <c r="D1380" i="19"/>
  <c r="M1379" i="19"/>
  <c r="J1379" i="19"/>
  <c r="N1379" i="19" s="1"/>
  <c r="D1379" i="19"/>
  <c r="M1378" i="19"/>
  <c r="J1378" i="19"/>
  <c r="N1378" i="19" s="1"/>
  <c r="D1378" i="19"/>
  <c r="N1377" i="19"/>
  <c r="M1377" i="19"/>
  <c r="J1377" i="19"/>
  <c r="D1377" i="19"/>
  <c r="N1376" i="19"/>
  <c r="M1376" i="19"/>
  <c r="J1376" i="19"/>
  <c r="D1376" i="19"/>
  <c r="N1375" i="19"/>
  <c r="M1375" i="19"/>
  <c r="J1375" i="19"/>
  <c r="D1375" i="19"/>
  <c r="M1374" i="19"/>
  <c r="J1374" i="19"/>
  <c r="N1374" i="19" s="1"/>
  <c r="D1374" i="19"/>
  <c r="M1373" i="19"/>
  <c r="J1373" i="19"/>
  <c r="N1373" i="19" s="1"/>
  <c r="D1373" i="19"/>
  <c r="M1372" i="19"/>
  <c r="J1372" i="19"/>
  <c r="N1372" i="19" s="1"/>
  <c r="D1372" i="19"/>
  <c r="M1371" i="19"/>
  <c r="J1371" i="19"/>
  <c r="N1371" i="19" s="1"/>
  <c r="D1371" i="19"/>
  <c r="N1370" i="19"/>
  <c r="M1370" i="19"/>
  <c r="D1370" i="19"/>
  <c r="M1369" i="19"/>
  <c r="J1369" i="19"/>
  <c r="N1369" i="19" s="1"/>
  <c r="D1369" i="19"/>
  <c r="N1368" i="19"/>
  <c r="M1368" i="19"/>
  <c r="J1368" i="19"/>
  <c r="D1368" i="19"/>
  <c r="M1367" i="19"/>
  <c r="J1367" i="19"/>
  <c r="N1367" i="19" s="1"/>
  <c r="D1367" i="19"/>
  <c r="N1366" i="19"/>
  <c r="M1366" i="19"/>
  <c r="J1366" i="19"/>
  <c r="D1366" i="19"/>
  <c r="M1365" i="19"/>
  <c r="J1365" i="19"/>
  <c r="N1365" i="19" s="1"/>
  <c r="D1365" i="19"/>
  <c r="N1364" i="19"/>
  <c r="M1364" i="19"/>
  <c r="J1364" i="19"/>
  <c r="D1364" i="19"/>
  <c r="M1363" i="19"/>
  <c r="J1363" i="19"/>
  <c r="N1363" i="19" s="1"/>
  <c r="D1363" i="19"/>
  <c r="M1362" i="19"/>
  <c r="J1362" i="19"/>
  <c r="N1362" i="19" s="1"/>
  <c r="D1362" i="19"/>
  <c r="N1361" i="19"/>
  <c r="M1361" i="19"/>
  <c r="J1361" i="19"/>
  <c r="D1361" i="19"/>
  <c r="M1360" i="19"/>
  <c r="J1360" i="19"/>
  <c r="N1360" i="19" s="1"/>
  <c r="D1360" i="19"/>
  <c r="N1359" i="19"/>
  <c r="M1359" i="19"/>
  <c r="J1359" i="19"/>
  <c r="D1359" i="19"/>
  <c r="M1358" i="19"/>
  <c r="J1358" i="19"/>
  <c r="N1358" i="19" s="1"/>
  <c r="D1358" i="19"/>
  <c r="N1357" i="19"/>
  <c r="M1357" i="19"/>
  <c r="J1357" i="19"/>
  <c r="D1357" i="19"/>
  <c r="M1356" i="19"/>
  <c r="J1356" i="19"/>
  <c r="N1356" i="19" s="1"/>
  <c r="D1356" i="19"/>
  <c r="M1355" i="19"/>
  <c r="J1355" i="19"/>
  <c r="N1355" i="19" s="1"/>
  <c r="D1355" i="19"/>
  <c r="N1354" i="19"/>
  <c r="M1354" i="19"/>
  <c r="J1354" i="19"/>
  <c r="D1354" i="19"/>
  <c r="M1353" i="19"/>
  <c r="J1353" i="19"/>
  <c r="N1353" i="19" s="1"/>
  <c r="D1353" i="19"/>
  <c r="N1352" i="19"/>
  <c r="M1352" i="19"/>
  <c r="J1352" i="19"/>
  <c r="D1352" i="19"/>
  <c r="M1351" i="19"/>
  <c r="J1351" i="19"/>
  <c r="N1351" i="19" s="1"/>
  <c r="D1351" i="19"/>
  <c r="N1350" i="19"/>
  <c r="M1350" i="19"/>
  <c r="J1350" i="19"/>
  <c r="D1350" i="19"/>
  <c r="M1349" i="19"/>
  <c r="J1349" i="19"/>
  <c r="N1349" i="19" s="1"/>
  <c r="D1349" i="19"/>
  <c r="M1348" i="19"/>
  <c r="J1348" i="19"/>
  <c r="N1348" i="19" s="1"/>
  <c r="D1348" i="19"/>
  <c r="N1347" i="19"/>
  <c r="M1347" i="19"/>
  <c r="J1347" i="19"/>
  <c r="D1347" i="19"/>
  <c r="M1346" i="19"/>
  <c r="J1346" i="19"/>
  <c r="N1346" i="19" s="1"/>
  <c r="D1346" i="19"/>
  <c r="N1345" i="19"/>
  <c r="M1345" i="19"/>
  <c r="J1345" i="19"/>
  <c r="D1345" i="19"/>
  <c r="M1344" i="19"/>
  <c r="J1344" i="19"/>
  <c r="N1344" i="19" s="1"/>
  <c r="D1344" i="19"/>
  <c r="N1343" i="19"/>
  <c r="M1343" i="19"/>
  <c r="J1343" i="19"/>
  <c r="D1343" i="19"/>
  <c r="N1342" i="19"/>
  <c r="M1342" i="19"/>
  <c r="D1342" i="19"/>
  <c r="M1341" i="19"/>
  <c r="J1341" i="19"/>
  <c r="N1341" i="19" s="1"/>
  <c r="D1341" i="19"/>
  <c r="M1340" i="19"/>
  <c r="J1340" i="19"/>
  <c r="N1340" i="19" s="1"/>
  <c r="D1340" i="19"/>
  <c r="M1339" i="19"/>
  <c r="J1339" i="19"/>
  <c r="N1339" i="19" s="1"/>
  <c r="D1339" i="19"/>
  <c r="N1338" i="19"/>
  <c r="M1338" i="19"/>
  <c r="J1338" i="19"/>
  <c r="D1338" i="19"/>
  <c r="N1337" i="19"/>
  <c r="M1337" i="19"/>
  <c r="J1337" i="19"/>
  <c r="D1337" i="19"/>
  <c r="N1336" i="19"/>
  <c r="M1336" i="19"/>
  <c r="J1336" i="19"/>
  <c r="D1336" i="19"/>
  <c r="M1335" i="19"/>
  <c r="J1335" i="19"/>
  <c r="N1335" i="19" s="1"/>
  <c r="D1335" i="19"/>
  <c r="M1334" i="19"/>
  <c r="J1334" i="19"/>
  <c r="N1334" i="19" s="1"/>
  <c r="D1334" i="19"/>
  <c r="M1333" i="19"/>
  <c r="J1333" i="19"/>
  <c r="N1333" i="19" s="1"/>
  <c r="D1333" i="19"/>
  <c r="M1332" i="19"/>
  <c r="J1332" i="19"/>
  <c r="N1332" i="19" s="1"/>
  <c r="D1332" i="19"/>
  <c r="N1331" i="19"/>
  <c r="M1331" i="19"/>
  <c r="J1331" i="19"/>
  <c r="D1331" i="19"/>
  <c r="N1330" i="19"/>
  <c r="M1330" i="19"/>
  <c r="J1330" i="19"/>
  <c r="D1330" i="19"/>
  <c r="N1329" i="19"/>
  <c r="M1329" i="19"/>
  <c r="J1329" i="19"/>
  <c r="D1329" i="19"/>
  <c r="M1328" i="19"/>
  <c r="J1328" i="19"/>
  <c r="N1328" i="19" s="1"/>
  <c r="D1328" i="19"/>
  <c r="M1327" i="19"/>
  <c r="J1327" i="19"/>
  <c r="N1327" i="19" s="1"/>
  <c r="D1327" i="19"/>
  <c r="M1326" i="19"/>
  <c r="J1326" i="19"/>
  <c r="N1326" i="19" s="1"/>
  <c r="D1326" i="19"/>
  <c r="M1325" i="19"/>
  <c r="J1325" i="19"/>
  <c r="N1325" i="19" s="1"/>
  <c r="D1325" i="19"/>
  <c r="N1324" i="19"/>
  <c r="M1324" i="19"/>
  <c r="J1324" i="19"/>
  <c r="D1324" i="19"/>
  <c r="N1323" i="19"/>
  <c r="M1323" i="19"/>
  <c r="J1323" i="19"/>
  <c r="D1323" i="19"/>
  <c r="N1322" i="19"/>
  <c r="M1322" i="19"/>
  <c r="J1322" i="19"/>
  <c r="D1322" i="19"/>
  <c r="M1321" i="19"/>
  <c r="J1321" i="19"/>
  <c r="N1321" i="19" s="1"/>
  <c r="D1321" i="19"/>
  <c r="M1320" i="19"/>
  <c r="J1320" i="19"/>
  <c r="N1320" i="19" s="1"/>
  <c r="D1320" i="19"/>
  <c r="M1319" i="19"/>
  <c r="J1319" i="19"/>
  <c r="N1319" i="19" s="1"/>
  <c r="D1319" i="19"/>
  <c r="M1318" i="19"/>
  <c r="J1318" i="19"/>
  <c r="N1318" i="19" s="1"/>
  <c r="D1318" i="19"/>
  <c r="N1317" i="19"/>
  <c r="M1317" i="19"/>
  <c r="J1317" i="19"/>
  <c r="D1317" i="19"/>
  <c r="N1316" i="19"/>
  <c r="M1316" i="19"/>
  <c r="J1316" i="19"/>
  <c r="D1316" i="19"/>
  <c r="N1315" i="19"/>
  <c r="M1315" i="19"/>
  <c r="J1315" i="19"/>
  <c r="D1315" i="19"/>
  <c r="N1314" i="19"/>
  <c r="M1314" i="19"/>
  <c r="D1314" i="19"/>
  <c r="N1313" i="19"/>
  <c r="M1313" i="19"/>
  <c r="J1313" i="19"/>
  <c r="D1313" i="19"/>
  <c r="M1312" i="19"/>
  <c r="J1312" i="19"/>
  <c r="N1312" i="19" s="1"/>
  <c r="D1312" i="19"/>
  <c r="N1311" i="19"/>
  <c r="M1311" i="19"/>
  <c r="J1311" i="19"/>
  <c r="D1311" i="19"/>
  <c r="M1310" i="19"/>
  <c r="J1310" i="19"/>
  <c r="N1310" i="19" s="1"/>
  <c r="D1310" i="19"/>
  <c r="M1309" i="19"/>
  <c r="J1309" i="19"/>
  <c r="N1309" i="19" s="1"/>
  <c r="D1309" i="19"/>
  <c r="N1308" i="19"/>
  <c r="M1308" i="19"/>
  <c r="J1308" i="19"/>
  <c r="D1308" i="19"/>
  <c r="M1307" i="19"/>
  <c r="J1307" i="19"/>
  <c r="N1307" i="19" s="1"/>
  <c r="D1307" i="19"/>
  <c r="N1306" i="19"/>
  <c r="M1306" i="19"/>
  <c r="J1306" i="19"/>
  <c r="D1306" i="19"/>
  <c r="M1305" i="19"/>
  <c r="J1305" i="19"/>
  <c r="N1305" i="19" s="1"/>
  <c r="D1305" i="19"/>
  <c r="N1304" i="19"/>
  <c r="M1304" i="19"/>
  <c r="J1304" i="19"/>
  <c r="D1304" i="19"/>
  <c r="M1303" i="19"/>
  <c r="J1303" i="19"/>
  <c r="N1303" i="19" s="1"/>
  <c r="D1303" i="19"/>
  <c r="M1302" i="19"/>
  <c r="J1302" i="19"/>
  <c r="N1302" i="19" s="1"/>
  <c r="D1302" i="19"/>
  <c r="N1301" i="19"/>
  <c r="M1301" i="19"/>
  <c r="J1301" i="19"/>
  <c r="D1301" i="19"/>
  <c r="M1300" i="19"/>
  <c r="J1300" i="19"/>
  <c r="N1300" i="19" s="1"/>
  <c r="D1300" i="19"/>
  <c r="N1299" i="19"/>
  <c r="M1299" i="19"/>
  <c r="J1299" i="19"/>
  <c r="D1299" i="19"/>
  <c r="M1298" i="19"/>
  <c r="J1298" i="19"/>
  <c r="N1298" i="19" s="1"/>
  <c r="D1298" i="19"/>
  <c r="N1297" i="19"/>
  <c r="M1297" i="19"/>
  <c r="J1297" i="19"/>
  <c r="D1297" i="19"/>
  <c r="M1296" i="19"/>
  <c r="J1296" i="19"/>
  <c r="N1296" i="19" s="1"/>
  <c r="D1296" i="19"/>
  <c r="M1295" i="19"/>
  <c r="J1295" i="19"/>
  <c r="N1295" i="19" s="1"/>
  <c r="D1295" i="19"/>
  <c r="N1294" i="19"/>
  <c r="M1294" i="19"/>
  <c r="J1294" i="19"/>
  <c r="D1294" i="19"/>
  <c r="M1293" i="19"/>
  <c r="J1293" i="19"/>
  <c r="N1293" i="19" s="1"/>
  <c r="D1293" i="19"/>
  <c r="N1292" i="19"/>
  <c r="M1292" i="19"/>
  <c r="J1292" i="19"/>
  <c r="D1292" i="19"/>
  <c r="M1291" i="19"/>
  <c r="J1291" i="19"/>
  <c r="N1291" i="19" s="1"/>
  <c r="D1291" i="19"/>
  <c r="N1290" i="19"/>
  <c r="M1290" i="19"/>
  <c r="J1290" i="19"/>
  <c r="D1290" i="19"/>
  <c r="M1289" i="19"/>
  <c r="J1289" i="19"/>
  <c r="N1289" i="19" s="1"/>
  <c r="D1289" i="19"/>
  <c r="M1288" i="19"/>
  <c r="J1288" i="19"/>
  <c r="N1288" i="19" s="1"/>
  <c r="D1288" i="19"/>
  <c r="N1287" i="19"/>
  <c r="M1287" i="19"/>
  <c r="J1287" i="19"/>
  <c r="D1287" i="19"/>
  <c r="N1286" i="19"/>
  <c r="M1286" i="19"/>
  <c r="D1286" i="19"/>
  <c r="N1285" i="19"/>
  <c r="M1285" i="19"/>
  <c r="J1285" i="19"/>
  <c r="D1285" i="19"/>
  <c r="N1284" i="19"/>
  <c r="M1284" i="19"/>
  <c r="J1284" i="19"/>
  <c r="D1284" i="19"/>
  <c r="N1283" i="19"/>
  <c r="M1283" i="19"/>
  <c r="J1283" i="19"/>
  <c r="D1283" i="19"/>
  <c r="M1282" i="19"/>
  <c r="J1282" i="19"/>
  <c r="N1282" i="19" s="1"/>
  <c r="D1282" i="19"/>
  <c r="M1281" i="19"/>
  <c r="J1281" i="19"/>
  <c r="N1281" i="19" s="1"/>
  <c r="D1281" i="19"/>
  <c r="M1280" i="19"/>
  <c r="J1280" i="19"/>
  <c r="N1280" i="19" s="1"/>
  <c r="D1280" i="19"/>
  <c r="M1279" i="19"/>
  <c r="J1279" i="19"/>
  <c r="N1279" i="19" s="1"/>
  <c r="D1279" i="19"/>
  <c r="N1278" i="19"/>
  <c r="M1278" i="19"/>
  <c r="J1278" i="19"/>
  <c r="D1278" i="19"/>
  <c r="N1277" i="19"/>
  <c r="M1277" i="19"/>
  <c r="J1277" i="19"/>
  <c r="D1277" i="19"/>
  <c r="N1276" i="19"/>
  <c r="M1276" i="19"/>
  <c r="J1276" i="19"/>
  <c r="D1276" i="19"/>
  <c r="M1275" i="19"/>
  <c r="J1275" i="19"/>
  <c r="N1275" i="19" s="1"/>
  <c r="D1275" i="19"/>
  <c r="M1274" i="19"/>
  <c r="J1274" i="19"/>
  <c r="N1274" i="19" s="1"/>
  <c r="D1274" i="19"/>
  <c r="M1273" i="19"/>
  <c r="J1273" i="19"/>
  <c r="N1273" i="19" s="1"/>
  <c r="D1273" i="19"/>
  <c r="M1272" i="19"/>
  <c r="J1272" i="19"/>
  <c r="N1272" i="19" s="1"/>
  <c r="D1272" i="19"/>
  <c r="N1271" i="19"/>
  <c r="M1271" i="19"/>
  <c r="J1271" i="19"/>
  <c r="D1271" i="19"/>
  <c r="N1270" i="19"/>
  <c r="M1270" i="19"/>
  <c r="J1270" i="19"/>
  <c r="D1270" i="19"/>
  <c r="N1269" i="19"/>
  <c r="M1269" i="19"/>
  <c r="J1269" i="19"/>
  <c r="D1269" i="19"/>
  <c r="M1268" i="19"/>
  <c r="J1268" i="19"/>
  <c r="N1268" i="19" s="1"/>
  <c r="D1268" i="19"/>
  <c r="M1267" i="19"/>
  <c r="J1267" i="19"/>
  <c r="N1267" i="19" s="1"/>
  <c r="D1267" i="19"/>
  <c r="M1266" i="19"/>
  <c r="J1266" i="19"/>
  <c r="N1266" i="19" s="1"/>
  <c r="D1266" i="19"/>
  <c r="M1265" i="19"/>
  <c r="J1265" i="19"/>
  <c r="N1265" i="19" s="1"/>
  <c r="D1265" i="19"/>
  <c r="N1264" i="19"/>
  <c r="M1264" i="19"/>
  <c r="J1264" i="19"/>
  <c r="D1264" i="19"/>
  <c r="N1263" i="19"/>
  <c r="M1263" i="19"/>
  <c r="J1263" i="19"/>
  <c r="D1263" i="19"/>
  <c r="N1262" i="19"/>
  <c r="M1262" i="19"/>
  <c r="J1262" i="19"/>
  <c r="D1262" i="19"/>
  <c r="M1261" i="19"/>
  <c r="J1261" i="19"/>
  <c r="N1261" i="19" s="1"/>
  <c r="D1261" i="19"/>
  <c r="M1260" i="19"/>
  <c r="J1260" i="19"/>
  <c r="N1260" i="19" s="1"/>
  <c r="D1260" i="19"/>
  <c r="M1259" i="19"/>
  <c r="J1259" i="19"/>
  <c r="N1259" i="19" s="1"/>
  <c r="D1259" i="19"/>
  <c r="N1258" i="19"/>
  <c r="M1258" i="19"/>
  <c r="D1258" i="19"/>
  <c r="M1257" i="19"/>
  <c r="J1257" i="19"/>
  <c r="N1257" i="19" s="1"/>
  <c r="D1257" i="19"/>
  <c r="M1256" i="19"/>
  <c r="J1256" i="19"/>
  <c r="N1256" i="19" s="1"/>
  <c r="D1256" i="19"/>
  <c r="N1255" i="19"/>
  <c r="M1255" i="19"/>
  <c r="J1255" i="19"/>
  <c r="D1255" i="19"/>
  <c r="M1254" i="19"/>
  <c r="J1254" i="19"/>
  <c r="N1254" i="19" s="1"/>
  <c r="D1254" i="19"/>
  <c r="N1253" i="19"/>
  <c r="M1253" i="19"/>
  <c r="J1253" i="19"/>
  <c r="D1253" i="19"/>
  <c r="M1252" i="19"/>
  <c r="J1252" i="19"/>
  <c r="N1252" i="19" s="1"/>
  <c r="D1252" i="19"/>
  <c r="N1251" i="19"/>
  <c r="M1251" i="19"/>
  <c r="J1251" i="19"/>
  <c r="D1251" i="19"/>
  <c r="M1250" i="19"/>
  <c r="J1250" i="19"/>
  <c r="N1250" i="19" s="1"/>
  <c r="D1250" i="19"/>
  <c r="M1249" i="19"/>
  <c r="J1249" i="19"/>
  <c r="N1249" i="19" s="1"/>
  <c r="D1249" i="19"/>
  <c r="N1248" i="19"/>
  <c r="M1248" i="19"/>
  <c r="J1248" i="19"/>
  <c r="D1248" i="19"/>
  <c r="M1247" i="19"/>
  <c r="J1247" i="19"/>
  <c r="N1247" i="19" s="1"/>
  <c r="D1247" i="19"/>
  <c r="N1246" i="19"/>
  <c r="M1246" i="19"/>
  <c r="J1246" i="19"/>
  <c r="D1246" i="19"/>
  <c r="M1245" i="19"/>
  <c r="J1245" i="19"/>
  <c r="N1245" i="19" s="1"/>
  <c r="D1245" i="19"/>
  <c r="N1244" i="19"/>
  <c r="M1244" i="19"/>
  <c r="J1244" i="19"/>
  <c r="D1244" i="19"/>
  <c r="M1243" i="19"/>
  <c r="J1243" i="19"/>
  <c r="N1243" i="19" s="1"/>
  <c r="D1243" i="19"/>
  <c r="M1242" i="19"/>
  <c r="J1242" i="19"/>
  <c r="N1242" i="19" s="1"/>
  <c r="D1242" i="19"/>
  <c r="N1241" i="19"/>
  <c r="M1241" i="19"/>
  <c r="J1241" i="19"/>
  <c r="D1241" i="19"/>
  <c r="M1240" i="19"/>
  <c r="J1240" i="19"/>
  <c r="N1240" i="19" s="1"/>
  <c r="D1240" i="19"/>
  <c r="N1239" i="19"/>
  <c r="M1239" i="19"/>
  <c r="J1239" i="19"/>
  <c r="D1239" i="19"/>
  <c r="M1238" i="19"/>
  <c r="J1238" i="19"/>
  <c r="N1238" i="19" s="1"/>
  <c r="D1238" i="19"/>
  <c r="N1237" i="19"/>
  <c r="M1237" i="19"/>
  <c r="J1237" i="19"/>
  <c r="D1237" i="19"/>
  <c r="M1236" i="19"/>
  <c r="J1236" i="19"/>
  <c r="N1236" i="19" s="1"/>
  <c r="D1236" i="19"/>
  <c r="M1235" i="19"/>
  <c r="J1235" i="19"/>
  <c r="N1235" i="19" s="1"/>
  <c r="D1235" i="19"/>
  <c r="N1234" i="19"/>
  <c r="M1234" i="19"/>
  <c r="J1234" i="19"/>
  <c r="D1234" i="19"/>
  <c r="M1233" i="19"/>
  <c r="J1233" i="19"/>
  <c r="N1233" i="19" s="1"/>
  <c r="D1233" i="19"/>
  <c r="N1232" i="19"/>
  <c r="M1232" i="19"/>
  <c r="J1232" i="19"/>
  <c r="D1232" i="19"/>
  <c r="M1231" i="19"/>
  <c r="J1231" i="19"/>
  <c r="N1231" i="19" s="1"/>
  <c r="D1231" i="19"/>
  <c r="N1230" i="19"/>
  <c r="M1230" i="19"/>
  <c r="D1230" i="19"/>
  <c r="M1229" i="19"/>
  <c r="J1229" i="19"/>
  <c r="N1229" i="19" s="1"/>
  <c r="D1229" i="19"/>
  <c r="M1228" i="19"/>
  <c r="J1228" i="19"/>
  <c r="N1228" i="19" s="1"/>
  <c r="D1228" i="19"/>
  <c r="M1227" i="19"/>
  <c r="J1227" i="19"/>
  <c r="N1227" i="19" s="1"/>
  <c r="D1227" i="19"/>
  <c r="M1226" i="19"/>
  <c r="J1226" i="19"/>
  <c r="N1226" i="19" s="1"/>
  <c r="D1226" i="19"/>
  <c r="N1225" i="19"/>
  <c r="M1225" i="19"/>
  <c r="J1225" i="19"/>
  <c r="D1225" i="19"/>
  <c r="N1224" i="19"/>
  <c r="M1224" i="19"/>
  <c r="J1224" i="19"/>
  <c r="D1224" i="19"/>
  <c r="N1223" i="19"/>
  <c r="M1223" i="19"/>
  <c r="J1223" i="19"/>
  <c r="D1223" i="19"/>
  <c r="M1222" i="19"/>
  <c r="J1222" i="19"/>
  <c r="N1222" i="19" s="1"/>
  <c r="D1222" i="19"/>
  <c r="M1221" i="19"/>
  <c r="J1221" i="19"/>
  <c r="N1221" i="19" s="1"/>
  <c r="D1221" i="19"/>
  <c r="M1220" i="19"/>
  <c r="J1220" i="19"/>
  <c r="N1220" i="19" s="1"/>
  <c r="D1220" i="19"/>
  <c r="M1219" i="19"/>
  <c r="J1219" i="19"/>
  <c r="N1219" i="19" s="1"/>
  <c r="D1219" i="19"/>
  <c r="N1218" i="19"/>
  <c r="M1218" i="19"/>
  <c r="J1218" i="19"/>
  <c r="D1218" i="19"/>
  <c r="N1217" i="19"/>
  <c r="M1217" i="19"/>
  <c r="J1217" i="19"/>
  <c r="D1217" i="19"/>
  <c r="N1216" i="19"/>
  <c r="M1216" i="19"/>
  <c r="J1216" i="19"/>
  <c r="D1216" i="19"/>
  <c r="M1215" i="19"/>
  <c r="J1215" i="19"/>
  <c r="N1215" i="19" s="1"/>
  <c r="D1215" i="19"/>
  <c r="M1214" i="19"/>
  <c r="J1214" i="19"/>
  <c r="N1214" i="19" s="1"/>
  <c r="D1214" i="19"/>
  <c r="M1213" i="19"/>
  <c r="J1213" i="19"/>
  <c r="N1213" i="19" s="1"/>
  <c r="D1213" i="19"/>
  <c r="M1212" i="19"/>
  <c r="J1212" i="19"/>
  <c r="N1212" i="19" s="1"/>
  <c r="D1212" i="19"/>
  <c r="N1211" i="19"/>
  <c r="M1211" i="19"/>
  <c r="J1211" i="19"/>
  <c r="D1211" i="19"/>
  <c r="N1210" i="19"/>
  <c r="M1210" i="19"/>
  <c r="J1210" i="19"/>
  <c r="D1210" i="19"/>
  <c r="N1209" i="19"/>
  <c r="M1209" i="19"/>
  <c r="J1209" i="19"/>
  <c r="D1209" i="19"/>
  <c r="M1208" i="19"/>
  <c r="J1208" i="19"/>
  <c r="N1208" i="19" s="1"/>
  <c r="D1208" i="19"/>
  <c r="M1207" i="19"/>
  <c r="J1207" i="19"/>
  <c r="N1207" i="19" s="1"/>
  <c r="D1207" i="19"/>
  <c r="M1206" i="19"/>
  <c r="J1206" i="19"/>
  <c r="N1206" i="19" s="1"/>
  <c r="D1206" i="19"/>
  <c r="M1205" i="19"/>
  <c r="J1205" i="19"/>
  <c r="N1205" i="19" s="1"/>
  <c r="D1205" i="19"/>
  <c r="N1204" i="19"/>
  <c r="M1204" i="19"/>
  <c r="J1204" i="19"/>
  <c r="D1204" i="19"/>
  <c r="N1203" i="19"/>
  <c r="M1203" i="19"/>
  <c r="J1203" i="19"/>
  <c r="D1203" i="19"/>
  <c r="N1202" i="19"/>
  <c r="M1202" i="19"/>
  <c r="D1202" i="19"/>
  <c r="M1201" i="19"/>
  <c r="J1201" i="19"/>
  <c r="N1201" i="19" s="1"/>
  <c r="D1201" i="19"/>
  <c r="N1200" i="19"/>
  <c r="M1200" i="19"/>
  <c r="J1200" i="19"/>
  <c r="D1200" i="19"/>
  <c r="M1199" i="19"/>
  <c r="J1199" i="19"/>
  <c r="N1199" i="19" s="1"/>
  <c r="D1199" i="19"/>
  <c r="N1198" i="19"/>
  <c r="M1198" i="19"/>
  <c r="J1198" i="19"/>
  <c r="D1198" i="19"/>
  <c r="M1197" i="19"/>
  <c r="J1197" i="19"/>
  <c r="N1197" i="19" s="1"/>
  <c r="D1197" i="19"/>
  <c r="M1196" i="19"/>
  <c r="J1196" i="19"/>
  <c r="N1196" i="19" s="1"/>
  <c r="D1196" i="19"/>
  <c r="N1195" i="19"/>
  <c r="M1195" i="19"/>
  <c r="J1195" i="19"/>
  <c r="D1195" i="19"/>
  <c r="M1194" i="19"/>
  <c r="J1194" i="19"/>
  <c r="N1194" i="19" s="1"/>
  <c r="D1194" i="19"/>
  <c r="N1193" i="19"/>
  <c r="M1193" i="19"/>
  <c r="J1193" i="19"/>
  <c r="D1193" i="19"/>
  <c r="M1192" i="19"/>
  <c r="J1192" i="19"/>
  <c r="N1192" i="19" s="1"/>
  <c r="D1192" i="19"/>
  <c r="N1191" i="19"/>
  <c r="M1191" i="19"/>
  <c r="J1191" i="19"/>
  <c r="D1191" i="19"/>
  <c r="M1190" i="19"/>
  <c r="J1190" i="19"/>
  <c r="N1190" i="19" s="1"/>
  <c r="D1190" i="19"/>
  <c r="M1189" i="19"/>
  <c r="J1189" i="19"/>
  <c r="N1189" i="19" s="1"/>
  <c r="D1189" i="19"/>
  <c r="N1188" i="19"/>
  <c r="M1188" i="19"/>
  <c r="J1188" i="19"/>
  <c r="D1188" i="19"/>
  <c r="M1187" i="19"/>
  <c r="J1187" i="19"/>
  <c r="N1187" i="19" s="1"/>
  <c r="D1187" i="19"/>
  <c r="N1186" i="19"/>
  <c r="M1186" i="19"/>
  <c r="J1186" i="19"/>
  <c r="D1186" i="19"/>
  <c r="M1185" i="19"/>
  <c r="J1185" i="19"/>
  <c r="N1185" i="19" s="1"/>
  <c r="D1185" i="19"/>
  <c r="N1184" i="19"/>
  <c r="M1184" i="19"/>
  <c r="J1184" i="19"/>
  <c r="D1184" i="19"/>
  <c r="M1183" i="19"/>
  <c r="J1183" i="19"/>
  <c r="N1183" i="19" s="1"/>
  <c r="D1183" i="19"/>
  <c r="M1182" i="19"/>
  <c r="J1182" i="19"/>
  <c r="N1182" i="19" s="1"/>
  <c r="D1182" i="19"/>
  <c r="N1181" i="19"/>
  <c r="M1181" i="19"/>
  <c r="J1181" i="19"/>
  <c r="D1181" i="19"/>
  <c r="M1180" i="19"/>
  <c r="J1180" i="19"/>
  <c r="N1180" i="19" s="1"/>
  <c r="D1180" i="19"/>
  <c r="N1179" i="19"/>
  <c r="M1179" i="19"/>
  <c r="J1179" i="19"/>
  <c r="D1179" i="19"/>
  <c r="M1178" i="19"/>
  <c r="J1178" i="19"/>
  <c r="N1178" i="19" s="1"/>
  <c r="D1178" i="19"/>
  <c r="N1177" i="19"/>
  <c r="M1177" i="19"/>
  <c r="J1177" i="19"/>
  <c r="D1177" i="19"/>
  <c r="M1176" i="19"/>
  <c r="J1176" i="19"/>
  <c r="N1176" i="19" s="1"/>
  <c r="D1176" i="19"/>
  <c r="M1175" i="19"/>
  <c r="J1175" i="19"/>
  <c r="N1175" i="19" s="1"/>
  <c r="D1175" i="19"/>
  <c r="N1174" i="19"/>
  <c r="M1174" i="19"/>
  <c r="D1174" i="19"/>
  <c r="M1173" i="19"/>
  <c r="J1173" i="19"/>
  <c r="N1173" i="19" s="1"/>
  <c r="D1173" i="19"/>
  <c r="N1172" i="19"/>
  <c r="M1172" i="19"/>
  <c r="J1172" i="19"/>
  <c r="D1172" i="19"/>
  <c r="N1171" i="19"/>
  <c r="M1171" i="19"/>
  <c r="J1171" i="19"/>
  <c r="D1171" i="19"/>
  <c r="N1170" i="19"/>
  <c r="M1170" i="19"/>
  <c r="J1170" i="19"/>
  <c r="D1170" i="19"/>
  <c r="M1169" i="19"/>
  <c r="J1169" i="19"/>
  <c r="N1169" i="19" s="1"/>
  <c r="D1169" i="19"/>
  <c r="M1168" i="19"/>
  <c r="J1168" i="19"/>
  <c r="N1168" i="19" s="1"/>
  <c r="D1168" i="19"/>
  <c r="M1167" i="19"/>
  <c r="J1167" i="19"/>
  <c r="N1167" i="19" s="1"/>
  <c r="D1167" i="19"/>
  <c r="M1166" i="19"/>
  <c r="J1166" i="19"/>
  <c r="N1166" i="19" s="1"/>
  <c r="D1166" i="19"/>
  <c r="N1165" i="19"/>
  <c r="M1165" i="19"/>
  <c r="J1165" i="19"/>
  <c r="D1165" i="19"/>
  <c r="N1164" i="19"/>
  <c r="M1164" i="19"/>
  <c r="J1164" i="19"/>
  <c r="D1164" i="19"/>
  <c r="N1163" i="19"/>
  <c r="M1163" i="19"/>
  <c r="J1163" i="19"/>
  <c r="D1163" i="19"/>
  <c r="M1162" i="19"/>
  <c r="J1162" i="19"/>
  <c r="N1162" i="19" s="1"/>
  <c r="D1162" i="19"/>
  <c r="M1161" i="19"/>
  <c r="J1161" i="19"/>
  <c r="N1161" i="19" s="1"/>
  <c r="D1161" i="19"/>
  <c r="M1160" i="19"/>
  <c r="J1160" i="19"/>
  <c r="N1160" i="19" s="1"/>
  <c r="D1160" i="19"/>
  <c r="M1159" i="19"/>
  <c r="J1159" i="19"/>
  <c r="N1159" i="19" s="1"/>
  <c r="D1159" i="19"/>
  <c r="N1158" i="19"/>
  <c r="M1158" i="19"/>
  <c r="J1158" i="19"/>
  <c r="D1158" i="19"/>
  <c r="N1157" i="19"/>
  <c r="M1157" i="19"/>
  <c r="J1157" i="19"/>
  <c r="D1157" i="19"/>
  <c r="N1156" i="19"/>
  <c r="M1156" i="19"/>
  <c r="J1156" i="19"/>
  <c r="D1156" i="19"/>
  <c r="M1155" i="19"/>
  <c r="J1155" i="19"/>
  <c r="N1155" i="19" s="1"/>
  <c r="D1155" i="19"/>
  <c r="M1154" i="19"/>
  <c r="J1154" i="19"/>
  <c r="N1154" i="19" s="1"/>
  <c r="D1154" i="19"/>
  <c r="M1153" i="19"/>
  <c r="J1153" i="19"/>
  <c r="N1153" i="19" s="1"/>
  <c r="D1153" i="19"/>
  <c r="M1152" i="19"/>
  <c r="J1152" i="19"/>
  <c r="N1152" i="19" s="1"/>
  <c r="D1152" i="19"/>
  <c r="N1151" i="19"/>
  <c r="M1151" i="19"/>
  <c r="J1151" i="19"/>
  <c r="D1151" i="19"/>
  <c r="N1150" i="19"/>
  <c r="M1150" i="19"/>
  <c r="J1150" i="19"/>
  <c r="D1150" i="19"/>
  <c r="N1149" i="19"/>
  <c r="M1149" i="19"/>
  <c r="J1149" i="19"/>
  <c r="D1149" i="19"/>
  <c r="M1148" i="19"/>
  <c r="J1148" i="19"/>
  <c r="N1148" i="19" s="1"/>
  <c r="D1148" i="19"/>
  <c r="M1147" i="19"/>
  <c r="J1147" i="19"/>
  <c r="N1147" i="19" s="1"/>
  <c r="D1147" i="19"/>
  <c r="N1146" i="19"/>
  <c r="M1146" i="19"/>
  <c r="D1146" i="19"/>
  <c r="N1145" i="19"/>
  <c r="M1145" i="19"/>
  <c r="J1145" i="19"/>
  <c r="D1145" i="19"/>
  <c r="M1144" i="19"/>
  <c r="J1144" i="19"/>
  <c r="N1144" i="19" s="1"/>
  <c r="D1144" i="19"/>
  <c r="M1143" i="19"/>
  <c r="J1143" i="19"/>
  <c r="N1143" i="19" s="1"/>
  <c r="D1143" i="19"/>
  <c r="N1142" i="19"/>
  <c r="M1142" i="19"/>
  <c r="J1142" i="19"/>
  <c r="D1142" i="19"/>
  <c r="M1141" i="19"/>
  <c r="J1141" i="19"/>
  <c r="N1141" i="19" s="1"/>
  <c r="D1141" i="19"/>
  <c r="N1140" i="19"/>
  <c r="M1140" i="19"/>
  <c r="J1140" i="19"/>
  <c r="D1140" i="19"/>
  <c r="M1139" i="19"/>
  <c r="J1139" i="19"/>
  <c r="N1139" i="19" s="1"/>
  <c r="D1139" i="19"/>
  <c r="N1138" i="19"/>
  <c r="M1138" i="19"/>
  <c r="J1138" i="19"/>
  <c r="D1138" i="19"/>
  <c r="M1137" i="19"/>
  <c r="J1137" i="19"/>
  <c r="N1137" i="19" s="1"/>
  <c r="D1137" i="19"/>
  <c r="M1136" i="19"/>
  <c r="J1136" i="19"/>
  <c r="N1136" i="19" s="1"/>
  <c r="D1136" i="19"/>
  <c r="N1135" i="19"/>
  <c r="M1135" i="19"/>
  <c r="J1135" i="19"/>
  <c r="D1135" i="19"/>
  <c r="M1134" i="19"/>
  <c r="J1134" i="19"/>
  <c r="N1134" i="19" s="1"/>
  <c r="D1134" i="19"/>
  <c r="N1133" i="19"/>
  <c r="M1133" i="19"/>
  <c r="D1133" i="19"/>
  <c r="N1132" i="19"/>
  <c r="M1132" i="19"/>
  <c r="J1132" i="19"/>
  <c r="D1132" i="19"/>
  <c r="N1131" i="19"/>
  <c r="M1131" i="19"/>
  <c r="J1131" i="19"/>
  <c r="D1131" i="19"/>
  <c r="M1130" i="19"/>
  <c r="J1130" i="19"/>
  <c r="N1130" i="19" s="1"/>
  <c r="D1130" i="19"/>
  <c r="M1129" i="19"/>
  <c r="J1129" i="19"/>
  <c r="N1129" i="19" s="1"/>
  <c r="D1129" i="19"/>
  <c r="M1128" i="19"/>
  <c r="J1128" i="19"/>
  <c r="N1128" i="19" s="1"/>
  <c r="D1128" i="19"/>
  <c r="M1127" i="19"/>
  <c r="J1127" i="19"/>
  <c r="N1127" i="19" s="1"/>
  <c r="D1127" i="19"/>
  <c r="N1126" i="19"/>
  <c r="M1126" i="19"/>
  <c r="J1126" i="19"/>
  <c r="D1126" i="19"/>
  <c r="N1125" i="19"/>
  <c r="M1125" i="19"/>
  <c r="J1125" i="19"/>
  <c r="D1125" i="19"/>
  <c r="N1124" i="19"/>
  <c r="M1124" i="19"/>
  <c r="J1124" i="19"/>
  <c r="D1124" i="19"/>
  <c r="M1123" i="19"/>
  <c r="J1123" i="19"/>
  <c r="N1123" i="19" s="1"/>
  <c r="D1123" i="19"/>
  <c r="M1122" i="19"/>
  <c r="J1122" i="19"/>
  <c r="N1122" i="19" s="1"/>
  <c r="D1122" i="19"/>
  <c r="M1121" i="19"/>
  <c r="J1121" i="19"/>
  <c r="N1121" i="19" s="1"/>
  <c r="D1121" i="19"/>
  <c r="M1120" i="19"/>
  <c r="J1120" i="19"/>
  <c r="N1120" i="19" s="1"/>
  <c r="D1120" i="19"/>
  <c r="N1119" i="19"/>
  <c r="M1119" i="19"/>
  <c r="J1119" i="19"/>
  <c r="D1119" i="19"/>
  <c r="N1118" i="19"/>
  <c r="M1118" i="19"/>
  <c r="J1118" i="19"/>
  <c r="D1118" i="19"/>
  <c r="N1117" i="19"/>
  <c r="M1117" i="19"/>
  <c r="J1117" i="19"/>
  <c r="D1117" i="19"/>
  <c r="M1116" i="19"/>
  <c r="J1116" i="19"/>
  <c r="N1116" i="19" s="1"/>
  <c r="D1116" i="19"/>
  <c r="M1115" i="19"/>
  <c r="J1115" i="19"/>
  <c r="N1115" i="19" s="1"/>
  <c r="D1115" i="19"/>
  <c r="M1114" i="19"/>
  <c r="J1114" i="19"/>
  <c r="N1114" i="19" s="1"/>
  <c r="D1114" i="19"/>
  <c r="M1113" i="19"/>
  <c r="J1113" i="19"/>
  <c r="N1113" i="19" s="1"/>
  <c r="D1113" i="19"/>
  <c r="N1112" i="19"/>
  <c r="M1112" i="19"/>
  <c r="J1112" i="19"/>
  <c r="D1112" i="19"/>
  <c r="N1111" i="19"/>
  <c r="M1111" i="19"/>
  <c r="J1111" i="19"/>
  <c r="D1111" i="19"/>
  <c r="N1110" i="19"/>
  <c r="M1110" i="19"/>
  <c r="J1110" i="19"/>
  <c r="D1110" i="19"/>
  <c r="M1109" i="19"/>
  <c r="J1109" i="19"/>
  <c r="N1109" i="19" s="1"/>
  <c r="D1109" i="19"/>
  <c r="M1108" i="19"/>
  <c r="J1108" i="19"/>
  <c r="N1108" i="19" s="1"/>
  <c r="D1108" i="19"/>
  <c r="M1107" i="19"/>
  <c r="J1107" i="19"/>
  <c r="N1107" i="19" s="1"/>
  <c r="D1107" i="19"/>
  <c r="N1106" i="19"/>
  <c r="M1106" i="19"/>
  <c r="D1106" i="19"/>
  <c r="M1105" i="19"/>
  <c r="J1105" i="19"/>
  <c r="N1105" i="19" s="1"/>
  <c r="D1105" i="19"/>
  <c r="M1104" i="19"/>
  <c r="J1104" i="19"/>
  <c r="N1104" i="19" s="1"/>
  <c r="D1104" i="19"/>
  <c r="N1103" i="19"/>
  <c r="M1103" i="19"/>
  <c r="J1103" i="19"/>
  <c r="D1103" i="19"/>
  <c r="M1102" i="19"/>
  <c r="J1102" i="19"/>
  <c r="N1102" i="19" s="1"/>
  <c r="D1102" i="19"/>
  <c r="N1101" i="19"/>
  <c r="M1101" i="19"/>
  <c r="J1101" i="19"/>
  <c r="D1101" i="19"/>
  <c r="M1100" i="19"/>
  <c r="J1100" i="19"/>
  <c r="N1100" i="19" s="1"/>
  <c r="D1100" i="19"/>
  <c r="N1099" i="19"/>
  <c r="M1099" i="19"/>
  <c r="J1099" i="19"/>
  <c r="D1099" i="19"/>
  <c r="M1098" i="19"/>
  <c r="J1098" i="19"/>
  <c r="N1098" i="19" s="1"/>
  <c r="D1098" i="19"/>
  <c r="M1097" i="19"/>
  <c r="J1097" i="19"/>
  <c r="N1097" i="19" s="1"/>
  <c r="D1097" i="19"/>
  <c r="N1096" i="19"/>
  <c r="M1096" i="19"/>
  <c r="J1096" i="19"/>
  <c r="D1096" i="19"/>
  <c r="M1095" i="19"/>
  <c r="J1095" i="19"/>
  <c r="N1095" i="19" s="1"/>
  <c r="D1095" i="19"/>
  <c r="N1094" i="19"/>
  <c r="M1094" i="19"/>
  <c r="J1094" i="19"/>
  <c r="D1094" i="19"/>
  <c r="M1093" i="19"/>
  <c r="J1093" i="19"/>
  <c r="N1093" i="19" s="1"/>
  <c r="D1093" i="19"/>
  <c r="N1092" i="19"/>
  <c r="M1092" i="19"/>
  <c r="J1092" i="19"/>
  <c r="D1092" i="19"/>
  <c r="M1091" i="19"/>
  <c r="J1091" i="19"/>
  <c r="N1091" i="19" s="1"/>
  <c r="D1091" i="19"/>
  <c r="M1090" i="19"/>
  <c r="J1090" i="19"/>
  <c r="N1090" i="19" s="1"/>
  <c r="D1090" i="19"/>
  <c r="N1089" i="19"/>
  <c r="M1089" i="19"/>
  <c r="J1089" i="19"/>
  <c r="D1089" i="19"/>
  <c r="M1088" i="19"/>
  <c r="J1088" i="19"/>
  <c r="N1088" i="19" s="1"/>
  <c r="D1088" i="19"/>
  <c r="N1087" i="19"/>
  <c r="M1087" i="19"/>
  <c r="J1087" i="19"/>
  <c r="D1087" i="19"/>
  <c r="M1086" i="19"/>
  <c r="J1086" i="19"/>
  <c r="N1086" i="19" s="1"/>
  <c r="D1086" i="19"/>
  <c r="N1085" i="19"/>
  <c r="M1085" i="19"/>
  <c r="J1085" i="19"/>
  <c r="D1085" i="19"/>
  <c r="M1084" i="19"/>
  <c r="J1084" i="19"/>
  <c r="N1084" i="19" s="1"/>
  <c r="D1084" i="19"/>
  <c r="M1083" i="19"/>
  <c r="J1083" i="19"/>
  <c r="N1083" i="19" s="1"/>
  <c r="D1083" i="19"/>
  <c r="N1082" i="19"/>
  <c r="M1082" i="19"/>
  <c r="J1082" i="19"/>
  <c r="D1082" i="19"/>
  <c r="M1081" i="19"/>
  <c r="J1081" i="19"/>
  <c r="N1081" i="19" s="1"/>
  <c r="D1081" i="19"/>
  <c r="N1080" i="19"/>
  <c r="M1080" i="19"/>
  <c r="J1080" i="19"/>
  <c r="D1080" i="19"/>
  <c r="N1079" i="19"/>
  <c r="M1079" i="19"/>
  <c r="D1079" i="19"/>
  <c r="N1078" i="19"/>
  <c r="M1078" i="19"/>
  <c r="J1078" i="19"/>
  <c r="D1078" i="19"/>
  <c r="M1077" i="19"/>
  <c r="J1077" i="19"/>
  <c r="N1077" i="19" s="1"/>
  <c r="D1077" i="19"/>
  <c r="M1076" i="19"/>
  <c r="J1076" i="19"/>
  <c r="N1076" i="19" s="1"/>
  <c r="D1076" i="19"/>
  <c r="M1075" i="19"/>
  <c r="J1075" i="19"/>
  <c r="N1075" i="19" s="1"/>
  <c r="D1075" i="19"/>
  <c r="M1074" i="19"/>
  <c r="J1074" i="19"/>
  <c r="N1074" i="19" s="1"/>
  <c r="D1074" i="19"/>
  <c r="N1073" i="19"/>
  <c r="M1073" i="19"/>
  <c r="J1073" i="19"/>
  <c r="D1073" i="19"/>
  <c r="N1072" i="19"/>
  <c r="M1072" i="19"/>
  <c r="J1072" i="19"/>
  <c r="D1072" i="19"/>
  <c r="N1071" i="19"/>
  <c r="M1071" i="19"/>
  <c r="J1071" i="19"/>
  <c r="D1071" i="19"/>
  <c r="M1070" i="19"/>
  <c r="J1070" i="19"/>
  <c r="N1070" i="19" s="1"/>
  <c r="D1070" i="19"/>
  <c r="M1069" i="19"/>
  <c r="J1069" i="19"/>
  <c r="N1069" i="19" s="1"/>
  <c r="D1069" i="19"/>
  <c r="M1068" i="19"/>
  <c r="J1068" i="19"/>
  <c r="N1068" i="19" s="1"/>
  <c r="D1068" i="19"/>
  <c r="M1067" i="19"/>
  <c r="J1067" i="19"/>
  <c r="N1067" i="19" s="1"/>
  <c r="D1067" i="19"/>
  <c r="N1066" i="19"/>
  <c r="M1066" i="19"/>
  <c r="J1066" i="19"/>
  <c r="D1066" i="19"/>
  <c r="N1065" i="19"/>
  <c r="M1065" i="19"/>
  <c r="J1065" i="19"/>
  <c r="D1065" i="19"/>
  <c r="N1064" i="19"/>
  <c r="M1064" i="19"/>
  <c r="J1064" i="19"/>
  <c r="D1064" i="19"/>
  <c r="M1063" i="19"/>
  <c r="J1063" i="19"/>
  <c r="N1063" i="19" s="1"/>
  <c r="D1063" i="19"/>
  <c r="M1062" i="19"/>
  <c r="J1062" i="19"/>
  <c r="N1062" i="19" s="1"/>
  <c r="D1062" i="19"/>
  <c r="M1061" i="19"/>
  <c r="J1061" i="19"/>
  <c r="N1061" i="19" s="1"/>
  <c r="D1061" i="19"/>
  <c r="M1060" i="19"/>
  <c r="J1060" i="19"/>
  <c r="N1060" i="19" s="1"/>
  <c r="D1060" i="19"/>
  <c r="N1059" i="19"/>
  <c r="M1059" i="19"/>
  <c r="J1059" i="19"/>
  <c r="D1059" i="19"/>
  <c r="N1058" i="19"/>
  <c r="M1058" i="19"/>
  <c r="J1058" i="19"/>
  <c r="D1058" i="19"/>
  <c r="N1057" i="19"/>
  <c r="M1057" i="19"/>
  <c r="J1057" i="19"/>
  <c r="D1057" i="19"/>
  <c r="M1056" i="19"/>
  <c r="J1056" i="19"/>
  <c r="N1056" i="19" s="1"/>
  <c r="D1056" i="19"/>
  <c r="M1055" i="19"/>
  <c r="J1055" i="19"/>
  <c r="N1055" i="19" s="1"/>
  <c r="D1055" i="19"/>
  <c r="M1054" i="19"/>
  <c r="J1054" i="19"/>
  <c r="N1054" i="19" s="1"/>
  <c r="D1054" i="19"/>
  <c r="M1053" i="19"/>
  <c r="J1053" i="19"/>
  <c r="N1053" i="19" s="1"/>
  <c r="D1053" i="19"/>
  <c r="N1052" i="19"/>
  <c r="M1052" i="19"/>
  <c r="D1052" i="19"/>
  <c r="M1051" i="19"/>
  <c r="J1051" i="19"/>
  <c r="N1051" i="19" s="1"/>
  <c r="D1051" i="19"/>
  <c r="N1050" i="19"/>
  <c r="M1050" i="19"/>
  <c r="J1050" i="19"/>
  <c r="D1050" i="19"/>
  <c r="M1049" i="19"/>
  <c r="J1049" i="19"/>
  <c r="N1049" i="19" s="1"/>
  <c r="D1049" i="19"/>
  <c r="N1048" i="19"/>
  <c r="M1048" i="19"/>
  <c r="J1048" i="19"/>
  <c r="D1048" i="19"/>
  <c r="M1047" i="19"/>
  <c r="J1047" i="19"/>
  <c r="N1047" i="19" s="1"/>
  <c r="D1047" i="19"/>
  <c r="N1046" i="19"/>
  <c r="M1046" i="19"/>
  <c r="J1046" i="19"/>
  <c r="D1046" i="19"/>
  <c r="M1045" i="19"/>
  <c r="J1045" i="19"/>
  <c r="N1045" i="19" s="1"/>
  <c r="D1045" i="19"/>
  <c r="M1044" i="19"/>
  <c r="J1044" i="19"/>
  <c r="N1044" i="19" s="1"/>
  <c r="D1044" i="19"/>
  <c r="N1043" i="19"/>
  <c r="M1043" i="19"/>
  <c r="J1043" i="19"/>
  <c r="D1043" i="19"/>
  <c r="M1042" i="19"/>
  <c r="J1042" i="19"/>
  <c r="N1042" i="19" s="1"/>
  <c r="D1042" i="19"/>
  <c r="N1041" i="19"/>
  <c r="M1041" i="19"/>
  <c r="J1041" i="19"/>
  <c r="D1041" i="19"/>
  <c r="M1040" i="19"/>
  <c r="J1040" i="19"/>
  <c r="N1040" i="19" s="1"/>
  <c r="D1040" i="19"/>
  <c r="N1039" i="19"/>
  <c r="M1039" i="19"/>
  <c r="J1039" i="19"/>
  <c r="D1039" i="19"/>
  <c r="M1038" i="19"/>
  <c r="J1038" i="19"/>
  <c r="N1038" i="19" s="1"/>
  <c r="D1038" i="19"/>
  <c r="M1037" i="19"/>
  <c r="J1037" i="19"/>
  <c r="N1037" i="19" s="1"/>
  <c r="D1037" i="19"/>
  <c r="N1036" i="19"/>
  <c r="M1036" i="19"/>
  <c r="J1036" i="19"/>
  <c r="D1036" i="19"/>
  <c r="M1035" i="19"/>
  <c r="J1035" i="19"/>
  <c r="N1035" i="19" s="1"/>
  <c r="D1035" i="19"/>
  <c r="N1034" i="19"/>
  <c r="M1034" i="19"/>
  <c r="J1034" i="19"/>
  <c r="D1034" i="19"/>
  <c r="M1033" i="19"/>
  <c r="J1033" i="19"/>
  <c r="N1033" i="19" s="1"/>
  <c r="D1033" i="19"/>
  <c r="N1032" i="19"/>
  <c r="M1032" i="19"/>
  <c r="J1032" i="19"/>
  <c r="D1032" i="19"/>
  <c r="M1031" i="19"/>
  <c r="J1031" i="19"/>
  <c r="N1031" i="19" s="1"/>
  <c r="D1031" i="19"/>
  <c r="M1030" i="19"/>
  <c r="J1030" i="19"/>
  <c r="N1030" i="19" s="1"/>
  <c r="D1030" i="19"/>
  <c r="N1029" i="19"/>
  <c r="M1029" i="19"/>
  <c r="J1029" i="19"/>
  <c r="D1029" i="19"/>
  <c r="M1028" i="19"/>
  <c r="J1028" i="19"/>
  <c r="N1028" i="19" s="1"/>
  <c r="D1028" i="19"/>
  <c r="N1027" i="19"/>
  <c r="M1027" i="19"/>
  <c r="J1027" i="19"/>
  <c r="D1027" i="19"/>
  <c r="M1026" i="19"/>
  <c r="J1026" i="19"/>
  <c r="N1026" i="19" s="1"/>
  <c r="D1026" i="19"/>
  <c r="N1025" i="19"/>
  <c r="M1025" i="19"/>
  <c r="D1025" i="19"/>
  <c r="M1024" i="19"/>
  <c r="J1024" i="19"/>
  <c r="N1024" i="19" s="1"/>
  <c r="D1024" i="19"/>
  <c r="M1023" i="19"/>
  <c r="J1023" i="19"/>
  <c r="N1023" i="19" s="1"/>
  <c r="D1023" i="19"/>
  <c r="M1022" i="19"/>
  <c r="J1022" i="19"/>
  <c r="N1022" i="19" s="1"/>
  <c r="D1022" i="19"/>
  <c r="M1021" i="19"/>
  <c r="J1021" i="19"/>
  <c r="N1021" i="19" s="1"/>
  <c r="D1021" i="19"/>
  <c r="N1020" i="19"/>
  <c r="M1020" i="19"/>
  <c r="J1020" i="19"/>
  <c r="D1020" i="19"/>
  <c r="N1019" i="19"/>
  <c r="M1019" i="19"/>
  <c r="J1019" i="19"/>
  <c r="D1019" i="19"/>
  <c r="N1018" i="19"/>
  <c r="M1018" i="19"/>
  <c r="J1018" i="19"/>
  <c r="D1018" i="19"/>
  <c r="M1017" i="19"/>
  <c r="J1017" i="19"/>
  <c r="N1017" i="19" s="1"/>
  <c r="D1017" i="19"/>
  <c r="M1016" i="19"/>
  <c r="J1016" i="19"/>
  <c r="N1016" i="19" s="1"/>
  <c r="D1016" i="19"/>
  <c r="M1015" i="19"/>
  <c r="J1015" i="19"/>
  <c r="N1015" i="19" s="1"/>
  <c r="D1015" i="19"/>
  <c r="M1014" i="19"/>
  <c r="J1014" i="19"/>
  <c r="N1014" i="19" s="1"/>
  <c r="D1014" i="19"/>
  <c r="N1013" i="19"/>
  <c r="M1013" i="19"/>
  <c r="J1013" i="19"/>
  <c r="D1013" i="19"/>
  <c r="N1012" i="19"/>
  <c r="M1012" i="19"/>
  <c r="J1012" i="19"/>
  <c r="D1012" i="19"/>
  <c r="N1011" i="19"/>
  <c r="M1011" i="19"/>
  <c r="J1011" i="19"/>
  <c r="D1011" i="19"/>
  <c r="M1010" i="19"/>
  <c r="J1010" i="19"/>
  <c r="N1010" i="19" s="1"/>
  <c r="D1010" i="19"/>
  <c r="M1009" i="19"/>
  <c r="J1009" i="19"/>
  <c r="N1009" i="19" s="1"/>
  <c r="D1009" i="19"/>
  <c r="M1008" i="19"/>
  <c r="J1008" i="19"/>
  <c r="N1008" i="19" s="1"/>
  <c r="D1008" i="19"/>
  <c r="M1007" i="19"/>
  <c r="J1007" i="19"/>
  <c r="N1007" i="19" s="1"/>
  <c r="D1007" i="19"/>
  <c r="N1006" i="19"/>
  <c r="M1006" i="19"/>
  <c r="J1006" i="19"/>
  <c r="D1006" i="19"/>
  <c r="N1005" i="19"/>
  <c r="M1005" i="19"/>
  <c r="J1005" i="19"/>
  <c r="D1005" i="19"/>
  <c r="N1004" i="19"/>
  <c r="M1004" i="19"/>
  <c r="J1004" i="19"/>
  <c r="D1004" i="19"/>
  <c r="M1003" i="19"/>
  <c r="J1003" i="19"/>
  <c r="N1003" i="19" s="1"/>
  <c r="D1003" i="19"/>
  <c r="M1002" i="19"/>
  <c r="J1002" i="19"/>
  <c r="N1002" i="19" s="1"/>
  <c r="D1002" i="19"/>
  <c r="M1001" i="19"/>
  <c r="J1001" i="19"/>
  <c r="N1001" i="19" s="1"/>
  <c r="D1001" i="19"/>
  <c r="M1000" i="19"/>
  <c r="J1000" i="19"/>
  <c r="N1000" i="19" s="1"/>
  <c r="D1000" i="19"/>
  <c r="N999" i="19"/>
  <c r="M999" i="19"/>
  <c r="J999" i="19"/>
  <c r="D999" i="19"/>
  <c r="N998" i="19"/>
  <c r="M998" i="19"/>
  <c r="D998" i="19"/>
  <c r="N997" i="19"/>
  <c r="M997" i="19"/>
  <c r="J997" i="19"/>
  <c r="D997" i="19"/>
  <c r="M996" i="19"/>
  <c r="J996" i="19"/>
  <c r="N996" i="19" s="1"/>
  <c r="D996" i="19"/>
  <c r="N995" i="19"/>
  <c r="M995" i="19"/>
  <c r="J995" i="19"/>
  <c r="D995" i="19"/>
  <c r="M994" i="19"/>
  <c r="J994" i="19"/>
  <c r="N994" i="19" s="1"/>
  <c r="D994" i="19"/>
  <c r="N993" i="19"/>
  <c r="M993" i="19"/>
  <c r="J993" i="19"/>
  <c r="D993" i="19"/>
  <c r="M992" i="19"/>
  <c r="J992" i="19"/>
  <c r="N992" i="19" s="1"/>
  <c r="D992" i="19"/>
  <c r="M991" i="19"/>
  <c r="J991" i="19"/>
  <c r="N991" i="19" s="1"/>
  <c r="D991" i="19"/>
  <c r="N990" i="19"/>
  <c r="M990" i="19"/>
  <c r="J990" i="19"/>
  <c r="D990" i="19"/>
  <c r="M989" i="19"/>
  <c r="J989" i="19"/>
  <c r="N989" i="19" s="1"/>
  <c r="D989" i="19"/>
  <c r="N988" i="19"/>
  <c r="M988" i="19"/>
  <c r="J988" i="19"/>
  <c r="D988" i="19"/>
  <c r="M987" i="19"/>
  <c r="J987" i="19"/>
  <c r="N987" i="19" s="1"/>
  <c r="D987" i="19"/>
  <c r="N986" i="19"/>
  <c r="M986" i="19"/>
  <c r="J986" i="19"/>
  <c r="D986" i="19"/>
  <c r="M985" i="19"/>
  <c r="J985" i="19"/>
  <c r="N985" i="19" s="1"/>
  <c r="D985" i="19"/>
  <c r="M984" i="19"/>
  <c r="J984" i="19"/>
  <c r="N984" i="19" s="1"/>
  <c r="D984" i="19"/>
  <c r="N983" i="19"/>
  <c r="M983" i="19"/>
  <c r="J983" i="19"/>
  <c r="D983" i="19"/>
  <c r="M982" i="19"/>
  <c r="J982" i="19"/>
  <c r="N982" i="19" s="1"/>
  <c r="D982" i="19"/>
  <c r="N981" i="19"/>
  <c r="M981" i="19"/>
  <c r="J981" i="19"/>
  <c r="D981" i="19"/>
  <c r="M980" i="19"/>
  <c r="J980" i="19"/>
  <c r="N980" i="19" s="1"/>
  <c r="D980" i="19"/>
  <c r="N979" i="19"/>
  <c r="M979" i="19"/>
  <c r="J979" i="19"/>
  <c r="D979" i="19"/>
  <c r="M978" i="19"/>
  <c r="J978" i="19"/>
  <c r="N978" i="19" s="1"/>
  <c r="D978" i="19"/>
  <c r="M977" i="19"/>
  <c r="J977" i="19"/>
  <c r="N977" i="19" s="1"/>
  <c r="D977" i="19"/>
  <c r="N976" i="19"/>
  <c r="M976" i="19"/>
  <c r="J976" i="19"/>
  <c r="D976" i="19"/>
  <c r="M975" i="19"/>
  <c r="J975" i="19"/>
  <c r="N975" i="19" s="1"/>
  <c r="D975" i="19"/>
  <c r="N974" i="19"/>
  <c r="M974" i="19"/>
  <c r="J974" i="19"/>
  <c r="D974" i="19"/>
  <c r="M973" i="19"/>
  <c r="J973" i="19"/>
  <c r="N973" i="19" s="1"/>
  <c r="D973" i="19"/>
  <c r="N972" i="19"/>
  <c r="M972" i="19"/>
  <c r="J972" i="19"/>
  <c r="D972" i="19"/>
  <c r="N971" i="19"/>
  <c r="M971" i="19"/>
  <c r="D971" i="19"/>
  <c r="M970" i="19"/>
  <c r="J970" i="19"/>
  <c r="N970" i="19" s="1"/>
  <c r="D970" i="19"/>
  <c r="M969" i="19"/>
  <c r="J969" i="19"/>
  <c r="N969" i="19" s="1"/>
  <c r="D969" i="19"/>
  <c r="M968" i="19"/>
  <c r="J968" i="19"/>
  <c r="N968" i="19" s="1"/>
  <c r="D968" i="19"/>
  <c r="N967" i="19"/>
  <c r="M967" i="19"/>
  <c r="J967" i="19"/>
  <c r="D967" i="19"/>
  <c r="N966" i="19"/>
  <c r="M966" i="19"/>
  <c r="J966" i="19"/>
  <c r="D966" i="19"/>
  <c r="N965" i="19"/>
  <c r="M965" i="19"/>
  <c r="J965" i="19"/>
  <c r="D965" i="19"/>
  <c r="M964" i="19"/>
  <c r="J964" i="19"/>
  <c r="N964" i="19" s="1"/>
  <c r="D964" i="19"/>
  <c r="M963" i="19"/>
  <c r="J963" i="19"/>
  <c r="N963" i="19" s="1"/>
  <c r="D963" i="19"/>
  <c r="M962" i="19"/>
  <c r="J962" i="19"/>
  <c r="N962" i="19" s="1"/>
  <c r="D962" i="19"/>
  <c r="M961" i="19"/>
  <c r="J961" i="19"/>
  <c r="N961" i="19" s="1"/>
  <c r="D961" i="19"/>
  <c r="N960" i="19"/>
  <c r="M960" i="19"/>
  <c r="J960" i="19"/>
  <c r="D960" i="19"/>
  <c r="N959" i="19"/>
  <c r="M959" i="19"/>
  <c r="J959" i="19"/>
  <c r="D959" i="19"/>
  <c r="N958" i="19"/>
  <c r="M958" i="19"/>
  <c r="J958" i="19"/>
  <c r="D958" i="19"/>
  <c r="M957" i="19"/>
  <c r="J957" i="19"/>
  <c r="N957" i="19" s="1"/>
  <c r="D957" i="19"/>
  <c r="M956" i="19"/>
  <c r="J956" i="19"/>
  <c r="N956" i="19" s="1"/>
  <c r="D956" i="19"/>
  <c r="M955" i="19"/>
  <c r="J955" i="19"/>
  <c r="N955" i="19" s="1"/>
  <c r="D955" i="19"/>
  <c r="M954" i="19"/>
  <c r="J954" i="19"/>
  <c r="N954" i="19" s="1"/>
  <c r="D954" i="19"/>
  <c r="N953" i="19"/>
  <c r="M953" i="19"/>
  <c r="J953" i="19"/>
  <c r="D953" i="19"/>
  <c r="N952" i="19"/>
  <c r="M952" i="19"/>
  <c r="J952" i="19"/>
  <c r="D952" i="19"/>
  <c r="N951" i="19"/>
  <c r="M951" i="19"/>
  <c r="J951" i="19"/>
  <c r="D951" i="19"/>
  <c r="M950" i="19"/>
  <c r="J950" i="19"/>
  <c r="N950" i="19" s="1"/>
  <c r="D950" i="19"/>
  <c r="M949" i="19"/>
  <c r="J949" i="19"/>
  <c r="N949" i="19" s="1"/>
  <c r="D949" i="19"/>
  <c r="M948" i="19"/>
  <c r="J948" i="19"/>
  <c r="N948" i="19" s="1"/>
  <c r="D948" i="19"/>
  <c r="M947" i="19"/>
  <c r="J947" i="19"/>
  <c r="N947" i="19" s="1"/>
  <c r="D947" i="19"/>
  <c r="N946" i="19"/>
  <c r="M946" i="19"/>
  <c r="J946" i="19"/>
  <c r="D946" i="19"/>
  <c r="N945" i="19"/>
  <c r="M945" i="19"/>
  <c r="J945" i="19"/>
  <c r="D945" i="19"/>
  <c r="N944" i="19"/>
  <c r="M944" i="19"/>
  <c r="D944" i="19"/>
  <c r="M943" i="19"/>
  <c r="J943" i="19"/>
  <c r="N943" i="19" s="1"/>
  <c r="D943" i="19"/>
  <c r="N942" i="19"/>
  <c r="M942" i="19"/>
  <c r="J942" i="19"/>
  <c r="D942" i="19"/>
  <c r="M941" i="19"/>
  <c r="J941" i="19"/>
  <c r="N941" i="19" s="1"/>
  <c r="D941" i="19"/>
  <c r="N940" i="19"/>
  <c r="M940" i="19"/>
  <c r="J940" i="19"/>
  <c r="D940" i="19"/>
  <c r="M939" i="19"/>
  <c r="J939" i="19"/>
  <c r="N939" i="19" s="1"/>
  <c r="D939" i="19"/>
  <c r="M938" i="19"/>
  <c r="J938" i="19"/>
  <c r="N938" i="19" s="1"/>
  <c r="D938" i="19"/>
  <c r="N937" i="19"/>
  <c r="M937" i="19"/>
  <c r="J937" i="19"/>
  <c r="D937" i="19"/>
  <c r="M936" i="19"/>
  <c r="J936" i="19"/>
  <c r="N936" i="19" s="1"/>
  <c r="D936" i="19"/>
  <c r="N935" i="19"/>
  <c r="M935" i="19"/>
  <c r="J935" i="19"/>
  <c r="D935" i="19"/>
  <c r="M934" i="19"/>
  <c r="J934" i="19"/>
  <c r="N934" i="19" s="1"/>
  <c r="D934" i="19"/>
  <c r="N933" i="19"/>
  <c r="M933" i="19"/>
  <c r="J933" i="19"/>
  <c r="D933" i="19"/>
  <c r="M932" i="19"/>
  <c r="J932" i="19"/>
  <c r="N932" i="19" s="1"/>
  <c r="D932" i="19"/>
  <c r="M931" i="19"/>
  <c r="J931" i="19"/>
  <c r="N931" i="19" s="1"/>
  <c r="D931" i="19"/>
  <c r="N930" i="19"/>
  <c r="M930" i="19"/>
  <c r="J930" i="19"/>
  <c r="D930" i="19"/>
  <c r="M929" i="19"/>
  <c r="J929" i="19"/>
  <c r="N929" i="19" s="1"/>
  <c r="D929" i="19"/>
  <c r="N928" i="19"/>
  <c r="M928" i="19"/>
  <c r="J928" i="19"/>
  <c r="D928" i="19"/>
  <c r="M927" i="19"/>
  <c r="J927" i="19"/>
  <c r="N927" i="19" s="1"/>
  <c r="D927" i="19"/>
  <c r="N926" i="19"/>
  <c r="M926" i="19"/>
  <c r="J926" i="19"/>
  <c r="D926" i="19"/>
  <c r="M925" i="19"/>
  <c r="J925" i="19"/>
  <c r="N925" i="19" s="1"/>
  <c r="D925" i="19"/>
  <c r="M924" i="19"/>
  <c r="J924" i="19"/>
  <c r="N924" i="19" s="1"/>
  <c r="D924" i="19"/>
  <c r="N923" i="19"/>
  <c r="M923" i="19"/>
  <c r="J923" i="19"/>
  <c r="D923" i="19"/>
  <c r="M922" i="19"/>
  <c r="J922" i="19"/>
  <c r="N922" i="19" s="1"/>
  <c r="D922" i="19"/>
  <c r="N921" i="19"/>
  <c r="M921" i="19"/>
  <c r="J921" i="19"/>
  <c r="D921" i="19"/>
  <c r="M920" i="19"/>
  <c r="J920" i="19"/>
  <c r="N920" i="19" s="1"/>
  <c r="D920" i="19"/>
  <c r="N919" i="19"/>
  <c r="M919" i="19"/>
  <c r="J919" i="19"/>
  <c r="D919" i="19"/>
  <c r="M918" i="19"/>
  <c r="J918" i="19"/>
  <c r="N918" i="19" s="1"/>
  <c r="D918" i="19"/>
  <c r="N917" i="19"/>
  <c r="M917" i="19"/>
  <c r="D917" i="19"/>
  <c r="M916" i="19"/>
  <c r="J916" i="19"/>
  <c r="N916" i="19" s="1"/>
  <c r="D916" i="19"/>
  <c r="M915" i="19"/>
  <c r="J915" i="19"/>
  <c r="N915" i="19" s="1"/>
  <c r="D915" i="19"/>
  <c r="N914" i="19"/>
  <c r="M914" i="19"/>
  <c r="J914" i="19"/>
  <c r="D914" i="19"/>
  <c r="N913" i="19"/>
  <c r="M913" i="19"/>
  <c r="J913" i="19"/>
  <c r="D913" i="19"/>
  <c r="N912" i="19"/>
  <c r="M912" i="19"/>
  <c r="J912" i="19"/>
  <c r="D912" i="19"/>
  <c r="M911" i="19"/>
  <c r="J911" i="19"/>
  <c r="N911" i="19" s="1"/>
  <c r="D911" i="19"/>
  <c r="M910" i="19"/>
  <c r="J910" i="19"/>
  <c r="N910" i="19" s="1"/>
  <c r="D910" i="19"/>
  <c r="M909" i="19"/>
  <c r="J909" i="19"/>
  <c r="N909" i="19" s="1"/>
  <c r="D909" i="19"/>
  <c r="M908" i="19"/>
  <c r="J908" i="19"/>
  <c r="N908" i="19" s="1"/>
  <c r="D908" i="19"/>
  <c r="N907" i="19"/>
  <c r="M907" i="19"/>
  <c r="J907" i="19"/>
  <c r="D907" i="19"/>
  <c r="N906" i="19"/>
  <c r="M906" i="19"/>
  <c r="J906" i="19"/>
  <c r="D906" i="19"/>
  <c r="N905" i="19"/>
  <c r="M905" i="19"/>
  <c r="J905" i="19"/>
  <c r="D905" i="19"/>
  <c r="M904" i="19"/>
  <c r="J904" i="19"/>
  <c r="N904" i="19" s="1"/>
  <c r="D904" i="19"/>
  <c r="M903" i="19"/>
  <c r="J903" i="19"/>
  <c r="N903" i="19" s="1"/>
  <c r="D903" i="19"/>
  <c r="M902" i="19"/>
  <c r="J902" i="19"/>
  <c r="N902" i="19" s="1"/>
  <c r="D902" i="19"/>
  <c r="M901" i="19"/>
  <c r="J901" i="19"/>
  <c r="N901" i="19" s="1"/>
  <c r="D901" i="19"/>
  <c r="N900" i="19"/>
  <c r="M900" i="19"/>
  <c r="J900" i="19"/>
  <c r="D900" i="19"/>
  <c r="N899" i="19"/>
  <c r="M899" i="19"/>
  <c r="J899" i="19"/>
  <c r="D899" i="19"/>
  <c r="N898" i="19"/>
  <c r="M898" i="19"/>
  <c r="J898" i="19"/>
  <c r="D898" i="19"/>
  <c r="M897" i="19"/>
  <c r="J897" i="19"/>
  <c r="N897" i="19" s="1"/>
  <c r="D897" i="19"/>
  <c r="M896" i="19"/>
  <c r="J896" i="19"/>
  <c r="N896" i="19" s="1"/>
  <c r="D896" i="19"/>
  <c r="M895" i="19"/>
  <c r="J895" i="19"/>
  <c r="N895" i="19" s="1"/>
  <c r="D895" i="19"/>
  <c r="M894" i="19"/>
  <c r="J894" i="19"/>
  <c r="N894" i="19" s="1"/>
  <c r="D894" i="19"/>
  <c r="N893" i="19"/>
  <c r="M893" i="19"/>
  <c r="J893" i="19"/>
  <c r="D893" i="19"/>
  <c r="N892" i="19"/>
  <c r="M892" i="19"/>
  <c r="J892" i="19"/>
  <c r="D892" i="19"/>
  <c r="N891" i="19"/>
  <c r="M891" i="19"/>
  <c r="J891" i="19"/>
  <c r="D891" i="19"/>
  <c r="N890" i="19"/>
  <c r="M890" i="19"/>
  <c r="D890" i="19"/>
  <c r="N889" i="19"/>
  <c r="M889" i="19"/>
  <c r="J889" i="19"/>
  <c r="D889" i="19"/>
  <c r="M888" i="19"/>
  <c r="J888" i="19"/>
  <c r="N888" i="19" s="1"/>
  <c r="D888" i="19"/>
  <c r="N887" i="19"/>
  <c r="M887" i="19"/>
  <c r="J887" i="19"/>
  <c r="D887" i="19"/>
  <c r="M886" i="19"/>
  <c r="J886" i="19"/>
  <c r="N886" i="19" s="1"/>
  <c r="D886" i="19"/>
  <c r="M885" i="19"/>
  <c r="J885" i="19"/>
  <c r="N885" i="19" s="1"/>
  <c r="D885" i="19"/>
  <c r="N884" i="19"/>
  <c r="M884" i="19"/>
  <c r="J884" i="19"/>
  <c r="D884" i="19"/>
  <c r="M883" i="19"/>
  <c r="J883" i="19"/>
  <c r="N883" i="19" s="1"/>
  <c r="D883" i="19"/>
  <c r="N882" i="19"/>
  <c r="M882" i="19"/>
  <c r="J882" i="19"/>
  <c r="D882" i="19"/>
  <c r="M881" i="19"/>
  <c r="J881" i="19"/>
  <c r="N881" i="19" s="1"/>
  <c r="D881" i="19"/>
  <c r="N880" i="19"/>
  <c r="M880" i="19"/>
  <c r="J880" i="19"/>
  <c r="D880" i="19"/>
  <c r="M879" i="19"/>
  <c r="J879" i="19"/>
  <c r="N879" i="19" s="1"/>
  <c r="D879" i="19"/>
  <c r="M878" i="19"/>
  <c r="J878" i="19"/>
  <c r="N878" i="19" s="1"/>
  <c r="D878" i="19"/>
  <c r="N877" i="19"/>
  <c r="M877" i="19"/>
  <c r="J877" i="19"/>
  <c r="D877" i="19"/>
  <c r="M876" i="19"/>
  <c r="J876" i="19"/>
  <c r="N876" i="19" s="1"/>
  <c r="D876" i="19"/>
  <c r="N875" i="19"/>
  <c r="M875" i="19"/>
  <c r="J875" i="19"/>
  <c r="D875" i="19"/>
  <c r="M874" i="19"/>
  <c r="J874" i="19"/>
  <c r="N874" i="19" s="1"/>
  <c r="D874" i="19"/>
  <c r="N873" i="19"/>
  <c r="M873" i="19"/>
  <c r="J873" i="19"/>
  <c r="D873" i="19"/>
  <c r="M872" i="19"/>
  <c r="J872" i="19"/>
  <c r="N872" i="19" s="1"/>
  <c r="D872" i="19"/>
  <c r="M871" i="19"/>
  <c r="J871" i="19"/>
  <c r="N871" i="19" s="1"/>
  <c r="D871" i="19"/>
  <c r="N870" i="19"/>
  <c r="M870" i="19"/>
  <c r="J870" i="19"/>
  <c r="D870" i="19"/>
  <c r="M869" i="19"/>
  <c r="J869" i="19"/>
  <c r="N869" i="19" s="1"/>
  <c r="D869" i="19"/>
  <c r="N868" i="19"/>
  <c r="M868" i="19"/>
  <c r="J868" i="19"/>
  <c r="D868" i="19"/>
  <c r="M867" i="19"/>
  <c r="J867" i="19"/>
  <c r="N867" i="19" s="1"/>
  <c r="D867" i="19"/>
  <c r="N866" i="19"/>
  <c r="M866" i="19"/>
  <c r="J866" i="19"/>
  <c r="D866" i="19"/>
  <c r="M865" i="19"/>
  <c r="J865" i="19"/>
  <c r="N865" i="19" s="1"/>
  <c r="D865" i="19"/>
  <c r="M864" i="19"/>
  <c r="J864" i="19"/>
  <c r="N864" i="19" s="1"/>
  <c r="D864" i="19"/>
  <c r="N863" i="19"/>
  <c r="M863" i="19"/>
  <c r="D863" i="19"/>
  <c r="M862" i="19"/>
  <c r="J862" i="19"/>
  <c r="N862" i="19" s="1"/>
  <c r="D862" i="19"/>
  <c r="N861" i="19"/>
  <c r="M861" i="19"/>
  <c r="J861" i="19"/>
  <c r="D861" i="19"/>
  <c r="N860" i="19"/>
  <c r="M860" i="19"/>
  <c r="J860" i="19"/>
  <c r="D860" i="19"/>
  <c r="N859" i="19"/>
  <c r="M859" i="19"/>
  <c r="J859" i="19"/>
  <c r="D859" i="19"/>
  <c r="M858" i="19"/>
  <c r="J858" i="19"/>
  <c r="N858" i="19" s="1"/>
  <c r="D858" i="19"/>
  <c r="M857" i="19"/>
  <c r="J857" i="19"/>
  <c r="N857" i="19" s="1"/>
  <c r="D857" i="19"/>
  <c r="M856" i="19"/>
  <c r="J856" i="19"/>
  <c r="N856" i="19" s="1"/>
  <c r="D856" i="19"/>
  <c r="M855" i="19"/>
  <c r="J855" i="19"/>
  <c r="N855" i="19" s="1"/>
  <c r="D855" i="19"/>
  <c r="N854" i="19"/>
  <c r="M854" i="19"/>
  <c r="J854" i="19"/>
  <c r="D854" i="19"/>
  <c r="N853" i="19"/>
  <c r="M853" i="19"/>
  <c r="J853" i="19"/>
  <c r="D853" i="19"/>
  <c r="N852" i="19"/>
  <c r="M852" i="19"/>
  <c r="J852" i="19"/>
  <c r="D852" i="19"/>
  <c r="M851" i="19"/>
  <c r="J851" i="19"/>
  <c r="N851" i="19" s="1"/>
  <c r="D851" i="19"/>
  <c r="M850" i="19"/>
  <c r="J850" i="19"/>
  <c r="N850" i="19" s="1"/>
  <c r="D850" i="19"/>
  <c r="M849" i="19"/>
  <c r="J849" i="19"/>
  <c r="N849" i="19" s="1"/>
  <c r="D849" i="19"/>
  <c r="M848" i="19"/>
  <c r="J848" i="19"/>
  <c r="N848" i="19" s="1"/>
  <c r="D848" i="19"/>
  <c r="N847" i="19"/>
  <c r="M847" i="19"/>
  <c r="J847" i="19"/>
  <c r="D847" i="19"/>
  <c r="N846" i="19"/>
  <c r="M846" i="19"/>
  <c r="J846" i="19"/>
  <c r="D846" i="19"/>
  <c r="N845" i="19"/>
  <c r="M845" i="19"/>
  <c r="J845" i="19"/>
  <c r="D845" i="19"/>
  <c r="M844" i="19"/>
  <c r="J844" i="19"/>
  <c r="N844" i="19" s="1"/>
  <c r="D844" i="19"/>
  <c r="M843" i="19"/>
  <c r="J843" i="19"/>
  <c r="N843" i="19" s="1"/>
  <c r="D843" i="19"/>
  <c r="M842" i="19"/>
  <c r="J842" i="19"/>
  <c r="N842" i="19" s="1"/>
  <c r="D842" i="19"/>
  <c r="M841" i="19"/>
  <c r="J841" i="19"/>
  <c r="N841" i="19" s="1"/>
  <c r="D841" i="19"/>
  <c r="N840" i="19"/>
  <c r="M840" i="19"/>
  <c r="J840" i="19"/>
  <c r="D840" i="19"/>
  <c r="N839" i="19"/>
  <c r="M839" i="19"/>
  <c r="J839" i="19"/>
  <c r="D839" i="19"/>
  <c r="N838" i="19"/>
  <c r="M838" i="19"/>
  <c r="J838" i="19"/>
  <c r="D838" i="19"/>
  <c r="M837" i="19"/>
  <c r="J837" i="19"/>
  <c r="N837" i="19" s="1"/>
  <c r="D837" i="19"/>
  <c r="N836" i="19"/>
  <c r="M836" i="19"/>
  <c r="D836" i="19"/>
  <c r="M835" i="19"/>
  <c r="J835" i="19"/>
  <c r="N835" i="19" s="1"/>
  <c r="D835" i="19"/>
  <c r="N834" i="19"/>
  <c r="M834" i="19"/>
  <c r="J834" i="19"/>
  <c r="D834" i="19"/>
  <c r="M833" i="19"/>
  <c r="J833" i="19"/>
  <c r="N833" i="19" s="1"/>
  <c r="D833" i="19"/>
  <c r="M832" i="19"/>
  <c r="J832" i="19"/>
  <c r="N832" i="19" s="1"/>
  <c r="D832" i="19"/>
  <c r="N831" i="19"/>
  <c r="M831" i="19"/>
  <c r="J831" i="19"/>
  <c r="D831" i="19"/>
  <c r="M830" i="19"/>
  <c r="J830" i="19"/>
  <c r="N830" i="19" s="1"/>
  <c r="D830" i="19"/>
  <c r="N829" i="19"/>
  <c r="M829" i="19"/>
  <c r="J829" i="19"/>
  <c r="D829" i="19"/>
  <c r="M828" i="19"/>
  <c r="J828" i="19"/>
  <c r="N828" i="19" s="1"/>
  <c r="D828" i="19"/>
  <c r="N827" i="19"/>
  <c r="M827" i="19"/>
  <c r="J827" i="19"/>
  <c r="D827" i="19"/>
  <c r="M826" i="19"/>
  <c r="J826" i="19"/>
  <c r="N826" i="19" s="1"/>
  <c r="D826" i="19"/>
  <c r="M825" i="19"/>
  <c r="J825" i="19"/>
  <c r="N825" i="19" s="1"/>
  <c r="D825" i="19"/>
  <c r="N824" i="19"/>
  <c r="M824" i="19"/>
  <c r="J824" i="19"/>
  <c r="D824" i="19"/>
  <c r="M823" i="19"/>
  <c r="J823" i="19"/>
  <c r="N823" i="19" s="1"/>
  <c r="D823" i="19"/>
  <c r="N822" i="19"/>
  <c r="M822" i="19"/>
  <c r="J822" i="19"/>
  <c r="D822" i="19"/>
  <c r="M821" i="19"/>
  <c r="J821" i="19"/>
  <c r="N821" i="19" s="1"/>
  <c r="D821" i="19"/>
  <c r="N820" i="19"/>
  <c r="M820" i="19"/>
  <c r="J820" i="19"/>
  <c r="D820" i="19"/>
  <c r="M819" i="19"/>
  <c r="J819" i="19"/>
  <c r="N819" i="19" s="1"/>
  <c r="D819" i="19"/>
  <c r="M818" i="19"/>
  <c r="J818" i="19"/>
  <c r="N818" i="19" s="1"/>
  <c r="D818" i="19"/>
  <c r="N817" i="19"/>
  <c r="M817" i="19"/>
  <c r="J817" i="19"/>
  <c r="D817" i="19"/>
  <c r="M816" i="19"/>
  <c r="J816" i="19"/>
  <c r="N816" i="19" s="1"/>
  <c r="D816" i="19"/>
  <c r="N815" i="19"/>
  <c r="M815" i="19"/>
  <c r="J815" i="19"/>
  <c r="D815" i="19"/>
  <c r="M814" i="19"/>
  <c r="J814" i="19"/>
  <c r="N814" i="19" s="1"/>
  <c r="D814" i="19"/>
  <c r="N813" i="19"/>
  <c r="M813" i="19"/>
  <c r="J813" i="19"/>
  <c r="D813" i="19"/>
  <c r="M812" i="19"/>
  <c r="J812" i="19"/>
  <c r="N812" i="19" s="1"/>
  <c r="D812" i="19"/>
  <c r="M811" i="19"/>
  <c r="J811" i="19"/>
  <c r="N811" i="19" s="1"/>
  <c r="D811" i="19"/>
  <c r="N810" i="19"/>
  <c r="M810" i="19"/>
  <c r="J810" i="19"/>
  <c r="D810" i="19"/>
  <c r="M76" i="18"/>
  <c r="J76" i="18"/>
  <c r="M75" i="18"/>
  <c r="J75" i="18"/>
  <c r="M74" i="18"/>
  <c r="J74" i="18"/>
  <c r="M73" i="18"/>
  <c r="J73" i="18"/>
  <c r="M72" i="18"/>
  <c r="J72" i="18"/>
  <c r="M71" i="18"/>
  <c r="J71" i="18"/>
  <c r="M70" i="18"/>
  <c r="J70" i="18"/>
  <c r="M69" i="18"/>
  <c r="J69" i="18"/>
  <c r="M68" i="18"/>
  <c r="J68" i="18"/>
  <c r="M67" i="18"/>
  <c r="J67" i="18"/>
  <c r="M66" i="18"/>
  <c r="J66" i="18"/>
  <c r="M65" i="18"/>
  <c r="J65" i="18"/>
  <c r="M64" i="18"/>
  <c r="J64" i="18"/>
  <c r="M63" i="18"/>
  <c r="J63" i="18"/>
  <c r="M62" i="18"/>
  <c r="J62" i="18"/>
  <c r="M61" i="18"/>
  <c r="J61" i="18"/>
  <c r="M60" i="18"/>
  <c r="J60" i="18"/>
  <c r="M59" i="18"/>
  <c r="J59" i="18"/>
  <c r="M58" i="18"/>
  <c r="J58" i="18"/>
  <c r="M57" i="18"/>
  <c r="J57" i="18"/>
  <c r="M56" i="18"/>
  <c r="J56" i="18"/>
  <c r="M55" i="18"/>
  <c r="J55" i="18"/>
  <c r="M54" i="18"/>
  <c r="J54" i="18"/>
  <c r="M53" i="18"/>
  <c r="J53" i="18"/>
  <c r="M52" i="18"/>
  <c r="J52" i="18"/>
  <c r="M51" i="18"/>
  <c r="J51" i="18"/>
  <c r="M50" i="18"/>
  <c r="J50" i="18"/>
  <c r="M49" i="18"/>
  <c r="J49" i="18"/>
  <c r="M48" i="18"/>
  <c r="J48" i="18"/>
  <c r="M47" i="18"/>
  <c r="J47" i="18"/>
  <c r="M46" i="18"/>
  <c r="J46" i="18"/>
  <c r="M45" i="18"/>
  <c r="J45" i="18"/>
  <c r="M44" i="18"/>
  <c r="J44" i="18"/>
  <c r="M43" i="18"/>
  <c r="J43" i="18"/>
  <c r="M42" i="18"/>
  <c r="J42" i="18"/>
  <c r="M41" i="18"/>
  <c r="J41" i="18"/>
  <c r="D790" i="19" l="1"/>
  <c r="J790" i="19"/>
  <c r="N790" i="19" s="1"/>
  <c r="M790" i="19"/>
  <c r="D791" i="19"/>
  <c r="J791" i="19"/>
  <c r="M791" i="19"/>
  <c r="N791" i="19"/>
  <c r="D792" i="19"/>
  <c r="J792" i="19"/>
  <c r="M792" i="19"/>
  <c r="N792" i="19"/>
  <c r="D793" i="19"/>
  <c r="J793" i="19"/>
  <c r="N793" i="19" s="1"/>
  <c r="M793" i="19"/>
  <c r="D794" i="19"/>
  <c r="J794" i="19"/>
  <c r="M794" i="19"/>
  <c r="N794" i="19"/>
  <c r="D795" i="19"/>
  <c r="J795" i="19"/>
  <c r="N795" i="19" s="1"/>
  <c r="M795" i="19"/>
  <c r="D796" i="19"/>
  <c r="M796" i="19"/>
  <c r="N796" i="19"/>
  <c r="D797" i="19"/>
  <c r="J797" i="19"/>
  <c r="M797" i="19"/>
  <c r="N797" i="19"/>
  <c r="D798" i="19"/>
  <c r="J798" i="19"/>
  <c r="N798" i="19" s="1"/>
  <c r="M798" i="19"/>
  <c r="D799" i="19"/>
  <c r="J799" i="19"/>
  <c r="M799" i="19"/>
  <c r="N799" i="19"/>
  <c r="D800" i="19"/>
  <c r="J800" i="19"/>
  <c r="N800" i="19" s="1"/>
  <c r="M800" i="19"/>
  <c r="D801" i="19"/>
  <c r="J801" i="19"/>
  <c r="M801" i="19"/>
  <c r="N801" i="19"/>
  <c r="D802" i="19"/>
  <c r="J802" i="19"/>
  <c r="N802" i="19" s="1"/>
  <c r="M802" i="19"/>
  <c r="D803" i="19"/>
  <c r="J803" i="19"/>
  <c r="N803" i="19" s="1"/>
  <c r="M803" i="19"/>
  <c r="D804" i="19"/>
  <c r="J804" i="19"/>
  <c r="M804" i="19"/>
  <c r="N804" i="19"/>
  <c r="D805" i="19"/>
  <c r="J805" i="19"/>
  <c r="N805" i="19" s="1"/>
  <c r="M805" i="19"/>
  <c r="D806" i="19"/>
  <c r="J806" i="19"/>
  <c r="M806" i="19"/>
  <c r="N806" i="19"/>
  <c r="D807" i="19"/>
  <c r="J807" i="19"/>
  <c r="N807" i="19" s="1"/>
  <c r="M807" i="19"/>
  <c r="D808" i="19"/>
  <c r="J808" i="19"/>
  <c r="M808" i="19"/>
  <c r="N808" i="19"/>
  <c r="D809" i="19"/>
  <c r="M809" i="19"/>
  <c r="N809" i="19"/>
  <c r="M772" i="19"/>
  <c r="N772" i="19"/>
  <c r="J772" i="19"/>
  <c r="D772" i="19"/>
  <c r="D774" i="19"/>
  <c r="J774" i="19"/>
  <c r="M774" i="19"/>
  <c r="N774" i="19"/>
  <c r="D775" i="19"/>
  <c r="J775" i="19"/>
  <c r="N775" i="19" s="1"/>
  <c r="M775" i="19"/>
  <c r="D776" i="19"/>
  <c r="J776" i="19"/>
  <c r="M776" i="19"/>
  <c r="N776" i="19"/>
  <c r="D777" i="19"/>
  <c r="J777" i="19"/>
  <c r="N777" i="19" s="1"/>
  <c r="M777" i="19"/>
  <c r="D778" i="19"/>
  <c r="J778" i="19"/>
  <c r="M778" i="19"/>
  <c r="N778" i="19"/>
  <c r="D779" i="19"/>
  <c r="J779" i="19"/>
  <c r="N779" i="19" s="1"/>
  <c r="M779" i="19"/>
  <c r="D780" i="19"/>
  <c r="J780" i="19"/>
  <c r="M780" i="19"/>
  <c r="N780" i="19"/>
  <c r="D781" i="19"/>
  <c r="J781" i="19"/>
  <c r="M781" i="19"/>
  <c r="N781" i="19"/>
  <c r="D782" i="19"/>
  <c r="J782" i="19"/>
  <c r="N782" i="19" s="1"/>
  <c r="M782" i="19"/>
  <c r="D783" i="19"/>
  <c r="J783" i="19"/>
  <c r="M783" i="19"/>
  <c r="N783" i="19"/>
  <c r="D784" i="19"/>
  <c r="J784" i="19"/>
  <c r="N784" i="19" s="1"/>
  <c r="M784" i="19"/>
  <c r="D785" i="19"/>
  <c r="J785" i="19"/>
  <c r="M785" i="19"/>
  <c r="N785" i="19"/>
  <c r="D786" i="19"/>
  <c r="J786" i="19"/>
  <c r="M786" i="19"/>
  <c r="N786" i="19"/>
  <c r="D787" i="19"/>
  <c r="J787" i="19"/>
  <c r="M787" i="19"/>
  <c r="N787" i="19"/>
  <c r="M770" i="19"/>
  <c r="J770" i="19"/>
  <c r="D770" i="19"/>
  <c r="M769" i="19"/>
  <c r="J769" i="19"/>
  <c r="D769" i="19"/>
  <c r="M768" i="19"/>
  <c r="J768" i="19"/>
  <c r="D768" i="19"/>
  <c r="M767" i="19"/>
  <c r="J767" i="19"/>
  <c r="N767" i="19" s="1"/>
  <c r="D767" i="19"/>
  <c r="M766" i="19"/>
  <c r="J766" i="19"/>
  <c r="N766" i="19" s="1"/>
  <c r="D766" i="19"/>
  <c r="M765" i="19"/>
  <c r="J765" i="19"/>
  <c r="D765" i="19"/>
  <c r="M763" i="19"/>
  <c r="J763" i="19"/>
  <c r="N763" i="19" s="1"/>
  <c r="N768" i="19"/>
  <c r="N769" i="19"/>
  <c r="N770" i="19"/>
  <c r="M282" i="21" l="1" a="1"/>
  <c r="M282" i="21" s="1"/>
  <c r="L282" i="21" a="1"/>
  <c r="L282" i="21" s="1"/>
  <c r="E282" i="21"/>
  <c r="M281" i="21" a="1"/>
  <c r="M281" i="21" s="1"/>
  <c r="L281" i="21" a="1"/>
  <c r="L281" i="21" s="1"/>
  <c r="E281" i="21"/>
  <c r="M280" i="21" a="1"/>
  <c r="M280" i="21" s="1"/>
  <c r="L280" i="21"/>
  <c r="L280" i="21" a="1"/>
  <c r="E280" i="21"/>
  <c r="M279" i="21"/>
  <c r="M279" i="21" a="1"/>
  <c r="L279" i="21"/>
  <c r="L279" i="21" a="1"/>
  <c r="E279" i="21"/>
  <c r="M278" i="21" a="1"/>
  <c r="M278" i="21" s="1"/>
  <c r="L278" i="21" a="1"/>
  <c r="L278" i="21" s="1"/>
  <c r="E278" i="21"/>
  <c r="M277" i="21" a="1"/>
  <c r="M277" i="21" s="1"/>
  <c r="L277" i="21"/>
  <c r="L277" i="21" a="1"/>
  <c r="E277" i="21"/>
  <c r="M276" i="21" a="1"/>
  <c r="M276" i="21" s="1"/>
  <c r="L276" i="21" a="1"/>
  <c r="L276" i="21" s="1"/>
  <c r="E276" i="21"/>
  <c r="M275" i="21" a="1"/>
  <c r="M275" i="21" s="1"/>
  <c r="L275" i="21" a="1"/>
  <c r="L275" i="21" s="1"/>
  <c r="E275" i="21"/>
  <c r="M274" i="21" a="1"/>
  <c r="M274" i="21" s="1"/>
  <c r="L274" i="21" a="1"/>
  <c r="L274" i="21" s="1"/>
  <c r="M273" i="21" a="1"/>
  <c r="M273" i="21" s="1"/>
  <c r="L273" i="21" a="1"/>
  <c r="L273" i="21" s="1"/>
  <c r="M272" i="21" a="1"/>
  <c r="M272" i="21" s="1"/>
  <c r="L272" i="21" a="1"/>
  <c r="L272" i="21" s="1"/>
  <c r="M271" i="21" a="1"/>
  <c r="M271" i="21" s="1"/>
  <c r="L271" i="21" a="1"/>
  <c r="L271" i="21" s="1"/>
  <c r="M270" i="21" a="1"/>
  <c r="M270" i="21" s="1"/>
  <c r="L270" i="21" a="1"/>
  <c r="L270" i="21" s="1"/>
  <c r="E270" i="21"/>
  <c r="M269" i="21" a="1"/>
  <c r="M269" i="21" s="1"/>
  <c r="L269" i="21" a="1"/>
  <c r="L269" i="21" s="1"/>
  <c r="M268" i="21" a="1"/>
  <c r="M268" i="21" s="1"/>
  <c r="L268" i="21" a="1"/>
  <c r="L268" i="21" s="1"/>
  <c r="M267" i="21" a="1"/>
  <c r="M267" i="21" s="1"/>
  <c r="L267" i="21" a="1"/>
  <c r="L267" i="21" s="1"/>
  <c r="M266" i="21" a="1"/>
  <c r="M266" i="21" s="1"/>
  <c r="L266" i="21" a="1"/>
  <c r="L266" i="21" s="1"/>
  <c r="M265" i="21" a="1"/>
  <c r="M265" i="21" s="1"/>
  <c r="L265" i="21" a="1"/>
  <c r="L265" i="21" s="1"/>
  <c r="E265" i="21"/>
  <c r="M264" i="21"/>
  <c r="M264" i="21" a="1"/>
  <c r="L264" i="21" a="1"/>
  <c r="L264" i="21" s="1"/>
  <c r="E264" i="21"/>
  <c r="M263" i="21"/>
  <c r="M263" i="21" a="1"/>
  <c r="L263" i="21" a="1"/>
  <c r="L263" i="21" s="1"/>
  <c r="E263" i="21"/>
  <c r="M262" i="21"/>
  <c r="M262" i="21" a="1"/>
  <c r="L262" i="21" a="1"/>
  <c r="L262" i="21" s="1"/>
  <c r="E262" i="21"/>
  <c r="M261" i="21"/>
  <c r="M261" i="21" a="1"/>
  <c r="L261" i="21"/>
  <c r="L261" i="21" a="1"/>
  <c r="E261" i="21"/>
  <c r="M260" i="21" a="1"/>
  <c r="M260" i="21" s="1"/>
  <c r="L260" i="21"/>
  <c r="L260" i="21" a="1"/>
  <c r="E260" i="21"/>
  <c r="M259" i="21" a="1"/>
  <c r="M259" i="21" s="1"/>
  <c r="L259" i="21" a="1"/>
  <c r="L259" i="21" s="1"/>
  <c r="E259" i="21"/>
  <c r="M258" i="21" a="1"/>
  <c r="M258" i="21" s="1"/>
  <c r="L258" i="21" a="1"/>
  <c r="L258" i="21" s="1"/>
  <c r="E258" i="21"/>
  <c r="M257" i="21" a="1"/>
  <c r="M257" i="21" s="1"/>
  <c r="L257" i="21" a="1"/>
  <c r="L257" i="21" s="1"/>
  <c r="E257" i="21"/>
  <c r="M256" i="21" a="1"/>
  <c r="M256" i="21" s="1"/>
  <c r="L256" i="21"/>
  <c r="L256" i="21" a="1"/>
  <c r="E256" i="21"/>
  <c r="M255" i="21"/>
  <c r="M255" i="21" a="1"/>
  <c r="L255" i="21"/>
  <c r="L255" i="21" a="1"/>
  <c r="E255" i="21"/>
  <c r="M254" i="21"/>
  <c r="M254" i="21" a="1"/>
  <c r="L254" i="21"/>
  <c r="L254" i="21" a="1"/>
  <c r="E254" i="21"/>
  <c r="M253" i="21" a="1"/>
  <c r="M253" i="21" s="1"/>
  <c r="L253" i="21"/>
  <c r="L253" i="21" a="1"/>
  <c r="E253" i="21"/>
  <c r="M252" i="21" a="1"/>
  <c r="M252" i="21" s="1"/>
  <c r="L252" i="21" a="1"/>
  <c r="L252" i="21" s="1"/>
  <c r="E252" i="21"/>
  <c r="M251" i="21" a="1"/>
  <c r="M251" i="21" s="1"/>
  <c r="L251" i="21" a="1"/>
  <c r="L251" i="21" s="1"/>
  <c r="E251" i="21"/>
  <c r="M250" i="21"/>
  <c r="M250" i="21" a="1"/>
  <c r="L250" i="21" a="1"/>
  <c r="L250" i="21" s="1"/>
  <c r="E250" i="21"/>
  <c r="M249" i="21"/>
  <c r="M249" i="21" a="1"/>
  <c r="L249" i="21" a="1"/>
  <c r="L249" i="21" s="1"/>
  <c r="E249" i="21"/>
  <c r="M248" i="21"/>
  <c r="M248" i="21" a="1"/>
  <c r="L248" i="21" a="1"/>
  <c r="L248" i="21" s="1"/>
  <c r="E248" i="21"/>
  <c r="M247" i="21"/>
  <c r="M247" i="21" a="1"/>
  <c r="L247" i="21"/>
  <c r="L247" i="21" a="1"/>
  <c r="E247" i="21"/>
  <c r="M246" i="21" a="1"/>
  <c r="M246" i="21" s="1"/>
  <c r="L246" i="21"/>
  <c r="L246" i="21" a="1"/>
  <c r="E246" i="21"/>
  <c r="M245" i="21" a="1"/>
  <c r="M245" i="21" s="1"/>
  <c r="L245" i="21" a="1"/>
  <c r="L245" i="21" s="1"/>
  <c r="E245" i="21"/>
  <c r="M244" i="21" a="1"/>
  <c r="M244" i="21" s="1"/>
  <c r="L244" i="21" a="1"/>
  <c r="L244" i="21" s="1"/>
  <c r="E244" i="21"/>
  <c r="M243" i="21" a="1"/>
  <c r="M243" i="21" s="1"/>
  <c r="L243" i="21" a="1"/>
  <c r="L243" i="21" s="1"/>
  <c r="E243" i="21"/>
  <c r="M242" i="21" a="1"/>
  <c r="M242" i="21" s="1"/>
  <c r="L242" i="21"/>
  <c r="L242" i="21" a="1"/>
  <c r="E242" i="21"/>
  <c r="M241" i="21"/>
  <c r="M241" i="21" a="1"/>
  <c r="L241" i="21"/>
  <c r="L241" i="21" a="1"/>
  <c r="E241" i="21"/>
  <c r="M240" i="21" a="1"/>
  <c r="M240" i="21" s="1"/>
  <c r="L240" i="21" a="1"/>
  <c r="L240" i="21" s="1"/>
  <c r="E240" i="21"/>
  <c r="M239" i="21" a="1"/>
  <c r="M239" i="21" s="1"/>
  <c r="L239" i="21" a="1"/>
  <c r="L239" i="21" s="1"/>
  <c r="E239" i="21"/>
  <c r="M238" i="21" a="1"/>
  <c r="M238" i="21" s="1"/>
  <c r="L238" i="21" a="1"/>
  <c r="L238" i="21" s="1"/>
  <c r="E238" i="21"/>
  <c r="M237" i="21" a="1"/>
  <c r="M237" i="21" s="1"/>
  <c r="L237" i="21" a="1"/>
  <c r="L237" i="21" s="1"/>
  <c r="E237" i="21"/>
  <c r="M236" i="21"/>
  <c r="M236" i="21" a="1"/>
  <c r="L236" i="21" a="1"/>
  <c r="L236" i="21" s="1"/>
  <c r="E236" i="21"/>
  <c r="M235" i="21"/>
  <c r="M235" i="21" a="1"/>
  <c r="L235" i="21" a="1"/>
  <c r="L235" i="21" s="1"/>
  <c r="E235" i="21"/>
  <c r="M234" i="21"/>
  <c r="M234" i="21" a="1"/>
  <c r="L234" i="21" a="1"/>
  <c r="L234" i="21" s="1"/>
  <c r="E234" i="21"/>
  <c r="M233" i="21"/>
  <c r="M233" i="21" a="1"/>
  <c r="L233" i="21"/>
  <c r="L233" i="21" a="1"/>
  <c r="E233" i="21"/>
  <c r="M232" i="21" a="1"/>
  <c r="M232" i="21" s="1"/>
  <c r="L232" i="21"/>
  <c r="L232" i="21" a="1"/>
  <c r="E232" i="21"/>
  <c r="M231" i="21" a="1"/>
  <c r="M231" i="21" s="1"/>
  <c r="L231" i="21" a="1"/>
  <c r="L231" i="21" s="1"/>
  <c r="E231" i="21"/>
  <c r="M230" i="21" a="1"/>
  <c r="M230" i="21" s="1"/>
  <c r="L230" i="21" a="1"/>
  <c r="L230" i="21" s="1"/>
  <c r="E230" i="21"/>
  <c r="M229" i="21" a="1"/>
  <c r="M229" i="21" s="1"/>
  <c r="L229" i="21" a="1"/>
  <c r="L229" i="21" s="1"/>
  <c r="E229" i="21"/>
  <c r="M228" i="21" a="1"/>
  <c r="M228" i="21" s="1"/>
  <c r="L228" i="21"/>
  <c r="L228" i="21" a="1"/>
  <c r="E228" i="21"/>
  <c r="M227" i="21"/>
  <c r="M227" i="21" a="1"/>
  <c r="L227" i="21"/>
  <c r="L227" i="21" a="1"/>
  <c r="E227" i="21"/>
  <c r="M226" i="21" a="1"/>
  <c r="M226" i="21" s="1"/>
  <c r="L226" i="21" a="1"/>
  <c r="L226" i="21" s="1"/>
  <c r="E226" i="21"/>
  <c r="M225" i="21" a="1"/>
  <c r="M225" i="21" s="1"/>
  <c r="L225" i="21"/>
  <c r="L225" i="21" a="1"/>
  <c r="E225" i="21"/>
  <c r="M224" i="21" a="1"/>
  <c r="M224" i="21" s="1"/>
  <c r="L224" i="21" a="1"/>
  <c r="L224" i="21" s="1"/>
  <c r="E224" i="21"/>
  <c r="M223" i="21" a="1"/>
  <c r="M223" i="21" s="1"/>
  <c r="L223" i="21" a="1"/>
  <c r="L223" i="21" s="1"/>
  <c r="E223" i="21"/>
  <c r="M222" i="21"/>
  <c r="M222" i="21" a="1"/>
  <c r="L222" i="21" a="1"/>
  <c r="L222" i="21" s="1"/>
  <c r="E222" i="21"/>
  <c r="M221" i="21"/>
  <c r="M221" i="21" a="1"/>
  <c r="L221" i="21" a="1"/>
  <c r="L221" i="21" s="1"/>
  <c r="E221" i="21"/>
  <c r="M220" i="21"/>
  <c r="M220" i="21" a="1"/>
  <c r="L220" i="21" a="1"/>
  <c r="L220" i="21" s="1"/>
  <c r="E220" i="21"/>
  <c r="M219" i="21"/>
  <c r="M219" i="21" a="1"/>
  <c r="L219" i="21"/>
  <c r="L219" i="21" a="1"/>
  <c r="E219" i="21"/>
  <c r="M218" i="21" a="1"/>
  <c r="M218" i="21" s="1"/>
  <c r="L218" i="21"/>
  <c r="L218" i="21" a="1"/>
  <c r="E218" i="21"/>
  <c r="M217" i="21" a="1"/>
  <c r="M217" i="21" s="1"/>
  <c r="L217" i="21" a="1"/>
  <c r="L217" i="21" s="1"/>
  <c r="E217" i="21"/>
  <c r="M216" i="21" a="1"/>
  <c r="M216" i="21" s="1"/>
  <c r="L216" i="21" a="1"/>
  <c r="L216" i="21" s="1"/>
  <c r="E216" i="21"/>
  <c r="M215" i="21" a="1"/>
  <c r="M215" i="21" s="1"/>
  <c r="L215" i="21" a="1"/>
  <c r="L215" i="21" s="1"/>
  <c r="E215" i="21"/>
  <c r="M214" i="21" a="1"/>
  <c r="M214" i="21" s="1"/>
  <c r="L214" i="21"/>
  <c r="L214" i="21" a="1"/>
  <c r="E214" i="21"/>
  <c r="M213" i="21"/>
  <c r="M213" i="21" a="1"/>
  <c r="L213" i="21"/>
  <c r="L213" i="21" a="1"/>
  <c r="E213" i="21"/>
  <c r="M212" i="21"/>
  <c r="M212" i="21" a="1"/>
  <c r="L212" i="21"/>
  <c r="L212" i="21" a="1"/>
  <c r="E212" i="21"/>
  <c r="M211" i="21" a="1"/>
  <c r="M211" i="21" s="1"/>
  <c r="L211" i="21"/>
  <c r="L211" i="21" a="1"/>
  <c r="E211" i="21"/>
  <c r="M210" i="21" a="1"/>
  <c r="M210" i="21" s="1"/>
  <c r="L210" i="21" a="1"/>
  <c r="L210" i="21" s="1"/>
  <c r="E210" i="21"/>
  <c r="M209" i="21" a="1"/>
  <c r="M209" i="21" s="1"/>
  <c r="L209" i="21" a="1"/>
  <c r="L209" i="21" s="1"/>
  <c r="E209" i="21"/>
  <c r="M208" i="21"/>
  <c r="M208" i="21" a="1"/>
  <c r="L208" i="21" a="1"/>
  <c r="L208" i="21" s="1"/>
  <c r="E208" i="21"/>
  <c r="M207" i="21"/>
  <c r="M207" i="21" a="1"/>
  <c r="L207" i="21" a="1"/>
  <c r="L207" i="21" s="1"/>
  <c r="E207" i="21"/>
  <c r="M206" i="21"/>
  <c r="M206" i="21" a="1"/>
  <c r="L206" i="21" a="1"/>
  <c r="L206" i="21" s="1"/>
  <c r="E206" i="21"/>
  <c r="M205" i="21"/>
  <c r="M205" i="21" a="1"/>
  <c r="L205" i="21"/>
  <c r="L205" i="21" a="1"/>
  <c r="E205" i="21"/>
  <c r="M204" i="21" a="1"/>
  <c r="M204" i="21" s="1"/>
  <c r="L204" i="21" a="1"/>
  <c r="L204" i="21" s="1"/>
  <c r="E204" i="21"/>
  <c r="M203" i="21" a="1"/>
  <c r="M203" i="21" s="1"/>
  <c r="L203" i="21" a="1"/>
  <c r="L203" i="21" s="1"/>
  <c r="E203" i="21"/>
  <c r="M202" i="21" a="1"/>
  <c r="M202" i="21" s="1"/>
  <c r="L202" i="21" a="1"/>
  <c r="L202" i="21" s="1"/>
  <c r="E202" i="21"/>
  <c r="M201" i="21" a="1"/>
  <c r="M201" i="21" s="1"/>
  <c r="L201" i="21" a="1"/>
  <c r="L201" i="21" s="1"/>
  <c r="E201" i="21"/>
  <c r="M200" i="21" a="1"/>
  <c r="M200" i="21" s="1"/>
  <c r="L200" i="21"/>
  <c r="L200" i="21" a="1"/>
  <c r="E200" i="21"/>
  <c r="M199" i="21"/>
  <c r="M199" i="21" a="1"/>
  <c r="L199" i="21"/>
  <c r="L199" i="21" a="1"/>
  <c r="E199" i="21"/>
  <c r="M198" i="21"/>
  <c r="M198" i="21" a="1"/>
  <c r="L198" i="21"/>
  <c r="L198" i="21" a="1"/>
  <c r="E198" i="21"/>
  <c r="M197" i="21" a="1"/>
  <c r="M197" i="21" s="1"/>
  <c r="L197" i="21"/>
  <c r="L197" i="21" a="1"/>
  <c r="E197" i="21"/>
  <c r="M196" i="21" a="1"/>
  <c r="M196" i="21" s="1"/>
  <c r="L196" i="21" a="1"/>
  <c r="L196" i="21" s="1"/>
  <c r="E196" i="21"/>
  <c r="M195" i="21" a="1"/>
  <c r="M195" i="21" s="1"/>
  <c r="L195" i="21" a="1"/>
  <c r="L195" i="21" s="1"/>
  <c r="E195" i="21"/>
  <c r="M194" i="21"/>
  <c r="M194" i="21" a="1"/>
  <c r="L194" i="21" a="1"/>
  <c r="L194" i="21" s="1"/>
  <c r="E194" i="21"/>
  <c r="M193" i="21" a="1"/>
  <c r="M193" i="21" s="1"/>
  <c r="L193" i="21" a="1"/>
  <c r="L193" i="21" s="1"/>
  <c r="E193" i="21"/>
  <c r="M192" i="21" a="1"/>
  <c r="M192" i="21" s="1"/>
  <c r="L192" i="21" a="1"/>
  <c r="L192" i="21" s="1"/>
  <c r="E192" i="21"/>
  <c r="M191" i="21"/>
  <c r="M191" i="21" a="1"/>
  <c r="L191" i="21"/>
  <c r="L191" i="21" a="1"/>
  <c r="E191" i="21"/>
  <c r="M190" i="21" a="1"/>
  <c r="M190" i="21" s="1"/>
  <c r="L190" i="21"/>
  <c r="L190" i="21" a="1"/>
  <c r="E190" i="21"/>
  <c r="M189" i="21" a="1"/>
  <c r="M189" i="21" s="1"/>
  <c r="L189" i="21" a="1"/>
  <c r="L189" i="21" s="1"/>
  <c r="E189" i="21"/>
  <c r="M188" i="21" a="1"/>
  <c r="M188" i="21" s="1"/>
  <c r="L188" i="21" a="1"/>
  <c r="L188" i="21" s="1"/>
  <c r="E188" i="21"/>
  <c r="M187" i="21" a="1"/>
  <c r="M187" i="21" s="1"/>
  <c r="L187" i="21" a="1"/>
  <c r="L187" i="21" s="1"/>
  <c r="E187" i="21"/>
  <c r="M186" i="21" a="1"/>
  <c r="M186" i="21" s="1"/>
  <c r="L186" i="21"/>
  <c r="L186" i="21" a="1"/>
  <c r="E186" i="21"/>
  <c r="M185" i="21"/>
  <c r="M185" i="21" a="1"/>
  <c r="L185" i="21"/>
  <c r="L185" i="21" a="1"/>
  <c r="E185" i="21"/>
  <c r="M184" i="21"/>
  <c r="M184" i="21" a="1"/>
  <c r="L184" i="21"/>
  <c r="L184" i="21" a="1"/>
  <c r="E184" i="21"/>
  <c r="M183" i="21" a="1"/>
  <c r="M183" i="21" s="1"/>
  <c r="L183" i="21"/>
  <c r="L183" i="21" a="1"/>
  <c r="E183" i="21"/>
  <c r="M182" i="21" a="1"/>
  <c r="M182" i="21" s="1"/>
  <c r="L182" i="21"/>
  <c r="L182" i="21" a="1"/>
  <c r="E182" i="21"/>
  <c r="M181" i="21" a="1"/>
  <c r="M181" i="21" s="1"/>
  <c r="L181" i="21" a="1"/>
  <c r="L181" i="21" s="1"/>
  <c r="E181" i="21"/>
  <c r="M180" i="21"/>
  <c r="M180" i="21" a="1"/>
  <c r="L180" i="21" a="1"/>
  <c r="L180" i="21" s="1"/>
  <c r="E180" i="21"/>
  <c r="M179" i="21"/>
  <c r="M179" i="21" a="1"/>
  <c r="L179" i="21" a="1"/>
  <c r="L179" i="21" s="1"/>
  <c r="E179" i="21"/>
  <c r="M178" i="21"/>
  <c r="M178" i="21" a="1"/>
  <c r="L178" i="21" a="1"/>
  <c r="L178" i="21" s="1"/>
  <c r="E178" i="21"/>
  <c r="M177" i="21"/>
  <c r="M177" i="21" a="1"/>
  <c r="L177" i="21"/>
  <c r="L177" i="21" a="1"/>
  <c r="E177" i="21"/>
  <c r="M176" i="21"/>
  <c r="M176" i="21" a="1"/>
  <c r="L176" i="21"/>
  <c r="L176" i="21" a="1"/>
  <c r="E176" i="21"/>
  <c r="M175" i="21" a="1"/>
  <c r="M175" i="21" s="1"/>
  <c r="L175" i="21" a="1"/>
  <c r="L175" i="21" s="1"/>
  <c r="E175" i="21"/>
  <c r="M174" i="21" a="1"/>
  <c r="M174" i="21" s="1"/>
  <c r="L174" i="21" a="1"/>
  <c r="L174" i="21" s="1"/>
  <c r="E174" i="21"/>
  <c r="M173" i="21" a="1"/>
  <c r="M173" i="21" s="1"/>
  <c r="L173" i="21" a="1"/>
  <c r="L173" i="21" s="1"/>
  <c r="E173" i="21"/>
  <c r="M172" i="21" a="1"/>
  <c r="M172" i="21" s="1"/>
  <c r="L172" i="21"/>
  <c r="L172" i="21" a="1"/>
  <c r="E172" i="21"/>
  <c r="M171" i="21"/>
  <c r="M171" i="21" a="1"/>
  <c r="L171" i="21"/>
  <c r="L171" i="21" a="1"/>
  <c r="E171" i="21"/>
  <c r="M170" i="21"/>
  <c r="M170" i="21" a="1"/>
  <c r="L170" i="21"/>
  <c r="L170" i="21" a="1"/>
  <c r="E170" i="21"/>
  <c r="M169" i="21" a="1"/>
  <c r="M169" i="21" s="1"/>
  <c r="L169" i="21"/>
  <c r="L169" i="21" a="1"/>
  <c r="E169" i="21"/>
  <c r="M168" i="21" a="1"/>
  <c r="M168" i="21" s="1"/>
  <c r="L168" i="21" a="1"/>
  <c r="L168" i="21" s="1"/>
  <c r="E168" i="21"/>
  <c r="M167" i="21" a="1"/>
  <c r="M167" i="21" s="1"/>
  <c r="L167" i="21" a="1"/>
  <c r="L167" i="21" s="1"/>
  <c r="E167" i="21"/>
  <c r="M166" i="21"/>
  <c r="M166" i="21" a="1"/>
  <c r="L166" i="21" a="1"/>
  <c r="L166" i="21" s="1"/>
  <c r="E166" i="21"/>
  <c r="M165" i="21"/>
  <c r="M165" i="21" a="1"/>
  <c r="L165" i="21" a="1"/>
  <c r="L165" i="21" s="1"/>
  <c r="E165" i="21"/>
  <c r="M164" i="21"/>
  <c r="M164" i="21" a="1"/>
  <c r="L164" i="21" a="1"/>
  <c r="L164" i="21" s="1"/>
  <c r="E164" i="21"/>
  <c r="M163" i="21" a="1"/>
  <c r="M163" i="21" s="1"/>
  <c r="L163" i="21" a="1"/>
  <c r="L163" i="21" s="1"/>
  <c r="E163" i="21"/>
  <c r="M162" i="21" a="1"/>
  <c r="M162" i="21" s="1"/>
  <c r="L162" i="21" a="1"/>
  <c r="L162" i="21" s="1"/>
  <c r="E162" i="21"/>
  <c r="M161" i="21" a="1"/>
  <c r="M161" i="21" s="1"/>
  <c r="L161" i="21" a="1"/>
  <c r="L161" i="21" s="1"/>
  <c r="E161" i="21"/>
  <c r="M160" i="21" a="1"/>
  <c r="M160" i="21" s="1"/>
  <c r="L160" i="21" a="1"/>
  <c r="L160" i="21" s="1"/>
  <c r="E160" i="21"/>
  <c r="M159" i="21" a="1"/>
  <c r="M159" i="21" s="1"/>
  <c r="L159" i="21" a="1"/>
  <c r="L159" i="21" s="1"/>
  <c r="E159" i="21"/>
  <c r="M158" i="21" a="1"/>
  <c r="M158" i="21" s="1"/>
  <c r="L158" i="21"/>
  <c r="L158" i="21" a="1"/>
  <c r="E158" i="21"/>
  <c r="M157" i="21" a="1"/>
  <c r="M157" i="21" s="1"/>
  <c r="L157" i="21" a="1"/>
  <c r="L157" i="21" s="1"/>
  <c r="E157" i="21"/>
  <c r="M156" i="21" a="1"/>
  <c r="M156" i="21" s="1"/>
  <c r="L156" i="21" a="1"/>
  <c r="L156" i="21" s="1"/>
  <c r="E156" i="21"/>
  <c r="M155" i="21" a="1"/>
  <c r="M155" i="21" s="1"/>
  <c r="L155" i="21" a="1"/>
  <c r="L155" i="21" s="1"/>
  <c r="E155" i="21"/>
  <c r="E154" i="21"/>
  <c r="M153" i="21" a="1"/>
  <c r="M153" i="21" s="1"/>
  <c r="L153" i="21" a="1"/>
  <c r="L153" i="21" s="1"/>
  <c r="E153" i="21"/>
  <c r="M152" i="21" a="1"/>
  <c r="M152" i="21" s="1"/>
  <c r="L152" i="21" a="1"/>
  <c r="L152" i="21" s="1"/>
  <c r="E152" i="21"/>
  <c r="M151" i="21"/>
  <c r="M151" i="21" a="1"/>
  <c r="L151" i="21" a="1"/>
  <c r="L151" i="21" s="1"/>
  <c r="E151" i="21"/>
  <c r="M150" i="21"/>
  <c r="M150" i="21" a="1"/>
  <c r="L150" i="21" a="1"/>
  <c r="L150" i="21" s="1"/>
  <c r="E150" i="21"/>
  <c r="M149" i="21"/>
  <c r="M149" i="21" a="1"/>
  <c r="L149" i="21"/>
  <c r="L149" i="21" a="1"/>
  <c r="E149" i="21"/>
  <c r="M148" i="21"/>
  <c r="M148" i="21" a="1"/>
  <c r="L148" i="21"/>
  <c r="L148" i="21" a="1"/>
  <c r="E148" i="21"/>
  <c r="M147" i="21" a="1"/>
  <c r="M147" i="21" s="1"/>
  <c r="L147" i="21" a="1"/>
  <c r="L147" i="21" s="1"/>
  <c r="E147" i="21"/>
  <c r="M146" i="21" a="1"/>
  <c r="M146" i="21" s="1"/>
  <c r="L146" i="21" a="1"/>
  <c r="L146" i="21" s="1"/>
  <c r="E146" i="21"/>
  <c r="M145" i="21" a="1"/>
  <c r="M145" i="21" s="1"/>
  <c r="L145" i="21" a="1"/>
  <c r="L145" i="21" s="1"/>
  <c r="E145" i="21"/>
  <c r="M144" i="21" a="1"/>
  <c r="M144" i="21" s="1"/>
  <c r="L144" i="21"/>
  <c r="L144" i="21" a="1"/>
  <c r="E144" i="21"/>
  <c r="M143" i="21"/>
  <c r="M143" i="21" a="1"/>
  <c r="L143" i="21"/>
  <c r="L143" i="21" a="1"/>
  <c r="E143" i="21"/>
  <c r="M142" i="21"/>
  <c r="M142" i="21" a="1"/>
  <c r="L142" i="21"/>
  <c r="L142" i="21" a="1"/>
  <c r="E142" i="21"/>
  <c r="M141" i="21" a="1"/>
  <c r="M141" i="21" s="1"/>
  <c r="L141" i="21"/>
  <c r="L141" i="21" a="1"/>
  <c r="E141" i="21"/>
  <c r="M140" i="21" a="1"/>
  <c r="M140" i="21" s="1"/>
  <c r="L140" i="21"/>
  <c r="L140" i="21" a="1"/>
  <c r="E140" i="21"/>
  <c r="M139" i="21" a="1"/>
  <c r="M139" i="21" s="1"/>
  <c r="L139" i="21" a="1"/>
  <c r="L139" i="21" s="1"/>
  <c r="E139" i="21"/>
  <c r="M138" i="21"/>
  <c r="M138" i="21" a="1"/>
  <c r="L138" i="21" a="1"/>
  <c r="L138" i="21" s="1"/>
  <c r="E138" i="21"/>
  <c r="M137" i="21"/>
  <c r="M137" i="21" a="1"/>
  <c r="L137" i="21" a="1"/>
  <c r="L137" i="21" s="1"/>
  <c r="E137" i="21"/>
  <c r="M136" i="21"/>
  <c r="M136" i="21" a="1"/>
  <c r="L136" i="21" a="1"/>
  <c r="L136" i="21" s="1"/>
  <c r="E136" i="21"/>
  <c r="M135" i="21"/>
  <c r="M135" i="21" a="1"/>
  <c r="L135" i="21"/>
  <c r="L135" i="21" a="1"/>
  <c r="E135" i="21"/>
  <c r="M134" i="21"/>
  <c r="M134" i="21" a="1"/>
  <c r="L134" i="21"/>
  <c r="L134" i="21" a="1"/>
  <c r="M133" i="21" a="1"/>
  <c r="M133" i="21" s="1"/>
  <c r="L133" i="21" a="1"/>
  <c r="L133" i="21" s="1"/>
  <c r="E133" i="21"/>
  <c r="M132" i="21" a="1"/>
  <c r="M132" i="21" s="1"/>
  <c r="L132" i="21" a="1"/>
  <c r="L132" i="21" s="1"/>
  <c r="E132" i="21"/>
  <c r="M131" i="21" a="1"/>
  <c r="M131" i="21" s="1"/>
  <c r="L131" i="21" a="1"/>
  <c r="L131" i="21" s="1"/>
  <c r="E131" i="21"/>
  <c r="M130" i="21" a="1"/>
  <c r="M130" i="21" s="1"/>
  <c r="L130" i="21"/>
  <c r="L130" i="21" a="1"/>
  <c r="E130" i="21"/>
  <c r="M129" i="21"/>
  <c r="M129" i="21" a="1"/>
  <c r="L129" i="21"/>
  <c r="L129" i="21" a="1"/>
  <c r="E129" i="21"/>
  <c r="M128" i="21" a="1"/>
  <c r="M128" i="21" s="1"/>
  <c r="L128" i="21" a="1"/>
  <c r="L128" i="21" s="1"/>
  <c r="E128" i="21"/>
  <c r="M127" i="21" a="1"/>
  <c r="M127" i="21" s="1"/>
  <c r="L127" i="21"/>
  <c r="L127" i="21" a="1"/>
  <c r="E127" i="21"/>
  <c r="M126" i="21" a="1"/>
  <c r="M126" i="21" s="1"/>
  <c r="L126" i="21"/>
  <c r="L126" i="21" a="1"/>
  <c r="E126" i="21"/>
  <c r="M125" i="21" a="1"/>
  <c r="M125" i="21" s="1"/>
  <c r="L125" i="21" a="1"/>
  <c r="L125" i="21" s="1"/>
  <c r="E125" i="21"/>
  <c r="M124" i="21"/>
  <c r="M124" i="21" a="1"/>
  <c r="L124" i="21" a="1"/>
  <c r="L124" i="21" s="1"/>
  <c r="E124" i="21"/>
  <c r="M123" i="21"/>
  <c r="M123" i="21" a="1"/>
  <c r="L123" i="21" a="1"/>
  <c r="L123" i="21" s="1"/>
  <c r="E123" i="21"/>
  <c r="M122" i="21"/>
  <c r="M122" i="21" a="1"/>
  <c r="L122" i="21" a="1"/>
  <c r="L122" i="21" s="1"/>
  <c r="E122" i="21"/>
  <c r="M121" i="21"/>
  <c r="M121" i="21" a="1"/>
  <c r="L121" i="21"/>
  <c r="L121" i="21" a="1"/>
  <c r="E121" i="21"/>
  <c r="M120" i="21"/>
  <c r="M120" i="21" a="1"/>
  <c r="L120" i="21"/>
  <c r="L120" i="21" a="1"/>
  <c r="E120" i="21"/>
  <c r="M119" i="21" a="1"/>
  <c r="M119" i="21" s="1"/>
  <c r="L119" i="21" a="1"/>
  <c r="L119" i="21" s="1"/>
  <c r="E119" i="21"/>
  <c r="M118" i="21" a="1"/>
  <c r="M118" i="21" s="1"/>
  <c r="L118" i="21" a="1"/>
  <c r="L118" i="21" s="1"/>
  <c r="E118" i="21"/>
  <c r="M117" i="21" a="1"/>
  <c r="M117" i="21" s="1"/>
  <c r="L117" i="21" a="1"/>
  <c r="L117" i="21" s="1"/>
  <c r="E117" i="21"/>
  <c r="M116" i="21" a="1"/>
  <c r="M116" i="21" s="1"/>
  <c r="L116" i="21"/>
  <c r="L116" i="21" a="1"/>
  <c r="E116" i="21"/>
  <c r="M115" i="21"/>
  <c r="M115" i="21" a="1"/>
  <c r="L115" i="21"/>
  <c r="L115" i="21" a="1"/>
  <c r="E115" i="21"/>
  <c r="M114" i="21"/>
  <c r="M114" i="21" a="1"/>
  <c r="L114" i="21"/>
  <c r="L114" i="21" a="1"/>
  <c r="E114" i="21"/>
  <c r="M113" i="21" a="1"/>
  <c r="M113" i="21" s="1"/>
  <c r="L113" i="21" a="1"/>
  <c r="L113" i="21" s="1"/>
  <c r="E113" i="21"/>
  <c r="M112" i="21" a="1"/>
  <c r="M112" i="21" s="1"/>
  <c r="L112" i="21" a="1"/>
  <c r="L112" i="21" s="1"/>
  <c r="E112" i="21"/>
  <c r="M111" i="21" a="1"/>
  <c r="M111" i="21" s="1"/>
  <c r="L111" i="21" a="1"/>
  <c r="L111" i="21" s="1"/>
  <c r="E111" i="21"/>
  <c r="M110" i="21"/>
  <c r="M110" i="21" a="1"/>
  <c r="L110" i="21" a="1"/>
  <c r="L110" i="21" s="1"/>
  <c r="E110" i="21"/>
  <c r="M109" i="21"/>
  <c r="M109" i="21" a="1"/>
  <c r="L109" i="21" a="1"/>
  <c r="L109" i="21" s="1"/>
  <c r="E109" i="21"/>
  <c r="M108" i="21"/>
  <c r="M108" i="21" a="1"/>
  <c r="L108" i="21" a="1"/>
  <c r="L108" i="21" s="1"/>
  <c r="E108" i="21"/>
  <c r="M107" i="21"/>
  <c r="M107" i="21" a="1"/>
  <c r="L107" i="21"/>
  <c r="L107" i="21" a="1"/>
  <c r="E107" i="21"/>
  <c r="M106" i="21"/>
  <c r="M106" i="21" a="1"/>
  <c r="L106" i="21"/>
  <c r="L106" i="21" a="1"/>
  <c r="E106" i="21"/>
  <c r="M105" i="21" a="1"/>
  <c r="M105" i="21" s="1"/>
  <c r="L105" i="21" a="1"/>
  <c r="L105" i="21" s="1"/>
  <c r="E105" i="21"/>
  <c r="M104" i="21" a="1"/>
  <c r="M104" i="21" s="1"/>
  <c r="L104" i="21" a="1"/>
  <c r="L104" i="21" s="1"/>
  <c r="E104" i="21"/>
  <c r="M103" i="21" a="1"/>
  <c r="M103" i="21" s="1"/>
  <c r="L103" i="21" a="1"/>
  <c r="L103" i="21" s="1"/>
  <c r="E103" i="21"/>
  <c r="M102" i="21" a="1"/>
  <c r="M102" i="21" s="1"/>
  <c r="L102" i="21"/>
  <c r="L102" i="21" a="1"/>
  <c r="E102" i="21"/>
  <c r="M101" i="21"/>
  <c r="M101" i="21" a="1"/>
  <c r="L101" i="21"/>
  <c r="L101" i="21" a="1"/>
  <c r="E101" i="21"/>
  <c r="M100" i="21"/>
  <c r="M100" i="21" a="1"/>
  <c r="L100" i="21"/>
  <c r="L100" i="21" a="1"/>
  <c r="E100" i="21"/>
  <c r="M99" i="21" a="1"/>
  <c r="M99" i="21" s="1"/>
  <c r="L99" i="21"/>
  <c r="L99" i="21" a="1"/>
  <c r="E99" i="21"/>
  <c r="M98" i="21" a="1"/>
  <c r="M98" i="21" s="1"/>
  <c r="L98" i="21"/>
  <c r="L98" i="21" a="1"/>
  <c r="E98" i="21"/>
  <c r="M97" i="21" a="1"/>
  <c r="M97" i="21" s="1"/>
  <c r="L97" i="21" a="1"/>
  <c r="L97" i="21" s="1"/>
  <c r="E97" i="21"/>
  <c r="M96" i="21"/>
  <c r="M96" i="21" a="1"/>
  <c r="L96" i="21" a="1"/>
  <c r="L96" i="21" s="1"/>
  <c r="E96" i="21"/>
  <c r="M95" i="21"/>
  <c r="M95" i="21" a="1"/>
  <c r="L95" i="21" a="1"/>
  <c r="L95" i="21" s="1"/>
  <c r="E95" i="21"/>
  <c r="M94" i="21"/>
  <c r="M94" i="21" a="1"/>
  <c r="L94" i="21" a="1"/>
  <c r="L94" i="21" s="1"/>
  <c r="E94" i="21"/>
  <c r="M93" i="21"/>
  <c r="M93" i="21" a="1"/>
  <c r="L93" i="21"/>
  <c r="L93" i="21" a="1"/>
  <c r="E93" i="21"/>
  <c r="M92" i="21"/>
  <c r="M92" i="21" a="1"/>
  <c r="L92" i="21"/>
  <c r="L92" i="21" a="1"/>
  <c r="E92" i="21"/>
  <c r="M91" i="21" a="1"/>
  <c r="M91" i="21" s="1"/>
  <c r="L91" i="21" a="1"/>
  <c r="L91" i="21" s="1"/>
  <c r="M90" i="21" a="1"/>
  <c r="M90" i="21" s="1"/>
  <c r="L90" i="21" a="1"/>
  <c r="L90" i="21" s="1"/>
  <c r="E90" i="21"/>
  <c r="M89" i="21" a="1"/>
  <c r="M89" i="21" s="1"/>
  <c r="L89" i="21" a="1"/>
  <c r="L89" i="21" s="1"/>
  <c r="E89" i="21"/>
  <c r="M88" i="21" a="1"/>
  <c r="M88" i="21" s="1"/>
  <c r="L88" i="21"/>
  <c r="L88" i="21" a="1"/>
  <c r="E88" i="21"/>
  <c r="M87" i="21"/>
  <c r="M87" i="21" a="1"/>
  <c r="L87" i="21"/>
  <c r="L87" i="21" a="1"/>
  <c r="E87" i="21"/>
  <c r="M86" i="21"/>
  <c r="M86" i="21" a="1"/>
  <c r="L86" i="21"/>
  <c r="L86" i="21" a="1"/>
  <c r="E86" i="21"/>
  <c r="M85" i="21" a="1"/>
  <c r="M85" i="21" s="1"/>
  <c r="L85" i="21"/>
  <c r="L85" i="21" a="1"/>
  <c r="E85" i="21"/>
  <c r="M84" i="21" a="1"/>
  <c r="M84" i="21" s="1"/>
  <c r="L84" i="21"/>
  <c r="L84" i="21" a="1"/>
  <c r="E84" i="21"/>
  <c r="M83" i="21" a="1"/>
  <c r="M83" i="21" s="1"/>
  <c r="L83" i="21" a="1"/>
  <c r="L83" i="21" s="1"/>
  <c r="E83" i="21"/>
  <c r="M82" i="21"/>
  <c r="M82" i="21" a="1"/>
  <c r="L82" i="21" a="1"/>
  <c r="L82" i="21" s="1"/>
  <c r="E82" i="21"/>
  <c r="M81" i="21"/>
  <c r="M81" i="21" a="1"/>
  <c r="L81" i="21" a="1"/>
  <c r="L81" i="21" s="1"/>
  <c r="E81" i="21"/>
  <c r="M80" i="21"/>
  <c r="M80" i="21" a="1"/>
  <c r="L80" i="21" a="1"/>
  <c r="L80" i="21" s="1"/>
  <c r="E80" i="21"/>
  <c r="M79" i="21"/>
  <c r="M79" i="21" a="1"/>
  <c r="L79" i="21" a="1"/>
  <c r="L79" i="21" s="1"/>
  <c r="E79" i="21"/>
  <c r="M78" i="21"/>
  <c r="M78" i="21" a="1"/>
  <c r="L78" i="21"/>
  <c r="L78" i="21" a="1"/>
  <c r="E78" i="21"/>
  <c r="M77" i="21" a="1"/>
  <c r="M77" i="21" s="1"/>
  <c r="L77" i="21" a="1"/>
  <c r="L77" i="21" s="1"/>
  <c r="E77" i="21"/>
  <c r="M76" i="21" a="1"/>
  <c r="M76" i="21" s="1"/>
  <c r="L76" i="21" a="1"/>
  <c r="L76" i="21" s="1"/>
  <c r="E76" i="21"/>
  <c r="M75" i="21" a="1"/>
  <c r="M75" i="21" s="1"/>
  <c r="L75" i="21" a="1"/>
  <c r="L75" i="21" s="1"/>
  <c r="E75" i="21"/>
  <c r="M74" i="21" a="1"/>
  <c r="M74" i="21" s="1"/>
  <c r="L74" i="21"/>
  <c r="L74" i="21" a="1"/>
  <c r="E74" i="21"/>
  <c r="M73" i="21" a="1"/>
  <c r="M73" i="21" s="1"/>
  <c r="L73" i="21" a="1"/>
  <c r="L73" i="21" s="1"/>
  <c r="E73" i="21"/>
  <c r="M72" i="21"/>
  <c r="M72" i="21" a="1"/>
  <c r="L72" i="21"/>
  <c r="L72" i="21" a="1"/>
  <c r="E72" i="21"/>
  <c r="M71" i="21" a="1"/>
  <c r="M71" i="21" s="1"/>
  <c r="L71" i="21"/>
  <c r="L71" i="21" a="1"/>
  <c r="E71" i="21"/>
  <c r="M70" i="21" a="1"/>
  <c r="M70" i="21" s="1"/>
  <c r="L70" i="21"/>
  <c r="L70" i="21" a="1"/>
  <c r="E70" i="21"/>
  <c r="M69" i="21" a="1"/>
  <c r="M69" i="21" s="1"/>
  <c r="L69" i="21" a="1"/>
  <c r="L69" i="21" s="1"/>
  <c r="E69" i="21"/>
  <c r="M68" i="21"/>
  <c r="M68" i="21" a="1"/>
  <c r="L68" i="21" a="1"/>
  <c r="L68" i="21" s="1"/>
  <c r="E68" i="21"/>
  <c r="M67" i="21" a="1"/>
  <c r="M67" i="21" s="1"/>
  <c r="L67" i="21" a="1"/>
  <c r="L67" i="21" s="1"/>
  <c r="E67" i="21"/>
  <c r="M66" i="21"/>
  <c r="M66" i="21" a="1"/>
  <c r="L66" i="21" a="1"/>
  <c r="L66" i="21" s="1"/>
  <c r="E66" i="21"/>
  <c r="M65" i="21"/>
  <c r="M65" i="21" a="1"/>
  <c r="L65" i="21" a="1"/>
  <c r="L65" i="21" s="1"/>
  <c r="E65" i="21"/>
  <c r="M64" i="21"/>
  <c r="M64" i="21" a="1"/>
  <c r="L64" i="21"/>
  <c r="L64" i="21" a="1"/>
  <c r="E64" i="21"/>
  <c r="M63" i="21" a="1"/>
  <c r="M63" i="21" s="1"/>
  <c r="L63" i="21" a="1"/>
  <c r="L63" i="21" s="1"/>
  <c r="E63" i="21"/>
  <c r="M62" i="21" a="1"/>
  <c r="M62" i="21" s="1"/>
  <c r="L62" i="21" a="1"/>
  <c r="L62" i="21" s="1"/>
  <c r="E62" i="21"/>
  <c r="M61" i="21" a="1"/>
  <c r="M61" i="21" s="1"/>
  <c r="L61" i="21" a="1"/>
  <c r="L61" i="21" s="1"/>
  <c r="E61" i="21"/>
  <c r="M60" i="21" a="1"/>
  <c r="M60" i="21" s="1"/>
  <c r="L60" i="21"/>
  <c r="L60" i="21" a="1"/>
  <c r="E60" i="21"/>
  <c r="M59" i="21" a="1"/>
  <c r="M59" i="21" s="1"/>
  <c r="L59" i="21" a="1"/>
  <c r="L59" i="21" s="1"/>
  <c r="E59" i="21"/>
  <c r="M56" i="21" a="1"/>
  <c r="M56" i="21" s="1"/>
  <c r="L56" i="21" a="1"/>
  <c r="L56" i="21" s="1"/>
  <c r="E56" i="21"/>
  <c r="M55" i="21" a="1"/>
  <c r="M55" i="21" s="1"/>
  <c r="L55" i="21" a="1"/>
  <c r="L55" i="21" s="1"/>
  <c r="E55" i="21"/>
  <c r="M54" i="21" a="1"/>
  <c r="M54" i="21" s="1"/>
  <c r="L54" i="21"/>
  <c r="L54" i="21" a="1"/>
  <c r="E54" i="21"/>
  <c r="M53" i="21"/>
  <c r="M53" i="21" a="1"/>
  <c r="L53" i="21" a="1"/>
  <c r="L53" i="21" s="1"/>
  <c r="E53" i="21"/>
  <c r="M52" i="21"/>
  <c r="M52" i="21" a="1"/>
  <c r="L52" i="21" a="1"/>
  <c r="L52" i="21" s="1"/>
  <c r="E52" i="21"/>
  <c r="M51" i="21" a="1"/>
  <c r="M51" i="21" s="1"/>
  <c r="L51" i="21"/>
  <c r="L51" i="21" a="1"/>
  <c r="E51" i="21"/>
  <c r="M50" i="21" a="1"/>
  <c r="M50" i="21" s="1"/>
  <c r="L50" i="21"/>
  <c r="L50" i="21" a="1"/>
  <c r="M49" i="21" a="1"/>
  <c r="M49" i="21" s="1"/>
  <c r="L49" i="21" a="1"/>
  <c r="L49" i="21" s="1"/>
  <c r="M48" i="21" a="1"/>
  <c r="M48" i="21" s="1"/>
  <c r="L48" i="21" a="1"/>
  <c r="L48" i="21" s="1"/>
  <c r="E48" i="21"/>
  <c r="M47" i="21"/>
  <c r="M47" i="21" a="1"/>
  <c r="L47" i="21" a="1"/>
  <c r="L47" i="21" s="1"/>
  <c r="E47" i="21"/>
  <c r="M46" i="21" a="1"/>
  <c r="M46" i="21" s="1"/>
  <c r="L46" i="21" a="1"/>
  <c r="L46" i="21" s="1"/>
  <c r="E46" i="21"/>
  <c r="M45" i="21" a="1"/>
  <c r="M45" i="21" s="1"/>
  <c r="L45" i="21"/>
  <c r="L45" i="21" a="1"/>
  <c r="E45" i="21"/>
  <c r="M44" i="21" a="1"/>
  <c r="M44" i="21" s="1"/>
  <c r="L44" i="21" a="1"/>
  <c r="L44" i="21" s="1"/>
  <c r="E44" i="21"/>
  <c r="M43" i="21"/>
  <c r="M43" i="21" a="1"/>
  <c r="L43" i="21" a="1"/>
  <c r="L43" i="21" s="1"/>
  <c r="E43" i="21"/>
  <c r="M42" i="21"/>
  <c r="M42" i="21" a="1"/>
  <c r="L42" i="21"/>
  <c r="L42" i="21" a="1"/>
  <c r="M41" i="21" a="1"/>
  <c r="M41" i="21" s="1"/>
  <c r="L41" i="21" a="1"/>
  <c r="L41" i="21" s="1"/>
  <c r="E41" i="21"/>
  <c r="M40" i="21" a="1"/>
  <c r="M40" i="21" s="1"/>
  <c r="L40" i="21" a="1"/>
  <c r="L40" i="21" s="1"/>
  <c r="E40" i="21"/>
  <c r="M39" i="21"/>
  <c r="M39" i="21" a="1"/>
  <c r="L39" i="21" a="1"/>
  <c r="L39" i="21" s="1"/>
  <c r="E39" i="21"/>
  <c r="M38" i="21"/>
  <c r="M38" i="21" a="1"/>
  <c r="L38" i="21"/>
  <c r="L38" i="21" a="1"/>
  <c r="M37" i="21" a="1"/>
  <c r="M37" i="21" s="1"/>
  <c r="L37" i="21" a="1"/>
  <c r="L37" i="21" s="1"/>
  <c r="M36" i="21" a="1"/>
  <c r="M36" i="21" s="1"/>
  <c r="L36" i="21"/>
  <c r="L36" i="21" a="1"/>
  <c r="E36" i="21"/>
  <c r="M35" i="21" a="1"/>
  <c r="M35" i="21" s="1"/>
  <c r="L35" i="21" a="1"/>
  <c r="L35" i="21" s="1"/>
  <c r="E35" i="21"/>
  <c r="M34" i="21" a="1"/>
  <c r="M34" i="21" s="1"/>
  <c r="L34" i="21" a="1"/>
  <c r="L34" i="21" s="1"/>
  <c r="E34" i="21"/>
  <c r="M33" i="21" a="1"/>
  <c r="M33" i="21" s="1"/>
  <c r="L33" i="21" a="1"/>
  <c r="L33" i="21" s="1"/>
  <c r="E33" i="21"/>
  <c r="M32" i="21" a="1"/>
  <c r="M32" i="21" s="1"/>
  <c r="L32" i="21"/>
  <c r="L32" i="21" a="1"/>
  <c r="E32" i="21"/>
  <c r="M31" i="21"/>
  <c r="M31" i="21" a="1"/>
  <c r="L31" i="21" a="1"/>
  <c r="L31" i="21" s="1"/>
  <c r="E31" i="21"/>
  <c r="M30" i="21"/>
  <c r="M30" i="21" a="1"/>
  <c r="L30" i="21"/>
  <c r="L30" i="21" a="1"/>
  <c r="E30" i="21"/>
  <c r="M29" i="21" a="1"/>
  <c r="M29" i="21" s="1"/>
  <c r="L29" i="21" a="1"/>
  <c r="L29" i="21" s="1"/>
  <c r="E29" i="21"/>
  <c r="M93" i="20" l="1"/>
  <c r="M91" i="20"/>
  <c r="M90" i="20"/>
  <c r="M89" i="20"/>
  <c r="M88" i="20"/>
  <c r="M87" i="20"/>
  <c r="M86" i="20"/>
  <c r="M85" i="20"/>
  <c r="M84" i="20"/>
  <c r="M83" i="20"/>
  <c r="M82" i="20"/>
  <c r="M81" i="20"/>
  <c r="M80" i="20"/>
  <c r="M79" i="20"/>
  <c r="M78" i="20"/>
  <c r="M77" i="20"/>
  <c r="M76" i="20"/>
  <c r="M75" i="20"/>
  <c r="M74" i="20"/>
  <c r="M73" i="20"/>
  <c r="M72" i="20"/>
  <c r="M71" i="20"/>
  <c r="M70" i="20"/>
  <c r="M69" i="20"/>
  <c r="M68" i="20"/>
  <c r="M67" i="20"/>
  <c r="M66" i="20"/>
  <c r="M65" i="20"/>
  <c r="M64" i="20"/>
  <c r="M63" i="20"/>
  <c r="M62" i="20"/>
  <c r="M61" i="20"/>
  <c r="M60" i="20"/>
  <c r="M59" i="20"/>
  <c r="M58" i="20"/>
  <c r="M57" i="20"/>
  <c r="M56" i="20"/>
  <c r="M55" i="20"/>
  <c r="M54" i="20"/>
  <c r="M53" i="20"/>
  <c r="M52" i="20"/>
  <c r="M51" i="20"/>
  <c r="M50" i="20"/>
  <c r="M49" i="20"/>
  <c r="M48" i="20"/>
  <c r="M47" i="20"/>
  <c r="M46" i="20"/>
  <c r="M45" i="20"/>
  <c r="M44" i="20"/>
  <c r="M43" i="20"/>
  <c r="M42" i="20"/>
  <c r="M41" i="20"/>
  <c r="M40" i="20"/>
  <c r="M39" i="20"/>
  <c r="M38" i="20"/>
  <c r="M37" i="20"/>
  <c r="M36" i="20"/>
  <c r="M35" i="20"/>
  <c r="M34" i="20"/>
  <c r="M33" i="20"/>
  <c r="M32" i="20"/>
  <c r="M31" i="20"/>
  <c r="M30" i="20"/>
  <c r="M29" i="20"/>
  <c r="M28" i="20"/>
  <c r="M27" i="20"/>
  <c r="M26" i="20"/>
  <c r="M25" i="20"/>
  <c r="M24" i="20"/>
  <c r="M23" i="20"/>
  <c r="M22" i="20"/>
  <c r="M21" i="20"/>
  <c r="M20" i="20"/>
  <c r="M19" i="20"/>
  <c r="M18" i="20"/>
  <c r="M17" i="20"/>
  <c r="M16" i="20"/>
  <c r="D763" i="19"/>
  <c r="M761" i="19"/>
  <c r="J761" i="19"/>
  <c r="N761" i="19" s="1"/>
  <c r="D761" i="19"/>
  <c r="M760" i="19"/>
  <c r="J760" i="19"/>
  <c r="N760" i="19" s="1"/>
  <c r="D760" i="19"/>
  <c r="N759" i="19"/>
  <c r="M759" i="19"/>
  <c r="J759" i="19"/>
  <c r="D759" i="19"/>
  <c r="M758" i="19"/>
  <c r="J758" i="19"/>
  <c r="N758" i="19" s="1"/>
  <c r="D758" i="19"/>
  <c r="N757" i="19"/>
  <c r="M757" i="19"/>
  <c r="J757" i="19"/>
  <c r="D757" i="19"/>
  <c r="N756" i="19"/>
  <c r="M756" i="19"/>
  <c r="D756" i="19"/>
  <c r="M755" i="19"/>
  <c r="J755" i="19"/>
  <c r="N755" i="19" s="1"/>
  <c r="D755" i="19"/>
  <c r="M754" i="19"/>
  <c r="J754" i="19"/>
  <c r="N754" i="19" s="1"/>
  <c r="D754" i="19"/>
  <c r="N753" i="19"/>
  <c r="M753" i="19"/>
  <c r="J753" i="19"/>
  <c r="D753" i="19"/>
  <c r="N752" i="19"/>
  <c r="M752" i="19"/>
  <c r="J752" i="19"/>
  <c r="D752" i="19"/>
  <c r="N751" i="19"/>
  <c r="M751" i="19"/>
  <c r="J751" i="19"/>
  <c r="D751" i="19"/>
  <c r="N750" i="19"/>
  <c r="M750" i="19"/>
  <c r="J750" i="19"/>
  <c r="D750" i="19"/>
  <c r="M749" i="19"/>
  <c r="J749" i="19"/>
  <c r="N749" i="19" s="1"/>
  <c r="D749" i="19"/>
  <c r="M748" i="19"/>
  <c r="J748" i="19"/>
  <c r="N748" i="19" s="1"/>
  <c r="D748" i="19"/>
  <c r="N747" i="19"/>
  <c r="M747" i="19"/>
  <c r="D747" i="19"/>
  <c r="N746" i="19"/>
  <c r="M746" i="19"/>
  <c r="J746" i="19"/>
  <c r="D746" i="19"/>
  <c r="M745" i="19"/>
  <c r="J745" i="19"/>
  <c r="N745" i="19" s="1"/>
  <c r="D745" i="19"/>
  <c r="M744" i="19"/>
  <c r="J744" i="19"/>
  <c r="N744" i="19" s="1"/>
  <c r="D744" i="19"/>
  <c r="M743" i="19"/>
  <c r="J743" i="19"/>
  <c r="N743" i="19" s="1"/>
  <c r="D743" i="19"/>
  <c r="M742" i="19"/>
  <c r="J742" i="19"/>
  <c r="N742" i="19" s="1"/>
  <c r="D742" i="19"/>
  <c r="N741" i="19"/>
  <c r="M741" i="19"/>
  <c r="J741" i="19"/>
  <c r="D741" i="19"/>
  <c r="M740" i="19"/>
  <c r="J740" i="19"/>
  <c r="N740" i="19" s="1"/>
  <c r="D740" i="19"/>
  <c r="N739" i="19"/>
  <c r="M739" i="19"/>
  <c r="J739" i="19"/>
  <c r="D739" i="19"/>
  <c r="M738" i="19"/>
  <c r="J738" i="19"/>
  <c r="N738" i="19" s="1"/>
  <c r="D738" i="19"/>
  <c r="M737" i="19"/>
  <c r="J737" i="19"/>
  <c r="N737" i="19" s="1"/>
  <c r="D737" i="19"/>
  <c r="M736" i="19"/>
  <c r="J736" i="19"/>
  <c r="N736" i="19" s="1"/>
  <c r="D736" i="19"/>
  <c r="N735" i="19"/>
  <c r="M735" i="19"/>
  <c r="D735" i="19"/>
  <c r="N734" i="19"/>
  <c r="M734" i="19"/>
  <c r="J734" i="19"/>
  <c r="D734" i="19"/>
  <c r="N733" i="19"/>
  <c r="M733" i="19"/>
  <c r="J733" i="19"/>
  <c r="D733" i="19"/>
  <c r="N732" i="19"/>
  <c r="M732" i="19"/>
  <c r="J732" i="19"/>
  <c r="D732" i="19"/>
  <c r="M731" i="19"/>
  <c r="J731" i="19"/>
  <c r="N731" i="19" s="1"/>
  <c r="D731" i="19"/>
  <c r="M730" i="19"/>
  <c r="J730" i="19"/>
  <c r="N730" i="19" s="1"/>
  <c r="D730" i="19"/>
  <c r="M729" i="19"/>
  <c r="J729" i="19"/>
  <c r="N729" i="19" s="1"/>
  <c r="D729" i="19"/>
  <c r="N728" i="19"/>
  <c r="M728" i="19"/>
  <c r="J728" i="19"/>
  <c r="D728" i="19"/>
  <c r="N727" i="19"/>
  <c r="M727" i="19"/>
  <c r="J727" i="19"/>
  <c r="D727" i="19"/>
  <c r="N726" i="19"/>
  <c r="M726" i="19"/>
  <c r="J726" i="19"/>
  <c r="D726" i="19"/>
  <c r="N725" i="19"/>
  <c r="M725" i="19"/>
  <c r="J725" i="19"/>
  <c r="D725" i="19"/>
  <c r="M724" i="19"/>
  <c r="J724" i="19"/>
  <c r="N724" i="19" s="1"/>
  <c r="D724" i="19"/>
  <c r="M723" i="19"/>
  <c r="J723" i="19"/>
  <c r="N723" i="19" s="1"/>
  <c r="D723" i="19"/>
  <c r="M722" i="19"/>
  <c r="J722" i="19"/>
  <c r="N722" i="19" s="1"/>
  <c r="D722" i="19"/>
  <c r="N721" i="19"/>
  <c r="M721" i="19"/>
  <c r="J721" i="19"/>
  <c r="D721" i="19"/>
  <c r="N720" i="19"/>
  <c r="M720" i="19"/>
  <c r="J720" i="19"/>
  <c r="D720" i="19"/>
  <c r="N719" i="19"/>
  <c r="M719" i="19"/>
  <c r="J719" i="19"/>
  <c r="D719" i="19"/>
  <c r="N718" i="19"/>
  <c r="M718" i="19"/>
  <c r="J718" i="19"/>
  <c r="D718" i="19"/>
  <c r="M717" i="19"/>
  <c r="J717" i="19"/>
  <c r="N717" i="19" s="1"/>
  <c r="D717" i="19"/>
  <c r="M716" i="19"/>
  <c r="J716" i="19"/>
  <c r="N716" i="19" s="1"/>
  <c r="D716" i="19"/>
  <c r="M715" i="19"/>
  <c r="J715" i="19"/>
  <c r="N715" i="19" s="1"/>
  <c r="D715" i="19"/>
  <c r="N714" i="19"/>
  <c r="M714" i="19"/>
  <c r="J714" i="19"/>
  <c r="D714" i="19"/>
  <c r="N713" i="19"/>
  <c r="M713" i="19"/>
  <c r="J713" i="19"/>
  <c r="D713" i="19"/>
  <c r="N712" i="19"/>
  <c r="M712" i="19"/>
  <c r="J712" i="19"/>
  <c r="D712" i="19"/>
  <c r="N711" i="19"/>
  <c r="M711" i="19"/>
  <c r="J711" i="19"/>
  <c r="D711" i="19"/>
  <c r="M710" i="19"/>
  <c r="J710" i="19"/>
  <c r="N710" i="19" s="1"/>
  <c r="D710" i="19"/>
  <c r="M709" i="19"/>
  <c r="J709" i="19"/>
  <c r="N709" i="19" s="1"/>
  <c r="D709" i="19"/>
  <c r="M708" i="19"/>
  <c r="J708" i="19"/>
  <c r="N708" i="19" s="1"/>
  <c r="D708" i="19"/>
  <c r="N707" i="19"/>
  <c r="M707" i="19"/>
  <c r="J707" i="19"/>
  <c r="D707" i="19"/>
  <c r="N706" i="19"/>
  <c r="M706" i="19"/>
  <c r="J706" i="19"/>
  <c r="D706" i="19"/>
  <c r="N705" i="19"/>
  <c r="M705" i="19"/>
  <c r="J705" i="19"/>
  <c r="D705" i="19"/>
  <c r="N704" i="19"/>
  <c r="M704" i="19"/>
  <c r="J704" i="19"/>
  <c r="D704" i="19"/>
  <c r="M703" i="19"/>
  <c r="J703" i="19"/>
  <c r="N703" i="19" s="1"/>
  <c r="D703" i="19"/>
  <c r="M702" i="19"/>
  <c r="J702" i="19"/>
  <c r="N702" i="19" s="1"/>
  <c r="D702" i="19"/>
  <c r="M701" i="19"/>
  <c r="J701" i="19"/>
  <c r="N701" i="19" s="1"/>
  <c r="D701" i="19"/>
  <c r="N700" i="19"/>
  <c r="M700" i="19"/>
  <c r="J700" i="19"/>
  <c r="D700" i="19"/>
  <c r="N699" i="19"/>
  <c r="M699" i="19"/>
  <c r="D699" i="19"/>
  <c r="M698" i="19"/>
  <c r="J698" i="19"/>
  <c r="N698" i="19" s="1"/>
  <c r="D698" i="19"/>
  <c r="M697" i="19"/>
  <c r="J697" i="19"/>
  <c r="N697" i="19" s="1"/>
  <c r="D697" i="19"/>
  <c r="M696" i="19"/>
  <c r="J696" i="19"/>
  <c r="N696" i="19" s="1"/>
  <c r="D696" i="19"/>
  <c r="N695" i="19"/>
  <c r="M695" i="19"/>
  <c r="J695" i="19"/>
  <c r="D695" i="19"/>
  <c r="M694" i="19"/>
  <c r="J694" i="19"/>
  <c r="N694" i="19" s="1"/>
  <c r="D694" i="19"/>
  <c r="N693" i="19"/>
  <c r="M693" i="19"/>
  <c r="J693" i="19"/>
  <c r="D693" i="19"/>
  <c r="M692" i="19"/>
  <c r="J692" i="19"/>
  <c r="N692" i="19" s="1"/>
  <c r="D692" i="19"/>
  <c r="M691" i="19"/>
  <c r="J691" i="19"/>
  <c r="N691" i="19" s="1"/>
  <c r="D691" i="19"/>
  <c r="M690" i="19"/>
  <c r="J690" i="19"/>
  <c r="N690" i="19" s="1"/>
  <c r="D690" i="19"/>
  <c r="M689" i="19"/>
  <c r="J689" i="19"/>
  <c r="N689" i="19" s="1"/>
  <c r="D689" i="19"/>
  <c r="N688" i="19"/>
  <c r="M688" i="19"/>
  <c r="J688" i="19"/>
  <c r="D688" i="19"/>
  <c r="M687" i="19"/>
  <c r="J687" i="19"/>
  <c r="N687" i="19" s="1"/>
  <c r="D687" i="19"/>
  <c r="N686" i="19"/>
  <c r="M686" i="19"/>
  <c r="J686" i="19"/>
  <c r="D686" i="19"/>
  <c r="M685" i="19"/>
  <c r="J685" i="19"/>
  <c r="N685" i="19" s="1"/>
  <c r="D685" i="19"/>
  <c r="M684" i="19"/>
  <c r="J684" i="19"/>
  <c r="N684" i="19" s="1"/>
  <c r="D684" i="19"/>
  <c r="M683" i="19"/>
  <c r="J683" i="19"/>
  <c r="N683" i="19" s="1"/>
  <c r="D683" i="19"/>
  <c r="M682" i="19"/>
  <c r="J682" i="19"/>
  <c r="N682" i="19" s="1"/>
  <c r="D682" i="19"/>
  <c r="N681" i="19"/>
  <c r="M681" i="19"/>
  <c r="J681" i="19"/>
  <c r="D681" i="19"/>
  <c r="M680" i="19"/>
  <c r="J680" i="19"/>
  <c r="N680" i="19" s="1"/>
  <c r="D680" i="19"/>
  <c r="N679" i="19"/>
  <c r="M679" i="19"/>
  <c r="J679" i="19"/>
  <c r="D679" i="19"/>
  <c r="M678" i="19"/>
  <c r="J678" i="19"/>
  <c r="N678" i="19" s="1"/>
  <c r="D678" i="19"/>
  <c r="M677" i="19"/>
  <c r="J677" i="19"/>
  <c r="N677" i="19" s="1"/>
  <c r="D677" i="19"/>
  <c r="M676" i="19"/>
  <c r="J676" i="19"/>
  <c r="N676" i="19" s="1"/>
  <c r="D676" i="19"/>
  <c r="M675" i="19"/>
  <c r="J675" i="19"/>
  <c r="N675" i="19" s="1"/>
  <c r="D675" i="19"/>
  <c r="N674" i="19"/>
  <c r="M674" i="19"/>
  <c r="J674" i="19"/>
  <c r="D674" i="19"/>
  <c r="M673" i="19"/>
  <c r="J673" i="19"/>
  <c r="N673" i="19" s="1"/>
  <c r="D673" i="19"/>
  <c r="N672" i="19"/>
  <c r="M672" i="19"/>
  <c r="J672" i="19"/>
  <c r="D672" i="19"/>
  <c r="M671" i="19"/>
  <c r="J671" i="19"/>
  <c r="N671" i="19" s="1"/>
  <c r="D671" i="19"/>
  <c r="M670" i="19"/>
  <c r="J670" i="19"/>
  <c r="N670" i="19" s="1"/>
  <c r="D670" i="19"/>
  <c r="M669" i="19"/>
  <c r="J669" i="19"/>
  <c r="N669" i="19" s="1"/>
  <c r="D669" i="19"/>
  <c r="M668" i="19"/>
  <c r="J668" i="19"/>
  <c r="N668" i="19" s="1"/>
  <c r="D668" i="19"/>
  <c r="N667" i="19"/>
  <c r="M667" i="19"/>
  <c r="J667" i="19"/>
  <c r="D667" i="19"/>
  <c r="M666" i="19"/>
  <c r="J666" i="19"/>
  <c r="N666" i="19" s="1"/>
  <c r="D666" i="19"/>
  <c r="N665" i="19"/>
  <c r="M665" i="19"/>
  <c r="J665" i="19"/>
  <c r="D665" i="19"/>
  <c r="N664" i="19"/>
  <c r="M664" i="19"/>
  <c r="D664" i="19"/>
  <c r="M663" i="19"/>
  <c r="J663" i="19"/>
  <c r="N663" i="19" s="1"/>
  <c r="D663" i="19"/>
  <c r="M662" i="19"/>
  <c r="J662" i="19"/>
  <c r="N662" i="19" s="1"/>
  <c r="D662" i="19"/>
  <c r="N661" i="19"/>
  <c r="M661" i="19"/>
  <c r="J661" i="19"/>
  <c r="D661" i="19"/>
  <c r="N660" i="19"/>
  <c r="M660" i="19"/>
  <c r="J660" i="19"/>
  <c r="D660" i="19"/>
  <c r="N659" i="19"/>
  <c r="M659" i="19"/>
  <c r="J659" i="19"/>
  <c r="D659" i="19"/>
  <c r="N658" i="19"/>
  <c r="M658" i="19"/>
  <c r="J658" i="19"/>
  <c r="D658" i="19"/>
  <c r="M657" i="19"/>
  <c r="J657" i="19"/>
  <c r="N657" i="19" s="1"/>
  <c r="D657" i="19"/>
  <c r="M656" i="19"/>
  <c r="J656" i="19"/>
  <c r="N656" i="19" s="1"/>
  <c r="D656" i="19"/>
  <c r="M655" i="19"/>
  <c r="J655" i="19"/>
  <c r="N655" i="19" s="1"/>
  <c r="D655" i="19"/>
  <c r="N654" i="19"/>
  <c r="M654" i="19"/>
  <c r="J654" i="19"/>
  <c r="D654" i="19"/>
  <c r="N653" i="19"/>
  <c r="M653" i="19"/>
  <c r="J653" i="19"/>
  <c r="D653" i="19"/>
  <c r="N652" i="19"/>
  <c r="M652" i="19"/>
  <c r="J652" i="19"/>
  <c r="D652" i="19"/>
  <c r="N651" i="19"/>
  <c r="M651" i="19"/>
  <c r="J651" i="19"/>
  <c r="D651" i="19"/>
  <c r="M650" i="19"/>
  <c r="J650" i="19"/>
  <c r="N650" i="19" s="1"/>
  <c r="D650" i="19"/>
  <c r="M649" i="19"/>
  <c r="J649" i="19"/>
  <c r="N649" i="19" s="1"/>
  <c r="D649" i="19"/>
  <c r="M648" i="19"/>
  <c r="J648" i="19"/>
  <c r="N648" i="19" s="1"/>
  <c r="D648" i="19"/>
  <c r="N647" i="19"/>
  <c r="M647" i="19"/>
  <c r="J647" i="19"/>
  <c r="D647" i="19"/>
  <c r="N646" i="19"/>
  <c r="M646" i="19"/>
  <c r="J646" i="19"/>
  <c r="D646" i="19"/>
  <c r="N645" i="19"/>
  <c r="M645" i="19"/>
  <c r="J645" i="19"/>
  <c r="D645" i="19"/>
  <c r="N644" i="19"/>
  <c r="M644" i="19"/>
  <c r="J644" i="19"/>
  <c r="D644" i="19"/>
  <c r="M643" i="19"/>
  <c r="J643" i="19"/>
  <c r="N643" i="19" s="1"/>
  <c r="D643" i="19"/>
  <c r="M642" i="19"/>
  <c r="J642" i="19"/>
  <c r="N642" i="19" s="1"/>
  <c r="D642" i="19"/>
  <c r="M641" i="19"/>
  <c r="J641" i="19"/>
  <c r="N641" i="19" s="1"/>
  <c r="D641" i="19"/>
  <c r="N640" i="19"/>
  <c r="M640" i="19"/>
  <c r="J640" i="19"/>
  <c r="D640" i="19"/>
  <c r="N639" i="19"/>
  <c r="M639" i="19"/>
  <c r="J639" i="19"/>
  <c r="D639" i="19"/>
  <c r="N638" i="19"/>
  <c r="M638" i="19"/>
  <c r="J638" i="19"/>
  <c r="D638" i="19"/>
  <c r="N637" i="19"/>
  <c r="M637" i="19"/>
  <c r="J637" i="19"/>
  <c r="D637" i="19"/>
  <c r="M636" i="19"/>
  <c r="J636" i="19"/>
  <c r="N636" i="19" s="1"/>
  <c r="D636" i="19"/>
  <c r="M635" i="19"/>
  <c r="J635" i="19"/>
  <c r="N635" i="19" s="1"/>
  <c r="D635" i="19"/>
  <c r="M634" i="19"/>
  <c r="J634" i="19"/>
  <c r="N634" i="19" s="1"/>
  <c r="D634" i="19"/>
  <c r="N633" i="19"/>
  <c r="M633" i="19"/>
  <c r="J633" i="19"/>
  <c r="D633" i="19"/>
  <c r="N632" i="19"/>
  <c r="M632" i="19"/>
  <c r="J632" i="19"/>
  <c r="D632" i="19"/>
  <c r="N631" i="19"/>
  <c r="M631" i="19"/>
  <c r="J631" i="19"/>
  <c r="D631" i="19"/>
  <c r="N630" i="19"/>
  <c r="M630" i="19"/>
  <c r="J630" i="19"/>
  <c r="D630" i="19"/>
  <c r="N629" i="19"/>
  <c r="M629" i="19"/>
  <c r="D629" i="19"/>
  <c r="N628" i="19"/>
  <c r="M628" i="19"/>
  <c r="J628" i="19"/>
  <c r="D628" i="19"/>
  <c r="M627" i="19"/>
  <c r="J627" i="19"/>
  <c r="N627" i="19" s="1"/>
  <c r="D627" i="19"/>
  <c r="N626" i="19"/>
  <c r="M626" i="19"/>
  <c r="J626" i="19"/>
  <c r="D626" i="19"/>
  <c r="M625" i="19"/>
  <c r="J625" i="19"/>
  <c r="N625" i="19" s="1"/>
  <c r="D625" i="19"/>
  <c r="M624" i="19"/>
  <c r="J624" i="19"/>
  <c r="N624" i="19" s="1"/>
  <c r="D624" i="19"/>
  <c r="M623" i="19"/>
  <c r="J623" i="19"/>
  <c r="N623" i="19" s="1"/>
  <c r="D623" i="19"/>
  <c r="M622" i="19"/>
  <c r="J622" i="19"/>
  <c r="N622" i="19" s="1"/>
  <c r="D622" i="19"/>
  <c r="N621" i="19"/>
  <c r="M621" i="19"/>
  <c r="J621" i="19"/>
  <c r="D621" i="19"/>
  <c r="M620" i="19"/>
  <c r="J620" i="19"/>
  <c r="N620" i="19" s="1"/>
  <c r="D620" i="19"/>
  <c r="N619" i="19"/>
  <c r="M619" i="19"/>
  <c r="J619" i="19"/>
  <c r="D619" i="19"/>
  <c r="M618" i="19"/>
  <c r="J618" i="19"/>
  <c r="N618" i="19" s="1"/>
  <c r="D618" i="19"/>
  <c r="M617" i="19"/>
  <c r="J617" i="19"/>
  <c r="N617" i="19" s="1"/>
  <c r="D617" i="19"/>
  <c r="M616" i="19"/>
  <c r="J616" i="19"/>
  <c r="N616" i="19" s="1"/>
  <c r="D616" i="19"/>
  <c r="M615" i="19"/>
  <c r="J615" i="19"/>
  <c r="N615" i="19" s="1"/>
  <c r="D615" i="19"/>
  <c r="N614" i="19"/>
  <c r="M614" i="19"/>
  <c r="J614" i="19"/>
  <c r="D614" i="19"/>
  <c r="M613" i="19"/>
  <c r="J613" i="19"/>
  <c r="N613" i="19" s="1"/>
  <c r="D613" i="19"/>
  <c r="N612" i="19"/>
  <c r="M612" i="19"/>
  <c r="J612" i="19"/>
  <c r="D612" i="19"/>
  <c r="M611" i="19"/>
  <c r="J611" i="19"/>
  <c r="N611" i="19" s="1"/>
  <c r="D611" i="19"/>
  <c r="M610" i="19"/>
  <c r="J610" i="19"/>
  <c r="N610" i="19" s="1"/>
  <c r="D610" i="19"/>
  <c r="M609" i="19"/>
  <c r="J609" i="19"/>
  <c r="N609" i="19" s="1"/>
  <c r="D609" i="19"/>
  <c r="M608" i="19"/>
  <c r="J608" i="19"/>
  <c r="N608" i="19" s="1"/>
  <c r="D608" i="19"/>
  <c r="N607" i="19"/>
  <c r="M607" i="19"/>
  <c r="J607" i="19"/>
  <c r="D607" i="19"/>
  <c r="M606" i="19"/>
  <c r="J606" i="19"/>
  <c r="N606" i="19" s="1"/>
  <c r="D606" i="19"/>
  <c r="N605" i="19"/>
  <c r="M605" i="19"/>
  <c r="J605" i="19"/>
  <c r="D605" i="19"/>
  <c r="M604" i="19"/>
  <c r="J604" i="19"/>
  <c r="N604" i="19" s="1"/>
  <c r="D604" i="19"/>
  <c r="M603" i="19"/>
  <c r="J603" i="19"/>
  <c r="N603" i="19" s="1"/>
  <c r="D603" i="19"/>
  <c r="M602" i="19"/>
  <c r="J602" i="19"/>
  <c r="N602" i="19" s="1"/>
  <c r="D602" i="19"/>
  <c r="M601" i="19"/>
  <c r="J601" i="19"/>
  <c r="N601" i="19" s="1"/>
  <c r="D601" i="19"/>
  <c r="N600" i="19"/>
  <c r="M600" i="19"/>
  <c r="J600" i="19"/>
  <c r="D600" i="19"/>
  <c r="M599" i="19"/>
  <c r="J599" i="19"/>
  <c r="N599" i="19" s="1"/>
  <c r="D599" i="19"/>
  <c r="N598" i="19"/>
  <c r="M598" i="19"/>
  <c r="J598" i="19"/>
  <c r="D598" i="19"/>
  <c r="M597" i="19"/>
  <c r="J597" i="19"/>
  <c r="N597" i="19" s="1"/>
  <c r="D597" i="19"/>
  <c r="M596" i="19"/>
  <c r="J596" i="19"/>
  <c r="N596" i="19" s="1"/>
  <c r="D596" i="19"/>
  <c r="M595" i="19"/>
  <c r="J595" i="19"/>
  <c r="N595" i="19" s="1"/>
  <c r="D595" i="19"/>
  <c r="N594" i="19"/>
  <c r="M594" i="19"/>
  <c r="D594" i="19"/>
  <c r="N593" i="19"/>
  <c r="M593" i="19"/>
  <c r="J593" i="19"/>
  <c r="D593" i="19"/>
  <c r="N592" i="19"/>
  <c r="M592" i="19"/>
  <c r="J592" i="19"/>
  <c r="D592" i="19"/>
  <c r="N591" i="19"/>
  <c r="M591" i="19"/>
  <c r="J591" i="19"/>
  <c r="D591" i="19"/>
  <c r="N590" i="19"/>
  <c r="M590" i="19"/>
  <c r="J590" i="19"/>
  <c r="D590" i="19"/>
  <c r="M589" i="19"/>
  <c r="J589" i="19"/>
  <c r="N589" i="19" s="1"/>
  <c r="D589" i="19"/>
  <c r="M588" i="19"/>
  <c r="J588" i="19"/>
  <c r="N588" i="19" s="1"/>
  <c r="D588" i="19"/>
  <c r="M587" i="19"/>
  <c r="J587" i="19"/>
  <c r="N587" i="19" s="1"/>
  <c r="D587" i="19"/>
  <c r="N586" i="19"/>
  <c r="M586" i="19"/>
  <c r="J586" i="19"/>
  <c r="D586" i="19"/>
  <c r="N585" i="19"/>
  <c r="M585" i="19"/>
  <c r="J585" i="19"/>
  <c r="D585" i="19"/>
  <c r="N584" i="19"/>
  <c r="M584" i="19"/>
  <c r="J584" i="19"/>
  <c r="D584" i="19"/>
  <c r="N583" i="19"/>
  <c r="M583" i="19"/>
  <c r="J583" i="19"/>
  <c r="D583" i="19"/>
  <c r="M582" i="19"/>
  <c r="J582" i="19"/>
  <c r="N582" i="19" s="1"/>
  <c r="D582" i="19"/>
  <c r="M581" i="19"/>
  <c r="J581" i="19"/>
  <c r="N581" i="19" s="1"/>
  <c r="D581" i="19"/>
  <c r="M580" i="19"/>
  <c r="J580" i="19"/>
  <c r="N580" i="19" s="1"/>
  <c r="D580" i="19"/>
  <c r="N579" i="19"/>
  <c r="M579" i="19"/>
  <c r="J579" i="19"/>
  <c r="D579" i="19"/>
  <c r="N578" i="19"/>
  <c r="M578" i="19"/>
  <c r="J578" i="19"/>
  <c r="D578" i="19"/>
  <c r="N577" i="19"/>
  <c r="M577" i="19"/>
  <c r="J577" i="19"/>
  <c r="D577" i="19"/>
  <c r="N576" i="19"/>
  <c r="M576" i="19"/>
  <c r="J576" i="19"/>
  <c r="D576" i="19"/>
  <c r="M575" i="19"/>
  <c r="J575" i="19"/>
  <c r="N575" i="19" s="1"/>
  <c r="D575" i="19"/>
  <c r="M574" i="19"/>
  <c r="J574" i="19"/>
  <c r="N574" i="19" s="1"/>
  <c r="D574" i="19"/>
  <c r="M573" i="19"/>
  <c r="J573" i="19"/>
  <c r="N573" i="19" s="1"/>
  <c r="D573" i="19"/>
  <c r="N572" i="19"/>
  <c r="M572" i="19"/>
  <c r="J572" i="19"/>
  <c r="D572" i="19"/>
  <c r="N571" i="19"/>
  <c r="M571" i="19"/>
  <c r="J571" i="19"/>
  <c r="D571" i="19"/>
  <c r="N570" i="19"/>
  <c r="M570" i="19"/>
  <c r="J570" i="19"/>
  <c r="D570" i="19"/>
  <c r="N569" i="19"/>
  <c r="M569" i="19"/>
  <c r="J569" i="19"/>
  <c r="D569" i="19"/>
  <c r="M568" i="19"/>
  <c r="J568" i="19"/>
  <c r="N568" i="19" s="1"/>
  <c r="D568" i="19"/>
  <c r="M567" i="19"/>
  <c r="J567" i="19"/>
  <c r="N567" i="19" s="1"/>
  <c r="D567" i="19"/>
  <c r="M566" i="19"/>
  <c r="J566" i="19"/>
  <c r="N566" i="19" s="1"/>
  <c r="D566" i="19"/>
  <c r="N565" i="19"/>
  <c r="M565" i="19"/>
  <c r="J565" i="19"/>
  <c r="D565" i="19"/>
  <c r="N564" i="19"/>
  <c r="M564" i="19"/>
  <c r="J564" i="19"/>
  <c r="D564" i="19"/>
  <c r="N563" i="19"/>
  <c r="M563" i="19"/>
  <c r="J563" i="19"/>
  <c r="D563" i="19"/>
  <c r="N562" i="19"/>
  <c r="M562" i="19"/>
  <c r="J562" i="19"/>
  <c r="D562" i="19"/>
  <c r="M561" i="19"/>
  <c r="J561" i="19"/>
  <c r="N561" i="19" s="1"/>
  <c r="D561" i="19"/>
  <c r="M560" i="19"/>
  <c r="J560" i="19"/>
  <c r="N560" i="19" s="1"/>
  <c r="D560" i="19"/>
  <c r="M559" i="19"/>
  <c r="J559" i="19"/>
  <c r="N559" i="19" s="1"/>
  <c r="D559" i="19"/>
  <c r="N558" i="19"/>
  <c r="M558" i="19"/>
  <c r="D558" i="19"/>
  <c r="M557" i="19"/>
  <c r="J557" i="19"/>
  <c r="N557" i="19" s="1"/>
  <c r="D557" i="19"/>
  <c r="M556" i="19"/>
  <c r="J556" i="19"/>
  <c r="N556" i="19" s="1"/>
  <c r="D556" i="19"/>
  <c r="M555" i="19"/>
  <c r="J555" i="19"/>
  <c r="N555" i="19" s="1"/>
  <c r="D555" i="19"/>
  <c r="N554" i="19"/>
  <c r="M554" i="19"/>
  <c r="J554" i="19"/>
  <c r="D554" i="19"/>
  <c r="M553" i="19"/>
  <c r="J553" i="19"/>
  <c r="N553" i="19" s="1"/>
  <c r="D553" i="19"/>
  <c r="N552" i="19"/>
  <c r="M552" i="19"/>
  <c r="J552" i="19"/>
  <c r="D552" i="19"/>
  <c r="M551" i="19"/>
  <c r="J551" i="19"/>
  <c r="N551" i="19" s="1"/>
  <c r="D551" i="19"/>
  <c r="M550" i="19"/>
  <c r="J550" i="19"/>
  <c r="N550" i="19" s="1"/>
  <c r="D550" i="19"/>
  <c r="M549" i="19"/>
  <c r="J549" i="19"/>
  <c r="N549" i="19" s="1"/>
  <c r="D549" i="19"/>
  <c r="M548" i="19"/>
  <c r="J548" i="19"/>
  <c r="N548" i="19" s="1"/>
  <c r="D548" i="19"/>
  <c r="N547" i="19"/>
  <c r="M547" i="19"/>
  <c r="J547" i="19"/>
  <c r="D547" i="19"/>
  <c r="M546" i="19"/>
  <c r="J546" i="19"/>
  <c r="N546" i="19" s="1"/>
  <c r="D546" i="19"/>
  <c r="N545" i="19"/>
  <c r="M545" i="19"/>
  <c r="J545" i="19"/>
  <c r="D545" i="19"/>
  <c r="M544" i="19"/>
  <c r="J544" i="19"/>
  <c r="N544" i="19" s="1"/>
  <c r="D544" i="19"/>
  <c r="M543" i="19"/>
  <c r="J543" i="19"/>
  <c r="N543" i="19" s="1"/>
  <c r="D543" i="19"/>
  <c r="M542" i="19"/>
  <c r="J542" i="19"/>
  <c r="N542" i="19" s="1"/>
  <c r="D542" i="19"/>
  <c r="M541" i="19"/>
  <c r="J541" i="19"/>
  <c r="N541" i="19" s="1"/>
  <c r="D541" i="19"/>
  <c r="N540" i="19"/>
  <c r="M540" i="19"/>
  <c r="J540" i="19"/>
  <c r="D540" i="19"/>
  <c r="M539" i="19"/>
  <c r="J539" i="19"/>
  <c r="N539" i="19" s="1"/>
  <c r="D539" i="19"/>
  <c r="N538" i="19"/>
  <c r="M538" i="19"/>
  <c r="J538" i="19"/>
  <c r="D538" i="19"/>
  <c r="M537" i="19"/>
  <c r="J537" i="19"/>
  <c r="N537" i="19" s="1"/>
  <c r="D537" i="19"/>
  <c r="M536" i="19"/>
  <c r="J536" i="19"/>
  <c r="N536" i="19" s="1"/>
  <c r="D536" i="19"/>
  <c r="M535" i="19"/>
  <c r="J535" i="19"/>
  <c r="N535" i="19" s="1"/>
  <c r="D535" i="19"/>
  <c r="M534" i="19"/>
  <c r="J534" i="19"/>
  <c r="N534" i="19" s="1"/>
  <c r="D534" i="19"/>
  <c r="N533" i="19"/>
  <c r="M533" i="19"/>
  <c r="J533" i="19"/>
  <c r="D533" i="19"/>
  <c r="M532" i="19"/>
  <c r="J532" i="19"/>
  <c r="N532" i="19" s="1"/>
  <c r="D532" i="19"/>
  <c r="N531" i="19"/>
  <c r="M531" i="19"/>
  <c r="J531" i="19"/>
  <c r="D531" i="19"/>
  <c r="M530" i="19"/>
  <c r="J530" i="19"/>
  <c r="N530" i="19" s="1"/>
  <c r="D530" i="19"/>
  <c r="M529" i="19"/>
  <c r="J529" i="19"/>
  <c r="N529" i="19" s="1"/>
  <c r="D529" i="19"/>
  <c r="M528" i="19"/>
  <c r="J528" i="19"/>
  <c r="N528" i="19" s="1"/>
  <c r="D528" i="19"/>
  <c r="M527" i="19"/>
  <c r="J527" i="19"/>
  <c r="N527" i="19" s="1"/>
  <c r="D527" i="19"/>
  <c r="N526" i="19"/>
  <c r="M526" i="19"/>
  <c r="J526" i="19"/>
  <c r="D526" i="19"/>
  <c r="M525" i="19"/>
  <c r="J525" i="19"/>
  <c r="N525" i="19" s="1"/>
  <c r="D525" i="19"/>
  <c r="N524" i="19"/>
  <c r="M524" i="19"/>
  <c r="J524" i="19"/>
  <c r="D524" i="19"/>
  <c r="M523" i="19"/>
  <c r="J523" i="19"/>
  <c r="N523" i="19" s="1"/>
  <c r="D523" i="19"/>
  <c r="N522" i="19"/>
  <c r="M522" i="19"/>
  <c r="D522" i="19"/>
  <c r="M521" i="19"/>
  <c r="J521" i="19"/>
  <c r="N521" i="19" s="1"/>
  <c r="D521" i="19"/>
  <c r="N520" i="19"/>
  <c r="M520" i="19"/>
  <c r="J520" i="19"/>
  <c r="D520" i="19"/>
  <c r="N519" i="19"/>
  <c r="M519" i="19"/>
  <c r="J519" i="19"/>
  <c r="D519" i="19"/>
  <c r="M518" i="19"/>
  <c r="J518" i="19"/>
  <c r="N518" i="19" s="1"/>
  <c r="D518" i="19"/>
  <c r="N517" i="19"/>
  <c r="M517" i="19"/>
  <c r="J517" i="19"/>
  <c r="D517" i="19"/>
  <c r="M516" i="19"/>
  <c r="J516" i="19"/>
  <c r="N516" i="19" s="1"/>
  <c r="D516" i="19"/>
  <c r="M515" i="19"/>
  <c r="J515" i="19"/>
  <c r="N515" i="19" s="1"/>
  <c r="D515" i="19"/>
  <c r="M514" i="19"/>
  <c r="J514" i="19"/>
  <c r="N514" i="19" s="1"/>
  <c r="D514" i="19"/>
  <c r="N513" i="19"/>
  <c r="M513" i="19"/>
  <c r="J513" i="19"/>
  <c r="D513" i="19"/>
  <c r="N512" i="19"/>
  <c r="M512" i="19"/>
  <c r="J512" i="19"/>
  <c r="D512" i="19"/>
  <c r="M511" i="19"/>
  <c r="J511" i="19"/>
  <c r="N511" i="19" s="1"/>
  <c r="D511" i="19"/>
  <c r="M510" i="19"/>
  <c r="J510" i="19"/>
  <c r="N510" i="19" s="1"/>
  <c r="D510" i="19"/>
  <c r="M509" i="19"/>
  <c r="J509" i="19"/>
  <c r="N509" i="19" s="1"/>
  <c r="D509" i="19"/>
  <c r="M508" i="19"/>
  <c r="J508" i="19"/>
  <c r="N508" i="19" s="1"/>
  <c r="D508" i="19"/>
  <c r="M507" i="19"/>
  <c r="J507" i="19"/>
  <c r="N507" i="19" s="1"/>
  <c r="D507" i="19"/>
  <c r="N506" i="19"/>
  <c r="M506" i="19"/>
  <c r="J506" i="19"/>
  <c r="D506" i="19"/>
  <c r="N505" i="19"/>
  <c r="M505" i="19"/>
  <c r="J505" i="19"/>
  <c r="D505" i="19"/>
  <c r="M504" i="19"/>
  <c r="J504" i="19"/>
  <c r="N504" i="19" s="1"/>
  <c r="D504" i="19"/>
  <c r="M503" i="19"/>
  <c r="J503" i="19"/>
  <c r="N503" i="19" s="1"/>
  <c r="D503" i="19"/>
  <c r="M502" i="19"/>
  <c r="J502" i="19"/>
  <c r="N502" i="19" s="1"/>
  <c r="D502" i="19"/>
  <c r="M501" i="19"/>
  <c r="J501" i="19"/>
  <c r="N501" i="19" s="1"/>
  <c r="D501" i="19"/>
  <c r="M500" i="19"/>
  <c r="J500" i="19"/>
  <c r="N500" i="19" s="1"/>
  <c r="D500" i="19"/>
  <c r="N499" i="19"/>
  <c r="M499" i="19"/>
  <c r="J499" i="19"/>
  <c r="D499" i="19"/>
  <c r="N498" i="19"/>
  <c r="M498" i="19"/>
  <c r="J498" i="19"/>
  <c r="D498" i="19"/>
  <c r="M497" i="19"/>
  <c r="J497" i="19"/>
  <c r="N497" i="19" s="1"/>
  <c r="D497" i="19"/>
  <c r="M496" i="19"/>
  <c r="J496" i="19"/>
  <c r="N496" i="19" s="1"/>
  <c r="D496" i="19"/>
  <c r="M495" i="19"/>
  <c r="J495" i="19"/>
  <c r="N495" i="19" s="1"/>
  <c r="D495" i="19"/>
  <c r="M494" i="19"/>
  <c r="J494" i="19"/>
  <c r="N494" i="19" s="1"/>
  <c r="D494" i="19"/>
  <c r="M493" i="19"/>
  <c r="J493" i="19"/>
  <c r="N493" i="19" s="1"/>
  <c r="D493" i="19"/>
  <c r="N492" i="19"/>
  <c r="M492" i="19"/>
  <c r="J492" i="19"/>
  <c r="D492" i="19"/>
  <c r="N491" i="19"/>
  <c r="M491" i="19"/>
  <c r="J491" i="19"/>
  <c r="D491" i="19"/>
  <c r="M490" i="19"/>
  <c r="J490" i="19"/>
  <c r="N490" i="19" s="1"/>
  <c r="D490" i="19"/>
  <c r="M489" i="19"/>
  <c r="J489" i="19"/>
  <c r="N489" i="19" s="1"/>
  <c r="D489" i="19"/>
  <c r="M488" i="19"/>
  <c r="J488" i="19"/>
  <c r="N488" i="19" s="1"/>
  <c r="D488" i="19"/>
  <c r="M487" i="19"/>
  <c r="J487" i="19"/>
  <c r="N487" i="19" s="1"/>
  <c r="D487" i="19"/>
  <c r="M486" i="19"/>
  <c r="J486" i="19"/>
  <c r="N486" i="19" s="1"/>
  <c r="D486" i="19"/>
  <c r="N485" i="19"/>
  <c r="M485" i="19"/>
  <c r="J485" i="19"/>
  <c r="D485" i="19"/>
  <c r="N484" i="19"/>
  <c r="M484" i="19"/>
  <c r="J484" i="19"/>
  <c r="D484" i="19"/>
  <c r="M483" i="19"/>
  <c r="J483" i="19"/>
  <c r="N483" i="19" s="1"/>
  <c r="D483" i="19"/>
  <c r="M482" i="19"/>
  <c r="J482" i="19"/>
  <c r="N482" i="19" s="1"/>
  <c r="D482" i="19"/>
  <c r="M481" i="19"/>
  <c r="J481" i="19"/>
  <c r="N481" i="19" s="1"/>
  <c r="D481" i="19"/>
  <c r="M480" i="19"/>
  <c r="J480" i="19"/>
  <c r="N480" i="19" s="1"/>
  <c r="D480" i="19"/>
  <c r="M479" i="19"/>
  <c r="J479" i="19"/>
  <c r="N479" i="19" s="1"/>
  <c r="D479" i="19"/>
  <c r="N478" i="19"/>
  <c r="M478" i="19"/>
  <c r="J478" i="19"/>
  <c r="D478" i="19"/>
  <c r="N477" i="19"/>
  <c r="M477" i="19"/>
  <c r="J477" i="19"/>
  <c r="D477" i="19"/>
  <c r="M476" i="19"/>
  <c r="J476" i="19"/>
  <c r="N476" i="19" s="1"/>
  <c r="D476" i="19"/>
  <c r="M475" i="19"/>
  <c r="J475" i="19"/>
  <c r="N475" i="19" s="1"/>
  <c r="D475" i="19"/>
  <c r="M474" i="19"/>
  <c r="J474" i="19"/>
  <c r="N474" i="19" s="1"/>
  <c r="D474" i="19"/>
  <c r="M473" i="19"/>
  <c r="J473" i="19"/>
  <c r="N473" i="19" s="1"/>
  <c r="D473" i="19"/>
  <c r="M472" i="19"/>
  <c r="J472" i="19"/>
  <c r="N472" i="19" s="1"/>
  <c r="D472" i="19"/>
  <c r="N470" i="19"/>
  <c r="M470" i="19"/>
  <c r="J470" i="19"/>
  <c r="D470" i="19"/>
  <c r="N469" i="19"/>
  <c r="M469" i="19"/>
  <c r="J469" i="19"/>
  <c r="D469" i="19"/>
  <c r="M468" i="19"/>
  <c r="J468" i="19"/>
  <c r="N468" i="19" s="1"/>
  <c r="D468" i="19"/>
  <c r="M467" i="19"/>
  <c r="J467" i="19"/>
  <c r="N467" i="19" s="1"/>
  <c r="D467" i="19"/>
  <c r="M466" i="19"/>
  <c r="J466" i="19"/>
  <c r="N466" i="19" s="1"/>
  <c r="D466" i="19"/>
  <c r="M465" i="19"/>
  <c r="J465" i="19"/>
  <c r="N465" i="19" s="1"/>
  <c r="D465" i="19"/>
  <c r="M464" i="19"/>
  <c r="J464" i="19"/>
  <c r="N464" i="19" s="1"/>
  <c r="D464" i="19"/>
  <c r="N463" i="19"/>
  <c r="M463" i="19"/>
  <c r="J463" i="19"/>
  <c r="D463" i="19"/>
  <c r="N462" i="19"/>
  <c r="M462" i="19"/>
  <c r="J462" i="19"/>
  <c r="D462" i="19"/>
  <c r="M461" i="19"/>
  <c r="J461" i="19"/>
  <c r="N461" i="19" s="1"/>
  <c r="D461" i="19"/>
  <c r="M460" i="19"/>
  <c r="J460" i="19"/>
  <c r="N460" i="19" s="1"/>
  <c r="D460" i="19"/>
  <c r="M459" i="19"/>
  <c r="J459" i="19"/>
  <c r="N459" i="19" s="1"/>
  <c r="D459" i="19"/>
  <c r="M458" i="19"/>
  <c r="J458" i="19"/>
  <c r="N458" i="19" s="1"/>
  <c r="D458" i="19"/>
  <c r="M457" i="19"/>
  <c r="J457" i="19"/>
  <c r="N457" i="19" s="1"/>
  <c r="D457" i="19"/>
  <c r="N456" i="19"/>
  <c r="M456" i="19"/>
  <c r="J456" i="19"/>
  <c r="D456" i="19"/>
  <c r="N455" i="19"/>
  <c r="M455" i="19"/>
  <c r="J455" i="19"/>
  <c r="D455" i="19"/>
  <c r="M454" i="19"/>
  <c r="J454" i="19"/>
  <c r="N454" i="19" s="1"/>
  <c r="D454" i="19"/>
  <c r="M453" i="19"/>
  <c r="J453" i="19"/>
  <c r="N453" i="19" s="1"/>
  <c r="D453" i="19"/>
  <c r="M452" i="19"/>
  <c r="J452" i="19"/>
  <c r="N452" i="19" s="1"/>
  <c r="D452" i="19"/>
  <c r="M451" i="19"/>
  <c r="J451" i="19"/>
  <c r="N451" i="19" s="1"/>
  <c r="D451" i="19"/>
  <c r="M450" i="19"/>
  <c r="J450" i="19"/>
  <c r="N450" i="19" s="1"/>
  <c r="D450" i="19"/>
  <c r="N449" i="19"/>
  <c r="M449" i="19"/>
  <c r="J449" i="19"/>
  <c r="D449" i="19"/>
  <c r="N448" i="19"/>
  <c r="M448" i="19"/>
  <c r="J448" i="19"/>
  <c r="D448" i="19"/>
  <c r="M447" i="19"/>
  <c r="J447" i="19"/>
  <c r="N447" i="19" s="1"/>
  <c r="D447" i="19"/>
  <c r="M446" i="19"/>
  <c r="J446" i="19"/>
  <c r="N446" i="19" s="1"/>
  <c r="D446" i="19"/>
  <c r="M445" i="19"/>
  <c r="J445" i="19"/>
  <c r="N445" i="19" s="1"/>
  <c r="D445" i="19"/>
  <c r="N444" i="19"/>
  <c r="M444" i="19"/>
  <c r="D444" i="19"/>
  <c r="M443" i="19"/>
  <c r="J443" i="19"/>
  <c r="N443" i="19" s="1"/>
  <c r="D443" i="19"/>
  <c r="N442" i="19"/>
  <c r="M442" i="19"/>
  <c r="J442" i="19"/>
  <c r="D442" i="19"/>
  <c r="M441" i="19"/>
  <c r="J441" i="19"/>
  <c r="N441" i="19" s="1"/>
  <c r="D441" i="19"/>
  <c r="M440" i="19"/>
  <c r="J440" i="19"/>
  <c r="N440" i="19" s="1"/>
  <c r="D440" i="19"/>
  <c r="M439" i="19"/>
  <c r="J439" i="19"/>
  <c r="N439" i="19" s="1"/>
  <c r="D439" i="19"/>
  <c r="M438" i="19"/>
  <c r="J438" i="19"/>
  <c r="N438" i="19" s="1"/>
  <c r="D438" i="19"/>
  <c r="N437" i="19"/>
  <c r="M437" i="19"/>
  <c r="J437" i="19"/>
  <c r="D437" i="19"/>
  <c r="M436" i="19"/>
  <c r="J436" i="19"/>
  <c r="N436" i="19" s="1"/>
  <c r="D436" i="19"/>
  <c r="N435" i="19"/>
  <c r="M435" i="19"/>
  <c r="J435" i="19"/>
  <c r="D435" i="19"/>
  <c r="M434" i="19"/>
  <c r="J434" i="19"/>
  <c r="N434" i="19" s="1"/>
  <c r="D434" i="19"/>
  <c r="M433" i="19"/>
  <c r="J433" i="19"/>
  <c r="N433" i="19" s="1"/>
  <c r="D433" i="19"/>
  <c r="M432" i="19"/>
  <c r="J432" i="19"/>
  <c r="N432" i="19" s="1"/>
  <c r="D432" i="19"/>
  <c r="M431" i="19"/>
  <c r="J431" i="19"/>
  <c r="N431" i="19" s="1"/>
  <c r="D431" i="19"/>
  <c r="N430" i="19"/>
  <c r="M430" i="19"/>
  <c r="J430" i="19"/>
  <c r="D430" i="19"/>
  <c r="M429" i="19"/>
  <c r="J429" i="19"/>
  <c r="N429" i="19" s="1"/>
  <c r="D429" i="19"/>
  <c r="N428" i="19"/>
  <c r="M428" i="19"/>
  <c r="J428" i="19"/>
  <c r="D428" i="19"/>
  <c r="M427" i="19"/>
  <c r="J427" i="19"/>
  <c r="N427" i="19" s="1"/>
  <c r="D427" i="19"/>
  <c r="M426" i="19"/>
  <c r="J426" i="19"/>
  <c r="N426" i="19" s="1"/>
  <c r="D426" i="19"/>
  <c r="M425" i="19"/>
  <c r="J425" i="19"/>
  <c r="N425" i="19" s="1"/>
  <c r="D425" i="19"/>
  <c r="M424" i="19"/>
  <c r="J424" i="19"/>
  <c r="N424" i="19" s="1"/>
  <c r="D424" i="19"/>
  <c r="N423" i="19"/>
  <c r="M423" i="19"/>
  <c r="J423" i="19"/>
  <c r="D423" i="19"/>
  <c r="M422" i="19"/>
  <c r="J422" i="19"/>
  <c r="N422" i="19" s="1"/>
  <c r="D422" i="19"/>
  <c r="N421" i="19"/>
  <c r="M421" i="19"/>
  <c r="J421" i="19"/>
  <c r="D421" i="19"/>
  <c r="M420" i="19"/>
  <c r="J420" i="19"/>
  <c r="N420" i="19" s="1"/>
  <c r="D420" i="19"/>
  <c r="M419" i="19"/>
  <c r="J419" i="19"/>
  <c r="N419" i="19" s="1"/>
  <c r="D419" i="19"/>
  <c r="M418" i="19"/>
  <c r="J418" i="19"/>
  <c r="N418" i="19" s="1"/>
  <c r="D418" i="19"/>
  <c r="N417" i="19"/>
  <c r="M417" i="19"/>
  <c r="D417" i="19"/>
  <c r="N416" i="19"/>
  <c r="M416" i="19"/>
  <c r="J416" i="19"/>
  <c r="D416" i="19"/>
  <c r="M415" i="19"/>
  <c r="J415" i="19"/>
  <c r="N415" i="19" s="1"/>
  <c r="D415" i="19"/>
  <c r="M414" i="19"/>
  <c r="J414" i="19"/>
  <c r="N414" i="19" s="1"/>
  <c r="D414" i="19"/>
  <c r="M413" i="19"/>
  <c r="J413" i="19"/>
  <c r="N413" i="19" s="1"/>
  <c r="D413" i="19"/>
  <c r="M412" i="19"/>
  <c r="J412" i="19"/>
  <c r="N412" i="19" s="1"/>
  <c r="D412" i="19"/>
  <c r="M411" i="19"/>
  <c r="J411" i="19"/>
  <c r="N411" i="19" s="1"/>
  <c r="D411" i="19"/>
  <c r="N410" i="19"/>
  <c r="M410" i="19"/>
  <c r="J410" i="19"/>
  <c r="D410" i="19"/>
  <c r="N409" i="19"/>
  <c r="M409" i="19"/>
  <c r="J409" i="19"/>
  <c r="D409" i="19"/>
  <c r="M408" i="19"/>
  <c r="J408" i="19"/>
  <c r="N408" i="19" s="1"/>
  <c r="D408" i="19"/>
  <c r="M407" i="19"/>
  <c r="J407" i="19"/>
  <c r="N407" i="19" s="1"/>
  <c r="D407" i="19"/>
  <c r="M406" i="19"/>
  <c r="J406" i="19"/>
  <c r="N406" i="19" s="1"/>
  <c r="D406" i="19"/>
  <c r="M405" i="19"/>
  <c r="J405" i="19"/>
  <c r="N405" i="19" s="1"/>
  <c r="D405" i="19"/>
  <c r="M404" i="19"/>
  <c r="J404" i="19"/>
  <c r="N404" i="19" s="1"/>
  <c r="D404" i="19"/>
  <c r="N403" i="19"/>
  <c r="M403" i="19"/>
  <c r="J403" i="19"/>
  <c r="D403" i="19"/>
  <c r="N402" i="19"/>
  <c r="M402" i="19"/>
  <c r="J402" i="19"/>
  <c r="D402" i="19"/>
  <c r="M401" i="19"/>
  <c r="J401" i="19"/>
  <c r="N401" i="19" s="1"/>
  <c r="D401" i="19"/>
  <c r="M400" i="19"/>
  <c r="J400" i="19"/>
  <c r="N400" i="19" s="1"/>
  <c r="D400" i="19"/>
  <c r="M399" i="19"/>
  <c r="J399" i="19"/>
  <c r="N399" i="19" s="1"/>
  <c r="D399" i="19"/>
  <c r="M398" i="19"/>
  <c r="J398" i="19"/>
  <c r="N398" i="19" s="1"/>
  <c r="D398" i="19"/>
  <c r="M397" i="19"/>
  <c r="J397" i="19"/>
  <c r="N397" i="19" s="1"/>
  <c r="D397" i="19"/>
  <c r="N396" i="19"/>
  <c r="M396" i="19"/>
  <c r="J396" i="19"/>
  <c r="D396" i="19"/>
  <c r="N395" i="19"/>
  <c r="M395" i="19"/>
  <c r="J395" i="19"/>
  <c r="D395" i="19"/>
  <c r="M394" i="19"/>
  <c r="J394" i="19"/>
  <c r="N394" i="19" s="1"/>
  <c r="D394" i="19"/>
  <c r="M393" i="19"/>
  <c r="J393" i="19"/>
  <c r="N393" i="19" s="1"/>
  <c r="D393" i="19"/>
  <c r="M392" i="19"/>
  <c r="J392" i="19"/>
  <c r="N392" i="19" s="1"/>
  <c r="D392" i="19"/>
  <c r="M391" i="19"/>
  <c r="J391" i="19"/>
  <c r="N391" i="19" s="1"/>
  <c r="D391" i="19"/>
  <c r="N390" i="19"/>
  <c r="M390" i="19"/>
  <c r="D390" i="19"/>
  <c r="N389" i="19"/>
  <c r="M389" i="19"/>
  <c r="J389" i="19"/>
  <c r="D389" i="19"/>
  <c r="M388" i="19"/>
  <c r="J388" i="19"/>
  <c r="N388" i="19" s="1"/>
  <c r="D388" i="19"/>
  <c r="M387" i="19"/>
  <c r="J387" i="19"/>
  <c r="N387" i="19" s="1"/>
  <c r="D387" i="19"/>
  <c r="M386" i="19"/>
  <c r="J386" i="19"/>
  <c r="N386" i="19" s="1"/>
  <c r="D386" i="19"/>
  <c r="M385" i="19"/>
  <c r="J385" i="19"/>
  <c r="N385" i="19" s="1"/>
  <c r="D385" i="19"/>
  <c r="N384" i="19"/>
  <c r="M384" i="19"/>
  <c r="J384" i="19"/>
  <c r="D384" i="19"/>
  <c r="M383" i="19"/>
  <c r="J383" i="19"/>
  <c r="N383" i="19" s="1"/>
  <c r="D383" i="19"/>
  <c r="N382" i="19"/>
  <c r="M382" i="19"/>
  <c r="J382" i="19"/>
  <c r="D382" i="19"/>
  <c r="M381" i="19"/>
  <c r="J381" i="19"/>
  <c r="N381" i="19" s="1"/>
  <c r="D381" i="19"/>
  <c r="M380" i="19"/>
  <c r="J380" i="19"/>
  <c r="N380" i="19" s="1"/>
  <c r="D380" i="19"/>
  <c r="M379" i="19"/>
  <c r="J379" i="19"/>
  <c r="N379" i="19" s="1"/>
  <c r="D379" i="19"/>
  <c r="M378" i="19"/>
  <c r="J378" i="19"/>
  <c r="N378" i="19" s="1"/>
  <c r="D378" i="19"/>
  <c r="N377" i="19"/>
  <c r="M377" i="19"/>
  <c r="J377" i="19"/>
  <c r="D377" i="19"/>
  <c r="M376" i="19"/>
  <c r="J376" i="19"/>
  <c r="N376" i="19" s="1"/>
  <c r="D376" i="19"/>
  <c r="N375" i="19"/>
  <c r="M375" i="19"/>
  <c r="J375" i="19"/>
  <c r="D375" i="19"/>
  <c r="M374" i="19"/>
  <c r="J374" i="19"/>
  <c r="N374" i="19" s="1"/>
  <c r="D374" i="19"/>
  <c r="M373" i="19"/>
  <c r="J373" i="19"/>
  <c r="N373" i="19" s="1"/>
  <c r="D373" i="19"/>
  <c r="M372" i="19"/>
  <c r="J372" i="19"/>
  <c r="N372" i="19" s="1"/>
  <c r="D372" i="19"/>
  <c r="M371" i="19"/>
  <c r="J371" i="19"/>
  <c r="N371" i="19" s="1"/>
  <c r="D371" i="19"/>
  <c r="N370" i="19"/>
  <c r="M370" i="19"/>
  <c r="J370" i="19"/>
  <c r="D370" i="19"/>
  <c r="M369" i="19"/>
  <c r="J369" i="19"/>
  <c r="N369" i="19" s="1"/>
  <c r="D369" i="19"/>
  <c r="N368" i="19"/>
  <c r="M368" i="19"/>
  <c r="J368" i="19"/>
  <c r="D368" i="19"/>
  <c r="M367" i="19"/>
  <c r="J367" i="19"/>
  <c r="N367" i="19" s="1"/>
  <c r="D367" i="19"/>
  <c r="M366" i="19"/>
  <c r="J366" i="19"/>
  <c r="N366" i="19" s="1"/>
  <c r="D366" i="19"/>
  <c r="M365" i="19"/>
  <c r="J365" i="19"/>
  <c r="N365" i="19" s="1"/>
  <c r="D365" i="19"/>
  <c r="M364" i="19"/>
  <c r="J364" i="19"/>
  <c r="N364" i="19" s="1"/>
  <c r="D364" i="19"/>
  <c r="N363" i="19"/>
  <c r="M363" i="19"/>
  <c r="D363" i="19"/>
  <c r="M362" i="19"/>
  <c r="J362" i="19"/>
  <c r="N362" i="19" s="1"/>
  <c r="D362" i="19"/>
  <c r="M361" i="19"/>
  <c r="J361" i="19"/>
  <c r="N361" i="19" s="1"/>
  <c r="D361" i="19"/>
  <c r="M360" i="19"/>
  <c r="J360" i="19"/>
  <c r="N360" i="19" s="1"/>
  <c r="D360" i="19"/>
  <c r="M359" i="19"/>
  <c r="J359" i="19"/>
  <c r="N359" i="19" s="1"/>
  <c r="D359" i="19"/>
  <c r="M358" i="19"/>
  <c r="J358" i="19"/>
  <c r="N358" i="19" s="1"/>
  <c r="D358" i="19"/>
  <c r="N357" i="19"/>
  <c r="M357" i="19"/>
  <c r="J357" i="19"/>
  <c r="D357" i="19"/>
  <c r="N356" i="19"/>
  <c r="M356" i="19"/>
  <c r="J356" i="19"/>
  <c r="D356" i="19"/>
  <c r="M355" i="19"/>
  <c r="J355" i="19"/>
  <c r="N355" i="19" s="1"/>
  <c r="D355" i="19"/>
  <c r="M354" i="19"/>
  <c r="J354" i="19"/>
  <c r="N354" i="19" s="1"/>
  <c r="D354" i="19"/>
  <c r="M353" i="19"/>
  <c r="J353" i="19"/>
  <c r="N353" i="19" s="1"/>
  <c r="D353" i="19"/>
  <c r="M352" i="19"/>
  <c r="J352" i="19"/>
  <c r="N352" i="19" s="1"/>
  <c r="D352" i="19"/>
  <c r="M351" i="19"/>
  <c r="J351" i="19"/>
  <c r="N351" i="19" s="1"/>
  <c r="D351" i="19"/>
  <c r="N350" i="19"/>
  <c r="M350" i="19"/>
  <c r="J350" i="19"/>
  <c r="D350" i="19"/>
  <c r="N349" i="19"/>
  <c r="M349" i="19"/>
  <c r="J349" i="19"/>
  <c r="D349" i="19"/>
  <c r="M348" i="19"/>
  <c r="J348" i="19"/>
  <c r="N348" i="19" s="1"/>
  <c r="D348" i="19"/>
  <c r="M347" i="19"/>
  <c r="J347" i="19"/>
  <c r="N347" i="19" s="1"/>
  <c r="D347" i="19"/>
  <c r="M346" i="19"/>
  <c r="J346" i="19"/>
  <c r="N346" i="19" s="1"/>
  <c r="D346" i="19"/>
  <c r="M345" i="19"/>
  <c r="J345" i="19"/>
  <c r="N345" i="19" s="1"/>
  <c r="D345" i="19"/>
  <c r="M344" i="19"/>
  <c r="J344" i="19"/>
  <c r="N344" i="19" s="1"/>
  <c r="D344" i="19"/>
  <c r="N343" i="19"/>
  <c r="M343" i="19"/>
  <c r="J343" i="19"/>
  <c r="D343" i="19"/>
  <c r="N342" i="19"/>
  <c r="M342" i="19"/>
  <c r="J342" i="19"/>
  <c r="D342" i="19"/>
  <c r="M341" i="19"/>
  <c r="J341" i="19"/>
  <c r="N341" i="19" s="1"/>
  <c r="D341" i="19"/>
  <c r="M340" i="19"/>
  <c r="J340" i="19"/>
  <c r="N340" i="19" s="1"/>
  <c r="D340" i="19"/>
  <c r="M339" i="19"/>
  <c r="J339" i="19"/>
  <c r="N339" i="19" s="1"/>
  <c r="D339" i="19"/>
  <c r="M338" i="19"/>
  <c r="J338" i="19"/>
  <c r="N338" i="19" s="1"/>
  <c r="D338" i="19"/>
  <c r="M337" i="19"/>
  <c r="J337" i="19"/>
  <c r="N337" i="19" s="1"/>
  <c r="D337" i="19"/>
  <c r="N336" i="19"/>
  <c r="M336" i="19"/>
  <c r="D336" i="19"/>
  <c r="M335" i="19"/>
  <c r="J335" i="19"/>
  <c r="N335" i="19" s="1"/>
  <c r="D335" i="19"/>
  <c r="M334" i="19"/>
  <c r="J334" i="19"/>
  <c r="N334" i="19" s="1"/>
  <c r="D334" i="19"/>
  <c r="M333" i="19"/>
  <c r="J333" i="19"/>
  <c r="N333" i="19" s="1"/>
  <c r="D333" i="19"/>
  <c r="M332" i="19"/>
  <c r="J332" i="19"/>
  <c r="N332" i="19" s="1"/>
  <c r="D332" i="19"/>
  <c r="N331" i="19"/>
  <c r="M331" i="19"/>
  <c r="J331" i="19"/>
  <c r="D331" i="19"/>
  <c r="M330" i="19"/>
  <c r="J330" i="19"/>
  <c r="N330" i="19" s="1"/>
  <c r="D330" i="19"/>
  <c r="N329" i="19"/>
  <c r="M329" i="19"/>
  <c r="J329" i="19"/>
  <c r="D329" i="19"/>
  <c r="M328" i="19"/>
  <c r="J328" i="19"/>
  <c r="N328" i="19" s="1"/>
  <c r="D328" i="19"/>
  <c r="M327" i="19"/>
  <c r="J327" i="19"/>
  <c r="N327" i="19" s="1"/>
  <c r="D327" i="19"/>
  <c r="M326" i="19"/>
  <c r="J326" i="19"/>
  <c r="N326" i="19" s="1"/>
  <c r="D326" i="19"/>
  <c r="M325" i="19"/>
  <c r="J325" i="19"/>
  <c r="N325" i="19" s="1"/>
  <c r="D325" i="19"/>
  <c r="N324" i="19"/>
  <c r="M324" i="19"/>
  <c r="J324" i="19"/>
  <c r="D324" i="19"/>
  <c r="M323" i="19"/>
  <c r="J323" i="19"/>
  <c r="N323" i="19" s="1"/>
  <c r="D323" i="19"/>
  <c r="N322" i="19"/>
  <c r="M322" i="19"/>
  <c r="J322" i="19"/>
  <c r="D322" i="19"/>
  <c r="M321" i="19"/>
  <c r="J321" i="19"/>
  <c r="N321" i="19" s="1"/>
  <c r="D321" i="19"/>
  <c r="M320" i="19"/>
  <c r="J320" i="19"/>
  <c r="N320" i="19" s="1"/>
  <c r="D320" i="19"/>
  <c r="M319" i="19"/>
  <c r="J319" i="19"/>
  <c r="N319" i="19" s="1"/>
  <c r="D319" i="19"/>
  <c r="M318" i="19"/>
  <c r="J318" i="19"/>
  <c r="N318" i="19" s="1"/>
  <c r="D318" i="19"/>
  <c r="N317" i="19"/>
  <c r="M317" i="19"/>
  <c r="J317" i="19"/>
  <c r="D317" i="19"/>
  <c r="M316" i="19"/>
  <c r="J316" i="19"/>
  <c r="N316" i="19" s="1"/>
  <c r="D316" i="19"/>
  <c r="N315" i="19"/>
  <c r="M315" i="19"/>
  <c r="J315" i="19"/>
  <c r="D315" i="19"/>
  <c r="M314" i="19"/>
  <c r="J314" i="19"/>
  <c r="N314" i="19" s="1"/>
  <c r="D314" i="19"/>
  <c r="M313" i="19"/>
  <c r="J313" i="19"/>
  <c r="N313" i="19" s="1"/>
  <c r="D313" i="19"/>
  <c r="M312" i="19"/>
  <c r="J312" i="19"/>
  <c r="N312" i="19" s="1"/>
  <c r="D312" i="19"/>
  <c r="M311" i="19"/>
  <c r="J311" i="19"/>
  <c r="N311" i="19" s="1"/>
  <c r="D311" i="19"/>
  <c r="N310" i="19"/>
  <c r="M310" i="19"/>
  <c r="J310" i="19"/>
  <c r="D310" i="19"/>
  <c r="N309" i="19"/>
  <c r="M309" i="19"/>
  <c r="D309" i="19"/>
  <c r="M308" i="19"/>
  <c r="J308" i="19"/>
  <c r="N308" i="19" s="1"/>
  <c r="D308" i="19"/>
  <c r="M307" i="19"/>
  <c r="J307" i="19"/>
  <c r="N307" i="19" s="1"/>
  <c r="D307" i="19"/>
  <c r="M306" i="19"/>
  <c r="J306" i="19"/>
  <c r="N306" i="19" s="1"/>
  <c r="D306" i="19"/>
  <c r="M305" i="19"/>
  <c r="J305" i="19"/>
  <c r="N305" i="19" s="1"/>
  <c r="D305" i="19"/>
  <c r="N304" i="19"/>
  <c r="M304" i="19"/>
  <c r="J304" i="19"/>
  <c r="D304" i="19"/>
  <c r="N303" i="19"/>
  <c r="M303" i="19"/>
  <c r="J303" i="19"/>
  <c r="D303" i="19"/>
  <c r="M302" i="19"/>
  <c r="J302" i="19"/>
  <c r="N302" i="19" s="1"/>
  <c r="D302" i="19"/>
  <c r="M301" i="19"/>
  <c r="J301" i="19"/>
  <c r="N301" i="19" s="1"/>
  <c r="D301" i="19"/>
  <c r="M300" i="19"/>
  <c r="J300" i="19"/>
  <c r="N300" i="19" s="1"/>
  <c r="D300" i="19"/>
  <c r="M299" i="19"/>
  <c r="J299" i="19"/>
  <c r="N299" i="19" s="1"/>
  <c r="D299" i="19"/>
  <c r="M298" i="19"/>
  <c r="J298" i="19"/>
  <c r="N298" i="19" s="1"/>
  <c r="D298" i="19"/>
  <c r="N297" i="19"/>
  <c r="M297" i="19"/>
  <c r="J297" i="19"/>
  <c r="D297" i="19"/>
  <c r="N296" i="19"/>
  <c r="M296" i="19"/>
  <c r="J296" i="19"/>
  <c r="D296" i="19"/>
  <c r="M295" i="19"/>
  <c r="J295" i="19"/>
  <c r="N295" i="19" s="1"/>
  <c r="D295" i="19"/>
  <c r="M294" i="19"/>
  <c r="J294" i="19"/>
  <c r="N294" i="19" s="1"/>
  <c r="D294" i="19"/>
  <c r="M293" i="19"/>
  <c r="J293" i="19"/>
  <c r="N293" i="19" s="1"/>
  <c r="D293" i="19"/>
  <c r="M292" i="19"/>
  <c r="J292" i="19"/>
  <c r="N292" i="19" s="1"/>
  <c r="D292" i="19"/>
  <c r="M291" i="19"/>
  <c r="J291" i="19"/>
  <c r="N291" i="19" s="1"/>
  <c r="D291" i="19"/>
  <c r="N290" i="19"/>
  <c r="M290" i="19"/>
  <c r="J290" i="19"/>
  <c r="D290" i="19"/>
  <c r="N289" i="19"/>
  <c r="M289" i="19"/>
  <c r="J289" i="19"/>
  <c r="D289" i="19"/>
  <c r="M288" i="19"/>
  <c r="J288" i="19"/>
  <c r="N288" i="19" s="1"/>
  <c r="D288" i="19"/>
  <c r="M287" i="19"/>
  <c r="J287" i="19"/>
  <c r="N287" i="19" s="1"/>
  <c r="D287" i="19"/>
  <c r="M286" i="19"/>
  <c r="J286" i="19"/>
  <c r="N286" i="19" s="1"/>
  <c r="D286" i="19"/>
  <c r="M285" i="19"/>
  <c r="J285" i="19"/>
  <c r="N285" i="19" s="1"/>
  <c r="D285" i="19"/>
  <c r="M284" i="19"/>
  <c r="J284" i="19"/>
  <c r="N284" i="19" s="1"/>
  <c r="D284" i="19"/>
  <c r="N283" i="19"/>
  <c r="M283" i="19"/>
  <c r="J283" i="19"/>
  <c r="D283" i="19"/>
  <c r="N282" i="19"/>
  <c r="M282" i="19"/>
  <c r="D282" i="19"/>
  <c r="M281" i="19"/>
  <c r="J281" i="19"/>
  <c r="N281" i="19" s="1"/>
  <c r="D281" i="19"/>
  <c r="M280" i="19"/>
  <c r="J280" i="19"/>
  <c r="N280" i="19" s="1"/>
  <c r="D280" i="19"/>
  <c r="M279" i="19"/>
  <c r="J279" i="19"/>
  <c r="N279" i="19" s="1"/>
  <c r="D279" i="19"/>
  <c r="N278" i="19"/>
  <c r="M278" i="19"/>
  <c r="J278" i="19"/>
  <c r="D278" i="19"/>
  <c r="M277" i="19"/>
  <c r="J277" i="19"/>
  <c r="N277" i="19" s="1"/>
  <c r="D277" i="19"/>
  <c r="N276" i="19"/>
  <c r="M276" i="19"/>
  <c r="J276" i="19"/>
  <c r="D276" i="19"/>
  <c r="M275" i="19"/>
  <c r="J275" i="19"/>
  <c r="N275" i="19" s="1"/>
  <c r="D275" i="19"/>
  <c r="M274" i="19"/>
  <c r="J274" i="19"/>
  <c r="N274" i="19" s="1"/>
  <c r="D274" i="19"/>
  <c r="M273" i="19"/>
  <c r="J273" i="19"/>
  <c r="N273" i="19" s="1"/>
  <c r="D273" i="19"/>
  <c r="M272" i="19"/>
  <c r="J272" i="19"/>
  <c r="N272" i="19" s="1"/>
  <c r="D272" i="19"/>
  <c r="N271" i="19"/>
  <c r="M271" i="19"/>
  <c r="J271" i="19"/>
  <c r="D271" i="19"/>
  <c r="M270" i="19"/>
  <c r="J270" i="19"/>
  <c r="N270" i="19" s="1"/>
  <c r="D270" i="19"/>
  <c r="N269" i="19"/>
  <c r="M269" i="19"/>
  <c r="J269" i="19"/>
  <c r="D269" i="19"/>
  <c r="M268" i="19"/>
  <c r="J268" i="19"/>
  <c r="N268" i="19" s="1"/>
  <c r="D268" i="19"/>
  <c r="M267" i="19"/>
  <c r="J267" i="19"/>
  <c r="N267" i="19" s="1"/>
  <c r="D267" i="19"/>
  <c r="M266" i="19"/>
  <c r="J266" i="19"/>
  <c r="N266" i="19" s="1"/>
  <c r="D266" i="19"/>
  <c r="M265" i="19"/>
  <c r="J265" i="19"/>
  <c r="N265" i="19" s="1"/>
  <c r="D265" i="19"/>
  <c r="N264" i="19"/>
  <c r="M264" i="19"/>
  <c r="J264" i="19"/>
  <c r="D264" i="19"/>
  <c r="M263" i="19"/>
  <c r="J263" i="19"/>
  <c r="N263" i="19" s="1"/>
  <c r="D263" i="19"/>
  <c r="N262" i="19"/>
  <c r="M262" i="19"/>
  <c r="J262" i="19"/>
  <c r="D262" i="19"/>
  <c r="M261" i="19"/>
  <c r="J261" i="19"/>
  <c r="N261" i="19" s="1"/>
  <c r="D261" i="19"/>
  <c r="M260" i="19"/>
  <c r="J260" i="19"/>
  <c r="N260" i="19" s="1"/>
  <c r="D260" i="19"/>
  <c r="M259" i="19"/>
  <c r="J259" i="19"/>
  <c r="N259" i="19" s="1"/>
  <c r="D259" i="19"/>
  <c r="M258" i="19"/>
  <c r="J258" i="19"/>
  <c r="N258" i="19" s="1"/>
  <c r="D258" i="19"/>
  <c r="N257" i="19"/>
  <c r="M257" i="19"/>
  <c r="J257" i="19"/>
  <c r="D257" i="19"/>
  <c r="M256" i="19"/>
  <c r="J256" i="19"/>
  <c r="N256" i="19" s="1"/>
  <c r="D256" i="19"/>
  <c r="N255" i="19"/>
  <c r="M255" i="19"/>
  <c r="D255" i="19"/>
  <c r="M254" i="19"/>
  <c r="J254" i="19"/>
  <c r="N254" i="19" s="1"/>
  <c r="D254" i="19"/>
  <c r="M253" i="19"/>
  <c r="J253" i="19"/>
  <c r="N253" i="19" s="1"/>
  <c r="D253" i="19"/>
  <c r="M252" i="19"/>
  <c r="J252" i="19"/>
  <c r="N252" i="19" s="1"/>
  <c r="D252" i="19"/>
  <c r="N251" i="19"/>
  <c r="M251" i="19"/>
  <c r="J251" i="19"/>
  <c r="D251" i="19"/>
  <c r="N250" i="19"/>
  <c r="M250" i="19"/>
  <c r="J250" i="19"/>
  <c r="D250" i="19"/>
  <c r="M249" i="19"/>
  <c r="J249" i="19"/>
  <c r="N249" i="19" s="1"/>
  <c r="D249" i="19"/>
  <c r="M248" i="19"/>
  <c r="J248" i="19"/>
  <c r="N248" i="19" s="1"/>
  <c r="D248" i="19"/>
  <c r="M247" i="19"/>
  <c r="J247" i="19"/>
  <c r="N247" i="19" s="1"/>
  <c r="D247" i="19"/>
  <c r="M246" i="19"/>
  <c r="J246" i="19"/>
  <c r="N246" i="19" s="1"/>
  <c r="D246" i="19"/>
  <c r="M245" i="19"/>
  <c r="J245" i="19"/>
  <c r="N245" i="19" s="1"/>
  <c r="D245" i="19"/>
  <c r="N244" i="19"/>
  <c r="M244" i="19"/>
  <c r="J244" i="19"/>
  <c r="D244" i="19"/>
  <c r="N243" i="19"/>
  <c r="M243" i="19"/>
  <c r="J243" i="19"/>
  <c r="D243" i="19"/>
  <c r="M242" i="19"/>
  <c r="J242" i="19"/>
  <c r="N242" i="19" s="1"/>
  <c r="D242" i="19"/>
  <c r="M241" i="19"/>
  <c r="J241" i="19"/>
  <c r="N241" i="19" s="1"/>
  <c r="D241" i="19"/>
  <c r="M240" i="19"/>
  <c r="J240" i="19"/>
  <c r="N240" i="19" s="1"/>
  <c r="D240" i="19"/>
  <c r="M239" i="19"/>
  <c r="J239" i="19"/>
  <c r="N239" i="19" s="1"/>
  <c r="D239" i="19"/>
  <c r="M238" i="19"/>
  <c r="J238" i="19"/>
  <c r="N238" i="19" s="1"/>
  <c r="D238" i="19"/>
  <c r="N237" i="19"/>
  <c r="M237" i="19"/>
  <c r="J237" i="19"/>
  <c r="D237" i="19"/>
  <c r="N236" i="19"/>
  <c r="M236" i="19"/>
  <c r="J236" i="19"/>
  <c r="D236" i="19"/>
  <c r="M235" i="19"/>
  <c r="J235" i="19"/>
  <c r="N235" i="19" s="1"/>
  <c r="D235" i="19"/>
  <c r="M234" i="19"/>
  <c r="J234" i="19"/>
  <c r="N234" i="19" s="1"/>
  <c r="D234" i="19"/>
  <c r="M233" i="19"/>
  <c r="J233" i="19"/>
  <c r="N233" i="19" s="1"/>
  <c r="D233" i="19"/>
  <c r="M232" i="19"/>
  <c r="J232" i="19"/>
  <c r="N232" i="19" s="1"/>
  <c r="D232" i="19"/>
  <c r="M231" i="19"/>
  <c r="J231" i="19"/>
  <c r="N231" i="19" s="1"/>
  <c r="D231" i="19"/>
  <c r="N230" i="19"/>
  <c r="M230" i="19"/>
  <c r="J230" i="19"/>
  <c r="D230" i="19"/>
  <c r="N229" i="19"/>
  <c r="M229" i="19"/>
  <c r="J229" i="19"/>
  <c r="D229" i="19"/>
  <c r="M39" i="18"/>
  <c r="M38" i="18"/>
  <c r="M37" i="18"/>
  <c r="M36" i="18"/>
  <c r="M35" i="18"/>
  <c r="M34" i="18"/>
  <c r="M33" i="18"/>
  <c r="M32" i="18"/>
  <c r="J32" i="18"/>
  <c r="M31" i="18"/>
  <c r="J31" i="18"/>
  <c r="M30" i="18"/>
  <c r="J30" i="18"/>
  <c r="M29" i="18"/>
  <c r="J29" i="18"/>
  <c r="M28" i="18"/>
  <c r="J28" i="18"/>
  <c r="M27" i="18"/>
  <c r="J27" i="18"/>
  <c r="M26" i="18"/>
  <c r="J26" i="18"/>
  <c r="M25" i="18"/>
  <c r="J25" i="18"/>
  <c r="M24" i="18"/>
  <c r="J24" i="18"/>
  <c r="M23" i="18"/>
  <c r="J23" i="18"/>
  <c r="M22" i="18"/>
  <c r="J22" i="18"/>
  <c r="M21" i="18"/>
  <c r="J21" i="18"/>
  <c r="M20" i="18"/>
  <c r="J20" i="18"/>
  <c r="M19" i="18"/>
  <c r="J19" i="18"/>
  <c r="M18" i="18"/>
  <c r="J18" i="18"/>
  <c r="M17" i="18"/>
  <c r="J17" i="18"/>
  <c r="L20" i="21" l="1" a="1"/>
  <c r="L20" i="21" s="1"/>
  <c r="M20" i="21" a="1"/>
  <c r="M20" i="21" s="1"/>
  <c r="L21" i="21" a="1"/>
  <c r="L21" i="21" s="1"/>
  <c r="M21" i="21" a="1"/>
  <c r="M21" i="21" s="1"/>
  <c r="L22" i="21" a="1"/>
  <c r="L22" i="21" s="1"/>
  <c r="M22" i="21" a="1"/>
  <c r="M22" i="21" s="1"/>
  <c r="L23" i="21" a="1"/>
  <c r="L23" i="21" s="1"/>
  <c r="M23" i="21" a="1"/>
  <c r="M23" i="21" s="1"/>
  <c r="L24" i="21" a="1"/>
  <c r="L24" i="21" s="1"/>
  <c r="M24" i="21" a="1"/>
  <c r="M24" i="21" s="1"/>
  <c r="L25" i="21" a="1"/>
  <c r="L25" i="21" s="1"/>
  <c r="M25" i="21" a="1"/>
  <c r="M25" i="21" s="1"/>
  <c r="L26" i="21" a="1"/>
  <c r="L26" i="21" s="1"/>
  <c r="M26" i="21" a="1"/>
  <c r="M26" i="21" s="1"/>
  <c r="L27" i="21" a="1"/>
  <c r="L27" i="21" s="1"/>
  <c r="M27" i="21" a="1"/>
  <c r="M27" i="21" s="1"/>
  <c r="E21" i="21" l="1"/>
  <c r="E22" i="21"/>
  <c r="E23" i="21"/>
  <c r="E24" i="21"/>
  <c r="E25" i="21"/>
  <c r="E26" i="21"/>
  <c r="E27" i="21"/>
  <c r="E20" i="21"/>
  <c r="J10" i="19" l="1"/>
  <c r="J11" i="19"/>
  <c r="J12" i="19"/>
  <c r="J13" i="19"/>
  <c r="J14" i="19"/>
  <c r="J15" i="19"/>
  <c r="J16" i="19"/>
  <c r="J17" i="19"/>
  <c r="J18" i="19"/>
  <c r="J19" i="19"/>
  <c r="J20" i="19"/>
  <c r="J21" i="19"/>
  <c r="J22" i="19"/>
  <c r="J23" i="19"/>
  <c r="N23" i="19" s="1"/>
  <c r="J24" i="19"/>
  <c r="J25" i="19"/>
  <c r="J26" i="19"/>
  <c r="J27" i="19"/>
  <c r="J28" i="19"/>
  <c r="J29" i="19"/>
  <c r="J30" i="19"/>
  <c r="J31" i="19"/>
  <c r="J32" i="19"/>
  <c r="J33" i="19"/>
  <c r="J34" i="19"/>
  <c r="J35" i="19"/>
  <c r="J37" i="19"/>
  <c r="N37" i="19" s="1"/>
  <c r="J38" i="19"/>
  <c r="N38" i="19" s="1"/>
  <c r="J39" i="19"/>
  <c r="J40" i="19"/>
  <c r="J41" i="19"/>
  <c r="J42" i="19"/>
  <c r="J43" i="19"/>
  <c r="J44" i="19"/>
  <c r="J45" i="19"/>
  <c r="J46" i="19"/>
  <c r="J47" i="19"/>
  <c r="J48" i="19"/>
  <c r="J49" i="19"/>
  <c r="J50" i="19"/>
  <c r="J51" i="19"/>
  <c r="N51" i="19" s="1"/>
  <c r="J52" i="19"/>
  <c r="N52" i="19" s="1"/>
  <c r="J53" i="19"/>
  <c r="J54" i="19"/>
  <c r="J55" i="19"/>
  <c r="J56" i="19"/>
  <c r="J57" i="19"/>
  <c r="J58" i="19"/>
  <c r="J59" i="19"/>
  <c r="J60" i="19"/>
  <c r="J61" i="19"/>
  <c r="J62" i="19"/>
  <c r="J63" i="19"/>
  <c r="J65" i="19"/>
  <c r="N65" i="19" s="1"/>
  <c r="J66" i="19"/>
  <c r="N66" i="19" s="1"/>
  <c r="J67" i="19"/>
  <c r="N67" i="19" s="1"/>
  <c r="J68" i="19"/>
  <c r="J69" i="19"/>
  <c r="J70" i="19"/>
  <c r="J71" i="19"/>
  <c r="J72" i="19"/>
  <c r="J73" i="19"/>
  <c r="J74" i="19"/>
  <c r="J75" i="19"/>
  <c r="J76" i="19"/>
  <c r="J77" i="19"/>
  <c r="J78" i="19"/>
  <c r="J79" i="19"/>
  <c r="N79" i="19" s="1"/>
  <c r="J80" i="19"/>
  <c r="N80" i="19" s="1"/>
  <c r="J81" i="19"/>
  <c r="N81" i="19" s="1"/>
  <c r="J82" i="19"/>
  <c r="J83" i="19"/>
  <c r="J84" i="19"/>
  <c r="J85" i="19"/>
  <c r="J86" i="19"/>
  <c r="J87" i="19"/>
  <c r="J88" i="19"/>
  <c r="J89" i="19"/>
  <c r="J90" i="19"/>
  <c r="J91" i="19"/>
  <c r="J93" i="19"/>
  <c r="J94" i="19"/>
  <c r="N94" i="19" s="1"/>
  <c r="J95" i="19"/>
  <c r="N95" i="19" s="1"/>
  <c r="J96" i="19"/>
  <c r="N96" i="19" s="1"/>
  <c r="J97" i="19"/>
  <c r="J98" i="19"/>
  <c r="J99" i="19"/>
  <c r="J100" i="19"/>
  <c r="J101" i="19"/>
  <c r="J102" i="19"/>
  <c r="J103" i="19"/>
  <c r="J104" i="19"/>
  <c r="J105" i="19"/>
  <c r="J106" i="19"/>
  <c r="J107" i="19"/>
  <c r="J108" i="19"/>
  <c r="N108" i="19" s="1"/>
  <c r="J109" i="19"/>
  <c r="N109" i="19" s="1"/>
  <c r="J110" i="19"/>
  <c r="N110" i="19" s="1"/>
  <c r="J111" i="19"/>
  <c r="J112" i="19"/>
  <c r="J113" i="19"/>
  <c r="J114" i="19"/>
  <c r="J115" i="19"/>
  <c r="J116" i="19"/>
  <c r="J117" i="19"/>
  <c r="J118" i="19"/>
  <c r="J119" i="19"/>
  <c r="J121" i="19"/>
  <c r="J122" i="19"/>
  <c r="J123" i="19"/>
  <c r="N123" i="19" s="1"/>
  <c r="J124" i="19"/>
  <c r="N124" i="19" s="1"/>
  <c r="J125" i="19"/>
  <c r="N125" i="19" s="1"/>
  <c r="J126" i="19"/>
  <c r="J127" i="19"/>
  <c r="J128" i="19"/>
  <c r="J129" i="19"/>
  <c r="J130" i="19"/>
  <c r="J131" i="19"/>
  <c r="J132" i="19"/>
  <c r="J133" i="19"/>
  <c r="J134" i="19"/>
  <c r="J135" i="19"/>
  <c r="J136" i="19"/>
  <c r="J137" i="19"/>
  <c r="N137" i="19" s="1"/>
  <c r="J138" i="19"/>
  <c r="N138" i="19" s="1"/>
  <c r="J139" i="19"/>
  <c r="N139" i="19" s="1"/>
  <c r="J140" i="19"/>
  <c r="J141" i="19"/>
  <c r="J142" i="19"/>
  <c r="J143" i="19"/>
  <c r="J144" i="19"/>
  <c r="J145" i="19"/>
  <c r="J146" i="19"/>
  <c r="J148" i="19"/>
  <c r="J149" i="19"/>
  <c r="J150" i="19"/>
  <c r="J151" i="19"/>
  <c r="J152" i="19"/>
  <c r="N152" i="19" s="1"/>
  <c r="J153" i="19"/>
  <c r="N153" i="19" s="1"/>
  <c r="J154" i="19"/>
  <c r="N154" i="19" s="1"/>
  <c r="J155" i="19"/>
  <c r="J156" i="19"/>
  <c r="J157" i="19"/>
  <c r="J158" i="19"/>
  <c r="J159" i="19"/>
  <c r="J160" i="19"/>
  <c r="J161" i="19"/>
  <c r="J162" i="19"/>
  <c r="J163" i="19"/>
  <c r="J164" i="19"/>
  <c r="J165" i="19"/>
  <c r="J166" i="19"/>
  <c r="N166" i="19" s="1"/>
  <c r="J167" i="19"/>
  <c r="N167" i="19" s="1"/>
  <c r="J168" i="19"/>
  <c r="N168" i="19" s="1"/>
  <c r="J169" i="19"/>
  <c r="J170" i="19"/>
  <c r="J171" i="19"/>
  <c r="J172" i="19"/>
  <c r="J173" i="19"/>
  <c r="J175" i="19"/>
  <c r="J176" i="19"/>
  <c r="J177" i="19"/>
  <c r="J178" i="19"/>
  <c r="J179" i="19"/>
  <c r="J180" i="19"/>
  <c r="J181" i="19"/>
  <c r="N181" i="19" s="1"/>
  <c r="J182" i="19"/>
  <c r="N182" i="19" s="1"/>
  <c r="J183" i="19"/>
  <c r="N183" i="19" s="1"/>
  <c r="J184" i="19"/>
  <c r="J185" i="19"/>
  <c r="J186" i="19"/>
  <c r="J187" i="19"/>
  <c r="J188" i="19"/>
  <c r="J189" i="19"/>
  <c r="J190" i="19"/>
  <c r="J191" i="19"/>
  <c r="J192" i="19"/>
  <c r="J193" i="19"/>
  <c r="J194" i="19"/>
  <c r="N194" i="19" s="1"/>
  <c r="J195" i="19"/>
  <c r="N195" i="19" s="1"/>
  <c r="J196" i="19"/>
  <c r="N196" i="19" s="1"/>
  <c r="J197" i="19"/>
  <c r="N197" i="19" s="1"/>
  <c r="J198" i="19"/>
  <c r="J199" i="19"/>
  <c r="J200" i="19"/>
  <c r="J202" i="19"/>
  <c r="J203" i="19"/>
  <c r="J204" i="19"/>
  <c r="J205" i="19"/>
  <c r="J206" i="19"/>
  <c r="J207" i="19"/>
  <c r="J208" i="19"/>
  <c r="J209" i="19"/>
  <c r="N209" i="19" s="1"/>
  <c r="J210" i="19"/>
  <c r="N210" i="19" s="1"/>
  <c r="J211" i="19"/>
  <c r="N211" i="19" s="1"/>
  <c r="J212" i="19"/>
  <c r="N212" i="19" s="1"/>
  <c r="J213" i="19"/>
  <c r="J214" i="19"/>
  <c r="J215" i="19"/>
  <c r="J216" i="19"/>
  <c r="J217" i="19"/>
  <c r="J218" i="19"/>
  <c r="J219" i="19"/>
  <c r="J220" i="19"/>
  <c r="J221" i="19"/>
  <c r="J222" i="19"/>
  <c r="J223" i="19"/>
  <c r="N223" i="19" s="1"/>
  <c r="J224" i="19"/>
  <c r="N224" i="19" s="1"/>
  <c r="J225" i="19"/>
  <c r="N225" i="19" s="1"/>
  <c r="J226" i="19"/>
  <c r="N226" i="19" s="1"/>
  <c r="J227" i="19"/>
  <c r="J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9" i="19"/>
  <c r="N228" i="19"/>
  <c r="M228" i="19"/>
  <c r="M223" i="19"/>
  <c r="M222" i="19"/>
  <c r="M221" i="19"/>
  <c r="M220" i="19"/>
  <c r="M219" i="19"/>
  <c r="N218" i="19"/>
  <c r="N216" i="19"/>
  <c r="M216" i="19"/>
  <c r="M213" i="19"/>
  <c r="M212" i="19"/>
  <c r="M211" i="19"/>
  <c r="M210" i="19"/>
  <c r="N207" i="19"/>
  <c r="M207" i="19"/>
  <c r="M206" i="19"/>
  <c r="M205" i="19"/>
  <c r="M204" i="19"/>
  <c r="N201" i="19"/>
  <c r="M201" i="19"/>
  <c r="M199" i="19"/>
  <c r="M198" i="19"/>
  <c r="M197" i="19"/>
  <c r="M196" i="19"/>
  <c r="M195" i="19"/>
  <c r="M194" i="19"/>
  <c r="M193" i="19"/>
  <c r="M191" i="19"/>
  <c r="M188" i="19"/>
  <c r="M187" i="19"/>
  <c r="M186" i="19"/>
  <c r="M185" i="19"/>
  <c r="N184" i="19"/>
  <c r="M184" i="19"/>
  <c r="M183" i="19"/>
  <c r="M182" i="19"/>
  <c r="M178" i="19"/>
  <c r="M177" i="19"/>
  <c r="M176" i="19"/>
  <c r="M175" i="19"/>
  <c r="N174" i="19"/>
  <c r="M174" i="19"/>
  <c r="M173" i="19"/>
  <c r="N172" i="19"/>
  <c r="M170" i="19"/>
  <c r="N169" i="19"/>
  <c r="M169" i="19"/>
  <c r="M163" i="19"/>
  <c r="M162" i="19"/>
  <c r="M161" i="19"/>
  <c r="N159" i="19"/>
  <c r="M159" i="19"/>
  <c r="N158" i="19"/>
  <c r="M158" i="19"/>
  <c r="N157" i="19"/>
  <c r="M154" i="19"/>
  <c r="M153" i="19"/>
  <c r="M150" i="19"/>
  <c r="M149" i="19"/>
  <c r="M148" i="19"/>
  <c r="N147" i="19"/>
  <c r="M147" i="19"/>
  <c r="M146" i="19"/>
  <c r="M142" i="19"/>
  <c r="M141" i="19"/>
  <c r="M140" i="19"/>
  <c r="M139" i="19"/>
  <c r="M138" i="19"/>
  <c r="M137" i="19"/>
  <c r="M136" i="19"/>
  <c r="M131" i="19"/>
  <c r="M130" i="19"/>
  <c r="M129" i="19"/>
  <c r="N128" i="19"/>
  <c r="M128" i="19"/>
  <c r="N127" i="19"/>
  <c r="M127" i="19"/>
  <c r="N120" i="19"/>
  <c r="M120" i="19"/>
  <c r="M118" i="19"/>
  <c r="M117" i="19"/>
  <c r="N116" i="19"/>
  <c r="M116" i="19"/>
  <c r="M114" i="19"/>
  <c r="M111" i="19"/>
  <c r="M110" i="19"/>
  <c r="M109" i="19"/>
  <c r="M107" i="19"/>
  <c r="N106" i="19"/>
  <c r="M105" i="19"/>
  <c r="M104" i="19"/>
  <c r="M103" i="19"/>
  <c r="M100" i="19"/>
  <c r="M99" i="19"/>
  <c r="M98" i="19"/>
  <c r="M96" i="19"/>
  <c r="M95" i="19"/>
  <c r="M94" i="19"/>
  <c r="M93" i="19"/>
  <c r="N92" i="19"/>
  <c r="M92" i="19"/>
  <c r="M88" i="19"/>
  <c r="M86" i="19"/>
  <c r="M85" i="19"/>
  <c r="M84" i="19"/>
  <c r="M83" i="19"/>
  <c r="N82" i="19"/>
  <c r="M76" i="19"/>
  <c r="M75" i="19"/>
  <c r="M74" i="19"/>
  <c r="M73" i="19"/>
  <c r="N72" i="19"/>
  <c r="M72" i="19"/>
  <c r="M67" i="19"/>
  <c r="M66" i="19"/>
  <c r="N64" i="19"/>
  <c r="M64" i="19"/>
  <c r="M63" i="19"/>
  <c r="N62" i="19"/>
  <c r="M56" i="19"/>
  <c r="M55" i="19"/>
  <c r="M54" i="19"/>
  <c r="N53" i="19"/>
  <c r="M52" i="19"/>
  <c r="M46" i="19"/>
  <c r="M44" i="19"/>
  <c r="M43" i="19"/>
  <c r="N42" i="19"/>
  <c r="M42" i="19"/>
  <c r="M37" i="19"/>
  <c r="N36" i="19"/>
  <c r="M36" i="19"/>
  <c r="M35" i="19"/>
  <c r="M34" i="19"/>
  <c r="M33" i="19"/>
  <c r="M28" i="19"/>
  <c r="M27" i="19"/>
  <c r="M26" i="19"/>
  <c r="M25" i="19"/>
  <c r="M18" i="19"/>
  <c r="M17" i="19"/>
  <c r="M16" i="19"/>
  <c r="M15" i="19"/>
  <c r="M11" i="19"/>
  <c r="M10" i="19"/>
  <c r="M16" i="18"/>
  <c r="N214" i="19" s="1"/>
  <c r="M15" i="18"/>
  <c r="N178" i="19" s="1"/>
  <c r="M14" i="18"/>
  <c r="N163" i="19" s="1"/>
  <c r="M13" i="18"/>
  <c r="M12" i="18"/>
  <c r="N99" i="19" s="1"/>
  <c r="M11" i="18"/>
  <c r="N85" i="19" s="1"/>
  <c r="M10" i="18"/>
  <c r="N61" i="19" s="1"/>
  <c r="M9" i="18"/>
  <c r="N32" i="19" s="1"/>
  <c r="J16" i="18"/>
  <c r="M227" i="19" s="1"/>
  <c r="J15" i="18"/>
  <c r="J14" i="18"/>
  <c r="M166" i="19" s="1"/>
  <c r="J13" i="18"/>
  <c r="M121" i="19" s="1"/>
  <c r="J12" i="18"/>
  <c r="M119" i="19" s="1"/>
  <c r="J11" i="18"/>
  <c r="M90" i="19" s="1"/>
  <c r="J10" i="18"/>
  <c r="M45" i="19" s="1"/>
  <c r="J9" i="18"/>
  <c r="M9" i="19" s="1"/>
  <c r="N142" i="19" l="1"/>
  <c r="N10" i="19"/>
  <c r="N18" i="19"/>
  <c r="N27" i="19"/>
  <c r="N55" i="19"/>
  <c r="M65" i="19"/>
  <c r="N74" i="19"/>
  <c r="M108" i="19"/>
  <c r="N129" i="19"/>
  <c r="N140" i="19"/>
  <c r="N149" i="19"/>
  <c r="N185" i="19"/>
  <c r="N119" i="19"/>
  <c r="N198" i="19"/>
  <c r="N221" i="19"/>
  <c r="N33" i="19"/>
  <c r="M53" i="19"/>
  <c r="M61" i="19"/>
  <c r="N19" i="19"/>
  <c r="N56" i="19"/>
  <c r="N141" i="19"/>
  <c r="N186" i="19"/>
  <c r="N26" i="19"/>
  <c r="M38" i="19"/>
  <c r="M29" i="19"/>
  <c r="M68" i="19"/>
  <c r="N15" i="19"/>
  <c r="N35" i="19"/>
  <c r="N87" i="19"/>
  <c r="N77" i="19"/>
  <c r="N69" i="19"/>
  <c r="N84" i="19"/>
  <c r="N97" i="19"/>
  <c r="N114" i="19"/>
  <c r="N105" i="19"/>
  <c r="M12" i="19"/>
  <c r="N175" i="19"/>
  <c r="M115" i="19"/>
  <c r="M106" i="19"/>
  <c r="M97" i="19"/>
  <c r="M21" i="19"/>
  <c r="M48" i="19"/>
  <c r="M78" i="19"/>
  <c r="N100" i="19"/>
  <c r="N111" i="19"/>
  <c r="N131" i="19"/>
  <c r="N143" i="19"/>
  <c r="M155" i="19"/>
  <c r="M164" i="19"/>
  <c r="N187" i="19"/>
  <c r="N213" i="19"/>
  <c r="M224" i="19"/>
  <c r="N50" i="19"/>
  <c r="N54" i="19"/>
  <c r="N12" i="19"/>
  <c r="M58" i="19"/>
  <c r="M143" i="19"/>
  <c r="M134" i="19"/>
  <c r="M126" i="19"/>
  <c r="M133" i="19"/>
  <c r="M125" i="19"/>
  <c r="M30" i="19"/>
  <c r="N90" i="19"/>
  <c r="M144" i="19"/>
  <c r="N155" i="19"/>
  <c r="M165" i="19"/>
  <c r="M202" i="19"/>
  <c r="M214" i="19"/>
  <c r="M225" i="19"/>
  <c r="M19" i="19"/>
  <c r="N11" i="19"/>
  <c r="M47" i="19"/>
  <c r="M70" i="19"/>
  <c r="M87" i="19"/>
  <c r="M77" i="19"/>
  <c r="M89" i="19"/>
  <c r="N29" i="19"/>
  <c r="N68" i="19"/>
  <c r="M13" i="19"/>
  <c r="M40" i="19"/>
  <c r="M69" i="19"/>
  <c r="M122" i="19"/>
  <c r="N13" i="19"/>
  <c r="M23" i="19"/>
  <c r="M31" i="19"/>
  <c r="M59" i="19"/>
  <c r="M91" i="19"/>
  <c r="N101" i="19"/>
  <c r="N134" i="19"/>
  <c r="N144" i="19"/>
  <c r="N25" i="19"/>
  <c r="N63" i="19"/>
  <c r="N73" i="19"/>
  <c r="N44" i="19"/>
  <c r="N171" i="19"/>
  <c r="N160" i="19"/>
  <c r="N217" i="19"/>
  <c r="N208" i="19"/>
  <c r="N227" i="19"/>
  <c r="M39" i="19"/>
  <c r="N47" i="19"/>
  <c r="M57" i="19"/>
  <c r="N76" i="19"/>
  <c r="N39" i="19"/>
  <c r="N58" i="19"/>
  <c r="M101" i="19"/>
  <c r="M132" i="19"/>
  <c r="M172" i="19"/>
  <c r="M152" i="19"/>
  <c r="M171" i="19"/>
  <c r="M160" i="19"/>
  <c r="M151" i="19"/>
  <c r="M49" i="19"/>
  <c r="N70" i="19"/>
  <c r="M80" i="19"/>
  <c r="N112" i="19"/>
  <c r="M123" i="19"/>
  <c r="M156" i="19"/>
  <c r="N202" i="19"/>
  <c r="M226" i="19"/>
  <c r="M190" i="19"/>
  <c r="M181" i="19"/>
  <c r="M200" i="19"/>
  <c r="M180" i="19"/>
  <c r="M189" i="19"/>
  <c r="M14" i="19"/>
  <c r="M24" i="19"/>
  <c r="M32" i="19"/>
  <c r="M41" i="19"/>
  <c r="M50" i="19"/>
  <c r="M60" i="19"/>
  <c r="M71" i="19"/>
  <c r="M81" i="19"/>
  <c r="N91" i="19"/>
  <c r="M102" i="19"/>
  <c r="M113" i="19"/>
  <c r="M124" i="19"/>
  <c r="M135" i="19"/>
  <c r="M145" i="19"/>
  <c r="N156" i="19"/>
  <c r="M167" i="19"/>
  <c r="M192" i="19"/>
  <c r="M203" i="19"/>
  <c r="M215" i="19"/>
  <c r="N22" i="19"/>
  <c r="N21" i="19"/>
  <c r="N200" i="19"/>
  <c r="N189" i="19"/>
  <c r="N199" i="19"/>
  <c r="N179" i="19"/>
  <c r="N28" i="19"/>
  <c r="N130" i="19"/>
  <c r="M20" i="19"/>
  <c r="M22" i="19"/>
  <c r="N48" i="19"/>
  <c r="M79" i="19"/>
  <c r="M112" i="19"/>
  <c r="N40" i="19"/>
  <c r="M218" i="19"/>
  <c r="M209" i="19"/>
  <c r="M217" i="19"/>
  <c r="M208" i="19"/>
  <c r="N14" i="19"/>
  <c r="N24" i="19"/>
  <c r="N41" i="19"/>
  <c r="M51" i="19"/>
  <c r="M62" i="19"/>
  <c r="N71" i="19"/>
  <c r="M82" i="19"/>
  <c r="N102" i="19"/>
  <c r="N113" i="19"/>
  <c r="N126" i="19"/>
  <c r="N135" i="19"/>
  <c r="N145" i="19"/>
  <c r="M157" i="19"/>
  <c r="M168" i="19"/>
  <c r="M179" i="19"/>
  <c r="N192" i="19"/>
  <c r="N203" i="19"/>
  <c r="N215" i="19"/>
  <c r="N180" i="19"/>
  <c r="N165" i="19"/>
  <c r="N151" i="19"/>
  <c r="N136" i="19"/>
  <c r="N122" i="19"/>
  <c r="N107" i="19"/>
  <c r="N93" i="19"/>
  <c r="N78" i="19"/>
  <c r="N49" i="19"/>
  <c r="N34" i="19"/>
  <c r="N20" i="19"/>
  <c r="N222" i="19"/>
  <c r="N193" i="19"/>
  <c r="N164" i="19"/>
  <c r="N150" i="19"/>
  <c r="N121" i="19"/>
  <c r="N220" i="19"/>
  <c r="N206" i="19"/>
  <c r="N191" i="19"/>
  <c r="N177" i="19"/>
  <c r="N162" i="19"/>
  <c r="N148" i="19"/>
  <c r="N133" i="19"/>
  <c r="N118" i="19"/>
  <c r="N104" i="19"/>
  <c r="N89" i="19"/>
  <c r="N75" i="19"/>
  <c r="N60" i="19"/>
  <c r="N46" i="19"/>
  <c r="N31" i="19"/>
  <c r="N17" i="19"/>
  <c r="N9" i="19"/>
  <c r="N219" i="19"/>
  <c r="N205" i="19"/>
  <c r="N190" i="19"/>
  <c r="N176" i="19"/>
  <c r="N161" i="19"/>
  <c r="N146" i="19"/>
  <c r="N132" i="19"/>
  <c r="N117" i="19"/>
  <c r="N103" i="19"/>
  <c r="N88" i="19"/>
  <c r="N59" i="19"/>
  <c r="N45" i="19"/>
  <c r="N30" i="19"/>
  <c r="N16" i="19"/>
  <c r="N204" i="19"/>
  <c r="N188" i="19"/>
  <c r="N173" i="19"/>
  <c r="N115" i="19"/>
  <c r="N86" i="19"/>
  <c r="N57" i="19"/>
  <c r="N43" i="19"/>
  <c r="N170" i="19"/>
  <c r="N98" i="19"/>
  <c r="N83" i="19"/>
  <c r="E8" i="21"/>
  <c r="E9" i="21"/>
  <c r="E10" i="21"/>
  <c r="E11" i="21"/>
  <c r="E12" i="21"/>
  <c r="E13" i="21"/>
  <c r="E14" i="21"/>
  <c r="E15" i="21"/>
  <c r="E16" i="21"/>
  <c r="E17" i="21"/>
  <c r="A4" i="21"/>
  <c r="A3" i="21"/>
  <c r="A2" i="21"/>
  <c r="A4" i="20"/>
  <c r="A3" i="20"/>
  <c r="A2" i="20"/>
  <c r="A4" i="19"/>
  <c r="A3" i="19"/>
  <c r="A2" i="19"/>
  <c r="A3" i="18"/>
  <c r="A2" i="18"/>
  <c r="A4" i="18"/>
  <c r="A1" i="17"/>
  <c r="A1" i="21" l="1"/>
  <c r="A1" i="20"/>
  <c r="A1" i="19"/>
  <c r="A1" i="18"/>
  <c r="W17" i="20" l="1"/>
  <c r="V15" i="20"/>
  <c r="W9" i="20"/>
  <c r="V10" i="20"/>
  <c r="V9" i="20"/>
  <c r="W14" i="20" l="1"/>
  <c r="V14" i="20"/>
  <c r="O660" i="19" l="1"/>
  <c r="O659" i="19"/>
  <c r="O658" i="19"/>
  <c r="O657" i="19"/>
  <c r="O656" i="19"/>
  <c r="O655" i="19"/>
  <c r="O654" i="19"/>
  <c r="O653" i="19"/>
  <c r="O649" i="19"/>
  <c r="O648" i="19"/>
  <c r="O647" i="19"/>
  <c r="O646" i="19"/>
  <c r="O645" i="19"/>
  <c r="W16" i="20" l="1"/>
  <c r="V16" i="20"/>
  <c r="W12" i="20"/>
  <c r="V12" i="20"/>
  <c r="W13" i="20"/>
  <c r="V13" i="20"/>
  <c r="W15" i="20"/>
  <c r="M18" i="21" l="1" a="1"/>
  <c r="M18" i="21" s="1"/>
  <c r="M19" i="21" a="1"/>
  <c r="M19" i="21" s="1"/>
  <c r="L18" i="21" a="1"/>
  <c r="L18" i="21" s="1"/>
  <c r="L19" i="21" a="1"/>
  <c r="L19" i="21" s="1"/>
  <c r="W194" i="20"/>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O2352" i="19" l="1"/>
  <c r="O2351" i="19"/>
  <c r="O1001" i="19"/>
  <c r="O1000" i="19"/>
  <c r="O999" i="19"/>
  <c r="O998" i="19"/>
  <c r="O997" i="19"/>
  <c r="O996" i="19"/>
  <c r="O995" i="19"/>
  <c r="O994" i="19"/>
  <c r="O993" i="19"/>
  <c r="O992" i="19"/>
  <c r="O991" i="19"/>
  <c r="O990" i="19"/>
  <c r="O989" i="19"/>
  <c r="O988" i="19"/>
  <c r="O987" i="19"/>
  <c r="O986" i="19"/>
  <c r="O985" i="19"/>
  <c r="O984" i="19"/>
  <c r="O983" i="19"/>
  <c r="O982" i="19"/>
  <c r="O981" i="19"/>
  <c r="O980" i="19"/>
  <c r="O979" i="19"/>
  <c r="O978" i="19"/>
  <c r="O977" i="19"/>
  <c r="O976" i="19"/>
  <c r="O975" i="19"/>
  <c r="O974" i="19"/>
  <c r="O973" i="19"/>
  <c r="O972" i="19"/>
  <c r="O971" i="19"/>
  <c r="O970" i="19"/>
  <c r="O969" i="19"/>
  <c r="O968" i="19"/>
  <c r="O967" i="19"/>
  <c r="O966" i="19"/>
  <c r="O965" i="19"/>
  <c r="O964" i="19"/>
  <c r="O963" i="19"/>
  <c r="O962" i="19"/>
  <c r="O961" i="19"/>
  <c r="O960" i="19"/>
  <c r="O959" i="19"/>
  <c r="O958" i="19"/>
  <c r="O957" i="19"/>
  <c r="O956" i="19"/>
  <c r="O955" i="19"/>
  <c r="O954" i="19"/>
  <c r="O953" i="19"/>
  <c r="O952" i="19"/>
  <c r="O951" i="19"/>
  <c r="O950" i="19"/>
  <c r="O949" i="19"/>
  <c r="O948" i="19"/>
  <c r="O947" i="19"/>
  <c r="O946" i="19"/>
  <c r="O945" i="19"/>
  <c r="O944" i="19"/>
  <c r="O943" i="19"/>
  <c r="O942" i="19"/>
  <c r="O941" i="19"/>
  <c r="O940" i="19"/>
  <c r="O939" i="19"/>
  <c r="O938" i="19"/>
  <c r="O937" i="19"/>
  <c r="O936" i="19"/>
  <c r="O935" i="19"/>
  <c r="O934" i="19"/>
  <c r="O933" i="19"/>
  <c r="O932" i="19"/>
  <c r="O931" i="19"/>
  <c r="O930" i="19"/>
  <c r="O929" i="19"/>
  <c r="O928" i="19"/>
  <c r="O927" i="19"/>
  <c r="O926" i="19"/>
  <c r="O925" i="19"/>
  <c r="O924" i="19"/>
  <c r="O923" i="19"/>
  <c r="O922" i="19"/>
  <c r="O921" i="19"/>
  <c r="O920" i="19"/>
  <c r="O919" i="19"/>
  <c r="O918" i="19"/>
  <c r="O917" i="19"/>
  <c r="O916" i="19"/>
  <c r="O915" i="19"/>
  <c r="O914" i="19"/>
  <c r="O913" i="19"/>
  <c r="O912" i="19"/>
  <c r="O911" i="19"/>
  <c r="O910" i="19"/>
  <c r="O909" i="19"/>
  <c r="O908" i="19"/>
  <c r="O907" i="19"/>
  <c r="O906" i="19"/>
  <c r="O905" i="19"/>
  <c r="O904" i="19"/>
  <c r="O903" i="19"/>
  <c r="O902" i="19"/>
  <c r="O901" i="19"/>
  <c r="O900" i="19"/>
  <c r="O899" i="19"/>
  <c r="O898" i="19"/>
  <c r="O897" i="19"/>
  <c r="O896" i="19"/>
  <c r="O895" i="19"/>
  <c r="O894" i="19"/>
  <c r="O893" i="19"/>
  <c r="O892" i="19"/>
  <c r="O891" i="19"/>
  <c r="O890" i="19"/>
  <c r="O889" i="19"/>
  <c r="O888" i="19"/>
  <c r="O887" i="19"/>
  <c r="O886" i="19"/>
  <c r="O885" i="19"/>
  <c r="O884" i="19"/>
  <c r="O883" i="19"/>
  <c r="O882" i="19"/>
  <c r="O881" i="19"/>
  <c r="O880" i="19"/>
  <c r="O879" i="19"/>
  <c r="O878" i="19"/>
  <c r="O877" i="19"/>
  <c r="O876" i="19"/>
  <c r="O875" i="19"/>
  <c r="O874" i="19"/>
  <c r="O873" i="19"/>
  <c r="O872" i="19"/>
  <c r="O871" i="19"/>
  <c r="O870" i="19"/>
  <c r="O869" i="19"/>
  <c r="O868" i="19"/>
  <c r="O867" i="19"/>
  <c r="O866" i="19"/>
  <c r="O865" i="19"/>
  <c r="O864" i="19"/>
  <c r="O863" i="19"/>
  <c r="O862" i="19"/>
  <c r="O861" i="19"/>
  <c r="O860" i="19"/>
  <c r="O859" i="19"/>
  <c r="O858" i="19"/>
  <c r="O857" i="19"/>
  <c r="O856" i="19"/>
  <c r="O855" i="19"/>
  <c r="O854" i="19"/>
  <c r="O853" i="19"/>
  <c r="O852" i="19"/>
  <c r="O851" i="19"/>
  <c r="O850" i="19"/>
  <c r="O849" i="19"/>
  <c r="O848" i="19"/>
  <c r="O847" i="19"/>
  <c r="O846" i="19"/>
  <c r="O845" i="19"/>
  <c r="O844" i="19"/>
  <c r="O843" i="19"/>
  <c r="O842" i="19"/>
  <c r="O841" i="19"/>
  <c r="O840" i="19"/>
  <c r="O839" i="19"/>
  <c r="O838" i="19"/>
  <c r="O837" i="19"/>
  <c r="O836" i="19"/>
  <c r="O835" i="19"/>
  <c r="O834" i="19"/>
  <c r="O833" i="19"/>
  <c r="O832" i="19"/>
  <c r="O831" i="19"/>
  <c r="O830" i="19"/>
  <c r="O829" i="19"/>
  <c r="O828" i="19"/>
  <c r="O827" i="19"/>
  <c r="O826" i="19"/>
  <c r="O825" i="19"/>
  <c r="O824" i="19"/>
  <c r="O823" i="19"/>
  <c r="O822" i="19"/>
  <c r="O821" i="19"/>
  <c r="O820" i="19"/>
  <c r="O819" i="19"/>
  <c r="O818" i="19"/>
  <c r="O817" i="19"/>
  <c r="O816" i="19"/>
  <c r="O815" i="19"/>
  <c r="O814" i="19"/>
  <c r="O813" i="19"/>
  <c r="O812" i="19"/>
  <c r="O811" i="19"/>
  <c r="O810" i="19"/>
  <c r="O809" i="19"/>
  <c r="O808" i="19"/>
  <c r="O807" i="19"/>
  <c r="O806" i="19"/>
  <c r="O805" i="19"/>
  <c r="O804" i="19"/>
  <c r="O803" i="19"/>
  <c r="O802" i="19"/>
  <c r="O801" i="19"/>
  <c r="O800" i="19"/>
  <c r="O799" i="19"/>
  <c r="O798" i="19"/>
  <c r="O797" i="19"/>
  <c r="O796" i="19"/>
  <c r="O795" i="19"/>
  <c r="O794" i="19"/>
  <c r="O793" i="19"/>
  <c r="O792" i="19"/>
  <c r="O791" i="19"/>
  <c r="O790" i="19"/>
  <c r="O789" i="19"/>
  <c r="O788" i="19"/>
  <c r="O787" i="19"/>
  <c r="O786" i="19"/>
  <c r="O785" i="19"/>
  <c r="O784" i="19"/>
  <c r="O783" i="19"/>
  <c r="O782" i="19"/>
  <c r="O781" i="19"/>
  <c r="O780" i="19"/>
  <c r="O779" i="19"/>
  <c r="O778" i="19"/>
  <c r="O777" i="19"/>
  <c r="O776" i="19"/>
  <c r="O775" i="19"/>
  <c r="O774" i="19"/>
  <c r="O773" i="19"/>
  <c r="O772" i="19"/>
  <c r="O771" i="19"/>
  <c r="O770" i="19"/>
  <c r="O769" i="19"/>
  <c r="O768" i="19"/>
  <c r="O767" i="19"/>
  <c r="O766" i="19"/>
  <c r="O765" i="19"/>
  <c r="O764" i="19"/>
  <c r="O763" i="19"/>
  <c r="O762" i="19"/>
  <c r="O761" i="19"/>
  <c r="O760" i="19"/>
  <c r="O759" i="19"/>
  <c r="O758" i="19"/>
  <c r="O757" i="19"/>
  <c r="O756" i="19"/>
  <c r="O755" i="19"/>
  <c r="O754" i="19"/>
  <c r="O753" i="19"/>
  <c r="O752" i="19"/>
  <c r="O751" i="19"/>
  <c r="O750" i="19"/>
  <c r="O749" i="19"/>
  <c r="O748" i="19"/>
  <c r="O747" i="19"/>
  <c r="O746" i="19"/>
  <c r="O745" i="19"/>
  <c r="O744" i="19"/>
  <c r="O743" i="19"/>
  <c r="O742" i="19"/>
  <c r="O741" i="19"/>
  <c r="O740" i="19"/>
  <c r="O739" i="19"/>
  <c r="O738" i="19"/>
  <c r="O737" i="19"/>
  <c r="O736" i="19"/>
  <c r="O735" i="19"/>
  <c r="O734" i="19"/>
  <c r="O733" i="19"/>
  <c r="O732" i="19"/>
  <c r="O731" i="19"/>
  <c r="O730" i="19"/>
  <c r="O729" i="19"/>
  <c r="O728" i="19"/>
  <c r="O727" i="19"/>
  <c r="O726" i="19"/>
  <c r="O725" i="19"/>
  <c r="O724" i="19"/>
  <c r="O723" i="19"/>
  <c r="O722" i="19"/>
  <c r="O721" i="19"/>
  <c r="O720" i="19"/>
  <c r="O719" i="19"/>
  <c r="O718" i="19"/>
  <c r="O717" i="19"/>
  <c r="O716" i="19"/>
  <c r="O715" i="19"/>
  <c r="O714" i="19"/>
  <c r="O713" i="19"/>
  <c r="O712" i="19"/>
  <c r="O711" i="19"/>
  <c r="O710" i="19"/>
  <c r="O709" i="19"/>
  <c r="O708" i="19"/>
  <c r="O707" i="19"/>
  <c r="O706" i="19"/>
  <c r="O705" i="19"/>
  <c r="O704" i="19"/>
  <c r="O703" i="19"/>
  <c r="O702" i="19"/>
  <c r="O701" i="19"/>
  <c r="O700" i="19"/>
  <c r="O699" i="19"/>
  <c r="O698" i="19"/>
  <c r="O697" i="19"/>
  <c r="O696" i="19"/>
  <c r="O695" i="19"/>
  <c r="O694" i="19"/>
  <c r="O693" i="19"/>
  <c r="O692" i="19"/>
  <c r="O691" i="19"/>
  <c r="O690" i="19"/>
  <c r="O689" i="19"/>
  <c r="O688" i="19"/>
  <c r="O687" i="19"/>
  <c r="O686" i="19"/>
  <c r="O685" i="19"/>
  <c r="O684" i="19"/>
  <c r="O683" i="19"/>
  <c r="O682" i="19"/>
  <c r="O681" i="19"/>
  <c r="O680" i="19"/>
  <c r="O679" i="19"/>
  <c r="O678" i="19"/>
  <c r="O677" i="19"/>
  <c r="O676" i="19"/>
  <c r="O675" i="19"/>
  <c r="O674" i="19"/>
  <c r="O673" i="19"/>
  <c r="O672" i="19"/>
  <c r="O671" i="19"/>
  <c r="O670" i="19"/>
  <c r="O669" i="19"/>
  <c r="O668" i="19"/>
  <c r="O667" i="19"/>
  <c r="O666" i="19"/>
  <c r="O665" i="19"/>
  <c r="O664" i="19"/>
  <c r="O663" i="19"/>
  <c r="O662" i="19"/>
  <c r="O661" i="19"/>
  <c r="O652" i="19"/>
  <c r="O651" i="19"/>
  <c r="O650" i="19"/>
  <c r="O644" i="19"/>
  <c r="O643" i="19"/>
  <c r="O642" i="19"/>
  <c r="O641" i="19"/>
  <c r="O640" i="19"/>
  <c r="O639" i="19"/>
  <c r="O638" i="19"/>
  <c r="O637" i="19"/>
  <c r="O636" i="19"/>
  <c r="O635" i="19"/>
  <c r="O634" i="19"/>
  <c r="O633" i="19"/>
  <c r="O632" i="19"/>
  <c r="O631" i="19"/>
  <c r="O630" i="19"/>
  <c r="O629" i="19"/>
  <c r="O628" i="19"/>
  <c r="O627" i="19"/>
  <c r="O626" i="19"/>
  <c r="O625" i="19"/>
  <c r="O624" i="19"/>
  <c r="O623" i="19"/>
  <c r="O622" i="19"/>
  <c r="O621" i="19"/>
  <c r="O620" i="19"/>
  <c r="O619" i="19"/>
  <c r="O618" i="19"/>
  <c r="O617" i="19"/>
  <c r="O616" i="19"/>
  <c r="O615" i="19"/>
  <c r="O614" i="19"/>
  <c r="O613" i="19"/>
  <c r="O612" i="19"/>
  <c r="O611" i="19"/>
  <c r="O610" i="19"/>
  <c r="O609" i="19"/>
  <c r="O608" i="19"/>
  <c r="O607" i="19"/>
  <c r="O606" i="19"/>
  <c r="O605" i="19"/>
  <c r="O604" i="19"/>
  <c r="O603" i="19"/>
  <c r="O602" i="19"/>
  <c r="O601" i="19"/>
  <c r="O600" i="19"/>
  <c r="O599" i="19"/>
  <c r="O598" i="19"/>
  <c r="O597" i="19"/>
  <c r="O596" i="19"/>
  <c r="O595" i="19"/>
  <c r="O594" i="19"/>
  <c r="O593" i="19"/>
  <c r="O592" i="19"/>
  <c r="O591" i="19"/>
  <c r="O590" i="19"/>
  <c r="O589" i="19"/>
  <c r="O588" i="19"/>
  <c r="O587" i="19"/>
  <c r="O586" i="19"/>
  <c r="O585" i="19"/>
  <c r="O584" i="19"/>
  <c r="O583" i="19"/>
  <c r="O582" i="19"/>
  <c r="O581" i="19"/>
  <c r="O580" i="19"/>
  <c r="O579" i="19"/>
  <c r="O578" i="19"/>
  <c r="O577" i="19"/>
  <c r="O576" i="19"/>
  <c r="O575" i="19"/>
  <c r="O574" i="19"/>
  <c r="O573" i="19"/>
  <c r="O572" i="19"/>
  <c r="O571" i="19"/>
  <c r="O570" i="19"/>
  <c r="O569" i="19"/>
  <c r="O568" i="19"/>
  <c r="O567" i="19"/>
  <c r="O566" i="19"/>
  <c r="O565" i="19"/>
  <c r="O564" i="19"/>
  <c r="O563" i="19"/>
  <c r="O562" i="19"/>
  <c r="O561" i="19"/>
  <c r="O560" i="19"/>
  <c r="O559" i="19"/>
  <c r="O558" i="19"/>
  <c r="O557" i="19"/>
  <c r="O556" i="19"/>
  <c r="O555" i="19"/>
  <c r="O554" i="19"/>
  <c r="O553" i="19"/>
  <c r="O552" i="19"/>
  <c r="O551" i="19"/>
  <c r="O550" i="19"/>
  <c r="O549" i="19"/>
  <c r="O548" i="19"/>
  <c r="O547" i="19"/>
  <c r="O546" i="19"/>
  <c r="O545" i="19"/>
  <c r="O544" i="19"/>
  <c r="O543" i="19"/>
  <c r="O542" i="19"/>
  <c r="O541" i="19"/>
  <c r="O540" i="19"/>
  <c r="O539" i="19"/>
  <c r="O538" i="19"/>
  <c r="O537" i="19"/>
  <c r="O536" i="19"/>
  <c r="O535" i="19"/>
  <c r="O534" i="19"/>
  <c r="O533" i="19"/>
  <c r="O532" i="19"/>
  <c r="O531" i="19"/>
  <c r="O530" i="19"/>
  <c r="O529" i="19"/>
  <c r="O528" i="19"/>
  <c r="O527" i="19"/>
  <c r="O526" i="19"/>
  <c r="O525" i="19"/>
  <c r="O524" i="19"/>
  <c r="O523" i="19"/>
  <c r="O522" i="19"/>
  <c r="O521" i="19"/>
  <c r="O520" i="19"/>
  <c r="O519" i="19"/>
  <c r="O518" i="19"/>
  <c r="O517" i="19"/>
  <c r="O516" i="19"/>
  <c r="O515" i="19"/>
  <c r="O514" i="19"/>
  <c r="O513" i="19"/>
  <c r="O512" i="19"/>
  <c r="O511" i="19"/>
  <c r="O510" i="19"/>
  <c r="O509" i="19"/>
  <c r="O9" i="19"/>
  <c r="M10" i="21" a="1"/>
  <c r="M10" i="21" s="1"/>
  <c r="M11" i="21" a="1"/>
  <c r="M11" i="21" s="1"/>
  <c r="L10" i="21" a="1"/>
  <c r="L10" i="21" s="1"/>
  <c r="L11" i="21" a="1"/>
  <c r="L11" i="21" s="1"/>
  <c r="M8" i="21" a="1"/>
  <c r="M8" i="21" s="1"/>
  <c r="L9" i="21" a="1"/>
  <c r="L9" i="21" s="1"/>
  <c r="M12" i="21" a="1"/>
  <c r="M12" i="21" s="1"/>
  <c r="M14" i="21" a="1"/>
  <c r="M14" i="21" s="1"/>
  <c r="L17" i="21" a="1"/>
  <c r="L17" i="21" s="1"/>
  <c r="M13" i="21" a="1"/>
  <c r="M13" i="21" s="1"/>
  <c r="L16" i="21" a="1"/>
  <c r="L16" i="21" s="1"/>
  <c r="L14" i="21" a="1"/>
  <c r="L14" i="21" s="1"/>
  <c r="L13" i="21" a="1"/>
  <c r="L13" i="21" s="1"/>
  <c r="M17" i="21" a="1"/>
  <c r="M17" i="21" s="1"/>
  <c r="L12" i="21" a="1"/>
  <c r="L12" i="21" s="1"/>
  <c r="M16" i="21" a="1"/>
  <c r="M16" i="21" s="1"/>
  <c r="L15" i="21" a="1"/>
  <c r="L15" i="21" s="1"/>
  <c r="L8" i="21" a="1"/>
  <c r="L8" i="21" s="1"/>
  <c r="M9" i="21" a="1"/>
  <c r="M9" i="21" s="1"/>
  <c r="M15" i="21" a="1"/>
  <c r="M1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<sst xmlns="http://schemas.openxmlformats.org/spreadsheetml/2006/main" count="14427" uniqueCount="1661">
  <si>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</si>
  <si>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</si>
  <si>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</si>
  <si>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</si>
  <si>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</si>
  <si>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</si>
  <si>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</si>
  <si>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</si>
  <si>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</si>
  <si>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</si>
  <si>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</si>
  <si>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</si>
  <si>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</si>
  <si>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</si>
  <si>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</si>
  <si>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</si>
  <si>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</si>
  <si>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</si>
  <si>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</si>
  <si>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</si>
  <si>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</si>
  <si>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</si>
  <si>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</si>
  <si>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</si>
  <si>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</si>
  <si>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</si>
  <si>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</si>
  <si>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</si>
  <si>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</si>
  <si>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</si>
  <si>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</si>
  <si>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</si>
  <si>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</si>
  <si>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</si>
  <si>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</si>
  <si>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</si>
  <si>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</si>
  <si>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</si>
  <si>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</si>
  <si>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</si>
  <si>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</si>
  <si>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</si>
  <si>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</si>
  <si>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</si>
  <si>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</si>
  <si>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</si>
  <si>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</si>
  <si>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</si>
  <si>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</si>
  <si>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</si>
  <si>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</si>
  <si>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</si>
  <si>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</si>
  <si>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</si>
  <si>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</si>
  <si>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</si>
  <si>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</si>
  <si>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</si>
  <si>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</si>
  <si>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</si>
  <si>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</si>
  <si>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</si>
  <si>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</si>
  <si>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</si>
  <si>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</si>
  <si>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</si>
  <si>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</si>
  <si>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</si>
  <si>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</si>
  <si>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</si>
  <si>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</si>
  <si>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</si>
  <si>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</si>
  <si>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</si>
  <si>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</si>
  <si>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</si>
  <si>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</si>
  <si>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</si>
  <si>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</si>
  <si>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</si>
  <si>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</si>
  <si>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</si>
  <si>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</si>
  <si>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</si>
  <si>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</si>
  <si>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</si>
  <si>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</si>
  <si>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</si>
  <si>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</si>
  <si>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</si>
  <si>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</si>
  <si>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</si>
  <si>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</si>
  <si>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</si>
  <si>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</si>
  <si>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</si>
  <si>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</si>
  <si>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</si>
  <si>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</si>
  <si>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</si>
  <si>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</si>
  <si>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</si>
  <si>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</si>
  <si>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</si>
  <si>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</si>
  <si>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</si>
  <si>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</si>
  <si>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</si>
  <si>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</si>
  <si>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</si>
  <si>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</si>
  <si>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</si>
  <si>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</si>
  <si>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</si>
  <si>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</si>
  <si>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</si>
  <si>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</si>
  <si>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</si>
  <si>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</si>
  <si>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</si>
  <si>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</si>
  <si>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</si>
  <si>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</si>
  <si>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</si>
  <si>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</si>
  <si>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</si>
  <si>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</si>
  <si>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</si>
  <si>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</si>
  <si>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</si>
  <si>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</si>
  <si>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</si>
  <si>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</si>
  <si>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</si>
  <si>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</si>
  <si>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</si>
  <si>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</si>
  <si>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</si>
  <si>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</si>
  <si>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</si>
  <si>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</si>
  <si>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</si>
  <si>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</si>
  <si>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</si>
  <si>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</si>
  <si>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</si>
  <si>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</si>
  <si>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</si>
  <si>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</si>
  <si>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</si>
  <si>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</si>
  <si>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</si>
  <si>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</si>
  <si>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</si>
  <si>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</si>
  <si>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</si>
  <si>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</si>
  <si>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</si>
  <si>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</si>
  <si>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</si>
  <si>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</si>
  <si>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</si>
  <si>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</si>
  <si>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</si>
  <si>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</si>
  <si>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</si>
  <si>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</si>
  <si>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</si>
  <si>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</si>
  <si>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</si>
  <si>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</si>
  <si>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</si>
  <si>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</si>
  <si>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</si>
  <si>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</si>
  <si>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</si>
  <si>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</si>
  <si>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</si>
  <si>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</si>
  <si>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</si>
  <si>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</si>
  <si>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</si>
  <si>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</si>
  <si>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</si>
  <si>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</si>
  <si>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</si>
  <si>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</si>
  <si>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</si>
  <si>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</si>
  <si>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</si>
  <si>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</si>
  <si>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</si>
  <si>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</si>
  <si>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</si>
  <si>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</si>
  <si>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</si>
  <si>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</si>
  <si>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</si>
  <si>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</si>
  <si>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</si>
  <si>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</si>
  <si>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</si>
  <si>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</si>
  <si>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</si>
  <si>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</si>
  <si>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</si>
  <si>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</si>
  <si>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</si>
  <si>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</si>
  <si>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</si>
  <si>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</si>
  <si>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</si>
  <si>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</si>
  <si>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</si>
  <si>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</si>
  <si>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</si>
  <si>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</si>
  <si>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</si>
  <si>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</si>
  <si>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</si>
  <si>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</si>
  <si>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</si>
  <si>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</si>
  <si>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</si>
  <si>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</si>
  <si>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</si>
  <si>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</si>
  <si>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</si>
  <si>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</si>
  <si>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</si>
  <si>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</si>
  <si>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</si>
  <si>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</si>
  <si>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</si>
  <si>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</si>
  <si>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</si>
  <si>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</si>
  <si>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</si>
  <si>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</si>
  <si>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</si>
  <si>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</si>
  <si>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</si>
  <si>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</si>
  <si>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</si>
  <si>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</si>
  <si>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</si>
  <si>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</si>
  <si>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</si>
  <si>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</si>
  <si>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</si>
  <si>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</si>
  <si>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</si>
  <si>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</si>
  <si>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</si>
  <si>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</si>
  <si>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</si>
  <si>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</si>
  <si>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</si>
  <si>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</si>
  <si>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</si>
  <si>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</si>
  <si>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</si>
  <si>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</si>
  <si>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</si>
  <si>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</si>
  <si>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</si>
  <si>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</si>
  <si>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</si>
  <si>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</si>
  <si>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</si>
  <si>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</si>
  <si>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</si>
  <si>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</si>
  <si>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</si>
  <si>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</si>
  <si>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</si>
  <si>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</si>
  <si>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</si>
  <si>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</si>
  <si>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</si>
  <si>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</si>
  <si>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</si>
  <si>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</si>
  <si>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</si>
  <si>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</si>
  <si>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</si>
  <si>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</si>
  <si>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</si>
  <si>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</si>
  <si>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</si>
  <si>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</si>
  <si>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</si>
  <si>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</si>
  <si>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</si>
  <si>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</si>
  <si>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</si>
  <si>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</si>
  <si>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</si>
  <si>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</si>
  <si>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</si>
  <si>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</si>
  <si>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</si>
  <si>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</si>
  <si>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</si>
  <si>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</si>
  <si>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</si>
  <si>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</si>
  <si>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</si>
  <si>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</si>
  <si>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</si>
  <si>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</si>
  <si>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</si>
  <si>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</si>
  <si>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</si>
  <si>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</si>
  <si>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</si>
  <si>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</si>
  <si>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</si>
  <si>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</si>
  <si>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</si>
  <si>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</si>
  <si>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</si>
  <si>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</si>
  <si>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</si>
  <si>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</si>
  <si>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</si>
  <si>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</si>
  <si>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</si>
  <si>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</si>
  <si>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</si>
  <si>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</si>
  <si>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</si>
  <si>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</si>
  <si>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</si>
  <si>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</si>
  <si>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</si>
  <si>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</si>
  <si>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</si>
  <si>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</si>
  <si>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</si>
  <si>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</si>
  <si>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</si>
  <si>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</si>
  <si>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</si>
  <si>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</si>
  <si>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</si>
  <si>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</si>
  <si>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</si>
  <si>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</si>
  <si>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</si>
  <si>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</si>
  <si>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</si>
  <si>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</si>
  <si>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</si>
  <si>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</si>
  <si>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</si>
  <si>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</si>
  <si>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</si>
  <si>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</si>
  <si>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</si>
  <si>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</si>
  <si>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</si>
  <si>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</si>
  <si>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</si>
  <si>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</si>
  <si>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</si>
  <si>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</si>
  <si>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</si>
  <si>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</si>
  <si>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</si>
  <si>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</si>
  <si>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</si>
  <si>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</si>
  <si>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</si>
  <si>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</si>
  <si>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</si>
  <si>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</si>
  <si>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</si>
  <si>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</si>
  <si>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</si>
  <si>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</si>
  <si>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</si>
  <si>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</si>
  <si>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</si>
  <si>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</si>
  <si>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</si>
  <si>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</si>
  <si>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</si>
  <si>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</si>
  <si>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</si>
  <si>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</si>
  <si>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</si>
  <si>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</si>
  <si>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</si>
  <si>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</si>
  <si>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</si>
  <si>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</si>
  <si>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</si>
  <si>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</si>
  <si>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</si>
  <si>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</si>
  <si>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</si>
  <si>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</si>
  <si>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</si>
  <si>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</si>
  <si>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</si>
  <si>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</si>
  <si>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</si>
  <si>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</si>
  <si>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</si>
  <si>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</si>
  <si>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</si>
  <si>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</si>
  <si>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</si>
  <si>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</si>
  <si>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</si>
  <si>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</si>
  <si>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</si>
  <si>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</si>
  <si>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</si>
  <si>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</si>
  <si>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</si>
  <si>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</si>
  <si>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</si>
  <si>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</si>
  <si>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</si>
  <si>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</si>
  <si>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</si>
  <si>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</si>
  <si>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</si>
  <si>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</si>
  <si>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</si>
  <si>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</si>
  <si>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</si>
  <si>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</si>
  <si>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</si>
  <si>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</si>
  <si>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</si>
  <si>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</si>
  <si>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</si>
  <si>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</si>
  <si>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</si>
  <si>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</si>
  <si>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</si>
  <si>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</si>
  <si>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</si>
  <si>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</si>
  <si>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</si>
  <si>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</si>
  <si>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</si>
  <si>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</si>
  <si>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</si>
  <si>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</si>
  <si>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</si>
  <si>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</si>
  <si>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</si>
  <si>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</si>
  <si>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</si>
  <si>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</si>
  <si>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</si>
  <si>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</si>
  <si>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</si>
  <si>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</si>
  <si>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</si>
  <si>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</si>
  <si>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</si>
  <si>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</si>
  <si>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</si>
  <si>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</si>
  <si>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</si>
  <si>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</si>
  <si>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</si>
  <si>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</si>
  <si>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</si>
  <si>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</si>
  <si>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</si>
  <si>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</si>
  <si>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</si>
  <si>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</si>
  <si>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</si>
  <si>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</si>
  <si>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</si>
  <si>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</si>
  <si>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</si>
  <si>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</si>
  <si>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</si>
  <si>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</si>
  <si>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</si>
  <si>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</si>
  <si>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</si>
  <si>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</si>
  <si>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</si>
  <si>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</si>
  <si>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</si>
  <si>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</si>
  <si>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</si>
  <si>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</si>
  <si>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</si>
  <si>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</si>
  <si>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</si>
  <si>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</si>
  <si>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</si>
  <si>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</si>
  <si>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</si>
  <si>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</si>
  <si>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</si>
  <si>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</si>
  <si>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</si>
  <si>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</si>
  <si>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</si>
  <si>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</si>
  <si>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</si>
  <si>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</si>
  <si>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</si>
  <si>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</si>
  <si>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</si>
  <si>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</si>
  <si>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</si>
  <si>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</si>
  <si>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</si>
  <si>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</si>
  <si>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</si>
  <si>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</si>
  <si>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</si>
  <si>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</si>
  <si>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</si>
  <si>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</si>
  <si>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</si>
  <si>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</si>
  <si>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</si>
  <si>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</si>
  <si>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</si>
  <si>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</si>
  <si>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</si>
  <si>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</si>
  <si>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</si>
  <si>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</si>
  <si>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</si>
  <si>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</si>
  <si>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</si>
  <si>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</si>
  <si>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</si>
  <si>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</si>
  <si>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</si>
  <si>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</si>
  <si>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</si>
  <si>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</si>
  <si>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</si>
  <si>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</si>
  <si>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</si>
  <si>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</si>
  <si>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</si>
  <si>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</si>
  <si>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</si>
  <si>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</si>
  <si>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</si>
  <si>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</si>
  <si>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</si>
  <si>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</si>
  <si>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</si>
  <si>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</si>
  <si>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</si>
  <si>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</si>
  <si>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</si>
  <si>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</si>
  <si>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</si>
  <si>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</si>
  <si>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</si>
  <si>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</si>
  <si>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</si>
  <si>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</si>
  <si>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</si>
  <si>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</si>
  <si>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</si>
  <si>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</si>
  <si>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</si>
  <si>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</si>
  <si>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</si>
  <si>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</si>
  <si>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</si>
  <si>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</si>
  <si>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</si>
  <si>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</si>
  <si>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</si>
  <si>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</si>
  <si>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</si>
  <si>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</si>
  <si>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</si>
  <si>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</si>
  <si>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</si>
  <si>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</si>
  <si>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</si>
  <si>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</si>
  <si>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</si>
  <si>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</si>
  <si>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</si>
  <si>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</si>
  <si>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</si>
  <si>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</si>
  <si>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</si>
  <si>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</si>
  <si>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</si>
  <si>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</si>
  <si>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</si>
  <si>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</si>
  <si>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</si>
  <si>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</si>
  <si>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</si>
  <si>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</si>
  <si>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</si>
  <si>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</si>
  <si>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</si>
  <si>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</si>
  <si>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</si>
  <si>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</si>
  <si>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</si>
  <si>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</si>
  <si>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</si>
  <si>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</si>
  <si>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</si>
  <si>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</si>
  <si>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</si>
  <si>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</si>
  <si>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</si>
  <si>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</si>
  <si>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</si>
  <si>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</si>
  <si>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</si>
  <si>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</si>
  <si>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</si>
  <si>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</si>
  <si>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</si>
  <si>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</si>
  <si>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</si>
  <si>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</si>
  <si>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</si>
  <si>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</si>
  <si>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</si>
  <si>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</si>
  <si>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</si>
  <si>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</si>
  <si>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</si>
  <si>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</si>
  <si>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</si>
  <si>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</si>
  <si>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</si>
  <si>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</si>
  <si>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</si>
  <si>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</si>
  <si>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</si>
  <si>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</si>
  <si>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</si>
  <si>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</si>
  <si>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</si>
  <si>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</si>
  <si>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</si>
  <si>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</si>
  <si>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</si>
  <si>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</si>
  <si>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</si>
  <si>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</si>
  <si>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</si>
  <si>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</si>
  <si>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</si>
  <si>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</si>
  <si>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</si>
  <si>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</si>
  <si>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</si>
  <si>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</si>
  <si>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</si>
  <si>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</si>
  <si>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</si>
  <si>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</si>
  <si>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</si>
  <si>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</si>
  <si>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</si>
  <si>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</si>
  <si>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</si>
  <si>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</si>
  <si>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</si>
  <si>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</si>
  <si>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</si>
  <si>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</si>
  <si>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</si>
  <si>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</si>
  <si>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</si>
  <si>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</si>
  <si>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</si>
  <si>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</si>
  <si>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</si>
  <si>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</si>
  <si>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</si>
  <si>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</si>
  <si>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</si>
  <si>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</si>
  <si>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</si>
  <si>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</si>
  <si>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</si>
  <si>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</si>
  <si>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</si>
  <si>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</si>
  <si>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</si>
  <si>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</si>
  <si>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</si>
  <si>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</si>
  <si>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</si>
  <si>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</si>
  <si>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</si>
  <si>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</si>
  <si>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</si>
  <si>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</si>
  <si>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</si>
  <si>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</si>
  <si>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</si>
  <si>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</si>
  <si>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</si>
  <si>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</si>
  <si>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</si>
  <si>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</si>
  <si>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</si>
  <si>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</si>
  <si>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</si>
  <si>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</si>
  <si>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</si>
  <si>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</si>
  <si>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</si>
  <si>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</si>
  <si>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</si>
  <si>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</si>
  <si>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</si>
  <si>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</si>
  <si>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</si>
  <si>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</si>
  <si>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</si>
  <si>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</si>
  <si>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</si>
  <si>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</si>
  <si>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</si>
  <si>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</si>
  <si>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</si>
  <si>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</si>
  <si>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</si>
  <si>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</si>
  <si>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</si>
  <si>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</si>
  <si>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</si>
  <si>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</si>
  <si>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</si>
  <si>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</si>
  <si>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</si>
  <si>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</si>
  <si>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</si>
  <si>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</si>
  <si>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</si>
  <si>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</si>
  <si>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</si>
  <si>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</si>
  <si>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</si>
  <si>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</si>
  <si>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</si>
  <si>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</si>
  <si>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</si>
  <si>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</si>
  <si>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</si>
  <si>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</si>
  <si>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</si>
  <si>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</si>
  <si>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</si>
  <si>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</si>
  <si>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</si>
  <si>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</si>
  <si>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</si>
  <si>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</si>
  <si>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</si>
  <si>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</si>
  <si>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</si>
  <si>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</si>
  <si>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</si>
  <si>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</si>
  <si>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</si>
  <si>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</si>
  <si>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</si>
  <si>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</si>
  <si>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</si>
  <si>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</si>
  <si>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</si>
  <si>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</si>
  <si>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</si>
  <si>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</si>
  <si>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</si>
  <si>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</si>
  <si>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</si>
  <si>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</si>
  <si>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</si>
  <si>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</si>
  <si>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</si>
  <si>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</si>
  <si>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</si>
  <si>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</si>
  <si>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</si>
  <si>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</si>
  <si>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</si>
  <si>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</si>
  <si>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</si>
  <si>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</si>
  <si>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</si>
  <si>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</si>
  <si>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</si>
  <si>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</si>
  <si>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</si>
  <si>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</si>
  <si>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</si>
  <si>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</si>
  <si>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</si>
  <si>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</si>
  <si>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</si>
  <si>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</si>
  <si>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</si>
  <si>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</si>
  <si>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</si>
  <si>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</si>
  <si>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</si>
  <si>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</si>
  <si>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</si>
  <si>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</si>
  <si>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</si>
  <si>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</si>
  <si>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</si>
  <si>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</si>
  <si>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</si>
  <si>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</si>
  <si>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</si>
  <si>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</si>
  <si>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</si>
  <si>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</si>
  <si>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</si>
  <si>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</si>
  <si>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</si>
  <si>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</si>
  <si>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</si>
  <si>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</si>
  <si>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</si>
  <si>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</si>
  <si>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</si>
  <si>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</si>
  <si>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</si>
  <si>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</si>
  <si>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</si>
  <si>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</si>
  <si>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</si>
  <si>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</si>
  <si>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</si>
  <si>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</si>
  <si>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</si>
  <si>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</si>
  <si>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</si>
  <si>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</si>
  <si>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</si>
  <si>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</si>
  <si>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</si>
  <si>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</si>
  <si>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</si>
  <si>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</si>
  <si>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</si>
  <si>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</si>
  <si>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</si>
  <si>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</si>
  <si>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</si>
  <si>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</si>
  <si>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</si>
  <si>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</si>
  <si>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</si>
  <si>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</si>
  <si>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</si>
  <si>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</si>
  <si>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</si>
  <si>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</si>
  <si>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</si>
  <si>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</si>
  <si>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</si>
  <si>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</si>
  <si>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</si>
  <si>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</si>
  <si>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</si>
  <si>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</si>
  <si>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</si>
  <si>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</si>
  <si>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</si>
  <si>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</si>
  <si>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</si>
  <si>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</si>
  <si>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</si>
  <si>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</si>
  <si>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</si>
  <si>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</si>
  <si>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</si>
  <si>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</si>
  <si>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</si>
  <si>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</si>
  <si>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</si>
  <si>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</si>
  <si>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</si>
  <si>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</si>
  <si>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</si>
  <si>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</si>
  <si>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</si>
  <si>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</si>
  <si>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</si>
  <si>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</si>
  <si>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</si>
  <si>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</si>
  <si>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</si>
  <si>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</si>
  <si>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</si>
  <si>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</si>
  <si>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</si>
  <si>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</si>
  <si>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</si>
  <si>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</si>
  <si>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</si>
  <si>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</si>
  <si>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</si>
  <si>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</si>
  <si>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</si>
  <si>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</si>
  <si>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</si>
  <si>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</si>
  <si>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</si>
  <si>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</si>
  <si>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</si>
  <si>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</si>
  <si>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</si>
  <si>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</si>
  <si>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</si>
  <si>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</si>
  <si>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</si>
  <si>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</si>
  <si>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</si>
  <si>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</si>
  <si>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</si>
  <si>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</si>
  <si>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</si>
  <si>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</si>
  <si>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</si>
  <si>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</si>
  <si>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</si>
  <si>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</si>
  <si>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</si>
  <si>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</si>
  <si>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</si>
  <si>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</si>
  <si>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</si>
  <si>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</si>
  <si>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</si>
  <si>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</si>
  <si>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</si>
  <si>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</si>
  <si>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</si>
  <si>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</si>
  <si>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</si>
  <si>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</si>
  <si>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</si>
  <si>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</si>
  <si>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</si>
  <si>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</si>
  <si>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</si>
  <si>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</si>
  <si>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</si>
  <si>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</si>
  <si>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</si>
  <si>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</si>
  <si>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</si>
  <si>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</si>
  <si>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</si>
  <si>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</si>
  <si>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</si>
  <si>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</si>
  <si>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</si>
  <si>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</si>
  <si>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</si>
  <si>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</si>
  <si>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</si>
  <si>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</si>
  <si>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</si>
  <si>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</si>
  <si>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</si>
  <si>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</si>
  <si>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</si>
  <si>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</si>
  <si>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</si>
  <si>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</si>
  <si>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</si>
  <si>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</si>
  <si>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</si>
  <si>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</si>
  <si>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</si>
  <si>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</si>
  <si>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</si>
  <si>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</si>
  <si>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</si>
  <si>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</si>
  <si>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</si>
  <si>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</si>
  <si>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</si>
  <si>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</si>
  <si>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</si>
  <si>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</si>
  <si>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</si>
  <si>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</si>
  <si>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</si>
  <si>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</si>
  <si>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</si>
  <si>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</si>
  <si>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</si>
  <si>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</si>
  <si>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</si>
  <si>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</si>
  <si>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</si>
  <si>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</si>
  <si>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</si>
  <si>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</si>
  <si>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</si>
  <si>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</si>
  <si>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</si>
  <si>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</si>
  <si>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</si>
  <si>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</si>
  <si>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</si>
  <si>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</si>
  <si>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</si>
  <si>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</si>
  <si>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</si>
  <si>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</si>
  <si>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</si>
  <si>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</si>
  <si>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</si>
  <si>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</si>
  <si>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</si>
  <si>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</si>
  <si>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</si>
  <si>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</si>
  <si>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</si>
  <si>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</si>
  <si>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</si>
  <si>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</si>
  <si>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</si>
  <si>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</si>
  <si>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</si>
  <si>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</si>
  <si>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</si>
  <si>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</si>
  <si>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</si>
  <si>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</si>
  <si>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</si>
  <si>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</si>
  <si>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</si>
  <si>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</si>
  <si>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</si>
  <si>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</si>
  <si>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</si>
  <si>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</si>
  <si>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</si>
  <si>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</si>
  <si>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</si>
  <si>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</si>
  <si>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</si>
  <si>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</si>
  <si>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</si>
  <si>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</si>
  <si>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</si>
  <si>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</si>
  <si>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</si>
  <si>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</si>
  <si>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</si>
  <si>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</si>
  <si>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</si>
  <si>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</si>
  <si>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</si>
  <si>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</si>
  <si>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</si>
  <si>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</si>
  <si>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</si>
  <si>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</si>
  <si>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</si>
  <si>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</si>
  <si>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</si>
  <si>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</si>
  <si>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</si>
  <si>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</si>
  <si>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</si>
  <si>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</si>
  <si>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</si>
  <si>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</si>
  <si>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</si>
  <si>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</si>
  <si>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</si>
  <si>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</si>
  <si>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</si>
  <si>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</si>
  <si>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</si>
  <si>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</si>
  <si>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</si>
  <si>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</si>
  <si>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</si>
  <si>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</si>
  <si>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</si>
  <si>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</si>
  <si>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</si>
  <si>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</si>
  <si>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</si>
  <si>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</si>
  <si>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</si>
  <si>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</si>
  <si>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</si>
  <si>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</si>
  <si>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</si>
  <si>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</si>
  <si>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</si>
  <si>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</si>
  <si>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</si>
  <si>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</si>
  <si>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</si>
  <si>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</si>
  <si>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</si>
  <si>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</si>
  <si>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</si>
  <si>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</si>
  <si>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</si>
  <si>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</si>
  <si>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</si>
  <si>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</si>
  <si>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</si>
  <si>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</si>
  <si>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</si>
  <si>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</si>
  <si>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</si>
  <si>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</si>
  <si>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</si>
  <si>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</si>
  <si>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</si>
  <si>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</si>
  <si>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</si>
  <si>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</si>
  <si>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</si>
  <si>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</si>
  <si>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</si>
  <si>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</si>
  <si>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</si>
  <si>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</si>
  <si>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</si>
  <si>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</si>
  <si>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</si>
  <si>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</si>
  <si>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</si>
  <si>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</si>
  <si>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</si>
  <si>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</si>
  <si>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</si>
  <si>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</si>
  <si>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</si>
  <si>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</si>
  <si>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</si>
  <si>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</si>
  <si>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</si>
  <si>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</si>
  <si>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</si>
  <si>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</si>
  <si>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</si>
  <si>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</si>
  <si>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</si>
  <si>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</si>
  <si>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</si>
  <si>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</si>
  <si>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</si>
  <si>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</si>
  <si>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</si>
  <si>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</si>
  <si>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</si>
  <si>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</si>
  <si>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</si>
  <si>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</si>
  <si>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</si>
  <si>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</si>
  <si>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</si>
  <si>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</si>
  <si>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</si>
  <si>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</si>
  <si>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</si>
  <si>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</si>
  <si>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</si>
  <si>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</si>
  <si>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</si>
  <si>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</si>
  <si>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</si>
  <si>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</si>
  <si>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</si>
  <si>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</si>
  <si>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</si>
  <si>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</si>
  <si>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</si>
  <si>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</si>
  <si>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</si>
  <si>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</si>
  <si>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</si>
  <si>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</si>
  <si>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</si>
  <si>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</si>
  <si>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</si>
  <si>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</si>
  <si>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</si>
  <si>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</si>
  <si>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</si>
  <si>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</si>
  <si>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</si>
  <si>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</si>
  <si>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</si>
  <si>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</si>
  <si>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</si>
  <si>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</si>
  <si>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</si>
  <si>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</si>
  <si>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</si>
  <si>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</si>
  <si>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</si>
  <si>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</si>
  <si>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</si>
  <si>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</si>
  <si>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</si>
  <si>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</si>
  <si>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</si>
  <si>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</si>
  <si>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</si>
  <si>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</si>
  <si>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</si>
  <si>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</si>
  <si>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</si>
  <si>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</si>
  <si>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</si>
  <si>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</si>
  <si>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</si>
  <si>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</si>
  <si>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</si>
  <si>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</si>
  <si>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</si>
  <si>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</si>
  <si>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</si>
  <si>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</si>
  <si>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</si>
  <si>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</si>
  <si>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</si>
  <si>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</si>
  <si>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</si>
  <si>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</si>
  <si>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</si>
  <si>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</si>
  <si>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</si>
  <si>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</si>
  <si>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</si>
  <si>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</si>
  <si>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</si>
  <si>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</si>
  <si>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</si>
  <si>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</si>
  <si>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</si>
  <si>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</si>
  <si>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</si>
  <si>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</si>
  <si>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</si>
  <si>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</si>
  <si>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</si>
  <si>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</si>
  <si>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</si>
  <si>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</si>
  <si>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</si>
  <si>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</si>
  <si>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</si>
  <si>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</si>
  <si>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</si>
  <si>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</si>
  <si>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</si>
  <si>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</si>
  <si>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</si>
  <si>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</si>
  <si>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</si>
  <si>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</si>
  <si>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</si>
  <si>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</si>
  <si>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</si>
  <si>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</si>
  <si>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</si>
  <si>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</si>
  <si>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</si>
  <si>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</si>
  <si>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</si>
  <si>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</si>
  <si>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</si>
  <si>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</si>
  <si>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</si>
  <si>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</si>
  <si>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</si>
  <si>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</si>
  <si>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</si>
  <si>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Boeing Portland</t>
  </si>
  <si>
    <t>19000 NE Sandy Boulevard</t>
  </si>
  <si>
    <t>Gresham</t>
  </si>
  <si>
    <t>26-2204-ST-01</t>
  </si>
  <si>
    <t>Jeff Kosta</t>
  </si>
  <si>
    <t>(971) 300-8022</t>
  </si>
  <si>
    <t>jeffrey.d.kosta@boeing.com</t>
  </si>
  <si>
    <t>TEU-BSB-1</t>
  </si>
  <si>
    <t>TEU-BSB-2</t>
  </si>
  <si>
    <t>TEU-CBB-1</t>
  </si>
  <si>
    <t>TEU-CBB-2</t>
  </si>
  <si>
    <t>TEU-CBB-3</t>
  </si>
  <si>
    <t>TEU-CBB-4</t>
  </si>
  <si>
    <t>TEU-HB-1</t>
  </si>
  <si>
    <t>TEU-HB-2</t>
  </si>
  <si>
    <t>TEU-PBO-1</t>
  </si>
  <si>
    <t>TEU-PBO-2</t>
  </si>
  <si>
    <t>TEU-PBO-3</t>
  </si>
  <si>
    <t>TEU-PBO-4</t>
  </si>
  <si>
    <t>TEU-PBO-5</t>
  </si>
  <si>
    <t>TEU-BPBO-1</t>
  </si>
  <si>
    <t>TEU-BPBO-2</t>
  </si>
  <si>
    <t>TEU-HCPO-1</t>
  </si>
  <si>
    <t>TEU-HCPO-2</t>
  </si>
  <si>
    <t>TEU-AB</t>
  </si>
  <si>
    <t>001SC3</t>
  </si>
  <si>
    <t>001SC2</t>
  </si>
  <si>
    <t>001SC4</t>
  </si>
  <si>
    <t>001SC5</t>
  </si>
  <si>
    <t>105SC1</t>
  </si>
  <si>
    <t>105SC2</t>
  </si>
  <si>
    <t>Bryan Steam Corp Boiler #1 - 15 MMBtu/hr heat input</t>
  </si>
  <si>
    <t>Bryan Steam Corp Boiler #2 - 15 MMBtu/hr heat input</t>
  </si>
  <si>
    <t>Cleaver Brooks Boiler #1 - 10.46 MMBtu/hr heat input</t>
  </si>
  <si>
    <t>Cleaver Brooks Boiler #2 - 10.46 MMBtu/hr heat input</t>
  </si>
  <si>
    <t>Cleaver Brooks Boiler #3 - 4.2 MMBtu/hr heat input</t>
  </si>
  <si>
    <t>Cleaver Brooks Boiler #4 - 3.34 MMBtu/hr heat input</t>
  </si>
  <si>
    <t>Hurst Boiler #1 - 8.4 MMBtu/hr heat input</t>
  </si>
  <si>
    <t>Hurst Boiler #2 - 8.4 MMBtu/hr heat input</t>
  </si>
  <si>
    <t>Circle 1 Paint Booth Oven - 3.5 MMBtu/hr heat input</t>
  </si>
  <si>
    <t>Circle 2 Paint Booth Oven - 0.5 MMBtu/hr heat input</t>
  </si>
  <si>
    <t>IMF Paint Booth Oven - 0.9 MMBtu/hr heat input</t>
  </si>
  <si>
    <t>Binks Paint Booth - 2.5 MMBtu/hr heat input</t>
  </si>
  <si>
    <t>Devilbiss Paint Booth - 1.8 MMBtu/hr heat input</t>
  </si>
  <si>
    <t>Bleaker Paint Booths 1 - 0.7 MMBtu/hr heat input</t>
  </si>
  <si>
    <t>Bleaker Paint Booths 2 - 0.7 MMBtu/hr heat input</t>
  </si>
  <si>
    <t>Hard Chrome Plating Oven #1 - 0.3 MMBtu/hr heat input</t>
  </si>
  <si>
    <t>Hard Chrome Plating Oven #2 - 1.0 MMBtu/hr heat input</t>
  </si>
  <si>
    <t>Generac 54 (M256)</t>
  </si>
  <si>
    <t>Kohler 134 (M250) - Spark ignition natural gas fuelled categorically exempt source</t>
  </si>
  <si>
    <t>Kohler 188 (M255) - Spark ignition natural gas fuelled categorically exempt source</t>
  </si>
  <si>
    <t>Kohler 402 (M253)</t>
  </si>
  <si>
    <t>Caterpillar 670 (M251)</t>
  </si>
  <si>
    <t>Generac 670 (A237)</t>
  </si>
  <si>
    <t>Caterpillar 1394 (M254) - Spark ignition natural gas fuelled categorically exempt source</t>
  </si>
  <si>
    <t>Abrasive Blasting Units</t>
  </si>
  <si>
    <t>Demister 3 - Air Control Unit ID 001SCBR3</t>
  </si>
  <si>
    <t>Scrubber 2 - Air Control Unit ID 001SCBR2</t>
  </si>
  <si>
    <t xml:space="preserve"> Scrubber 4 - Air Control Unit ID 001SCBR4</t>
  </si>
  <si>
    <t xml:space="preserve"> Scrubber 5 - Air Control Unit ID 001SCBR5</t>
  </si>
  <si>
    <t>85-105 Acid/Alkali/Cn Scrubber</t>
  </si>
  <si>
    <t>85-105 Chrome Scrubber (2 scrubbers in parallel)</t>
  </si>
  <si>
    <t>N/A</t>
  </si>
  <si>
    <t>Dust Collectors and Cartridges</t>
  </si>
  <si>
    <t>001SCBR3</t>
  </si>
  <si>
    <t>001SCBR2</t>
  </si>
  <si>
    <t>001SCBR4</t>
  </si>
  <si>
    <t>001SCBR5</t>
  </si>
  <si>
    <t>105SCBR1</t>
  </si>
  <si>
    <t>105SCBR2</t>
  </si>
  <si>
    <t>Point</t>
  </si>
  <si>
    <t>BSB-1</t>
  </si>
  <si>
    <t>BSB-2</t>
  </si>
  <si>
    <t>CBB-1</t>
  </si>
  <si>
    <t>CBB-2</t>
  </si>
  <si>
    <t>CBB-3</t>
  </si>
  <si>
    <t>CBB-4</t>
  </si>
  <si>
    <t>HB-1</t>
  </si>
  <si>
    <t>HB-2</t>
  </si>
  <si>
    <t>PBO-1</t>
  </si>
  <si>
    <t>PBO-2</t>
  </si>
  <si>
    <t>PBO-3</t>
  </si>
  <si>
    <t>PBO-4</t>
  </si>
  <si>
    <t>PBO-5</t>
  </si>
  <si>
    <t>BPBO-1</t>
  </si>
  <si>
    <t>BPBO-2</t>
  </si>
  <si>
    <t>HCPO-1</t>
  </si>
  <si>
    <t>HCPO-2</t>
  </si>
  <si>
    <t>EGEN-Genac-1</t>
  </si>
  <si>
    <t>EGEN-Koh-1</t>
  </si>
  <si>
    <t>EGEN-Koh-2</t>
  </si>
  <si>
    <t>EGEN-Koh-3</t>
  </si>
  <si>
    <t xml:space="preserve">EGEN-Cat-1 </t>
  </si>
  <si>
    <t>EGEN-Genac-2</t>
  </si>
  <si>
    <t>EGEN-Cat-2</t>
  </si>
  <si>
    <t xml:space="preserve">Point </t>
  </si>
  <si>
    <t>AB-1</t>
  </si>
  <si>
    <t>001_3</t>
  </si>
  <si>
    <t>001_2</t>
  </si>
  <si>
    <t>001_4</t>
  </si>
  <si>
    <t>001_5</t>
  </si>
  <si>
    <t>105_1</t>
  </si>
  <si>
    <t>105_2</t>
  </si>
  <si>
    <t>MMScf</t>
  </si>
  <si>
    <t xml:space="preserve">Natural Gas </t>
  </si>
  <si>
    <t>MMscf</t>
  </si>
  <si>
    <t>Mgal</t>
  </si>
  <si>
    <t>Fuel Usage Diesel</t>
  </si>
  <si>
    <t>Natural Gas</t>
  </si>
  <si>
    <t>Lbs</t>
  </si>
  <si>
    <t>Abrasive blast media</t>
  </si>
  <si>
    <t>Hours</t>
  </si>
  <si>
    <t>Hours of Operation</t>
  </si>
  <si>
    <t>Yes</t>
  </si>
  <si>
    <t>lb/MMscf</t>
  </si>
  <si>
    <t>lb/Mgal</t>
  </si>
  <si>
    <t>lb/MMScf</t>
  </si>
  <si>
    <t>lb/lb</t>
  </si>
  <si>
    <t>lb/hr</t>
  </si>
  <si>
    <t>CAO NG Ext. Comb. (b)</t>
  </si>
  <si>
    <t>CAO NG Ext. Comb. (a)</t>
  </si>
  <si>
    <t>CAO Diesel RICE (b) - actual hours of operation include emergency operation</t>
  </si>
  <si>
    <t>TEU-BOOTH</t>
  </si>
  <si>
    <t>TEU-FW-MISC</t>
  </si>
  <si>
    <t>Paint Booth Operations - Surface Coating</t>
  </si>
  <si>
    <t>Facility-Wide Miscellaneous Material Usage</t>
  </si>
  <si>
    <t>Vapor degreasing</t>
  </si>
  <si>
    <t>Various Manufacturers</t>
  </si>
  <si>
    <t>1300 RUBBER AND GASKET ADHESIVE</t>
  </si>
  <si>
    <t>3-8 EVERLUBE 620 C READY TO APPLY</t>
  </si>
  <si>
    <t>3M SCOTCH-GRIP 847</t>
  </si>
  <si>
    <t xml:space="preserve">5117-4 INK (A-7 PLAN) </t>
  </si>
  <si>
    <t>5-123 TY1 CL3 HYSOL 615 A/B TY71 (10 CT/BX)</t>
  </si>
  <si>
    <t>5-136 TY2 CL1 BODY FILLER/HARDENER 50% (GAL)</t>
  </si>
  <si>
    <t>5-136 TY2 CL1 BODY FILLER/HARDENER 50% (PT)</t>
  </si>
  <si>
    <t>5-45 A2 GR3 890 MF</t>
  </si>
  <si>
    <t>5-55 EC-1870 ADHESIVE</t>
  </si>
  <si>
    <t xml:space="preserve">5-63 TY1 B4 DAPCO 18-4F </t>
  </si>
  <si>
    <t xml:space="preserve">565 PST INDUSTRIAL GRADE PIPE SEALANT </t>
  </si>
  <si>
    <t>5-92 T1 C4 2216 GRAY EPOXY A/B</t>
  </si>
  <si>
    <t>5-92 TY5 CL2 EC-2615 B/A LW EPOXY A</t>
  </si>
  <si>
    <t>5-95 TY1 B1/2 PRO-SEAL 870 MIXED</t>
  </si>
  <si>
    <t xml:space="preserve">5-95 TY1 B2 PRO-SEAL 870 1 oz </t>
  </si>
  <si>
    <t>5-95 TY1 C20 PRO-SEAL 870 6 oz</t>
  </si>
  <si>
    <t xml:space="preserve">683-3-20 HOT FINCH 5710 TY41 (36 CT /BX) </t>
  </si>
  <si>
    <t>73X RED MARKING INK</t>
  </si>
  <si>
    <t xml:space="preserve">ADHESIVE, SUPER 77 SPRAY </t>
  </si>
  <si>
    <t>BARGE CEMENT</t>
  </si>
  <si>
    <t>BELT DRESSING 30527</t>
  </si>
  <si>
    <t xml:space="preserve">CRC CABLE CLEAN DEGREASER </t>
  </si>
  <si>
    <t>DAP LATEX WOOD FILLER</t>
  </si>
  <si>
    <t>DYKEM STEEL BLUE LAYOUT FLUID (MIN 12)</t>
  </si>
  <si>
    <t>EC 776 FUEL RESISTANT COATING</t>
  </si>
  <si>
    <t>EXTREME DUTY SILICONE</t>
  </si>
  <si>
    <t>FORMULA # 581</t>
  </si>
  <si>
    <t>GLYPTAL 1201 A RED INSULATING ENAMEL</t>
  </si>
  <si>
    <t>ICI DEVFLEX 4208-0500 G SAFETY YELLOW</t>
  </si>
  <si>
    <t xml:space="preserve">LPS CHAIN MATE </t>
  </si>
  <si>
    <t>LUBRI-BOND 220 SOLID FILM</t>
  </si>
  <si>
    <t>METAFLUX MOLY EPOXY 70-82</t>
  </si>
  <si>
    <t>NEOPRENE F1 ADHESIVE</t>
  </si>
  <si>
    <t xml:space="preserve">NEW RAPID TAP  (NOT FOR USE ON ALUMINUM) </t>
  </si>
  <si>
    <t xml:space="preserve">NON-CHLOR BRAKLEEN </t>
  </si>
  <si>
    <t>NYCOTE 7-11 COATING 5157</t>
  </si>
  <si>
    <t>PAINT, ECOTHANE PRECAUTIONARY BLUE</t>
  </si>
  <si>
    <t xml:space="preserve">PAINT, FLAME CONTROL 20-20  BLUE </t>
  </si>
  <si>
    <t xml:space="preserve">PAINT, FLAME CONTROL 20-20 WHITE </t>
  </si>
  <si>
    <t xml:space="preserve">PAINT, KRYLON 1003 INT. HARVESTER RED </t>
  </si>
  <si>
    <t>PAINT, KRYLON 1515 DARK BLUE (MIN 12)</t>
  </si>
  <si>
    <t xml:space="preserve">PAINT, KRYLON 1601 GLOSS BLACK </t>
  </si>
  <si>
    <t xml:space="preserve">PAINT, KRYLON 1602 FLAT BLACK </t>
  </si>
  <si>
    <t xml:space="preserve">PAINT, KRYLON 1604 SHADOW GRAY </t>
  </si>
  <si>
    <t xml:space="preserve">PAINT, RUST-OLEUM 2182 GRAY PRIMER </t>
  </si>
  <si>
    <t>PAINT, SPRUCE 473 GLOSS BROWN</t>
  </si>
  <si>
    <t>PSI-803 GRAY</t>
  </si>
  <si>
    <t>PSI-803 WHITE</t>
  </si>
  <si>
    <t>RTV 1204 SILICONE PRIMER</t>
  </si>
  <si>
    <t>RUST-OLEUM 2179 GLOSS BLACK</t>
  </si>
  <si>
    <t>SOLVENT, DENATURED ALCOHOL (SUNNYSIDE)</t>
  </si>
  <si>
    <t>SOLVENT, MPK 11-9</t>
  </si>
  <si>
    <t>V2333 FLOURESCENT GREEN MARKING PT.</t>
  </si>
  <si>
    <t xml:space="preserve">V2363 SAFETY RED MARKING PAINT </t>
  </si>
  <si>
    <t>ICI HYDROSEALER EXT. PRIMER WHITE 6001-1200</t>
  </si>
  <si>
    <t>INK, BLUE STEEL(DO ALL)</t>
  </si>
  <si>
    <t>KRYLON 1311 MATTE CLEAR</t>
  </si>
  <si>
    <t xml:space="preserve">LOCTITE 222 SMALL SCREW THREADLOCKER 22231 </t>
  </si>
  <si>
    <t>LOCTITE 222 SMALL SCREW THREADLOCKER 22231 (MIL)</t>
  </si>
  <si>
    <t>LOCTITE 242 REMOVABLE THREADLOCKER</t>
  </si>
  <si>
    <t>LOCTITE 277-31MIL</t>
  </si>
  <si>
    <t xml:space="preserve">LOCTITE 380 BLACK MAX BLACK TOUGH ADH </t>
  </si>
  <si>
    <t xml:space="preserve">LOCTITE 404 QUICK SET(FREEZER) </t>
  </si>
  <si>
    <t xml:space="preserve">LOCTITE 515 GASKET SEALANT 6CC </t>
  </si>
  <si>
    <t xml:space="preserve">LOCTITE 545 PNEUMATIC/HYDRAULIC SEAL </t>
  </si>
  <si>
    <t>LOCTITE 635 RETAINING COMPOUND(MIL)</t>
  </si>
  <si>
    <t>LOCTITE 640 HIGH TEMP</t>
  </si>
  <si>
    <t xml:space="preserve">LOCTITE 648 SLEEVE &amp; BUSH RETAINER </t>
  </si>
  <si>
    <t>LOCTITE 680 RETAINING COMPOUND</t>
  </si>
  <si>
    <t>10-128 TY1, GRA EAP-9</t>
  </si>
  <si>
    <t xml:space="preserve">KRYLON 1929 SAFETY PURPLE </t>
  </si>
  <si>
    <t>KRYLON Industrial TOUGH COAT Acrylic Enamel, International Harvester Red</t>
  </si>
  <si>
    <t>LOCTITE 272 HIGH TEMP</t>
  </si>
  <si>
    <t>RUST-OLEUM 2143 SAFETY YELLOW</t>
  </si>
  <si>
    <t>RUST-OLEUM 7564 SAFETY RED</t>
  </si>
  <si>
    <t>RUST-OLEUM DEEP BLUE</t>
  </si>
  <si>
    <t>Perchloroethylene</t>
  </si>
  <si>
    <t>Fugitive</t>
  </si>
  <si>
    <t>Mass balance calculation based on ACDP calculations. No material waste applied.</t>
  </si>
  <si>
    <t>Emissions based on Permit limit of 4,800 kg annual limit, with actual emissions calculated per ACDP methodology.</t>
  </si>
  <si>
    <t>TEU-DEG</t>
  </si>
  <si>
    <t>NEW below</t>
  </si>
  <si>
    <t>TEU-COOL</t>
  </si>
  <si>
    <t>10 Cooling Towers Maintenance at 6 gpm recirculation rate</t>
  </si>
  <si>
    <t>SDS 104205 at 160 ppm; 6 GPM recircuilation rate; .2% drift loss</t>
  </si>
  <si>
    <t>SDS 158215 at 10 ppm; 6 GPM recircuilation rate; .2% drift loss</t>
  </si>
  <si>
    <t>TEU-DEV</t>
  </si>
  <si>
    <t>Pen Dye Developer</t>
  </si>
  <si>
    <t>ZP-4P</t>
  </si>
  <si>
    <t>Example material SDS 308619 and MERV 15 filter control</t>
  </si>
  <si>
    <t>Maximum % composition of example 10-11 coatings</t>
  </si>
  <si>
    <t>Maximum % composition of example 10-60 coatings</t>
  </si>
  <si>
    <t>Maximum % composition of example 10-79 coatings</t>
  </si>
  <si>
    <t>Assumed silica portion of Mica-group minerals (CAS 12001-26-2)</t>
  </si>
  <si>
    <t>Antimony portion of antimony trioxide</t>
  </si>
  <si>
    <t>Aluminum portion of Mica-group minerals (CAS 12001-26-2)</t>
  </si>
  <si>
    <t>Zinc portion of zinc oxide</t>
  </si>
  <si>
    <t>Assumed silica portion of Talc (CAS 14807-96-6)</t>
  </si>
  <si>
    <t xml:space="preserve">Phosphorus portion of zinc oxide of CAS 68457-79-4 </t>
  </si>
  <si>
    <t>Zinc portion of zinc phosphate (CAS 7779-90-0)</t>
  </si>
  <si>
    <t>Phosphorus portion of zinc phosphate (CAS 7779-90-0)</t>
  </si>
  <si>
    <t>CAS 9010-69-9 zinc resinate as CAS 7440-66-6</t>
  </si>
  <si>
    <t>Bromine portion of Stoddard Solvent (CAS 8052-41-3)</t>
  </si>
  <si>
    <t>Barium portion of barium sulfate (CAS 7727-43-7)</t>
  </si>
  <si>
    <t>65% transfer efficiency due to HVLP spray gun and two stage filter (99.74% first stage and 90% second stage)</t>
  </si>
  <si>
    <t>Solid. 0% release. CAS 14808-60-7 crystalline silica, non-respirable as CAS 7631-86-9 Silica</t>
  </si>
  <si>
    <t>New Below</t>
  </si>
  <si>
    <t>TEU-GEN-1</t>
  </si>
  <si>
    <t>TEU-GEN-4</t>
  </si>
  <si>
    <t>TEU-GEN-5</t>
  </si>
  <si>
    <t>TEU-GEN-6</t>
  </si>
  <si>
    <t>TEU-NG-GEN-7</t>
  </si>
  <si>
    <t>TEU-NG-GEN-2</t>
  </si>
  <si>
    <t>TEU-NG-GEN-3</t>
  </si>
  <si>
    <t>200</t>
  </si>
  <si>
    <t>401</t>
  </si>
  <si>
    <t>504</t>
  </si>
  <si>
    <t>California Air Toxins Emission Factor Mean Value</t>
  </si>
  <si>
    <t>No</t>
  </si>
  <si>
    <t>Two stage filter box</t>
  </si>
  <si>
    <t>TEU-HV-4-1</t>
  </si>
  <si>
    <t>HVAC (HV 4-1), direct gas fired, 2.475 MMBtu/hr</t>
  </si>
  <si>
    <t>HVAC (HV 4-2), direct gas fired, 2.475 MMBtu/hr</t>
  </si>
  <si>
    <t>HVAC (HV 4-3), direct gas fired, 2.475 MMBtu/hr</t>
  </si>
  <si>
    <t>HVAC (HV 4-4), direct gas fired, 2.475 MMBtu/hr</t>
  </si>
  <si>
    <t>HVAC (HV 4-5), direct gas fired, 2.475 MMBtu/hr</t>
  </si>
  <si>
    <t>HVAC (HV 4-6), direct gas fired, 2.475 MMBtu/hr</t>
  </si>
  <si>
    <t>HVAC (HV 4-7), direct gas fired, 2.475 MMBtu/hr</t>
  </si>
  <si>
    <t>HVAC (HV 4-8), direct gas fired, 2.475 MMBtu/hr</t>
  </si>
  <si>
    <t>TEU-HV-4-2</t>
  </si>
  <si>
    <t>TEU-HV-4-3</t>
  </si>
  <si>
    <t>TEU-HV-4-4</t>
  </si>
  <si>
    <t>TEU-HV-4-5</t>
  </si>
  <si>
    <t>TEU-HV-4-6</t>
  </si>
  <si>
    <t>TEU-HV-4-7</t>
  </si>
  <si>
    <t>TEU-HV-4-8</t>
  </si>
  <si>
    <t>TEU-HV-779</t>
  </si>
  <si>
    <t>TEU-HV-784</t>
  </si>
  <si>
    <t>TEU-HV-12-5</t>
  </si>
  <si>
    <t>TEU-HV-MAU</t>
  </si>
  <si>
    <t>EU-20 H116</t>
  </si>
  <si>
    <t>EU-20 H117</t>
  </si>
  <si>
    <t>EU-20 H118</t>
  </si>
  <si>
    <t>EU-20 H119</t>
  </si>
  <si>
    <t>EU-20 H785</t>
  </si>
  <si>
    <t>EU-20 H786</t>
  </si>
  <si>
    <t>EU-20 H787</t>
  </si>
  <si>
    <t>EU-20 H788</t>
  </si>
  <si>
    <t>EU-20 H779</t>
  </si>
  <si>
    <t>EU-20 H784</t>
  </si>
  <si>
    <t>EU-20 H749</t>
  </si>
  <si>
    <t>EU-20 H363</t>
  </si>
  <si>
    <t>HVAC (HV 12-5), direct gas fired, 2.079 MMBtu/hr</t>
  </si>
  <si>
    <t>HVAC (HV 7-1), direct gas fired, 3.105 MMBtu/hr</t>
  </si>
  <si>
    <t>HVAC (MAU), direct gas fired, 4.750 MMBtu/hr</t>
  </si>
  <si>
    <t>HVAC (HV 7-1), direct gas fired, 3.150 MMBtu/hr</t>
  </si>
  <si>
    <t>CAO NG Ext. Comb. (a); No SNCR or SCR control</t>
  </si>
  <si>
    <t>CAO NG Int. Comb. (b)</t>
  </si>
  <si>
    <t>CAO NG Int. Comb. (b); No SNCR or SCR control</t>
  </si>
  <si>
    <t>CAO Diesel RICE (a)</t>
  </si>
  <si>
    <t>CAO Diesel RICE (a); No SNCR or SCR control.</t>
  </si>
  <si>
    <t>TEU-H169</t>
  </si>
  <si>
    <t>H170</t>
  </si>
  <si>
    <t>H749</t>
  </si>
  <si>
    <t>H906</t>
  </si>
  <si>
    <t>H907</t>
  </si>
  <si>
    <t>H908</t>
  </si>
  <si>
    <t>H909</t>
  </si>
  <si>
    <t>H910</t>
  </si>
  <si>
    <t>H911</t>
  </si>
  <si>
    <t>H912</t>
  </si>
  <si>
    <t>H914</t>
  </si>
  <si>
    <t>H916</t>
  </si>
  <si>
    <t>H917</t>
  </si>
  <si>
    <t>H210</t>
  </si>
  <si>
    <t>H211</t>
  </si>
  <si>
    <t>H212</t>
  </si>
  <si>
    <t>H778</t>
  </si>
  <si>
    <t>AIR HANDLING UNIT 2536000 BTU</t>
  </si>
  <si>
    <t>AIR HANDLING UNIT, WEATHER RITE 2079000 BTU</t>
  </si>
  <si>
    <t>MAKE UP AIR UNIT 2800000 BTU</t>
  </si>
  <si>
    <t>MAKE UP AIR UNIT 3200000 BTU</t>
  </si>
  <si>
    <t>HEATER, UNIT, 30K, CFM 2.91, MM BTU, 30 HP</t>
  </si>
  <si>
    <t>HEATER 2187000 BTU</t>
  </si>
  <si>
    <t>TEU-H170</t>
  </si>
  <si>
    <t>TEU-H749</t>
  </si>
  <si>
    <t>TEU-H906</t>
  </si>
  <si>
    <t>TEU-H907</t>
  </si>
  <si>
    <t>TEU-H908</t>
  </si>
  <si>
    <t>TEU-H909</t>
  </si>
  <si>
    <t>TEU-H910</t>
  </si>
  <si>
    <t>TEU-H911</t>
  </si>
  <si>
    <t>TEU-H912</t>
  </si>
  <si>
    <t>TEU-H914</t>
  </si>
  <si>
    <t>TEU-H916</t>
  </si>
  <si>
    <t>TEU-H917</t>
  </si>
  <si>
    <t>TEU-H210</t>
  </si>
  <si>
    <t>TEU-H211</t>
  </si>
  <si>
    <t>TEU-H212</t>
  </si>
  <si>
    <t>TEU-H778</t>
  </si>
  <si>
    <t>H169</t>
  </si>
  <si>
    <t>TEU-H85-001</t>
  </si>
  <si>
    <t>TEU-H85-140</t>
  </si>
  <si>
    <t>TEU-H85-123</t>
  </si>
  <si>
    <t>TEU-H85-120</t>
  </si>
  <si>
    <t>TEU-H85-111</t>
  </si>
  <si>
    <t>TEU-H85-105</t>
  </si>
  <si>
    <t>TEU-H85-104</t>
  </si>
  <si>
    <t>Airhandling and heating units &lt; 2MMBTU Building 85-001  14.1 MMBtu/hr</t>
  </si>
  <si>
    <t>Airhandling and heating units &lt; 2MMBTU Building 85-104  1.4 MMBtu/hr</t>
  </si>
  <si>
    <t>Airhandling and heating units &lt; 2MMBTU Building 85-105  20.3 MMBtu/hr</t>
  </si>
  <si>
    <t>Airhandling and heating units &lt; 2MMBTU Building 85-111  0.2 MMBtu/hr</t>
  </si>
  <si>
    <t>Airhandling and heating units &lt; 2MMBTU Building 85-120  2.2 MMBtu/hr</t>
  </si>
  <si>
    <t>Airhandling and heating units &lt; 2MMBTU Building 85-123  0.8 MMBtu/hr</t>
  </si>
  <si>
    <t>Airhandling and heating units &lt; 2MMBTU Building 85-140  0.8 MMBtu/hr</t>
  </si>
  <si>
    <t>H85-001</t>
  </si>
  <si>
    <t>H85-104</t>
  </si>
  <si>
    <t>H85-105</t>
  </si>
  <si>
    <t>H85-111</t>
  </si>
  <si>
    <t>H85-120</t>
  </si>
  <si>
    <t>H85-123</t>
  </si>
  <si>
    <t>H85-140</t>
  </si>
  <si>
    <t>Super Paint Coating (10-11) Residential and Child  Cancer Risks Only</t>
  </si>
  <si>
    <t>Super Paint Coating (10-79) Worker Cancer Risks Only</t>
  </si>
  <si>
    <t>Super Paint Coating (10-60) Acute and Chronic Noncancer Risks Only</t>
  </si>
  <si>
    <t>AP-42 Chapter 12.20</t>
  </si>
  <si>
    <t>Hand/Applicator applied. 100% Transfer efficiency</t>
  </si>
  <si>
    <t>Paste. 100% Transfer efficiency</t>
  </si>
  <si>
    <t>Paste. 100% Transfer efficiency. CAS 14808-60-7 Quartz as CAS 7631-86-9 Silica</t>
  </si>
  <si>
    <t>100% Transfer efficiency. Assumed silica portion of Talc (CAS 14807-96-6)</t>
  </si>
  <si>
    <t>100% Transfer efficiency. CAS 67762-90-7 as CAS 7631-86-9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</si>
</sst>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5"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
      <sz val="11"/>
      <color rgb="FF0070C0"/>
      <name val="Aptos"/>
      <family val="2"/>
    </font>
    <font>
      <u/>
      <sz val="11"/>
      <color theme="10"/>
      <name val="Calibri"/>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9">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xf numFmtId="0" fontId="7" fillId="0" borderId="0"/>
    <xf numFmtId="43" fontId="7" fillId="0" borderId="0" applyFont="0" applyFill="0" applyBorder="0" applyAlignment="0" applyProtection="0"/>
    <xf numFmtId="0" fontId="24" fillId="0" borderId="0" applyNumberFormat="0" applyFill="0" applyBorder="0" applyAlignment="0" applyProtection="0">
      <alignment vertical="top"/>
      <protection locked="0"/>
    </xf>
  </cellStyleXfs>
  <cellXfs count="204">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49" fontId="23" fillId="0" borderId="18" xfId="0" applyNumberFormat="1"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11" fontId="1" fillId="0" borderId="23" xfId="0" applyNumberFormat="1" applyFont="1" applyBorder="1" applyAlignment="1" applyProtection="1">
      <alignment horizontal="center" vertical="center"/>
      <protection locked="0"/>
    </xf>
    <xf numFmtId="0" fontId="1" fillId="0" borderId="0" xfId="0" applyFont="1" applyAlignment="1" applyProtection="1">
      <alignment vertical="center"/>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9">
    <cellStyle name="Comma 2" xfId="7" xr:uid="{58713881-A261-42A8-A461-AA95439B6385}"/>
    <cellStyle name="Hyperlink" xfId="5" builtinId="8"/>
    <cellStyle name="Hyperlink 2" xfId="8" xr:uid="{5931C8E3-2042-47EE-BB78-BE861DE069FC}"/>
    <cellStyle name="Normal" xfId="0" builtinId="0"/>
    <cellStyle name="Normal 2" xfId="6" xr:uid="{CB066C4E-8689-4B6C-AD85-D4B82E0DBD84}"/>
    <cellStyle name="Normal 3" xfId="4" xr:uid="{00000000-0005-0000-0000-000002000000}"/>
    <cellStyle name="Normal 4" xfId="3" xr:uid="{00000000-0005-0000-0000-000003000000}"/>
    <cellStyle name="Normal_Sheet1" xfId="1" xr:uid="{00000000-0005-0000-0000-000004000000}"/>
    <cellStyle name="Percent" xfId="2" builtinId="5"/>
  </cellStyles>
  <dxfs count="5">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tabSelected="1" zoomScaleNormal="100" workbookViewId="0">
      <selection sqref="A1:XFD1"/>
    </sheetView>
  </sheetViews>
  <sheetFormatPr defaultColWidth="9.140625" defaultRowHeight="14.25" x14ac:dyDescent="0.25"/>
  <cols>
    <col min="1" max="1" width="30.5703125" style="4" customWidth="1"/>
    <col min="2" max="2" width="80.5703125" style="4" customWidth="1"/>
    <col min="3" max="16384" width="9.140625" style="4"/>
  </cols>
  <sheetData>
    <row r="1" spans="1:2" ht="20.25" x14ac:dyDescent="0.25">
      <c r="B1" s="2" t="s">
        <v>1</v>
      </c>
    </row>
    <row r="2" spans="1:2" s="86" customFormat="1" ht="20.100000000000001" customHeight="1" x14ac:dyDescent="0.25">
      <c r="B2" s="85" t="s">
        <v>1301</v>
      </c>
    </row>
    <row r="3" spans="1:2" s="86" customFormat="1" ht="20.100000000000001" customHeight="1" x14ac:dyDescent="0.25">
      <c r="B3" s="171" t="s">
        <v>1300</v>
      </c>
    </row>
    <row r="4" spans="1:2" ht="15" customHeight="1" x14ac:dyDescent="0.25"/>
    <row r="5" spans="1:2" ht="20.100000000000001" customHeight="1" x14ac:dyDescent="0.25">
      <c r="A5" s="176" t="s">
        <v>2</v>
      </c>
      <c r="B5" s="176"/>
    </row>
    <row r="6" spans="1:2" ht="20.100000000000001" customHeight="1" x14ac:dyDescent="0.25">
      <c r="A6" s="87" t="s">
        <v>3</v>
      </c>
      <c r="B6" s="16" t="s">
        <v>1302</v>
      </c>
    </row>
    <row r="7" spans="1:2" ht="20.100000000000001" customHeight="1" x14ac:dyDescent="0.25">
      <c r="A7" s="87" t="s">
        <v>1294</v>
      </c>
      <c r="B7" s="16" t="s">
        <v>1303</v>
      </c>
    </row>
    <row r="8" spans="1:2" ht="20.100000000000001" customHeight="1" x14ac:dyDescent="0.25">
      <c r="A8" s="87" t="s">
        <v>4</v>
      </c>
      <c r="B8" s="16" t="s">
        <v>1304</v>
      </c>
    </row>
    <row r="9" spans="1:2" ht="20.100000000000001" customHeight="1" x14ac:dyDescent="0.25">
      <c r="A9" s="87" t="s">
        <v>5</v>
      </c>
      <c r="B9" s="16">
        <v>97230</v>
      </c>
    </row>
    <row r="10" spans="1:2" ht="20.100000000000001" customHeight="1" x14ac:dyDescent="0.25">
      <c r="A10" s="87" t="s">
        <v>6</v>
      </c>
      <c r="B10" s="16" t="s">
        <v>1305</v>
      </c>
    </row>
    <row r="11" spans="1:2" ht="20.100000000000001" customHeight="1" x14ac:dyDescent="0.25">
      <c r="A11" s="87" t="s">
        <v>7</v>
      </c>
      <c r="B11" s="16" t="s">
        <v>1306</v>
      </c>
    </row>
    <row r="12" spans="1:2" ht="20.100000000000001" customHeight="1" x14ac:dyDescent="0.25">
      <c r="A12" s="87" t="s">
        <v>8</v>
      </c>
      <c r="B12" s="16" t="s">
        <v>1307</v>
      </c>
    </row>
    <row r="13" spans="1:2" ht="20.100000000000001" customHeight="1" x14ac:dyDescent="0.25">
      <c r="A13" s="87" t="s">
        <v>9</v>
      </c>
      <c r="B13" s="16" t="s">
        <v>1308</v>
      </c>
    </row>
    <row r="14" spans="1:2" ht="20.100000000000001" customHeight="1" x14ac:dyDescent="0.25">
      <c r="A14" s="87" t="s">
        <v>10</v>
      </c>
      <c r="B14" s="15">
        <v>46065</v>
      </c>
    </row>
    <row r="15" spans="1:2" ht="200.1" customHeight="1" x14ac:dyDescent="0.25">
      <c r="A15" s="88" t="s">
        <v>11</v>
      </c>
      <c r="B15" s="90"/>
    </row>
    <row r="16" spans="1:2" x14ac:dyDescent="0.25">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70" zoomScaleNormal="70" workbookViewId="0">
      <pane xSplit="2" ySplit="8" topLeftCell="C9" activePane="bottomRight" state="frozen"/>
      <selection pane="topRight" activeCell="C1" sqref="C1"/>
      <selection pane="bottomLeft" activeCell="A9" sqref="A9"/>
      <selection pane="bottomRight" sqref="A1:XFD1"/>
    </sheetView>
  </sheetViews>
  <sheetFormatPr defaultColWidth="9.140625" defaultRowHeight="14.25" x14ac:dyDescent="0.25"/>
  <cols>
    <col min="1" max="2" width="25.5703125" style="112" customWidth="1"/>
    <col min="3" max="3" width="51.5703125" style="4" customWidth="1"/>
    <col min="4" max="4" width="25.5703125" style="112" customWidth="1"/>
    <col min="5" max="6" width="20.5703125" style="112" customWidth="1"/>
    <col min="7" max="7" width="22.42578125" style="112" customWidth="1"/>
    <col min="8" max="8" width="22.42578125" style="4" customWidth="1"/>
    <col min="9" max="14" width="15.5703125" style="112" customWidth="1"/>
    <col min="15" max="16384" width="9.140625" style="4"/>
  </cols>
  <sheetData>
    <row r="1" spans="1:14" ht="20.100000000000001" customHeight="1" x14ac:dyDescent="0.25">
      <c r="A1" s="2" t="str">
        <f>'1. Facility Information'!$B$1</f>
        <v>AQ520 Form - Version 2.0</v>
      </c>
      <c r="G1" s="89"/>
    </row>
    <row r="2" spans="1:14" ht="20.100000000000001" customHeight="1" x14ac:dyDescent="0.25">
      <c r="A2" s="114" t="str">
        <f>IF(ISBLANK('1. Facility Information'!$B$6),"",'1. Facility Information'!$B$6)</f>
        <v>Boeing Portland</v>
      </c>
      <c r="G2" s="89"/>
    </row>
    <row r="3" spans="1:14" ht="20.100000000000001" customHeight="1" x14ac:dyDescent="0.25">
      <c r="A3" s="85" t="str">
        <f>"Source No. "&amp;IF(ISBLANK('1. Facility Information'!$B$10),"",'1. Facility Information'!$B$10)</f>
        <v>Source No. 26-2204-ST-01</v>
      </c>
      <c r="G3" s="89"/>
    </row>
    <row r="4" spans="1:14" ht="20.100000000000001" customHeight="1" x14ac:dyDescent="0.25">
      <c r="A4" s="85" t="str">
        <f>_xlfn.CONCAT("Submitted on ",IF(ISBLANK('1. Facility Information'!$B$14),"",TEXT('1. Facility Information'!$B$14,"mm/dd/yyyy")))</f>
        <v>Submitted on 02/12/2026</v>
      </c>
      <c r="G4" s="89"/>
    </row>
    <row r="5" spans="1:14" ht="15" customHeight="1" thickBot="1" x14ac:dyDescent="0.3"/>
    <row r="6" spans="1:14" s="119" customFormat="1" ht="30" customHeight="1" thickBot="1" x14ac:dyDescent="0.3">
      <c r="A6" s="116" t="s">
        <v>12</v>
      </c>
      <c r="B6" s="120"/>
      <c r="C6" s="120"/>
      <c r="D6" s="120"/>
      <c r="E6" s="116" t="s">
        <v>13</v>
      </c>
      <c r="F6" s="121"/>
      <c r="G6" s="116" t="s">
        <v>14</v>
      </c>
      <c r="H6" s="120"/>
      <c r="I6" s="120"/>
      <c r="J6" s="120"/>
      <c r="K6" s="120"/>
      <c r="L6" s="120"/>
      <c r="M6" s="120"/>
      <c r="N6" s="121"/>
    </row>
    <row r="7" spans="1:14" s="119" customFormat="1" ht="30" customHeight="1" thickBot="1" x14ac:dyDescent="0.3">
      <c r="A7" s="179" t="s">
        <v>15</v>
      </c>
      <c r="B7" s="181" t="s">
        <v>16</v>
      </c>
      <c r="C7" s="183" t="s">
        <v>17</v>
      </c>
      <c r="D7" s="177" t="s">
        <v>1298</v>
      </c>
      <c r="E7" s="185" t="s">
        <v>18</v>
      </c>
      <c r="F7" s="177" t="s">
        <v>19</v>
      </c>
      <c r="G7" s="185" t="s">
        <v>20</v>
      </c>
      <c r="H7" s="177" t="s">
        <v>21</v>
      </c>
      <c r="I7" s="143" t="s">
        <v>22</v>
      </c>
      <c r="J7" s="144"/>
      <c r="K7" s="145"/>
      <c r="L7" s="146" t="s">
        <v>23</v>
      </c>
      <c r="M7" s="147"/>
      <c r="N7" s="148"/>
    </row>
    <row r="8" spans="1:14" s="119" customFormat="1" ht="60" customHeight="1" thickBot="1" x14ac:dyDescent="0.3">
      <c r="A8" s="180"/>
      <c r="B8" s="182"/>
      <c r="C8" s="184"/>
      <c r="D8" s="178"/>
      <c r="E8" s="186"/>
      <c r="F8" s="178"/>
      <c r="G8" s="186"/>
      <c r="H8" s="178"/>
      <c r="I8" s="149" t="s">
        <v>24</v>
      </c>
      <c r="J8" s="150" t="s">
        <v>25</v>
      </c>
      <c r="K8" s="151" t="s">
        <v>26</v>
      </c>
      <c r="L8" s="152" t="s">
        <v>24</v>
      </c>
      <c r="M8" s="150" t="s">
        <v>27</v>
      </c>
      <c r="N8" s="151" t="s">
        <v>26</v>
      </c>
    </row>
    <row r="9" spans="1:14" x14ac:dyDescent="0.25">
      <c r="A9" s="95" t="s">
        <v>1309</v>
      </c>
      <c r="B9" s="92"/>
      <c r="C9" s="96" t="s">
        <v>1333</v>
      </c>
      <c r="D9" s="107" t="s">
        <v>1364</v>
      </c>
      <c r="E9" s="91" t="s">
        <v>1372</v>
      </c>
      <c r="F9" s="93" t="s">
        <v>1373</v>
      </c>
      <c r="G9" s="91" t="s">
        <v>1405</v>
      </c>
      <c r="H9" s="97" t="s">
        <v>1406</v>
      </c>
      <c r="I9" s="91"/>
      <c r="J9" s="92">
        <f>15/1020*8760</f>
        <v>128.8235294117647</v>
      </c>
      <c r="K9" s="93" t="s">
        <v>1415</v>
      </c>
      <c r="L9" s="91"/>
      <c r="M9" s="92">
        <f>15/1020*24</f>
        <v>0.3529411764705882</v>
      </c>
      <c r="N9" s="93" t="s">
        <v>1415</v>
      </c>
    </row>
    <row r="10" spans="1:14" x14ac:dyDescent="0.25">
      <c r="A10" s="7" t="s">
        <v>1310</v>
      </c>
      <c r="B10" s="11"/>
      <c r="C10" s="10" t="s">
        <v>1334</v>
      </c>
      <c r="D10" s="18" t="s">
        <v>1364</v>
      </c>
      <c r="E10" s="12" t="s">
        <v>1372</v>
      </c>
      <c r="F10" s="17" t="s">
        <v>1374</v>
      </c>
      <c r="G10" s="12" t="s">
        <v>1405</v>
      </c>
      <c r="H10" s="19" t="s">
        <v>1406</v>
      </c>
      <c r="I10" s="12"/>
      <c r="J10" s="11">
        <f>15/1020*8760</f>
        <v>128.8235294117647</v>
      </c>
      <c r="K10" s="17" t="s">
        <v>1415</v>
      </c>
      <c r="L10" s="12"/>
      <c r="M10" s="11">
        <f>15/1020*24</f>
        <v>0.3529411764705882</v>
      </c>
      <c r="N10" s="17" t="s">
        <v>1415</v>
      </c>
    </row>
    <row r="11" spans="1:14" x14ac:dyDescent="0.25">
      <c r="A11" s="7" t="s">
        <v>1311</v>
      </c>
      <c r="B11" s="11"/>
      <c r="C11" s="10" t="s">
        <v>1335</v>
      </c>
      <c r="D11" s="18" t="s">
        <v>1364</v>
      </c>
      <c r="E11" s="12" t="s">
        <v>1372</v>
      </c>
      <c r="F11" s="17" t="s">
        <v>1375</v>
      </c>
      <c r="G11" s="12" t="s">
        <v>1405</v>
      </c>
      <c r="H11" s="94" t="s">
        <v>1406</v>
      </c>
      <c r="I11" s="12"/>
      <c r="J11" s="11">
        <f>10.46/1020*8760</f>
        <v>89.832941176470598</v>
      </c>
      <c r="K11" s="18" t="s">
        <v>1415</v>
      </c>
      <c r="L11" s="12"/>
      <c r="M11" s="11">
        <f>10.46/1020*24</f>
        <v>0.24611764705882355</v>
      </c>
      <c r="N11" s="6" t="s">
        <v>1415</v>
      </c>
    </row>
    <row r="12" spans="1:14" x14ac:dyDescent="0.25">
      <c r="A12" s="7" t="s">
        <v>1312</v>
      </c>
      <c r="B12" s="11"/>
      <c r="C12" s="10" t="s">
        <v>1336</v>
      </c>
      <c r="D12" s="18" t="s">
        <v>1364</v>
      </c>
      <c r="E12" s="12" t="s">
        <v>1372</v>
      </c>
      <c r="F12" s="17" t="s">
        <v>1376</v>
      </c>
      <c r="G12" s="12" t="s">
        <v>1405</v>
      </c>
      <c r="H12" s="94" t="s">
        <v>1406</v>
      </c>
      <c r="I12" s="12"/>
      <c r="J12" s="11">
        <f>10.46/1020*8760</f>
        <v>89.832941176470598</v>
      </c>
      <c r="K12" s="18" t="s">
        <v>1415</v>
      </c>
      <c r="L12" s="12"/>
      <c r="M12" s="11">
        <f>10.46/1020*24</f>
        <v>0.24611764705882355</v>
      </c>
      <c r="N12" s="6" t="s">
        <v>1415</v>
      </c>
    </row>
    <row r="13" spans="1:14" x14ac:dyDescent="0.25">
      <c r="A13" s="7" t="s">
        <v>1313</v>
      </c>
      <c r="B13" s="11"/>
      <c r="C13" s="10" t="s">
        <v>1337</v>
      </c>
      <c r="D13" s="6" t="s">
        <v>1364</v>
      </c>
      <c r="E13" s="12" t="s">
        <v>1372</v>
      </c>
      <c r="F13" s="6" t="s">
        <v>1377</v>
      </c>
      <c r="G13" s="12" t="s">
        <v>1405</v>
      </c>
      <c r="H13" s="19" t="s">
        <v>1406</v>
      </c>
      <c r="I13" s="12"/>
      <c r="J13" s="11">
        <f>4.2/1020*8760</f>
        <v>36.070588235294117</v>
      </c>
      <c r="K13" s="17" t="s">
        <v>1415</v>
      </c>
      <c r="L13" s="12"/>
      <c r="M13" s="11">
        <f>4.2/1020*24</f>
        <v>9.8823529411764713E-2</v>
      </c>
      <c r="N13" s="17" t="s">
        <v>1415</v>
      </c>
    </row>
    <row r="14" spans="1:14" x14ac:dyDescent="0.25">
      <c r="A14" s="7" t="s">
        <v>1314</v>
      </c>
      <c r="B14" s="11"/>
      <c r="C14" s="10" t="s">
        <v>1338</v>
      </c>
      <c r="D14" s="6" t="s">
        <v>1364</v>
      </c>
      <c r="E14" s="12" t="s">
        <v>1372</v>
      </c>
      <c r="F14" s="17" t="s">
        <v>1378</v>
      </c>
      <c r="G14" s="12" t="s">
        <v>1405</v>
      </c>
      <c r="H14" s="19" t="s">
        <v>1406</v>
      </c>
      <c r="I14" s="12"/>
      <c r="J14" s="11">
        <f>3.34/1020*8760</f>
        <v>28.684705882352937</v>
      </c>
      <c r="K14" s="17" t="s">
        <v>1415</v>
      </c>
      <c r="L14" s="12"/>
      <c r="M14" s="11">
        <f>3.34/1020*24</f>
        <v>7.8588235294117639E-2</v>
      </c>
      <c r="N14" s="17" t="s">
        <v>1415</v>
      </c>
    </row>
    <row r="15" spans="1:14" x14ac:dyDescent="0.25">
      <c r="A15" s="7" t="s">
        <v>1315</v>
      </c>
      <c r="B15" s="11"/>
      <c r="C15" s="8" t="s">
        <v>1339</v>
      </c>
      <c r="D15" s="6" t="s">
        <v>1364</v>
      </c>
      <c r="E15" s="12" t="s">
        <v>1372</v>
      </c>
      <c r="F15" s="17" t="s">
        <v>1379</v>
      </c>
      <c r="G15" s="12" t="s">
        <v>1405</v>
      </c>
      <c r="H15" s="19" t="s">
        <v>1406</v>
      </c>
      <c r="I15" s="12"/>
      <c r="J15" s="11">
        <f>8.4/1020*8760</f>
        <v>72.141176470588235</v>
      </c>
      <c r="K15" s="17" t="s">
        <v>1415</v>
      </c>
      <c r="L15" s="12"/>
      <c r="M15" s="11">
        <f>8.4/1020*24</f>
        <v>0.19764705882352943</v>
      </c>
      <c r="N15" s="17" t="s">
        <v>1415</v>
      </c>
    </row>
    <row r="16" spans="1:14" x14ac:dyDescent="0.25">
      <c r="A16" s="7" t="s">
        <v>1316</v>
      </c>
      <c r="B16" s="11"/>
      <c r="C16" s="8" t="s">
        <v>1340</v>
      </c>
      <c r="D16" s="6" t="s">
        <v>1364</v>
      </c>
      <c r="E16" s="12" t="s">
        <v>1372</v>
      </c>
      <c r="F16" s="17" t="s">
        <v>1380</v>
      </c>
      <c r="G16" s="12" t="s">
        <v>1405</v>
      </c>
      <c r="H16" s="19" t="s">
        <v>1406</v>
      </c>
      <c r="I16" s="12"/>
      <c r="J16" s="11">
        <f>8.4/1020*8760</f>
        <v>72.141176470588235</v>
      </c>
      <c r="K16" s="17" t="s">
        <v>1415</v>
      </c>
      <c r="L16" s="12"/>
      <c r="M16" s="11">
        <f>8.4/1020*24</f>
        <v>0.19764705882352943</v>
      </c>
      <c r="N16" s="17" t="s">
        <v>1415</v>
      </c>
    </row>
    <row r="17" spans="1:14" x14ac:dyDescent="0.25">
      <c r="A17" s="7" t="s">
        <v>1317</v>
      </c>
      <c r="B17" s="11"/>
      <c r="C17" s="10" t="s">
        <v>1341</v>
      </c>
      <c r="D17" s="6" t="s">
        <v>1364</v>
      </c>
      <c r="E17" s="12" t="s">
        <v>1372</v>
      </c>
      <c r="F17" s="17" t="s">
        <v>1381</v>
      </c>
      <c r="G17" s="12" t="s">
        <v>1407</v>
      </c>
      <c r="H17" s="19" t="s">
        <v>1406</v>
      </c>
      <c r="I17" s="12"/>
      <c r="J17" s="11">
        <f>3.5*8760/1020</f>
        <v>30.058823529411764</v>
      </c>
      <c r="K17" s="17" t="s">
        <v>1415</v>
      </c>
      <c r="L17" s="12"/>
      <c r="M17" s="11">
        <f>3.5/1020*24</f>
        <v>8.2352941176470587E-2</v>
      </c>
      <c r="N17" s="17" t="s">
        <v>1415</v>
      </c>
    </row>
    <row r="18" spans="1:14" x14ac:dyDescent="0.25">
      <c r="A18" s="7" t="s">
        <v>1318</v>
      </c>
      <c r="B18" s="11"/>
      <c r="C18" s="10" t="s">
        <v>1342</v>
      </c>
      <c r="D18" s="6" t="s">
        <v>1364</v>
      </c>
      <c r="E18" s="12" t="s">
        <v>1372</v>
      </c>
      <c r="F18" s="17" t="s">
        <v>1382</v>
      </c>
      <c r="G18" s="12" t="s">
        <v>1407</v>
      </c>
      <c r="H18" s="19" t="s">
        <v>1406</v>
      </c>
      <c r="I18" s="12"/>
      <c r="J18" s="11">
        <f>0.5*8760/1020</f>
        <v>4.2941176470588234</v>
      </c>
      <c r="K18" s="17" t="s">
        <v>1415</v>
      </c>
      <c r="L18" s="12"/>
      <c r="M18" s="11">
        <f>0.5/1020*24</f>
        <v>1.1764705882352941E-2</v>
      </c>
      <c r="N18" s="17" t="s">
        <v>1415</v>
      </c>
    </row>
    <row r="19" spans="1:14" x14ac:dyDescent="0.25">
      <c r="A19" s="7" t="s">
        <v>1319</v>
      </c>
      <c r="B19" s="11"/>
      <c r="C19" s="10" t="s">
        <v>1343</v>
      </c>
      <c r="D19" s="6" t="s">
        <v>1364</v>
      </c>
      <c r="E19" s="12" t="s">
        <v>1372</v>
      </c>
      <c r="F19" s="17" t="s">
        <v>1383</v>
      </c>
      <c r="G19" s="12" t="s">
        <v>1407</v>
      </c>
      <c r="H19" s="19" t="s">
        <v>1406</v>
      </c>
      <c r="I19" s="12"/>
      <c r="J19" s="11">
        <f>0.9*8760/1020</f>
        <v>7.7294117647058824</v>
      </c>
      <c r="K19" s="17" t="s">
        <v>1415</v>
      </c>
      <c r="L19" s="12"/>
      <c r="M19" s="11">
        <f>0.9/1020*24</f>
        <v>2.1176470588235297E-2</v>
      </c>
      <c r="N19" s="17" t="s">
        <v>1415</v>
      </c>
    </row>
    <row r="20" spans="1:14" x14ac:dyDescent="0.25">
      <c r="A20" s="7" t="s">
        <v>1320</v>
      </c>
      <c r="B20" s="11"/>
      <c r="C20" s="10" t="s">
        <v>1344</v>
      </c>
      <c r="D20" s="18" t="s">
        <v>1364</v>
      </c>
      <c r="E20" s="12" t="s">
        <v>1372</v>
      </c>
      <c r="F20" s="17" t="s">
        <v>1384</v>
      </c>
      <c r="G20" s="12" t="s">
        <v>1407</v>
      </c>
      <c r="H20" s="19" t="s">
        <v>1406</v>
      </c>
      <c r="I20" s="12"/>
      <c r="J20" s="11">
        <f>2.5*8760/1020</f>
        <v>21.470588235294116</v>
      </c>
      <c r="K20" s="17" t="s">
        <v>1415</v>
      </c>
      <c r="L20" s="12"/>
      <c r="M20" s="11">
        <f>2.5/1020*24</f>
        <v>5.8823529411764705E-2</v>
      </c>
      <c r="N20" s="17" t="s">
        <v>1415</v>
      </c>
    </row>
    <row r="21" spans="1:14" x14ac:dyDescent="0.25">
      <c r="A21" s="7" t="s">
        <v>1321</v>
      </c>
      <c r="B21" s="11"/>
      <c r="C21" s="10" t="s">
        <v>1345</v>
      </c>
      <c r="D21" s="18" t="s">
        <v>1364</v>
      </c>
      <c r="E21" s="12" t="s">
        <v>1372</v>
      </c>
      <c r="F21" s="17" t="s">
        <v>1385</v>
      </c>
      <c r="G21" s="12" t="s">
        <v>1407</v>
      </c>
      <c r="H21" s="19" t="s">
        <v>1406</v>
      </c>
      <c r="I21" s="12"/>
      <c r="J21" s="11">
        <f>1.8*8760/1020</f>
        <v>15.458823529411765</v>
      </c>
      <c r="K21" s="17" t="s">
        <v>1415</v>
      </c>
      <c r="L21" s="12"/>
      <c r="M21" s="11">
        <f>1.8/1020*24</f>
        <v>4.2352941176470593E-2</v>
      </c>
      <c r="N21" s="17" t="s">
        <v>1415</v>
      </c>
    </row>
    <row r="22" spans="1:14" x14ac:dyDescent="0.25">
      <c r="A22" s="7" t="s">
        <v>1322</v>
      </c>
      <c r="B22" s="11"/>
      <c r="C22" s="10" t="s">
        <v>1346</v>
      </c>
      <c r="D22" s="18" t="s">
        <v>1364</v>
      </c>
      <c r="E22" s="12" t="s">
        <v>1372</v>
      </c>
      <c r="F22" s="17" t="s">
        <v>1386</v>
      </c>
      <c r="G22" s="12" t="s">
        <v>1407</v>
      </c>
      <c r="H22" s="19" t="s">
        <v>1406</v>
      </c>
      <c r="I22" s="12"/>
      <c r="J22" s="11">
        <f>0.734*8760/1020</f>
        <v>6.3037647058823527</v>
      </c>
      <c r="K22" s="17" t="s">
        <v>1415</v>
      </c>
      <c r="L22" s="12"/>
      <c r="M22" s="11">
        <f>0.7/1020*24</f>
        <v>1.6470588235294115E-2</v>
      </c>
      <c r="N22" s="17" t="s">
        <v>1415</v>
      </c>
    </row>
    <row r="23" spans="1:14" x14ac:dyDescent="0.25">
      <c r="A23" s="7" t="s">
        <v>1323</v>
      </c>
      <c r="B23" s="11"/>
      <c r="C23" s="10" t="s">
        <v>1347</v>
      </c>
      <c r="D23" s="18" t="s">
        <v>1364</v>
      </c>
      <c r="E23" s="12" t="s">
        <v>1372</v>
      </c>
      <c r="F23" s="17" t="s">
        <v>1387</v>
      </c>
      <c r="G23" s="12" t="s">
        <v>1407</v>
      </c>
      <c r="H23" s="19" t="s">
        <v>1406</v>
      </c>
      <c r="I23" s="12"/>
      <c r="J23" s="11">
        <f>0.734*8760/1020</f>
        <v>6.3037647058823527</v>
      </c>
      <c r="K23" s="17" t="s">
        <v>1415</v>
      </c>
      <c r="L23" s="12"/>
      <c r="M23" s="11">
        <f>0.7/1020*24</f>
        <v>1.6470588235294115E-2</v>
      </c>
      <c r="N23" s="17" t="s">
        <v>1415</v>
      </c>
    </row>
    <row r="24" spans="1:14" x14ac:dyDescent="0.25">
      <c r="A24" s="7" t="s">
        <v>1324</v>
      </c>
      <c r="B24" s="11"/>
      <c r="C24" s="10" t="s">
        <v>1348</v>
      </c>
      <c r="D24" s="18" t="s">
        <v>1364</v>
      </c>
      <c r="E24" s="12" t="s">
        <v>1372</v>
      </c>
      <c r="F24" s="17" t="s">
        <v>1388</v>
      </c>
      <c r="G24" s="12" t="s">
        <v>1407</v>
      </c>
      <c r="H24" s="19" t="s">
        <v>1406</v>
      </c>
      <c r="I24" s="12"/>
      <c r="J24" s="11">
        <f>0.3*8760/1020</f>
        <v>2.5764705882352943</v>
      </c>
      <c r="K24" s="17" t="s">
        <v>1415</v>
      </c>
      <c r="L24" s="12"/>
      <c r="M24" s="11">
        <f>0.3/1020*24</f>
        <v>7.0588235294117641E-3</v>
      </c>
      <c r="N24" s="17" t="s">
        <v>1415</v>
      </c>
    </row>
    <row r="25" spans="1:14" x14ac:dyDescent="0.25">
      <c r="A25" s="7" t="s">
        <v>1325</v>
      </c>
      <c r="B25" s="11"/>
      <c r="C25" s="10" t="s">
        <v>1349</v>
      </c>
      <c r="D25" s="18" t="s">
        <v>1364</v>
      </c>
      <c r="E25" s="12" t="s">
        <v>1372</v>
      </c>
      <c r="F25" s="17" t="s">
        <v>1389</v>
      </c>
      <c r="G25" s="12" t="s">
        <v>1407</v>
      </c>
      <c r="H25" s="19" t="s">
        <v>1406</v>
      </c>
      <c r="I25" s="12"/>
      <c r="J25" s="11">
        <f>1*8760/1020</f>
        <v>8.5882352941176467</v>
      </c>
      <c r="K25" s="17" t="s">
        <v>1415</v>
      </c>
      <c r="L25" s="12"/>
      <c r="M25" s="11">
        <f>1/1020*24</f>
        <v>2.3529411764705882E-2</v>
      </c>
      <c r="N25" s="17" t="s">
        <v>1415</v>
      </c>
    </row>
    <row r="26" spans="1:14" x14ac:dyDescent="0.25">
      <c r="A26" s="7" t="s">
        <v>1537</v>
      </c>
      <c r="B26" s="11"/>
      <c r="C26" s="10" t="s">
        <v>1350</v>
      </c>
      <c r="D26" s="18" t="s">
        <v>1364</v>
      </c>
      <c r="E26" s="12" t="s">
        <v>1372</v>
      </c>
      <c r="F26" s="17" t="s">
        <v>1390</v>
      </c>
      <c r="G26" s="12" t="s">
        <v>1408</v>
      </c>
      <c r="H26" s="19" t="s">
        <v>1409</v>
      </c>
      <c r="I26" s="12"/>
      <c r="J26" s="11">
        <f>3.6*100/1000</f>
        <v>0.36</v>
      </c>
      <c r="K26" s="17" t="s">
        <v>1415</v>
      </c>
      <c r="L26" s="12"/>
      <c r="M26" s="11">
        <f>3.6/1000*24</f>
        <v>8.6400000000000005E-2</v>
      </c>
      <c r="N26" s="17" t="s">
        <v>1415</v>
      </c>
    </row>
    <row r="27" spans="1:14" x14ac:dyDescent="0.25">
      <c r="A27" s="7" t="s">
        <v>1542</v>
      </c>
      <c r="B27" s="11"/>
      <c r="C27" s="10" t="s">
        <v>1351</v>
      </c>
      <c r="D27" s="18" t="s">
        <v>1364</v>
      </c>
      <c r="E27" s="12" t="s">
        <v>1372</v>
      </c>
      <c r="F27" s="17" t="s">
        <v>1391</v>
      </c>
      <c r="G27" s="12" t="s">
        <v>1405</v>
      </c>
      <c r="H27" s="19" t="s">
        <v>1410</v>
      </c>
      <c r="I27" s="12"/>
      <c r="J27" s="11">
        <f>1473*100/10^6</f>
        <v>0.14729999999999999</v>
      </c>
      <c r="K27" s="17" t="s">
        <v>1415</v>
      </c>
      <c r="L27" s="12"/>
      <c r="M27" s="11">
        <f>1473/10^6*24</f>
        <v>3.5351999999999995E-2</v>
      </c>
      <c r="N27" s="17" t="s">
        <v>1415</v>
      </c>
    </row>
    <row r="28" spans="1:14" x14ac:dyDescent="0.25">
      <c r="A28" s="7" t="s">
        <v>1543</v>
      </c>
      <c r="B28" s="11"/>
      <c r="C28" s="10" t="s">
        <v>1352</v>
      </c>
      <c r="D28" s="18" t="s">
        <v>1364</v>
      </c>
      <c r="E28" s="12" t="s">
        <v>1372</v>
      </c>
      <c r="F28" s="17" t="s">
        <v>1392</v>
      </c>
      <c r="G28" s="12" t="s">
        <v>1405</v>
      </c>
      <c r="H28" s="19" t="s">
        <v>1410</v>
      </c>
      <c r="I28" s="12"/>
      <c r="J28" s="11">
        <f>1965*100/10^6</f>
        <v>0.19650000000000001</v>
      </c>
      <c r="K28" s="17" t="s">
        <v>1415</v>
      </c>
      <c r="L28" s="12"/>
      <c r="M28" s="11">
        <f>1965*24/10^6</f>
        <v>4.7160000000000001E-2</v>
      </c>
      <c r="N28" s="17" t="s">
        <v>1415</v>
      </c>
    </row>
    <row r="29" spans="1:14" x14ac:dyDescent="0.25">
      <c r="A29" s="7" t="s">
        <v>1538</v>
      </c>
      <c r="B29" s="11"/>
      <c r="C29" s="10" t="s">
        <v>1353</v>
      </c>
      <c r="D29" s="18" t="s">
        <v>1364</v>
      </c>
      <c r="E29" s="12" t="s">
        <v>1372</v>
      </c>
      <c r="F29" s="17" t="s">
        <v>1393</v>
      </c>
      <c r="G29" s="12" t="s">
        <v>1408</v>
      </c>
      <c r="H29" s="19" t="s">
        <v>1409</v>
      </c>
      <c r="I29" s="12"/>
      <c r="J29" s="11">
        <f>22*100/1000</f>
        <v>2.2000000000000002</v>
      </c>
      <c r="K29" s="17" t="s">
        <v>1415</v>
      </c>
      <c r="L29" s="12"/>
      <c r="M29" s="11">
        <f>22*24/1000</f>
        <v>0.52800000000000002</v>
      </c>
      <c r="N29" s="17" t="s">
        <v>1415</v>
      </c>
    </row>
    <row r="30" spans="1:14" x14ac:dyDescent="0.25">
      <c r="A30" s="7" t="s">
        <v>1539</v>
      </c>
      <c r="B30" s="11"/>
      <c r="C30" s="10" t="s">
        <v>1354</v>
      </c>
      <c r="D30" s="18" t="s">
        <v>1364</v>
      </c>
      <c r="E30" s="12" t="s">
        <v>1372</v>
      </c>
      <c r="F30" s="17" t="s">
        <v>1394</v>
      </c>
      <c r="G30" s="12" t="s">
        <v>1408</v>
      </c>
      <c r="H30" s="19" t="s">
        <v>1409</v>
      </c>
      <c r="I30" s="12"/>
      <c r="J30" s="11">
        <f>33.6*100/1000</f>
        <v>3.36</v>
      </c>
      <c r="K30" s="17" t="s">
        <v>1415</v>
      </c>
      <c r="L30" s="12"/>
      <c r="M30" s="11">
        <f>33.6*24/1000</f>
        <v>0.80640000000000012</v>
      </c>
      <c r="N30" s="17" t="s">
        <v>1415</v>
      </c>
    </row>
    <row r="31" spans="1:14" x14ac:dyDescent="0.25">
      <c r="A31" s="7" t="s">
        <v>1540</v>
      </c>
      <c r="B31" s="11"/>
      <c r="C31" s="10" t="s">
        <v>1355</v>
      </c>
      <c r="D31" s="18" t="s">
        <v>1364</v>
      </c>
      <c r="E31" s="12" t="s">
        <v>1372</v>
      </c>
      <c r="F31" s="17" t="s">
        <v>1395</v>
      </c>
      <c r="G31" s="12" t="s">
        <v>1408</v>
      </c>
      <c r="H31" s="19" t="s">
        <v>1409</v>
      </c>
      <c r="I31" s="12"/>
      <c r="J31" s="11">
        <f>31.2*100/1000</f>
        <v>3.12</v>
      </c>
      <c r="K31" s="17" t="s">
        <v>1415</v>
      </c>
      <c r="L31" s="12"/>
      <c r="M31" s="11">
        <f>31.2*24/1000</f>
        <v>0.74879999999999991</v>
      </c>
      <c r="N31" s="17" t="s">
        <v>1415</v>
      </c>
    </row>
    <row r="32" spans="1:14" x14ac:dyDescent="0.25">
      <c r="A32" s="7" t="s">
        <v>1541</v>
      </c>
      <c r="B32" s="11"/>
      <c r="C32" s="10" t="s">
        <v>1356</v>
      </c>
      <c r="D32" s="18" t="s">
        <v>1364</v>
      </c>
      <c r="E32" s="12" t="s">
        <v>1372</v>
      </c>
      <c r="F32" s="17" t="s">
        <v>1396</v>
      </c>
      <c r="G32" s="12" t="s">
        <v>1405</v>
      </c>
      <c r="H32" s="19" t="s">
        <v>1410</v>
      </c>
      <c r="I32" s="12"/>
      <c r="J32" s="11">
        <f>10.1/1026*100</f>
        <v>0.98440545808966862</v>
      </c>
      <c r="K32" s="17" t="s">
        <v>1415</v>
      </c>
      <c r="L32" s="12"/>
      <c r="M32" s="11">
        <f>10.1/1026*24</f>
        <v>0.23625730994152047</v>
      </c>
      <c r="N32" s="17" t="s">
        <v>1415</v>
      </c>
    </row>
    <row r="33" spans="1:14" x14ac:dyDescent="0.25">
      <c r="A33" s="7" t="s">
        <v>1326</v>
      </c>
      <c r="B33" s="11"/>
      <c r="C33" s="10" t="s">
        <v>1357</v>
      </c>
      <c r="D33" s="18" t="s">
        <v>1365</v>
      </c>
      <c r="E33" s="12" t="s">
        <v>1397</v>
      </c>
      <c r="F33" s="17" t="s">
        <v>1398</v>
      </c>
      <c r="G33" s="12" t="s">
        <v>1411</v>
      </c>
      <c r="H33" s="19" t="s">
        <v>1412</v>
      </c>
      <c r="I33" s="12"/>
      <c r="J33" s="11">
        <v>195000</v>
      </c>
      <c r="K33" s="17" t="s">
        <v>1415</v>
      </c>
      <c r="L33" s="12"/>
      <c r="M33" s="11">
        <f>J33/8760*24</f>
        <v>534.2465753424658</v>
      </c>
      <c r="N33" s="17" t="s">
        <v>1415</v>
      </c>
    </row>
    <row r="34" spans="1:14" x14ac:dyDescent="0.25">
      <c r="A34" s="7" t="s">
        <v>1327</v>
      </c>
      <c r="B34" s="11"/>
      <c r="C34" s="10" t="s">
        <v>1358</v>
      </c>
      <c r="D34" s="18" t="s">
        <v>1366</v>
      </c>
      <c r="E34" s="12" t="s">
        <v>1372</v>
      </c>
      <c r="F34" s="17" t="s">
        <v>1399</v>
      </c>
      <c r="G34" s="12" t="s">
        <v>1413</v>
      </c>
      <c r="H34" s="19" t="s">
        <v>1414</v>
      </c>
      <c r="I34" s="12"/>
      <c r="J34" s="11">
        <v>8760</v>
      </c>
      <c r="K34" s="17" t="s">
        <v>1415</v>
      </c>
      <c r="L34" s="12"/>
      <c r="M34" s="11">
        <f t="shared" ref="M34:M39" si="0">J34/8760*24</f>
        <v>24</v>
      </c>
      <c r="N34" s="17" t="s">
        <v>1415</v>
      </c>
    </row>
    <row r="35" spans="1:14" x14ac:dyDescent="0.25">
      <c r="A35" s="7" t="s">
        <v>1328</v>
      </c>
      <c r="B35" s="11"/>
      <c r="C35" s="10" t="s">
        <v>1359</v>
      </c>
      <c r="D35" s="18" t="s">
        <v>1367</v>
      </c>
      <c r="E35" s="12" t="s">
        <v>1372</v>
      </c>
      <c r="F35" s="17" t="s">
        <v>1400</v>
      </c>
      <c r="G35" s="12" t="s">
        <v>1413</v>
      </c>
      <c r="H35" s="19" t="s">
        <v>1414</v>
      </c>
      <c r="I35" s="12"/>
      <c r="J35" s="11">
        <v>8760</v>
      </c>
      <c r="K35" s="17" t="s">
        <v>1415</v>
      </c>
      <c r="L35" s="12"/>
      <c r="M35" s="11">
        <f t="shared" si="0"/>
        <v>24</v>
      </c>
      <c r="N35" s="17" t="s">
        <v>1415</v>
      </c>
    </row>
    <row r="36" spans="1:14" x14ac:dyDescent="0.25">
      <c r="A36" s="7" t="s">
        <v>1329</v>
      </c>
      <c r="B36" s="11"/>
      <c r="C36" s="10" t="s">
        <v>1360</v>
      </c>
      <c r="D36" s="18" t="s">
        <v>1368</v>
      </c>
      <c r="E36" s="12" t="s">
        <v>1372</v>
      </c>
      <c r="F36" s="17" t="s">
        <v>1401</v>
      </c>
      <c r="G36" s="12" t="s">
        <v>1413</v>
      </c>
      <c r="H36" s="19" t="s">
        <v>1414</v>
      </c>
      <c r="I36" s="12"/>
      <c r="J36" s="11">
        <v>8760</v>
      </c>
      <c r="K36" s="17" t="s">
        <v>1415</v>
      </c>
      <c r="L36" s="12"/>
      <c r="M36" s="11">
        <f t="shared" si="0"/>
        <v>24</v>
      </c>
      <c r="N36" s="17" t="s">
        <v>1415</v>
      </c>
    </row>
    <row r="37" spans="1:14" x14ac:dyDescent="0.25">
      <c r="A37" s="7" t="s">
        <v>1330</v>
      </c>
      <c r="B37" s="11"/>
      <c r="C37" s="10" t="s">
        <v>1361</v>
      </c>
      <c r="D37" s="18" t="s">
        <v>1369</v>
      </c>
      <c r="E37" s="12" t="s">
        <v>1372</v>
      </c>
      <c r="F37" s="17" t="s">
        <v>1402</v>
      </c>
      <c r="G37" s="12" t="s">
        <v>1413</v>
      </c>
      <c r="H37" s="19" t="s">
        <v>1414</v>
      </c>
      <c r="I37" s="12"/>
      <c r="J37" s="11">
        <v>8760</v>
      </c>
      <c r="K37" s="17" t="s">
        <v>1415</v>
      </c>
      <c r="L37" s="12"/>
      <c r="M37" s="11">
        <f t="shared" si="0"/>
        <v>24</v>
      </c>
      <c r="N37" s="17" t="s">
        <v>1415</v>
      </c>
    </row>
    <row r="38" spans="1:14" x14ac:dyDescent="0.25">
      <c r="A38" s="7" t="s">
        <v>1331</v>
      </c>
      <c r="B38" s="11"/>
      <c r="C38" s="10" t="s">
        <v>1362</v>
      </c>
      <c r="D38" s="18" t="s">
        <v>1370</v>
      </c>
      <c r="E38" s="12" t="s">
        <v>1372</v>
      </c>
      <c r="F38" s="17" t="s">
        <v>1403</v>
      </c>
      <c r="G38" s="12" t="s">
        <v>1413</v>
      </c>
      <c r="H38" s="19" t="s">
        <v>1414</v>
      </c>
      <c r="I38" s="12"/>
      <c r="J38" s="11">
        <v>8760</v>
      </c>
      <c r="K38" s="17" t="s">
        <v>1415</v>
      </c>
      <c r="L38" s="12"/>
      <c r="M38" s="11">
        <f t="shared" si="0"/>
        <v>24</v>
      </c>
      <c r="N38" s="17" t="s">
        <v>1415</v>
      </c>
    </row>
    <row r="39" spans="1:14" x14ac:dyDescent="0.25">
      <c r="A39" s="7" t="s">
        <v>1332</v>
      </c>
      <c r="B39" s="11"/>
      <c r="C39" s="10" t="s">
        <v>1363</v>
      </c>
      <c r="D39" s="18" t="s">
        <v>1371</v>
      </c>
      <c r="E39" s="12" t="s">
        <v>1372</v>
      </c>
      <c r="F39" s="17" t="s">
        <v>1404</v>
      </c>
      <c r="G39" s="12" t="s">
        <v>1413</v>
      </c>
      <c r="H39" s="19" t="s">
        <v>1414</v>
      </c>
      <c r="I39" s="12"/>
      <c r="J39" s="11">
        <v>8760</v>
      </c>
      <c r="K39" s="17" t="s">
        <v>1415</v>
      </c>
      <c r="L39" s="12"/>
      <c r="M39" s="11">
        <f t="shared" si="0"/>
        <v>24</v>
      </c>
      <c r="N39" s="17" t="s">
        <v>1415</v>
      </c>
    </row>
    <row r="40" spans="1:14" x14ac:dyDescent="0.25">
      <c r="A40" s="7" t="s">
        <v>1512</v>
      </c>
      <c r="B40" s="11"/>
      <c r="C40" s="10" t="s">
        <v>1513</v>
      </c>
      <c r="D40" s="18" t="s">
        <v>1364</v>
      </c>
      <c r="E40" s="12" t="s">
        <v>1372</v>
      </c>
      <c r="F40" s="17" t="s">
        <v>1364</v>
      </c>
      <c r="G40" s="12" t="s">
        <v>1413</v>
      </c>
      <c r="H40" s="19" t="s">
        <v>1414</v>
      </c>
      <c r="I40" s="12"/>
      <c r="J40" s="11">
        <v>8760</v>
      </c>
      <c r="K40" s="17" t="s">
        <v>1415</v>
      </c>
      <c r="L40" s="12"/>
      <c r="M40" s="11">
        <v>24</v>
      </c>
      <c r="N40" s="17" t="s">
        <v>1415</v>
      </c>
    </row>
    <row r="41" spans="1:14" x14ac:dyDescent="0.25">
      <c r="A41" s="7" t="s">
        <v>1550</v>
      </c>
      <c r="B41" s="11"/>
      <c r="C41" s="10" t="s">
        <v>1551</v>
      </c>
      <c r="D41" s="18" t="s">
        <v>1364</v>
      </c>
      <c r="E41" s="12" t="s">
        <v>1372</v>
      </c>
      <c r="F41" s="17" t="s">
        <v>1570</v>
      </c>
      <c r="G41" s="12" t="s">
        <v>1407</v>
      </c>
      <c r="H41" s="19" t="s">
        <v>1406</v>
      </c>
      <c r="I41" s="12"/>
      <c r="J41" s="11">
        <f>2.475/1020*8760</f>
        <v>21.255882352941178</v>
      </c>
      <c r="K41" s="17" t="s">
        <v>1415</v>
      </c>
      <c r="L41" s="12"/>
      <c r="M41" s="11">
        <f>2.475/1020*24</f>
        <v>5.8235294117647066E-2</v>
      </c>
      <c r="N41" s="17" t="s">
        <v>1415</v>
      </c>
    </row>
    <row r="42" spans="1:14" x14ac:dyDescent="0.25">
      <c r="A42" s="7" t="s">
        <v>1559</v>
      </c>
      <c r="B42" s="11"/>
      <c r="C42" s="10" t="s">
        <v>1552</v>
      </c>
      <c r="D42" s="18" t="s">
        <v>1364</v>
      </c>
      <c r="E42" s="12" t="s">
        <v>1372</v>
      </c>
      <c r="F42" s="17" t="s">
        <v>1571</v>
      </c>
      <c r="G42" s="12" t="s">
        <v>1407</v>
      </c>
      <c r="H42" s="19" t="s">
        <v>1406</v>
      </c>
      <c r="I42" s="12"/>
      <c r="J42" s="11">
        <f t="shared" ref="J42:J48" si="1">2.475/1020*8760</f>
        <v>21.255882352941178</v>
      </c>
      <c r="K42" s="17" t="s">
        <v>1415</v>
      </c>
      <c r="L42" s="12"/>
      <c r="M42" s="11">
        <f t="shared" ref="M42:M48" si="2">2.475/1020*24</f>
        <v>5.8235294117647066E-2</v>
      </c>
      <c r="N42" s="17" t="s">
        <v>1415</v>
      </c>
    </row>
    <row r="43" spans="1:14" x14ac:dyDescent="0.25">
      <c r="A43" s="7" t="s">
        <v>1560</v>
      </c>
      <c r="B43" s="11"/>
      <c r="C43" s="10" t="s">
        <v>1553</v>
      </c>
      <c r="D43" s="18" t="s">
        <v>1364</v>
      </c>
      <c r="E43" s="12" t="s">
        <v>1372</v>
      </c>
      <c r="F43" s="17" t="s">
        <v>1572</v>
      </c>
      <c r="G43" s="12" t="s">
        <v>1407</v>
      </c>
      <c r="H43" s="19" t="s">
        <v>1406</v>
      </c>
      <c r="I43" s="12"/>
      <c r="J43" s="11">
        <f t="shared" si="1"/>
        <v>21.255882352941178</v>
      </c>
      <c r="K43" s="17" t="s">
        <v>1415</v>
      </c>
      <c r="L43" s="12"/>
      <c r="M43" s="11">
        <f t="shared" si="2"/>
        <v>5.8235294117647066E-2</v>
      </c>
      <c r="N43" s="17" t="s">
        <v>1415</v>
      </c>
    </row>
    <row r="44" spans="1:14" x14ac:dyDescent="0.25">
      <c r="A44" s="7" t="s">
        <v>1561</v>
      </c>
      <c r="B44" s="11"/>
      <c r="C44" s="10" t="s">
        <v>1554</v>
      </c>
      <c r="D44" s="18" t="s">
        <v>1364</v>
      </c>
      <c r="E44" s="12" t="s">
        <v>1372</v>
      </c>
      <c r="F44" s="17" t="s">
        <v>1573</v>
      </c>
      <c r="G44" s="12" t="s">
        <v>1407</v>
      </c>
      <c r="H44" s="19" t="s">
        <v>1406</v>
      </c>
      <c r="I44" s="12"/>
      <c r="J44" s="11">
        <f t="shared" si="1"/>
        <v>21.255882352941178</v>
      </c>
      <c r="K44" s="17" t="s">
        <v>1415</v>
      </c>
      <c r="L44" s="12"/>
      <c r="M44" s="11">
        <f t="shared" si="2"/>
        <v>5.8235294117647066E-2</v>
      </c>
      <c r="N44" s="17" t="s">
        <v>1415</v>
      </c>
    </row>
    <row r="45" spans="1:14" x14ac:dyDescent="0.25">
      <c r="A45" s="7" t="s">
        <v>1562</v>
      </c>
      <c r="B45" s="11"/>
      <c r="C45" s="10" t="s">
        <v>1555</v>
      </c>
      <c r="D45" s="18" t="s">
        <v>1364</v>
      </c>
      <c r="E45" s="12" t="s">
        <v>1372</v>
      </c>
      <c r="F45" s="17" t="s">
        <v>1574</v>
      </c>
      <c r="G45" s="12" t="s">
        <v>1407</v>
      </c>
      <c r="H45" s="19" t="s">
        <v>1406</v>
      </c>
      <c r="I45" s="12"/>
      <c r="J45" s="11">
        <f t="shared" si="1"/>
        <v>21.255882352941178</v>
      </c>
      <c r="K45" s="17" t="s">
        <v>1415</v>
      </c>
      <c r="L45" s="12"/>
      <c r="M45" s="11">
        <f t="shared" si="2"/>
        <v>5.8235294117647066E-2</v>
      </c>
      <c r="N45" s="17" t="s">
        <v>1415</v>
      </c>
    </row>
    <row r="46" spans="1:14" x14ac:dyDescent="0.25">
      <c r="A46" s="7" t="s">
        <v>1563</v>
      </c>
      <c r="B46" s="11"/>
      <c r="C46" s="10" t="s">
        <v>1556</v>
      </c>
      <c r="D46" s="18" t="s">
        <v>1364</v>
      </c>
      <c r="E46" s="12" t="s">
        <v>1372</v>
      </c>
      <c r="F46" s="17" t="s">
        <v>1575</v>
      </c>
      <c r="G46" s="12" t="s">
        <v>1407</v>
      </c>
      <c r="H46" s="19" t="s">
        <v>1406</v>
      </c>
      <c r="I46" s="12"/>
      <c r="J46" s="11">
        <f t="shared" si="1"/>
        <v>21.255882352941178</v>
      </c>
      <c r="K46" s="17" t="s">
        <v>1415</v>
      </c>
      <c r="L46" s="12"/>
      <c r="M46" s="11">
        <f t="shared" si="2"/>
        <v>5.8235294117647066E-2</v>
      </c>
      <c r="N46" s="17" t="s">
        <v>1415</v>
      </c>
    </row>
    <row r="47" spans="1:14" x14ac:dyDescent="0.25">
      <c r="A47" s="7" t="s">
        <v>1564</v>
      </c>
      <c r="B47" s="11"/>
      <c r="C47" s="10" t="s">
        <v>1557</v>
      </c>
      <c r="D47" s="18" t="s">
        <v>1364</v>
      </c>
      <c r="E47" s="12" t="s">
        <v>1372</v>
      </c>
      <c r="F47" s="17" t="s">
        <v>1576</v>
      </c>
      <c r="G47" s="12" t="s">
        <v>1407</v>
      </c>
      <c r="H47" s="19" t="s">
        <v>1406</v>
      </c>
      <c r="I47" s="12"/>
      <c r="J47" s="11">
        <f t="shared" si="1"/>
        <v>21.255882352941178</v>
      </c>
      <c r="K47" s="17" t="s">
        <v>1415</v>
      </c>
      <c r="L47" s="12"/>
      <c r="M47" s="11">
        <f t="shared" si="2"/>
        <v>5.8235294117647066E-2</v>
      </c>
      <c r="N47" s="17" t="s">
        <v>1415</v>
      </c>
    </row>
    <row r="48" spans="1:14" x14ac:dyDescent="0.25">
      <c r="A48" s="7" t="s">
        <v>1565</v>
      </c>
      <c r="B48" s="11"/>
      <c r="C48" s="10" t="s">
        <v>1558</v>
      </c>
      <c r="D48" s="18" t="s">
        <v>1364</v>
      </c>
      <c r="E48" s="12" t="s">
        <v>1372</v>
      </c>
      <c r="F48" s="17" t="s">
        <v>1577</v>
      </c>
      <c r="G48" s="12" t="s">
        <v>1407</v>
      </c>
      <c r="H48" s="19" t="s">
        <v>1406</v>
      </c>
      <c r="I48" s="12"/>
      <c r="J48" s="11">
        <f t="shared" si="1"/>
        <v>21.255882352941178</v>
      </c>
      <c r="K48" s="17" t="s">
        <v>1415</v>
      </c>
      <c r="L48" s="12"/>
      <c r="M48" s="11">
        <f t="shared" si="2"/>
        <v>5.8235294117647066E-2</v>
      </c>
      <c r="N48" s="17" t="s">
        <v>1415</v>
      </c>
    </row>
    <row r="49" spans="1:14" x14ac:dyDescent="0.25">
      <c r="A49" s="7" t="s">
        <v>1566</v>
      </c>
      <c r="B49" s="11"/>
      <c r="C49" s="10" t="s">
        <v>1583</v>
      </c>
      <c r="D49" s="18" t="s">
        <v>1364</v>
      </c>
      <c r="E49" s="12" t="s">
        <v>1372</v>
      </c>
      <c r="F49" s="17" t="s">
        <v>1578</v>
      </c>
      <c r="G49" s="12" t="s">
        <v>1407</v>
      </c>
      <c r="H49" s="19" t="s">
        <v>1406</v>
      </c>
      <c r="I49" s="12"/>
      <c r="J49" s="11">
        <f>3.105/1020*8760</f>
        <v>26.666470588235292</v>
      </c>
      <c r="K49" s="17" t="s">
        <v>1415</v>
      </c>
      <c r="L49" s="12"/>
      <c r="M49" s="11">
        <f>3.105/1020*24</f>
        <v>7.3058823529411759E-2</v>
      </c>
      <c r="N49" s="17" t="s">
        <v>1415</v>
      </c>
    </row>
    <row r="50" spans="1:14" x14ac:dyDescent="0.25">
      <c r="A50" s="7" t="s">
        <v>1567</v>
      </c>
      <c r="B50" s="11"/>
      <c r="C50" s="10" t="s">
        <v>1585</v>
      </c>
      <c r="D50" s="18" t="s">
        <v>1364</v>
      </c>
      <c r="E50" s="12" t="s">
        <v>1372</v>
      </c>
      <c r="F50" s="17" t="s">
        <v>1579</v>
      </c>
      <c r="G50" s="12" t="s">
        <v>1407</v>
      </c>
      <c r="H50" s="19" t="s">
        <v>1406</v>
      </c>
      <c r="I50" s="12"/>
      <c r="J50" s="11">
        <f>3.15/1020*8760</f>
        <v>27.052941176470586</v>
      </c>
      <c r="K50" s="17" t="s">
        <v>1415</v>
      </c>
      <c r="L50" s="12"/>
      <c r="M50" s="11">
        <f>3.15/1020*24</f>
        <v>7.4117647058823524E-2</v>
      </c>
      <c r="N50" s="17" t="s">
        <v>1415</v>
      </c>
    </row>
    <row r="51" spans="1:14" x14ac:dyDescent="0.25">
      <c r="A51" s="7" t="s">
        <v>1568</v>
      </c>
      <c r="B51" s="11"/>
      <c r="C51" s="10" t="s">
        <v>1582</v>
      </c>
      <c r="D51" s="18" t="s">
        <v>1364</v>
      </c>
      <c r="E51" s="12" t="s">
        <v>1372</v>
      </c>
      <c r="F51" s="17" t="s">
        <v>1580</v>
      </c>
      <c r="G51" s="12" t="s">
        <v>1407</v>
      </c>
      <c r="H51" s="19" t="s">
        <v>1406</v>
      </c>
      <c r="I51" s="12"/>
      <c r="J51" s="11">
        <f>2.079/1020*8760</f>
        <v>17.854941176470589</v>
      </c>
      <c r="K51" s="17" t="s">
        <v>1415</v>
      </c>
      <c r="L51" s="12"/>
      <c r="M51" s="11">
        <f>2.079/1020*24</f>
        <v>4.8917647058823531E-2</v>
      </c>
      <c r="N51" s="17" t="s">
        <v>1415</v>
      </c>
    </row>
    <row r="52" spans="1:14" x14ac:dyDescent="0.25">
      <c r="A52" s="7" t="s">
        <v>1569</v>
      </c>
      <c r="B52" s="11"/>
      <c r="C52" s="10" t="s">
        <v>1584</v>
      </c>
      <c r="D52" s="18" t="s">
        <v>1364</v>
      </c>
      <c r="E52" s="12" t="s">
        <v>1372</v>
      </c>
      <c r="F52" s="17" t="s">
        <v>1581</v>
      </c>
      <c r="G52" s="12" t="s">
        <v>1407</v>
      </c>
      <c r="H52" s="19" t="s">
        <v>1406</v>
      </c>
      <c r="I52" s="12"/>
      <c r="J52" s="11">
        <f>4.75/1020*8760</f>
        <v>40.794117647058826</v>
      </c>
      <c r="K52" s="17" t="s">
        <v>1415</v>
      </c>
      <c r="L52" s="12"/>
      <c r="M52" s="11">
        <f>4.75/1020*24</f>
        <v>0.11176470588235293</v>
      </c>
      <c r="N52" s="17" t="s">
        <v>1415</v>
      </c>
    </row>
    <row r="53" spans="1:14" x14ac:dyDescent="0.25">
      <c r="A53" s="7" t="s">
        <v>1591</v>
      </c>
      <c r="B53" s="11"/>
      <c r="C53" s="10" t="s">
        <v>1608</v>
      </c>
      <c r="D53" s="18" t="s">
        <v>1364</v>
      </c>
      <c r="E53" s="12" t="s">
        <v>1372</v>
      </c>
      <c r="F53" s="17" t="s">
        <v>1630</v>
      </c>
      <c r="G53" s="12" t="s">
        <v>1407</v>
      </c>
      <c r="H53" s="19" t="s">
        <v>1406</v>
      </c>
      <c r="I53" s="12"/>
      <c r="J53" s="11">
        <f>(1/1020)*8760*2.536</f>
        <v>21.779764705882354</v>
      </c>
      <c r="K53" s="17" t="s">
        <v>1415</v>
      </c>
      <c r="L53" s="12"/>
      <c r="M53" s="11">
        <f>(1/1020)*24*2.536</f>
        <v>5.9670588235294114E-2</v>
      </c>
      <c r="N53" s="17" t="s">
        <v>1415</v>
      </c>
    </row>
    <row r="54" spans="1:14" x14ac:dyDescent="0.25">
      <c r="A54" s="7" t="s">
        <v>1614</v>
      </c>
      <c r="B54" s="11"/>
      <c r="C54" s="10" t="s">
        <v>1608</v>
      </c>
      <c r="D54" s="18" t="s">
        <v>1364</v>
      </c>
      <c r="E54" s="12" t="s">
        <v>1372</v>
      </c>
      <c r="F54" s="17" t="s">
        <v>1592</v>
      </c>
      <c r="G54" s="12" t="s">
        <v>1407</v>
      </c>
      <c r="H54" s="19" t="s">
        <v>1406</v>
      </c>
      <c r="I54" s="12"/>
      <c r="J54" s="11">
        <f>(1/1020)*8760*2.536</f>
        <v>21.779764705882354</v>
      </c>
      <c r="K54" s="17" t="s">
        <v>1415</v>
      </c>
      <c r="L54" s="12"/>
      <c r="M54" s="11">
        <f>(1/1020)*24*2.536</f>
        <v>5.9670588235294114E-2</v>
      </c>
      <c r="N54" s="17" t="s">
        <v>1415</v>
      </c>
    </row>
    <row r="55" spans="1:14" x14ac:dyDescent="0.25">
      <c r="A55" s="7" t="s">
        <v>1615</v>
      </c>
      <c r="B55" s="11"/>
      <c r="C55" s="10" t="s">
        <v>1609</v>
      </c>
      <c r="D55" s="18" t="s">
        <v>1364</v>
      </c>
      <c r="E55" s="12" t="s">
        <v>1372</v>
      </c>
      <c r="F55" s="17" t="s">
        <v>1593</v>
      </c>
      <c r="G55" s="12" t="s">
        <v>1407</v>
      </c>
      <c r="H55" s="19" t="s">
        <v>1406</v>
      </c>
      <c r="I55" s="12"/>
      <c r="J55" s="11">
        <f>(1/1020)*8760*2.079</f>
        <v>17.854941176470589</v>
      </c>
      <c r="K55" s="17" t="s">
        <v>1415</v>
      </c>
      <c r="L55" s="12"/>
      <c r="M55" s="11">
        <f>(1/1020)*24*2.079</f>
        <v>4.8917647058823531E-2</v>
      </c>
      <c r="N55" s="17" t="s">
        <v>1415</v>
      </c>
    </row>
    <row r="56" spans="1:14" x14ac:dyDescent="0.25">
      <c r="A56" s="7" t="s">
        <v>1616</v>
      </c>
      <c r="B56" s="11"/>
      <c r="C56" s="10" t="s">
        <v>1610</v>
      </c>
      <c r="D56" s="18" t="s">
        <v>1364</v>
      </c>
      <c r="E56" s="12" t="s">
        <v>1372</v>
      </c>
      <c r="F56" s="17" t="s">
        <v>1594</v>
      </c>
      <c r="G56" s="12" t="s">
        <v>1407</v>
      </c>
      <c r="H56" s="19" t="s">
        <v>1406</v>
      </c>
      <c r="I56" s="12"/>
      <c r="J56" s="11">
        <f>(1/1020)*8760*2.8</f>
        <v>24.047058823529408</v>
      </c>
      <c r="K56" s="17" t="s">
        <v>1415</v>
      </c>
      <c r="L56" s="12"/>
      <c r="M56" s="11">
        <f>(1/1020)*24*2.8</f>
        <v>6.5882352941176461E-2</v>
      </c>
      <c r="N56" s="17" t="s">
        <v>1415</v>
      </c>
    </row>
    <row r="57" spans="1:14" x14ac:dyDescent="0.25">
      <c r="A57" s="7" t="s">
        <v>1617</v>
      </c>
      <c r="B57" s="11"/>
      <c r="C57" s="10" t="s">
        <v>1610</v>
      </c>
      <c r="D57" s="18" t="s">
        <v>1364</v>
      </c>
      <c r="E57" s="12" t="s">
        <v>1372</v>
      </c>
      <c r="F57" s="17" t="s">
        <v>1595</v>
      </c>
      <c r="G57" s="12" t="s">
        <v>1407</v>
      </c>
      <c r="H57" s="19" t="s">
        <v>1406</v>
      </c>
      <c r="I57" s="12"/>
      <c r="J57" s="11">
        <f>(1/1020)*8760*2.8</f>
        <v>24.047058823529408</v>
      </c>
      <c r="K57" s="17" t="s">
        <v>1415</v>
      </c>
      <c r="L57" s="12"/>
      <c r="M57" s="11">
        <f>(1/1020)*24*2.8</f>
        <v>6.5882352941176461E-2</v>
      </c>
      <c r="N57" s="17" t="s">
        <v>1415</v>
      </c>
    </row>
    <row r="58" spans="1:14" x14ac:dyDescent="0.25">
      <c r="A58" s="7" t="s">
        <v>1618</v>
      </c>
      <c r="B58" s="11"/>
      <c r="C58" s="10" t="s">
        <v>1610</v>
      </c>
      <c r="D58" s="18" t="s">
        <v>1364</v>
      </c>
      <c r="E58" s="12" t="s">
        <v>1372</v>
      </c>
      <c r="F58" s="17" t="s">
        <v>1596</v>
      </c>
      <c r="G58" s="12" t="s">
        <v>1407</v>
      </c>
      <c r="H58" s="19" t="s">
        <v>1406</v>
      </c>
      <c r="I58" s="12"/>
      <c r="J58" s="11">
        <f>(1/1020)*8760*2.8</f>
        <v>24.047058823529408</v>
      </c>
      <c r="K58" s="17" t="s">
        <v>1415</v>
      </c>
      <c r="L58" s="12"/>
      <c r="M58" s="11">
        <f>(1/1020)*24*2.8</f>
        <v>6.5882352941176461E-2</v>
      </c>
      <c r="N58" s="17" t="s">
        <v>1415</v>
      </c>
    </row>
    <row r="59" spans="1:14" x14ac:dyDescent="0.25">
      <c r="A59" s="7" t="s">
        <v>1619</v>
      </c>
      <c r="B59" s="11"/>
      <c r="C59" s="10" t="s">
        <v>1611</v>
      </c>
      <c r="D59" s="18" t="s">
        <v>1364</v>
      </c>
      <c r="E59" s="12" t="s">
        <v>1372</v>
      </c>
      <c r="F59" s="17" t="s">
        <v>1597</v>
      </c>
      <c r="G59" s="12" t="s">
        <v>1407</v>
      </c>
      <c r="H59" s="19" t="s">
        <v>1406</v>
      </c>
      <c r="I59" s="12"/>
      <c r="J59" s="11">
        <f>(1/1020)*8760*3.2</f>
        <v>27.482352941176472</v>
      </c>
      <c r="K59" s="17" t="s">
        <v>1415</v>
      </c>
      <c r="L59" s="12"/>
      <c r="M59" s="11">
        <f>(1/1020)*24*3.2</f>
        <v>7.5294117647058831E-2</v>
      </c>
      <c r="N59" s="17" t="s">
        <v>1415</v>
      </c>
    </row>
    <row r="60" spans="1:14" x14ac:dyDescent="0.25">
      <c r="A60" s="7" t="s">
        <v>1620</v>
      </c>
      <c r="B60" s="11"/>
      <c r="C60" s="10" t="s">
        <v>1611</v>
      </c>
      <c r="D60" s="18" t="s">
        <v>1364</v>
      </c>
      <c r="E60" s="12" t="s">
        <v>1372</v>
      </c>
      <c r="F60" s="17" t="s">
        <v>1598</v>
      </c>
      <c r="G60" s="12" t="s">
        <v>1407</v>
      </c>
      <c r="H60" s="19" t="s">
        <v>1406</v>
      </c>
      <c r="I60" s="12"/>
      <c r="J60" s="11">
        <f>(1/1020)*8760*3.2</f>
        <v>27.482352941176472</v>
      </c>
      <c r="K60" s="17" t="s">
        <v>1415</v>
      </c>
      <c r="L60" s="12"/>
      <c r="M60" s="11">
        <f>(1/1020)*24*3.2</f>
        <v>7.5294117647058831E-2</v>
      </c>
      <c r="N60" s="17" t="s">
        <v>1415</v>
      </c>
    </row>
    <row r="61" spans="1:14" x14ac:dyDescent="0.25">
      <c r="A61" s="7" t="s">
        <v>1621</v>
      </c>
      <c r="B61" s="11"/>
      <c r="C61" s="10" t="s">
        <v>1610</v>
      </c>
      <c r="D61" s="18" t="s">
        <v>1364</v>
      </c>
      <c r="E61" s="12" t="s">
        <v>1372</v>
      </c>
      <c r="F61" s="17" t="s">
        <v>1599</v>
      </c>
      <c r="G61" s="12" t="s">
        <v>1407</v>
      </c>
      <c r="H61" s="19" t="s">
        <v>1406</v>
      </c>
      <c r="I61" s="12"/>
      <c r="J61" s="11">
        <f>(1/1020)*8760*2.8</f>
        <v>24.047058823529408</v>
      </c>
      <c r="K61" s="17" t="s">
        <v>1415</v>
      </c>
      <c r="L61" s="12"/>
      <c r="M61" s="11">
        <f>(1/1020)*24*2.8</f>
        <v>6.5882352941176461E-2</v>
      </c>
      <c r="N61" s="17" t="s">
        <v>1415</v>
      </c>
    </row>
    <row r="62" spans="1:14" x14ac:dyDescent="0.25">
      <c r="A62" s="7" t="s">
        <v>1622</v>
      </c>
      <c r="B62" s="11"/>
      <c r="C62" s="10" t="s">
        <v>1610</v>
      </c>
      <c r="D62" s="18" t="s">
        <v>1364</v>
      </c>
      <c r="E62" s="12" t="s">
        <v>1372</v>
      </c>
      <c r="F62" s="17" t="s">
        <v>1600</v>
      </c>
      <c r="G62" s="12" t="s">
        <v>1407</v>
      </c>
      <c r="H62" s="19" t="s">
        <v>1406</v>
      </c>
      <c r="I62" s="12"/>
      <c r="J62" s="11">
        <f>(1/1020)*8760*2.8</f>
        <v>24.047058823529408</v>
      </c>
      <c r="K62" s="17" t="s">
        <v>1415</v>
      </c>
      <c r="L62" s="12"/>
      <c r="M62" s="11">
        <f>(1/1020)*24*2.8</f>
        <v>6.5882352941176461E-2</v>
      </c>
      <c r="N62" s="17" t="s">
        <v>1415</v>
      </c>
    </row>
    <row r="63" spans="1:14" x14ac:dyDescent="0.25">
      <c r="A63" s="7" t="s">
        <v>1623</v>
      </c>
      <c r="B63" s="11"/>
      <c r="C63" s="10" t="s">
        <v>1610</v>
      </c>
      <c r="D63" s="18" t="s">
        <v>1364</v>
      </c>
      <c r="E63" s="12" t="s">
        <v>1372</v>
      </c>
      <c r="F63" s="17" t="s">
        <v>1601</v>
      </c>
      <c r="G63" s="12" t="s">
        <v>1407</v>
      </c>
      <c r="H63" s="19" t="s">
        <v>1406</v>
      </c>
      <c r="I63" s="12"/>
      <c r="J63" s="11">
        <f>(1/1020)*8760*2.8</f>
        <v>24.047058823529408</v>
      </c>
      <c r="K63" s="17" t="s">
        <v>1415</v>
      </c>
      <c r="L63" s="12"/>
      <c r="M63" s="11">
        <f>(1/1020)*24*2.8</f>
        <v>6.5882352941176461E-2</v>
      </c>
      <c r="N63" s="17" t="s">
        <v>1415</v>
      </c>
    </row>
    <row r="64" spans="1:14" x14ac:dyDescent="0.25">
      <c r="A64" s="7" t="s">
        <v>1624</v>
      </c>
      <c r="B64" s="11"/>
      <c r="C64" s="10" t="s">
        <v>1610</v>
      </c>
      <c r="D64" s="18" t="s">
        <v>1364</v>
      </c>
      <c r="E64" s="12" t="s">
        <v>1372</v>
      </c>
      <c r="F64" s="17" t="s">
        <v>1602</v>
      </c>
      <c r="G64" s="12" t="s">
        <v>1407</v>
      </c>
      <c r="H64" s="19" t="s">
        <v>1406</v>
      </c>
      <c r="I64" s="12"/>
      <c r="J64" s="11">
        <f>(1/1020)*8760*2.8</f>
        <v>24.047058823529408</v>
      </c>
      <c r="K64" s="17" t="s">
        <v>1415</v>
      </c>
      <c r="L64" s="12"/>
      <c r="M64" s="11">
        <f>(1/1020)*24*2.8</f>
        <v>6.5882352941176461E-2</v>
      </c>
      <c r="N64" s="17" t="s">
        <v>1415</v>
      </c>
    </row>
    <row r="65" spans="1:14" x14ac:dyDescent="0.25">
      <c r="A65" s="7" t="s">
        <v>1625</v>
      </c>
      <c r="B65" s="11"/>
      <c r="C65" s="10" t="s">
        <v>1611</v>
      </c>
      <c r="D65" s="18" t="s">
        <v>1364</v>
      </c>
      <c r="E65" s="12" t="s">
        <v>1372</v>
      </c>
      <c r="F65" s="17" t="s">
        <v>1603</v>
      </c>
      <c r="G65" s="12" t="s">
        <v>1407</v>
      </c>
      <c r="H65" s="19" t="s">
        <v>1406</v>
      </c>
      <c r="I65" s="12"/>
      <c r="J65" s="11">
        <f>(1/1020)*8760*3.2</f>
        <v>27.482352941176472</v>
      </c>
      <c r="K65" s="17" t="s">
        <v>1415</v>
      </c>
      <c r="L65" s="12"/>
      <c r="M65" s="11">
        <f>(1/1020)*24*3.2</f>
        <v>7.5294117647058831E-2</v>
      </c>
      <c r="N65" s="17" t="s">
        <v>1415</v>
      </c>
    </row>
    <row r="66" spans="1:14" x14ac:dyDescent="0.25">
      <c r="A66" s="7" t="s">
        <v>1626</v>
      </c>
      <c r="B66" s="11"/>
      <c r="C66" s="10" t="s">
        <v>1612</v>
      </c>
      <c r="D66" s="18" t="s">
        <v>1364</v>
      </c>
      <c r="E66" s="12" t="s">
        <v>1372</v>
      </c>
      <c r="F66" s="17" t="s">
        <v>1604</v>
      </c>
      <c r="G66" s="12" t="s">
        <v>1407</v>
      </c>
      <c r="H66" s="19" t="s">
        <v>1406</v>
      </c>
      <c r="I66" s="12"/>
      <c r="J66" s="11">
        <f>(1/1020)*8760*2.98</f>
        <v>25.592941176470585</v>
      </c>
      <c r="K66" s="17" t="s">
        <v>1415</v>
      </c>
      <c r="L66" s="12"/>
      <c r="M66" s="11">
        <f>(1/1020)*24*2.98</f>
        <v>7.0117647058823535E-2</v>
      </c>
      <c r="N66" s="17" t="s">
        <v>1415</v>
      </c>
    </row>
    <row r="67" spans="1:14" x14ac:dyDescent="0.25">
      <c r="A67" s="7" t="s">
        <v>1627</v>
      </c>
      <c r="B67" s="11"/>
      <c r="C67" s="10" t="s">
        <v>1612</v>
      </c>
      <c r="D67" s="18" t="s">
        <v>1364</v>
      </c>
      <c r="E67" s="12" t="s">
        <v>1372</v>
      </c>
      <c r="F67" s="17" t="s">
        <v>1605</v>
      </c>
      <c r="G67" s="12" t="s">
        <v>1407</v>
      </c>
      <c r="H67" s="19" t="s">
        <v>1406</v>
      </c>
      <c r="I67" s="12"/>
      <c r="J67" s="11">
        <f>(1/1020)*8760*2.98</f>
        <v>25.592941176470585</v>
      </c>
      <c r="K67" s="17" t="s">
        <v>1415</v>
      </c>
      <c r="L67" s="12"/>
      <c r="M67" s="11">
        <f>(1/1020)*24*2.98</f>
        <v>7.0117647058823535E-2</v>
      </c>
      <c r="N67" s="17" t="s">
        <v>1415</v>
      </c>
    </row>
    <row r="68" spans="1:14" x14ac:dyDescent="0.25">
      <c r="A68" s="7" t="s">
        <v>1628</v>
      </c>
      <c r="B68" s="11"/>
      <c r="C68" s="10" t="s">
        <v>1612</v>
      </c>
      <c r="D68" s="18" t="s">
        <v>1364</v>
      </c>
      <c r="E68" s="12" t="s">
        <v>1372</v>
      </c>
      <c r="F68" s="17" t="s">
        <v>1606</v>
      </c>
      <c r="G68" s="12" t="s">
        <v>1407</v>
      </c>
      <c r="H68" s="19" t="s">
        <v>1406</v>
      </c>
      <c r="I68" s="12"/>
      <c r="J68" s="11">
        <f>(1/1020)*8760*2.98</f>
        <v>25.592941176470585</v>
      </c>
      <c r="K68" s="17" t="s">
        <v>1415</v>
      </c>
      <c r="L68" s="12"/>
      <c r="M68" s="11">
        <f>(1/1020)*24*2.98</f>
        <v>7.0117647058823535E-2</v>
      </c>
      <c r="N68" s="17" t="s">
        <v>1415</v>
      </c>
    </row>
    <row r="69" spans="1:14" x14ac:dyDescent="0.25">
      <c r="A69" s="7" t="s">
        <v>1629</v>
      </c>
      <c r="B69" s="11"/>
      <c r="C69" s="10" t="s">
        <v>1613</v>
      </c>
      <c r="D69" s="18" t="s">
        <v>1364</v>
      </c>
      <c r="E69" s="12" t="s">
        <v>1372</v>
      </c>
      <c r="F69" s="17" t="s">
        <v>1607</v>
      </c>
      <c r="G69" s="12" t="s">
        <v>1407</v>
      </c>
      <c r="H69" s="19" t="s">
        <v>1406</v>
      </c>
      <c r="I69" s="12"/>
      <c r="J69" s="11">
        <f>(1/1020)*8760*2.187</f>
        <v>18.782470588235292</v>
      </c>
      <c r="K69" s="17" t="s">
        <v>1415</v>
      </c>
      <c r="L69" s="12"/>
      <c r="M69" s="11">
        <f>(1/1020)*24*2.187</f>
        <v>5.1458823529411758E-2</v>
      </c>
      <c r="N69" s="17" t="s">
        <v>1415</v>
      </c>
    </row>
    <row r="70" spans="1:14" x14ac:dyDescent="0.25">
      <c r="A70" s="7" t="s">
        <v>1631</v>
      </c>
      <c r="B70" s="11"/>
      <c r="C70" s="10" t="s">
        <v>1638</v>
      </c>
      <c r="D70" s="18" t="s">
        <v>1364</v>
      </c>
      <c r="E70" s="12" t="s">
        <v>1372</v>
      </c>
      <c r="F70" s="17" t="s">
        <v>1645</v>
      </c>
      <c r="G70" s="12" t="s">
        <v>1407</v>
      </c>
      <c r="H70" s="19" t="s">
        <v>1406</v>
      </c>
      <c r="I70" s="12"/>
      <c r="J70" s="11">
        <f>(1/1020)*8760*14.116</f>
        <v>121.2315294117647</v>
      </c>
      <c r="K70" s="17" t="s">
        <v>1415</v>
      </c>
      <c r="L70" s="12"/>
      <c r="M70" s="11">
        <f>(1/1020)*24*14.116</f>
        <v>0.33214117647058822</v>
      </c>
      <c r="N70" s="17" t="s">
        <v>1415</v>
      </c>
    </row>
    <row r="71" spans="1:14" x14ac:dyDescent="0.25">
      <c r="A71" s="7" t="s">
        <v>1637</v>
      </c>
      <c r="B71" s="11"/>
      <c r="C71" s="10" t="s">
        <v>1639</v>
      </c>
      <c r="D71" s="18" t="s">
        <v>1364</v>
      </c>
      <c r="E71" s="12" t="s">
        <v>1372</v>
      </c>
      <c r="F71" s="17" t="s">
        <v>1646</v>
      </c>
      <c r="G71" s="12" t="s">
        <v>1407</v>
      </c>
      <c r="H71" s="19" t="s">
        <v>1406</v>
      </c>
      <c r="I71" s="12"/>
      <c r="J71" s="11">
        <f>(1/1020)*8760*1.437</f>
        <v>12.34129411764706</v>
      </c>
      <c r="K71" s="17" t="s">
        <v>1415</v>
      </c>
      <c r="L71" s="12"/>
      <c r="M71" s="11">
        <f>(1/1020)*24*1.437</f>
        <v>3.3811764705882354E-2</v>
      </c>
      <c r="N71" s="17" t="s">
        <v>1415</v>
      </c>
    </row>
    <row r="72" spans="1:14" x14ac:dyDescent="0.25">
      <c r="A72" s="7" t="s">
        <v>1636</v>
      </c>
      <c r="B72" s="11"/>
      <c r="C72" s="10" t="s">
        <v>1640</v>
      </c>
      <c r="D72" s="18" t="s">
        <v>1364</v>
      </c>
      <c r="E72" s="12" t="s">
        <v>1372</v>
      </c>
      <c r="F72" s="17" t="s">
        <v>1647</v>
      </c>
      <c r="G72" s="12" t="s">
        <v>1407</v>
      </c>
      <c r="H72" s="19" t="s">
        <v>1406</v>
      </c>
      <c r="I72" s="12"/>
      <c r="J72" s="11">
        <f>(1/1020)*8760*20.296</f>
        <v>174.30682352941176</v>
      </c>
      <c r="K72" s="17" t="s">
        <v>1415</v>
      </c>
      <c r="L72" s="12"/>
      <c r="M72" s="11">
        <f>(1/1020)*24*20.296</f>
        <v>0.47755294117647057</v>
      </c>
      <c r="N72" s="17" t="s">
        <v>1415</v>
      </c>
    </row>
    <row r="73" spans="1:14" x14ac:dyDescent="0.25">
      <c r="A73" s="7" t="s">
        <v>1635</v>
      </c>
      <c r="B73" s="11"/>
      <c r="C73" s="10" t="s">
        <v>1641</v>
      </c>
      <c r="D73" s="18" t="s">
        <v>1364</v>
      </c>
      <c r="E73" s="12" t="s">
        <v>1372</v>
      </c>
      <c r="F73" s="17" t="s">
        <v>1648</v>
      </c>
      <c r="G73" s="12" t="s">
        <v>1407</v>
      </c>
      <c r="H73" s="19" t="s">
        <v>1406</v>
      </c>
      <c r="I73" s="12"/>
      <c r="J73" s="11">
        <f>(1/1020)*8760*0.24</f>
        <v>2.0611764705882352</v>
      </c>
      <c r="K73" s="17" t="s">
        <v>1415</v>
      </c>
      <c r="L73" s="12"/>
      <c r="M73" s="11">
        <f>(1/1020)*24*0.24</f>
        <v>5.6470588235294113E-3</v>
      </c>
      <c r="N73" s="17" t="s">
        <v>1415</v>
      </c>
    </row>
    <row r="74" spans="1:14" x14ac:dyDescent="0.25">
      <c r="A74" s="7" t="s">
        <v>1634</v>
      </c>
      <c r="B74" s="11"/>
      <c r="C74" s="10" t="s">
        <v>1642</v>
      </c>
      <c r="D74" s="18" t="s">
        <v>1364</v>
      </c>
      <c r="E74" s="12" t="s">
        <v>1372</v>
      </c>
      <c r="F74" s="17" t="s">
        <v>1649</v>
      </c>
      <c r="G74" s="12" t="s">
        <v>1407</v>
      </c>
      <c r="H74" s="19" t="s">
        <v>1406</v>
      </c>
      <c r="I74" s="12"/>
      <c r="J74" s="11">
        <f>(1/1020)*8760*2.24</f>
        <v>19.23764705882353</v>
      </c>
      <c r="K74" s="17" t="s">
        <v>1415</v>
      </c>
      <c r="L74" s="12"/>
      <c r="M74" s="11">
        <f>(1/1020)*24*2.24</f>
        <v>5.2705882352941179E-2</v>
      </c>
      <c r="N74" s="17" t="s">
        <v>1415</v>
      </c>
    </row>
    <row r="75" spans="1:14" x14ac:dyDescent="0.25">
      <c r="A75" s="7" t="s">
        <v>1633</v>
      </c>
      <c r="B75" s="11"/>
      <c r="C75" s="10" t="s">
        <v>1643</v>
      </c>
      <c r="D75" s="18" t="s">
        <v>1364</v>
      </c>
      <c r="E75" s="12" t="s">
        <v>1372</v>
      </c>
      <c r="F75" s="17" t="s">
        <v>1650</v>
      </c>
      <c r="G75" s="12" t="s">
        <v>1407</v>
      </c>
      <c r="H75" s="19" t="s">
        <v>1406</v>
      </c>
      <c r="I75" s="12"/>
      <c r="J75" s="11">
        <f>(1/1020)*8760*0.8</f>
        <v>6.8705882352941181</v>
      </c>
      <c r="K75" s="17" t="s">
        <v>1415</v>
      </c>
      <c r="L75" s="12"/>
      <c r="M75" s="11">
        <f>(1/1020)*24*0.8</f>
        <v>1.8823529411764708E-2</v>
      </c>
      <c r="N75" s="17" t="s">
        <v>1415</v>
      </c>
    </row>
    <row r="76" spans="1:14" x14ac:dyDescent="0.25">
      <c r="A76" s="7" t="s">
        <v>1632</v>
      </c>
      <c r="B76" s="11"/>
      <c r="C76" s="10" t="s">
        <v>1644</v>
      </c>
      <c r="D76" s="18" t="s">
        <v>1364</v>
      </c>
      <c r="E76" s="12" t="s">
        <v>1372</v>
      </c>
      <c r="F76" s="17" t="s">
        <v>1651</v>
      </c>
      <c r="G76" s="12" t="s">
        <v>1407</v>
      </c>
      <c r="H76" s="19" t="s">
        <v>1406</v>
      </c>
      <c r="I76" s="12"/>
      <c r="J76" s="11">
        <f>(1/1020)*8760*0.78</f>
        <v>6.6988235294117651</v>
      </c>
      <c r="K76" s="17" t="s">
        <v>1415</v>
      </c>
      <c r="L76" s="12"/>
      <c r="M76" s="11">
        <f>(1/1020)*24*0.78</f>
        <v>1.8352941176470589E-2</v>
      </c>
      <c r="N76" s="17" t="s">
        <v>1415</v>
      </c>
    </row>
    <row r="77" spans="1:14" x14ac:dyDescent="0.25">
      <c r="A77" s="7"/>
      <c r="B77" s="11"/>
      <c r="C77" s="10"/>
      <c r="D77" s="18"/>
      <c r="E77" s="12"/>
      <c r="F77" s="17"/>
      <c r="G77" s="12"/>
      <c r="H77" s="19"/>
      <c r="I77" s="12"/>
      <c r="J77" s="11"/>
      <c r="K77" s="17"/>
      <c r="L77" s="12"/>
      <c r="M77" s="11"/>
      <c r="N77" s="17"/>
    </row>
    <row r="78" spans="1:14" x14ac:dyDescent="0.25">
      <c r="A78" s="7"/>
      <c r="B78" s="11"/>
      <c r="C78" s="10"/>
      <c r="D78" s="18"/>
      <c r="E78" s="12"/>
      <c r="F78" s="17"/>
      <c r="G78" s="12"/>
      <c r="H78" s="19"/>
      <c r="I78" s="12"/>
      <c r="J78" s="11"/>
      <c r="K78" s="17"/>
      <c r="L78" s="12"/>
      <c r="M78" s="11"/>
      <c r="N78" s="17"/>
    </row>
    <row r="79" spans="1:14" x14ac:dyDescent="0.25">
      <c r="A79" s="7"/>
      <c r="B79" s="11"/>
      <c r="C79" s="10"/>
      <c r="D79" s="18"/>
      <c r="E79" s="12"/>
      <c r="F79" s="17"/>
      <c r="G79" s="12"/>
      <c r="H79" s="19"/>
      <c r="I79" s="12"/>
      <c r="J79" s="11"/>
      <c r="K79" s="17"/>
      <c r="L79" s="12"/>
      <c r="M79" s="11"/>
      <c r="N79" s="17"/>
    </row>
    <row r="80" spans="1:14" x14ac:dyDescent="0.25">
      <c r="A80" s="7"/>
      <c r="B80" s="11"/>
      <c r="C80" s="10"/>
      <c r="D80" s="18"/>
      <c r="E80" s="12"/>
      <c r="F80" s="17"/>
      <c r="G80" s="12"/>
      <c r="H80" s="19"/>
      <c r="I80" s="12"/>
      <c r="J80" s="11"/>
      <c r="K80" s="17"/>
      <c r="L80" s="12"/>
      <c r="M80" s="11"/>
      <c r="N80" s="17"/>
    </row>
    <row r="81" spans="1:14" x14ac:dyDescent="0.25">
      <c r="A81" s="7"/>
      <c r="B81" s="11"/>
      <c r="C81" s="10"/>
      <c r="D81" s="18"/>
      <c r="E81" s="12"/>
      <c r="F81" s="17"/>
      <c r="G81" s="12"/>
      <c r="H81" s="19"/>
      <c r="I81" s="12"/>
      <c r="J81" s="11"/>
      <c r="K81" s="17"/>
      <c r="L81" s="12"/>
      <c r="M81" s="11"/>
      <c r="N81" s="17"/>
    </row>
    <row r="82" spans="1:14" x14ac:dyDescent="0.25">
      <c r="A82" s="7"/>
      <c r="B82" s="11"/>
      <c r="C82" s="10"/>
      <c r="D82" s="18"/>
      <c r="E82" s="12"/>
      <c r="F82" s="17"/>
      <c r="G82" s="12"/>
      <c r="H82" s="19"/>
      <c r="I82" s="12"/>
      <c r="J82" s="11"/>
      <c r="K82" s="17"/>
      <c r="L82" s="12"/>
      <c r="M82" s="11"/>
      <c r="N82" s="17"/>
    </row>
    <row r="83" spans="1:14" x14ac:dyDescent="0.25">
      <c r="A83" s="7"/>
      <c r="B83" s="11"/>
      <c r="C83" s="10"/>
      <c r="D83" s="18"/>
      <c r="E83" s="12"/>
      <c r="F83" s="17"/>
      <c r="G83" s="12"/>
      <c r="H83" s="19"/>
      <c r="I83" s="12"/>
      <c r="J83" s="11"/>
      <c r="K83" s="17"/>
      <c r="L83" s="12"/>
      <c r="M83" s="11"/>
      <c r="N83" s="17"/>
    </row>
    <row r="84" spans="1:14" x14ac:dyDescent="0.25">
      <c r="A84" s="7"/>
      <c r="B84" s="11"/>
      <c r="C84" s="10"/>
      <c r="D84" s="18"/>
      <c r="E84" s="12"/>
      <c r="F84" s="17"/>
      <c r="G84" s="12"/>
      <c r="H84" s="19"/>
      <c r="I84" s="12"/>
      <c r="J84" s="11"/>
      <c r="K84" s="17"/>
      <c r="L84" s="12"/>
      <c r="M84" s="11"/>
      <c r="N84" s="17"/>
    </row>
    <row r="85" spans="1:14" x14ac:dyDescent="0.25">
      <c r="A85" s="7"/>
      <c r="B85" s="11"/>
      <c r="C85" s="10"/>
      <c r="D85" s="18"/>
      <c r="E85" s="12"/>
      <c r="F85" s="17"/>
      <c r="G85" s="12"/>
      <c r="H85" s="19"/>
      <c r="I85" s="12"/>
      <c r="J85" s="11"/>
      <c r="K85" s="17"/>
      <c r="L85" s="12"/>
      <c r="M85" s="11"/>
      <c r="N85" s="17"/>
    </row>
    <row r="86" spans="1:14" x14ac:dyDescent="0.25">
      <c r="A86" s="7"/>
      <c r="B86" s="11"/>
      <c r="C86" s="10"/>
      <c r="D86" s="18"/>
      <c r="E86" s="12"/>
      <c r="F86" s="17"/>
      <c r="G86" s="12"/>
      <c r="H86" s="19"/>
      <c r="I86" s="12"/>
      <c r="J86" s="11"/>
      <c r="K86" s="17"/>
      <c r="L86" s="12"/>
      <c r="M86" s="11"/>
      <c r="N86" s="17"/>
    </row>
    <row r="87" spans="1:14" x14ac:dyDescent="0.25">
      <c r="A87" s="7"/>
      <c r="B87" s="11"/>
      <c r="C87" s="10"/>
      <c r="D87" s="18"/>
      <c r="E87" s="12"/>
      <c r="F87" s="17"/>
      <c r="G87" s="12"/>
      <c r="H87" s="19"/>
      <c r="I87" s="12"/>
      <c r="J87" s="11"/>
      <c r="K87" s="17"/>
      <c r="L87" s="12"/>
      <c r="M87" s="11"/>
      <c r="N87" s="17"/>
    </row>
    <row r="88" spans="1:14" x14ac:dyDescent="0.25">
      <c r="A88" s="7"/>
      <c r="B88" s="11"/>
      <c r="C88" s="10"/>
      <c r="D88" s="18"/>
      <c r="E88" s="12"/>
      <c r="F88" s="17"/>
      <c r="G88" s="12"/>
      <c r="H88" s="19"/>
      <c r="I88" s="12"/>
      <c r="J88" s="11"/>
      <c r="K88" s="17"/>
      <c r="L88" s="12"/>
      <c r="M88" s="11"/>
      <c r="N88" s="17"/>
    </row>
    <row r="89" spans="1:14" x14ac:dyDescent="0.25">
      <c r="A89" s="7"/>
      <c r="B89" s="11"/>
      <c r="C89" s="10"/>
      <c r="D89" s="18"/>
      <c r="E89" s="12"/>
      <c r="F89" s="17"/>
      <c r="G89" s="12"/>
      <c r="H89" s="19"/>
      <c r="I89" s="12"/>
      <c r="J89" s="11"/>
      <c r="K89" s="17"/>
      <c r="L89" s="12"/>
      <c r="M89" s="11"/>
      <c r="N89" s="17"/>
    </row>
    <row r="90" spans="1:14" x14ac:dyDescent="0.25">
      <c r="A90" s="7"/>
      <c r="B90" s="11"/>
      <c r="C90" s="10"/>
      <c r="D90" s="18"/>
      <c r="E90" s="12"/>
      <c r="F90" s="17"/>
      <c r="G90" s="12"/>
      <c r="H90" s="19"/>
      <c r="I90" s="12"/>
      <c r="J90" s="11"/>
      <c r="K90" s="17"/>
      <c r="L90" s="12"/>
      <c r="M90" s="11"/>
      <c r="N90" s="17"/>
    </row>
    <row r="91" spans="1:14" x14ac:dyDescent="0.25">
      <c r="A91" s="7"/>
      <c r="B91" s="11"/>
      <c r="C91" s="10"/>
      <c r="D91" s="18"/>
      <c r="E91" s="12"/>
      <c r="F91" s="17"/>
      <c r="G91" s="12"/>
      <c r="H91" s="19"/>
      <c r="I91" s="12"/>
      <c r="J91" s="11"/>
      <c r="K91" s="17"/>
      <c r="L91" s="12"/>
      <c r="M91" s="11"/>
      <c r="N91" s="17"/>
    </row>
    <row r="92" spans="1:14" x14ac:dyDescent="0.25">
      <c r="A92" s="7"/>
      <c r="B92" s="11"/>
      <c r="C92" s="10"/>
      <c r="D92" s="18"/>
      <c r="E92" s="12"/>
      <c r="F92" s="17"/>
      <c r="G92" s="12"/>
      <c r="H92" s="19"/>
      <c r="I92" s="12"/>
      <c r="J92" s="11"/>
      <c r="K92" s="17"/>
      <c r="L92" s="12"/>
      <c r="M92" s="11"/>
      <c r="N92" s="17"/>
    </row>
    <row r="93" spans="1:14" x14ac:dyDescent="0.25">
      <c r="A93" s="7"/>
      <c r="B93" s="11"/>
      <c r="C93" s="10"/>
      <c r="D93" s="18"/>
      <c r="E93" s="12"/>
      <c r="F93" s="17"/>
      <c r="G93" s="12"/>
      <c r="H93" s="19"/>
      <c r="I93" s="12"/>
      <c r="J93" s="11"/>
      <c r="K93" s="17"/>
      <c r="L93" s="12"/>
      <c r="M93" s="11"/>
      <c r="N93" s="17"/>
    </row>
    <row r="94" spans="1:14" x14ac:dyDescent="0.25">
      <c r="A94" s="7"/>
      <c r="B94" s="11"/>
      <c r="C94" s="10"/>
      <c r="D94" s="18"/>
      <c r="E94" s="12"/>
      <c r="F94" s="17"/>
      <c r="G94" s="12"/>
      <c r="H94" s="19"/>
      <c r="I94" s="12"/>
      <c r="J94" s="11"/>
      <c r="K94" s="17"/>
      <c r="L94" s="12"/>
      <c r="M94" s="11"/>
      <c r="N94" s="17"/>
    </row>
    <row r="95" spans="1:14" x14ac:dyDescent="0.25">
      <c r="A95" s="7"/>
      <c r="B95" s="11"/>
      <c r="C95" s="10"/>
      <c r="D95" s="18"/>
      <c r="E95" s="12"/>
      <c r="F95" s="17"/>
      <c r="G95" s="12"/>
      <c r="H95" s="19"/>
      <c r="I95" s="12"/>
      <c r="J95" s="11"/>
      <c r="K95" s="17"/>
      <c r="L95" s="12"/>
      <c r="M95" s="11"/>
      <c r="N95" s="17"/>
    </row>
    <row r="96" spans="1:14" x14ac:dyDescent="0.25">
      <c r="A96" s="7"/>
      <c r="B96" s="11"/>
      <c r="C96" s="10"/>
      <c r="D96" s="18"/>
      <c r="E96" s="12"/>
      <c r="F96" s="17"/>
      <c r="G96" s="12"/>
      <c r="H96" s="19"/>
      <c r="I96" s="12"/>
      <c r="J96" s="11"/>
      <c r="K96" s="17"/>
      <c r="L96" s="12"/>
      <c r="M96" s="11"/>
      <c r="N96" s="17"/>
    </row>
    <row r="97" spans="1:14" x14ac:dyDescent="0.25">
      <c r="A97" s="7"/>
      <c r="B97" s="11"/>
      <c r="C97" s="10"/>
      <c r="D97" s="18"/>
      <c r="E97" s="12"/>
      <c r="F97" s="17"/>
      <c r="G97" s="12"/>
      <c r="H97" s="19"/>
      <c r="I97" s="12"/>
      <c r="J97" s="11"/>
      <c r="K97" s="17"/>
      <c r="L97" s="12"/>
      <c r="M97" s="11"/>
      <c r="N97" s="17"/>
    </row>
    <row r="98" spans="1:14" x14ac:dyDescent="0.25">
      <c r="A98" s="7"/>
      <c r="B98" s="11"/>
      <c r="C98" s="10"/>
      <c r="D98" s="18"/>
      <c r="E98" s="12"/>
      <c r="F98" s="17"/>
      <c r="G98" s="12"/>
      <c r="H98" s="19"/>
      <c r="I98" s="12"/>
      <c r="J98" s="11"/>
      <c r="K98" s="17"/>
      <c r="L98" s="12"/>
      <c r="M98" s="11"/>
      <c r="N98" s="17"/>
    </row>
    <row r="99" spans="1:14" x14ac:dyDescent="0.25">
      <c r="A99" s="7"/>
      <c r="B99" s="11"/>
      <c r="C99" s="10"/>
      <c r="D99" s="18"/>
      <c r="E99" s="12"/>
      <c r="F99" s="17"/>
      <c r="G99" s="12"/>
      <c r="H99" s="19"/>
      <c r="I99" s="12"/>
      <c r="J99" s="11"/>
      <c r="K99" s="17"/>
      <c r="L99" s="12"/>
      <c r="M99" s="11"/>
      <c r="N99" s="17"/>
    </row>
    <row r="100" spans="1:14" x14ac:dyDescent="0.25">
      <c r="A100" s="7"/>
      <c r="B100" s="11"/>
      <c r="C100" s="10"/>
      <c r="D100" s="18"/>
      <c r="E100" s="12"/>
      <c r="F100" s="17"/>
      <c r="G100" s="12"/>
      <c r="H100" s="19"/>
      <c r="I100" s="12"/>
      <c r="J100" s="11"/>
      <c r="K100" s="17"/>
      <c r="L100" s="12"/>
      <c r="M100" s="11"/>
      <c r="N100" s="17"/>
    </row>
    <row r="101" spans="1:14" x14ac:dyDescent="0.25">
      <c r="A101" s="7"/>
      <c r="B101" s="11"/>
      <c r="C101" s="10"/>
      <c r="D101" s="18"/>
      <c r="E101" s="12"/>
      <c r="F101" s="17"/>
      <c r="G101" s="12"/>
      <c r="H101" s="19"/>
      <c r="I101" s="12"/>
      <c r="J101" s="11"/>
      <c r="K101" s="17"/>
      <c r="L101" s="12"/>
      <c r="M101" s="11"/>
      <c r="N101" s="17"/>
    </row>
    <row r="102" spans="1:14" x14ac:dyDescent="0.25">
      <c r="A102" s="7"/>
      <c r="B102" s="11"/>
      <c r="C102" s="10"/>
      <c r="D102" s="18"/>
      <c r="E102" s="12"/>
      <c r="F102" s="17"/>
      <c r="G102" s="12"/>
      <c r="H102" s="19"/>
      <c r="I102" s="12"/>
      <c r="J102" s="11"/>
      <c r="K102" s="17"/>
      <c r="L102" s="12"/>
      <c r="M102" s="11"/>
      <c r="N102" s="17"/>
    </row>
    <row r="103" spans="1:14" x14ac:dyDescent="0.25">
      <c r="A103" s="7"/>
      <c r="B103" s="11"/>
      <c r="C103" s="10"/>
      <c r="D103" s="18"/>
      <c r="E103" s="12"/>
      <c r="F103" s="17"/>
      <c r="G103" s="12"/>
      <c r="H103" s="19"/>
      <c r="I103" s="12"/>
      <c r="J103" s="11"/>
      <c r="K103" s="17"/>
      <c r="L103" s="12"/>
      <c r="M103" s="11"/>
      <c r="N103" s="17"/>
    </row>
    <row r="104" spans="1:14" x14ac:dyDescent="0.25">
      <c r="A104" s="7"/>
      <c r="B104" s="11"/>
      <c r="C104" s="10"/>
      <c r="D104" s="18"/>
      <c r="E104" s="12"/>
      <c r="F104" s="17"/>
      <c r="G104" s="12"/>
      <c r="H104" s="19"/>
      <c r="I104" s="12"/>
      <c r="J104" s="11"/>
      <c r="K104" s="17"/>
      <c r="L104" s="12"/>
      <c r="M104" s="11"/>
      <c r="N104" s="17"/>
    </row>
    <row r="105" spans="1:14" x14ac:dyDescent="0.25">
      <c r="A105" s="7"/>
      <c r="B105" s="11"/>
      <c r="C105" s="10"/>
      <c r="D105" s="18"/>
      <c r="E105" s="12"/>
      <c r="F105" s="17"/>
      <c r="G105" s="12"/>
      <c r="H105" s="19"/>
      <c r="I105" s="12"/>
      <c r="J105" s="11"/>
      <c r="K105" s="17"/>
      <c r="L105" s="12"/>
      <c r="M105" s="11"/>
      <c r="N105" s="17"/>
    </row>
    <row r="106" spans="1:14" x14ac:dyDescent="0.25">
      <c r="A106" s="7"/>
      <c r="B106" s="11"/>
      <c r="C106" s="10"/>
      <c r="D106" s="18"/>
      <c r="E106" s="12"/>
      <c r="F106" s="17"/>
      <c r="G106" s="12"/>
      <c r="H106" s="19"/>
      <c r="I106" s="12"/>
      <c r="J106" s="11"/>
      <c r="K106" s="17"/>
      <c r="L106" s="12"/>
      <c r="M106" s="11"/>
      <c r="N106" s="17"/>
    </row>
    <row r="107" spans="1:14" x14ac:dyDescent="0.25">
      <c r="A107" s="7"/>
      <c r="B107" s="11"/>
      <c r="C107" s="10"/>
      <c r="D107" s="18"/>
      <c r="E107" s="12"/>
      <c r="F107" s="17"/>
      <c r="G107" s="12"/>
      <c r="H107" s="19"/>
      <c r="I107" s="12"/>
      <c r="J107" s="11"/>
      <c r="K107" s="17"/>
      <c r="L107" s="12"/>
      <c r="M107" s="11"/>
      <c r="N107" s="17"/>
    </row>
    <row r="108" spans="1:14" x14ac:dyDescent="0.25">
      <c r="A108" s="7"/>
      <c r="B108" s="11"/>
      <c r="C108" s="10"/>
      <c r="D108" s="18"/>
      <c r="E108" s="12"/>
      <c r="F108" s="17"/>
      <c r="G108" s="12"/>
      <c r="H108" s="19"/>
      <c r="I108" s="12"/>
      <c r="J108" s="11"/>
      <c r="K108" s="17"/>
      <c r="L108" s="12"/>
      <c r="M108" s="11"/>
      <c r="N108" s="17"/>
    </row>
    <row r="109" spans="1:14" x14ac:dyDescent="0.25">
      <c r="A109" s="7"/>
      <c r="B109" s="11"/>
      <c r="C109" s="10"/>
      <c r="D109" s="18"/>
      <c r="E109" s="12"/>
      <c r="F109" s="17"/>
      <c r="G109" s="12"/>
      <c r="H109" s="19"/>
      <c r="I109" s="12"/>
      <c r="J109" s="11"/>
      <c r="K109" s="17"/>
      <c r="L109" s="12"/>
      <c r="M109" s="11"/>
      <c r="N109" s="17"/>
    </row>
    <row r="110" spans="1:14" x14ac:dyDescent="0.25">
      <c r="A110" s="7"/>
      <c r="B110" s="11"/>
      <c r="C110" s="10"/>
      <c r="D110" s="18"/>
      <c r="E110" s="12"/>
      <c r="F110" s="17"/>
      <c r="G110" s="12"/>
      <c r="H110" s="19"/>
      <c r="I110" s="12"/>
      <c r="J110" s="11"/>
      <c r="K110" s="17"/>
      <c r="L110" s="12"/>
      <c r="M110" s="11"/>
      <c r="N110" s="17"/>
    </row>
    <row r="111" spans="1:14" x14ac:dyDescent="0.25">
      <c r="A111" s="7"/>
      <c r="B111" s="11"/>
      <c r="C111" s="10"/>
      <c r="D111" s="18"/>
      <c r="E111" s="12"/>
      <c r="F111" s="17"/>
      <c r="G111" s="12"/>
      <c r="H111" s="19"/>
      <c r="I111" s="12"/>
      <c r="J111" s="11"/>
      <c r="K111" s="17"/>
      <c r="L111" s="12"/>
      <c r="M111" s="11"/>
      <c r="N111" s="17"/>
    </row>
    <row r="112" spans="1:14" x14ac:dyDescent="0.25">
      <c r="A112" s="7"/>
      <c r="B112" s="11"/>
      <c r="C112" s="10"/>
      <c r="D112" s="18"/>
      <c r="E112" s="12"/>
      <c r="F112" s="17"/>
      <c r="G112" s="12"/>
      <c r="H112" s="19"/>
      <c r="I112" s="12"/>
      <c r="J112" s="11"/>
      <c r="K112" s="17"/>
      <c r="L112" s="12"/>
      <c r="M112" s="11"/>
      <c r="N112" s="17"/>
    </row>
    <row r="113" spans="1:14" x14ac:dyDescent="0.25">
      <c r="A113" s="7"/>
      <c r="B113" s="11"/>
      <c r="C113" s="10"/>
      <c r="D113" s="18"/>
      <c r="E113" s="12"/>
      <c r="F113" s="17"/>
      <c r="G113" s="12"/>
      <c r="H113" s="19"/>
      <c r="I113" s="12"/>
      <c r="J113" s="11"/>
      <c r="K113" s="17"/>
      <c r="L113" s="12"/>
      <c r="M113" s="11"/>
      <c r="N113" s="17"/>
    </row>
    <row r="114" spans="1:14" x14ac:dyDescent="0.25">
      <c r="A114" s="7"/>
      <c r="B114" s="11"/>
      <c r="C114" s="10"/>
      <c r="D114" s="18"/>
      <c r="E114" s="12"/>
      <c r="F114" s="17"/>
      <c r="G114" s="12"/>
      <c r="H114" s="19"/>
      <c r="I114" s="12"/>
      <c r="J114" s="11"/>
      <c r="K114" s="17"/>
      <c r="L114" s="12"/>
      <c r="M114" s="11"/>
      <c r="N114" s="17"/>
    </row>
    <row r="115" spans="1:14" x14ac:dyDescent="0.25">
      <c r="A115" s="7"/>
      <c r="B115" s="11"/>
      <c r="C115" s="10"/>
      <c r="D115" s="18"/>
      <c r="E115" s="12"/>
      <c r="F115" s="17"/>
      <c r="G115" s="12"/>
      <c r="H115" s="19"/>
      <c r="I115" s="12"/>
      <c r="J115" s="11"/>
      <c r="K115" s="17"/>
      <c r="L115" s="12"/>
      <c r="M115" s="11"/>
      <c r="N115" s="17"/>
    </row>
    <row r="116" spans="1:14" x14ac:dyDescent="0.25">
      <c r="A116" s="7"/>
      <c r="B116" s="11"/>
      <c r="C116" s="10"/>
      <c r="D116" s="18"/>
      <c r="E116" s="12"/>
      <c r="F116" s="17"/>
      <c r="G116" s="12"/>
      <c r="H116" s="19"/>
      <c r="I116" s="12"/>
      <c r="J116" s="11"/>
      <c r="K116" s="17"/>
      <c r="L116" s="12"/>
      <c r="M116" s="11"/>
      <c r="N116" s="17"/>
    </row>
    <row r="117" spans="1:14" x14ac:dyDescent="0.25">
      <c r="A117" s="7"/>
      <c r="B117" s="11"/>
      <c r="C117" s="10"/>
      <c r="D117" s="18"/>
      <c r="E117" s="12"/>
      <c r="F117" s="17"/>
      <c r="G117" s="12"/>
      <c r="H117" s="19"/>
      <c r="I117" s="12"/>
      <c r="J117" s="11"/>
      <c r="K117" s="17"/>
      <c r="L117" s="12"/>
      <c r="M117" s="11"/>
      <c r="N117" s="17"/>
    </row>
    <row r="118" spans="1:14" x14ac:dyDescent="0.25">
      <c r="A118" s="7"/>
      <c r="B118" s="11"/>
      <c r="C118" s="10"/>
      <c r="D118" s="18"/>
      <c r="E118" s="12"/>
      <c r="F118" s="17"/>
      <c r="G118" s="12"/>
      <c r="H118" s="19"/>
      <c r="I118" s="12"/>
      <c r="J118" s="11"/>
      <c r="K118" s="17"/>
      <c r="L118" s="12"/>
      <c r="M118" s="11"/>
      <c r="N118" s="17"/>
    </row>
    <row r="119" spans="1:14" x14ac:dyDescent="0.25">
      <c r="A119" s="7"/>
      <c r="B119" s="11"/>
      <c r="C119" s="10"/>
      <c r="D119" s="18"/>
      <c r="E119" s="12"/>
      <c r="F119" s="17"/>
      <c r="G119" s="12"/>
      <c r="H119" s="19"/>
      <c r="I119" s="12"/>
      <c r="J119" s="11"/>
      <c r="K119" s="17"/>
      <c r="L119" s="12"/>
      <c r="M119" s="11"/>
      <c r="N119" s="17"/>
    </row>
    <row r="120" spans="1:14" x14ac:dyDescent="0.25">
      <c r="A120" s="7"/>
      <c r="B120" s="11"/>
      <c r="C120" s="10"/>
      <c r="D120" s="18"/>
      <c r="E120" s="12"/>
      <c r="F120" s="17"/>
      <c r="G120" s="12"/>
      <c r="H120" s="19"/>
      <c r="I120" s="12"/>
      <c r="J120" s="11"/>
      <c r="K120" s="17"/>
      <c r="L120" s="12"/>
      <c r="M120" s="11"/>
      <c r="N120" s="17"/>
    </row>
    <row r="121" spans="1:14" x14ac:dyDescent="0.25">
      <c r="A121" s="7"/>
      <c r="B121" s="11"/>
      <c r="C121" s="10"/>
      <c r="D121" s="18"/>
      <c r="E121" s="12"/>
      <c r="F121" s="17"/>
      <c r="G121" s="12"/>
      <c r="H121" s="19"/>
      <c r="I121" s="12"/>
      <c r="J121" s="11"/>
      <c r="K121" s="17"/>
      <c r="L121" s="12"/>
      <c r="M121" s="11"/>
      <c r="N121" s="17"/>
    </row>
    <row r="122" spans="1:14" x14ac:dyDescent="0.25">
      <c r="A122" s="7"/>
      <c r="B122" s="11"/>
      <c r="C122" s="10"/>
      <c r="D122" s="18"/>
      <c r="E122" s="12"/>
      <c r="F122" s="17"/>
      <c r="G122" s="12"/>
      <c r="H122" s="19"/>
      <c r="I122" s="12"/>
      <c r="J122" s="11"/>
      <c r="K122" s="17"/>
      <c r="L122" s="12"/>
      <c r="M122" s="11"/>
      <c r="N122" s="17"/>
    </row>
    <row r="123" spans="1:14" x14ac:dyDescent="0.25">
      <c r="A123" s="7"/>
      <c r="B123" s="11"/>
      <c r="C123" s="10"/>
      <c r="D123" s="18"/>
      <c r="E123" s="12"/>
      <c r="F123" s="17"/>
      <c r="G123" s="12"/>
      <c r="H123" s="19"/>
      <c r="I123" s="12"/>
      <c r="J123" s="11"/>
      <c r="K123" s="17"/>
      <c r="L123" s="12"/>
      <c r="M123" s="11"/>
      <c r="N123" s="17"/>
    </row>
    <row r="124" spans="1:14" x14ac:dyDescent="0.25">
      <c r="A124" s="7"/>
      <c r="B124" s="11"/>
      <c r="C124" s="10"/>
      <c r="D124" s="18"/>
      <c r="E124" s="12"/>
      <c r="F124" s="17"/>
      <c r="G124" s="12"/>
      <c r="H124" s="19"/>
      <c r="I124" s="12"/>
      <c r="J124" s="11"/>
      <c r="K124" s="17"/>
      <c r="L124" s="12"/>
      <c r="M124" s="11"/>
      <c r="N124" s="17"/>
    </row>
    <row r="125" spans="1:14" x14ac:dyDescent="0.25">
      <c r="A125" s="7"/>
      <c r="B125" s="11"/>
      <c r="C125" s="10"/>
      <c r="D125" s="18"/>
      <c r="E125" s="12"/>
      <c r="F125" s="17"/>
      <c r="G125" s="12"/>
      <c r="H125" s="19"/>
      <c r="I125" s="12"/>
      <c r="J125" s="11"/>
      <c r="K125" s="17"/>
      <c r="L125" s="12"/>
      <c r="M125" s="11"/>
      <c r="N125" s="17"/>
    </row>
    <row r="126" spans="1:14" x14ac:dyDescent="0.25">
      <c r="A126" s="7"/>
      <c r="B126" s="11"/>
      <c r="C126" s="10"/>
      <c r="D126" s="18"/>
      <c r="E126" s="12"/>
      <c r="F126" s="17"/>
      <c r="G126" s="12"/>
      <c r="H126" s="19"/>
      <c r="I126" s="12"/>
      <c r="J126" s="11"/>
      <c r="K126" s="17"/>
      <c r="L126" s="12"/>
      <c r="M126" s="11"/>
      <c r="N126" s="17"/>
    </row>
    <row r="127" spans="1:14" x14ac:dyDescent="0.25">
      <c r="A127" s="7"/>
      <c r="B127" s="11"/>
      <c r="C127" s="10"/>
      <c r="D127" s="18"/>
      <c r="E127" s="12"/>
      <c r="F127" s="17"/>
      <c r="G127" s="12"/>
      <c r="H127" s="19"/>
      <c r="I127" s="12"/>
      <c r="J127" s="11"/>
      <c r="K127" s="17"/>
      <c r="L127" s="12"/>
      <c r="M127" s="11"/>
      <c r="N127" s="17"/>
    </row>
    <row r="128" spans="1:14" x14ac:dyDescent="0.25">
      <c r="A128" s="7"/>
      <c r="B128" s="11"/>
      <c r="C128" s="10"/>
      <c r="D128" s="18"/>
      <c r="E128" s="12"/>
      <c r="F128" s="17"/>
      <c r="G128" s="12"/>
      <c r="H128" s="19"/>
      <c r="I128" s="12"/>
      <c r="J128" s="11"/>
      <c r="K128" s="17"/>
      <c r="L128" s="12"/>
      <c r="M128" s="11"/>
      <c r="N128" s="17"/>
    </row>
    <row r="129" spans="1:14" x14ac:dyDescent="0.25">
      <c r="A129" s="7"/>
      <c r="B129" s="11"/>
      <c r="C129" s="10"/>
      <c r="D129" s="18"/>
      <c r="E129" s="12"/>
      <c r="F129" s="17"/>
      <c r="G129" s="12"/>
      <c r="H129" s="19"/>
      <c r="I129" s="12"/>
      <c r="J129" s="11"/>
      <c r="K129" s="17"/>
      <c r="L129" s="12"/>
      <c r="M129" s="11"/>
      <c r="N129" s="17"/>
    </row>
    <row r="130" spans="1:14" x14ac:dyDescent="0.25">
      <c r="A130" s="7"/>
      <c r="B130" s="11"/>
      <c r="C130" s="10"/>
      <c r="D130" s="18"/>
      <c r="E130" s="12"/>
      <c r="F130" s="17"/>
      <c r="G130" s="12"/>
      <c r="H130" s="19"/>
      <c r="I130" s="12"/>
      <c r="J130" s="11"/>
      <c r="K130" s="17"/>
      <c r="L130" s="12"/>
      <c r="M130" s="11"/>
      <c r="N130" s="17"/>
    </row>
    <row r="131" spans="1:14" x14ac:dyDescent="0.25">
      <c r="A131" s="7"/>
      <c r="B131" s="11"/>
      <c r="C131" s="10"/>
      <c r="D131" s="18"/>
      <c r="E131" s="12"/>
      <c r="F131" s="17"/>
      <c r="G131" s="12"/>
      <c r="H131" s="19"/>
      <c r="I131" s="12"/>
      <c r="J131" s="11"/>
      <c r="K131" s="17"/>
      <c r="L131" s="12"/>
      <c r="M131" s="11"/>
      <c r="N131" s="17"/>
    </row>
    <row r="132" spans="1:14" x14ac:dyDescent="0.25">
      <c r="A132" s="7"/>
      <c r="B132" s="11"/>
      <c r="C132" s="10"/>
      <c r="D132" s="18"/>
      <c r="E132" s="12"/>
      <c r="F132" s="17"/>
      <c r="G132" s="12"/>
      <c r="H132" s="19"/>
      <c r="I132" s="12"/>
      <c r="J132" s="11"/>
      <c r="K132" s="17"/>
      <c r="L132" s="12"/>
      <c r="M132" s="11"/>
      <c r="N132" s="17"/>
    </row>
    <row r="133" spans="1:14" x14ac:dyDescent="0.25">
      <c r="A133" s="7"/>
      <c r="B133" s="11"/>
      <c r="C133" s="10"/>
      <c r="D133" s="18"/>
      <c r="E133" s="12"/>
      <c r="F133" s="17"/>
      <c r="G133" s="12"/>
      <c r="H133" s="19"/>
      <c r="I133" s="12"/>
      <c r="J133" s="11"/>
      <c r="K133" s="17"/>
      <c r="L133" s="12"/>
      <c r="M133" s="11"/>
      <c r="N133" s="17"/>
    </row>
    <row r="134" spans="1:14" x14ac:dyDescent="0.25">
      <c r="A134" s="7"/>
      <c r="B134" s="11"/>
      <c r="C134" s="10"/>
      <c r="D134" s="18"/>
      <c r="E134" s="12"/>
      <c r="F134" s="17"/>
      <c r="G134" s="12"/>
      <c r="H134" s="19"/>
      <c r="I134" s="12"/>
      <c r="J134" s="11"/>
      <c r="K134" s="17"/>
      <c r="L134" s="12"/>
      <c r="M134" s="11"/>
      <c r="N134" s="17"/>
    </row>
    <row r="135" spans="1:14" x14ac:dyDescent="0.25">
      <c r="A135" s="7"/>
      <c r="B135" s="11"/>
      <c r="C135" s="10"/>
      <c r="D135" s="18"/>
      <c r="E135" s="12"/>
      <c r="F135" s="17"/>
      <c r="G135" s="12"/>
      <c r="H135" s="19"/>
      <c r="I135" s="12"/>
      <c r="J135" s="11"/>
      <c r="K135" s="17"/>
      <c r="L135" s="12"/>
      <c r="M135" s="11"/>
      <c r="N135" s="17"/>
    </row>
    <row r="136" spans="1:14" x14ac:dyDescent="0.25">
      <c r="A136" s="7"/>
      <c r="B136" s="11"/>
      <c r="C136" s="10"/>
      <c r="D136" s="18"/>
      <c r="E136" s="12"/>
      <c r="F136" s="17"/>
      <c r="G136" s="12"/>
      <c r="H136" s="19"/>
      <c r="I136" s="12"/>
      <c r="J136" s="11"/>
      <c r="K136" s="17"/>
      <c r="L136" s="12"/>
      <c r="M136" s="11"/>
      <c r="N136" s="17"/>
    </row>
    <row r="137" spans="1:14" x14ac:dyDescent="0.25">
      <c r="A137" s="7"/>
      <c r="B137" s="11"/>
      <c r="C137" s="10"/>
      <c r="D137" s="18"/>
      <c r="E137" s="12"/>
      <c r="F137" s="17"/>
      <c r="G137" s="12"/>
      <c r="H137" s="19"/>
      <c r="I137" s="12"/>
      <c r="J137" s="11"/>
      <c r="K137" s="17"/>
      <c r="L137" s="12"/>
      <c r="M137" s="11"/>
      <c r="N137" s="17"/>
    </row>
    <row r="138" spans="1:14" x14ac:dyDescent="0.25">
      <c r="A138" s="7"/>
      <c r="B138" s="11"/>
      <c r="C138" s="10"/>
      <c r="D138" s="18"/>
      <c r="E138" s="12"/>
      <c r="F138" s="17"/>
      <c r="G138" s="12"/>
      <c r="H138" s="19"/>
      <c r="I138" s="12"/>
      <c r="J138" s="11"/>
      <c r="K138" s="17"/>
      <c r="L138" s="12"/>
      <c r="M138" s="11"/>
      <c r="N138" s="17"/>
    </row>
    <row r="139" spans="1:14" x14ac:dyDescent="0.25">
      <c r="A139" s="7"/>
      <c r="B139" s="11"/>
      <c r="C139" s="10"/>
      <c r="D139" s="18"/>
      <c r="E139" s="12"/>
      <c r="F139" s="17"/>
      <c r="G139" s="12"/>
      <c r="H139" s="19"/>
      <c r="I139" s="12"/>
      <c r="J139" s="11"/>
      <c r="K139" s="17"/>
      <c r="L139" s="12"/>
      <c r="M139" s="11"/>
      <c r="N139" s="17"/>
    </row>
    <row r="140" spans="1:14" x14ac:dyDescent="0.25">
      <c r="A140" s="7"/>
      <c r="B140" s="11"/>
      <c r="C140" s="10"/>
      <c r="D140" s="18"/>
      <c r="E140" s="12"/>
      <c r="F140" s="17"/>
      <c r="G140" s="12"/>
      <c r="H140" s="19"/>
      <c r="I140" s="12"/>
      <c r="J140" s="11"/>
      <c r="K140" s="17"/>
      <c r="L140" s="12"/>
      <c r="M140" s="11"/>
      <c r="N140" s="17"/>
    </row>
    <row r="141" spans="1:14" x14ac:dyDescent="0.25">
      <c r="A141" s="7"/>
      <c r="B141" s="11"/>
      <c r="C141" s="10"/>
      <c r="D141" s="18"/>
      <c r="E141" s="12"/>
      <c r="F141" s="17"/>
      <c r="G141" s="12"/>
      <c r="H141" s="19"/>
      <c r="I141" s="12"/>
      <c r="J141" s="11"/>
      <c r="K141" s="17"/>
      <c r="L141" s="12"/>
      <c r="M141" s="11"/>
      <c r="N141" s="17"/>
    </row>
    <row r="142" spans="1:14" x14ac:dyDescent="0.25">
      <c r="A142" s="7"/>
      <c r="B142" s="11"/>
      <c r="C142" s="10"/>
      <c r="D142" s="18"/>
      <c r="E142" s="12"/>
      <c r="F142" s="17"/>
      <c r="G142" s="12"/>
      <c r="H142" s="19"/>
      <c r="I142" s="12"/>
      <c r="J142" s="11"/>
      <c r="K142" s="17"/>
      <c r="L142" s="12"/>
      <c r="M142" s="11"/>
      <c r="N142" s="17"/>
    </row>
    <row r="143" spans="1:14" x14ac:dyDescent="0.25">
      <c r="A143" s="7"/>
      <c r="B143" s="11"/>
      <c r="C143" s="10"/>
      <c r="D143" s="18"/>
      <c r="E143" s="12"/>
      <c r="F143" s="17"/>
      <c r="G143" s="12"/>
      <c r="H143" s="19"/>
      <c r="I143" s="12"/>
      <c r="J143" s="11"/>
      <c r="K143" s="17"/>
      <c r="L143" s="12"/>
      <c r="M143" s="11"/>
      <c r="N143" s="17"/>
    </row>
    <row r="144" spans="1:14" x14ac:dyDescent="0.25">
      <c r="A144" s="7"/>
      <c r="B144" s="11"/>
      <c r="C144" s="10"/>
      <c r="D144" s="18"/>
      <c r="E144" s="12"/>
      <c r="F144" s="17"/>
      <c r="G144" s="12"/>
      <c r="H144" s="19"/>
      <c r="I144" s="12"/>
      <c r="J144" s="11"/>
      <c r="K144" s="17"/>
      <c r="L144" s="12"/>
      <c r="M144" s="11"/>
      <c r="N144" s="17"/>
    </row>
    <row r="145" spans="1:14" x14ac:dyDescent="0.25">
      <c r="A145" s="7"/>
      <c r="B145" s="11"/>
      <c r="C145" s="10"/>
      <c r="D145" s="18"/>
      <c r="E145" s="12"/>
      <c r="F145" s="17"/>
      <c r="G145" s="12"/>
      <c r="H145" s="19"/>
      <c r="I145" s="12"/>
      <c r="J145" s="11"/>
      <c r="K145" s="17"/>
      <c r="L145" s="12"/>
      <c r="M145" s="11"/>
      <c r="N145" s="17"/>
    </row>
    <row r="146" spans="1:14" x14ac:dyDescent="0.25">
      <c r="A146" s="7"/>
      <c r="B146" s="11"/>
      <c r="C146" s="10"/>
      <c r="D146" s="18"/>
      <c r="E146" s="12"/>
      <c r="F146" s="17"/>
      <c r="G146" s="12"/>
      <c r="H146" s="19"/>
      <c r="I146" s="12"/>
      <c r="J146" s="11"/>
      <c r="K146" s="17"/>
      <c r="L146" s="12"/>
      <c r="M146" s="11"/>
      <c r="N146" s="17"/>
    </row>
    <row r="147" spans="1:14" x14ac:dyDescent="0.25">
      <c r="A147" s="7"/>
      <c r="B147" s="11"/>
      <c r="C147" s="10"/>
      <c r="D147" s="18"/>
      <c r="E147" s="12"/>
      <c r="F147" s="17"/>
      <c r="G147" s="12"/>
      <c r="H147" s="19"/>
      <c r="I147" s="12"/>
      <c r="J147" s="11"/>
      <c r="K147" s="17"/>
      <c r="L147" s="12"/>
      <c r="M147" s="11"/>
      <c r="N147" s="17"/>
    </row>
    <row r="148" spans="1:14" x14ac:dyDescent="0.25">
      <c r="A148" s="7"/>
      <c r="B148" s="11"/>
      <c r="C148" s="10"/>
      <c r="D148" s="18"/>
      <c r="E148" s="12"/>
      <c r="F148" s="17"/>
      <c r="G148" s="12"/>
      <c r="H148" s="19"/>
      <c r="I148" s="12"/>
      <c r="J148" s="11"/>
      <c r="K148" s="17"/>
      <c r="L148" s="12"/>
      <c r="M148" s="11"/>
      <c r="N148" s="17"/>
    </row>
    <row r="149" spans="1:14" x14ac:dyDescent="0.25">
      <c r="A149" s="7"/>
      <c r="B149" s="11"/>
      <c r="C149" s="10"/>
      <c r="D149" s="18"/>
      <c r="E149" s="12"/>
      <c r="F149" s="17"/>
      <c r="G149" s="12"/>
      <c r="H149" s="19"/>
      <c r="I149" s="12"/>
      <c r="J149" s="11"/>
      <c r="K149" s="17"/>
      <c r="L149" s="12"/>
      <c r="M149" s="11"/>
      <c r="N149" s="17"/>
    </row>
    <row r="150" spans="1:14" x14ac:dyDescent="0.25">
      <c r="A150" s="7"/>
      <c r="B150" s="11"/>
      <c r="C150" s="10"/>
      <c r="D150" s="18"/>
      <c r="E150" s="12"/>
      <c r="F150" s="17"/>
      <c r="G150" s="12"/>
      <c r="H150" s="19"/>
      <c r="I150" s="12"/>
      <c r="J150" s="11"/>
      <c r="K150" s="17"/>
      <c r="L150" s="12"/>
      <c r="M150" s="11"/>
      <c r="N150" s="17"/>
    </row>
    <row r="151" spans="1:14" x14ac:dyDescent="0.25">
      <c r="A151" s="7"/>
      <c r="B151" s="11"/>
      <c r="C151" s="10"/>
      <c r="D151" s="18"/>
      <c r="E151" s="12"/>
      <c r="F151" s="17"/>
      <c r="G151" s="12"/>
      <c r="H151" s="19"/>
      <c r="I151" s="12"/>
      <c r="J151" s="11"/>
      <c r="K151" s="17"/>
      <c r="L151" s="12"/>
      <c r="M151" s="11"/>
      <c r="N151" s="17"/>
    </row>
    <row r="152" spans="1:14" x14ac:dyDescent="0.25">
      <c r="A152" s="7"/>
      <c r="B152" s="11"/>
      <c r="C152" s="10"/>
      <c r="D152" s="18"/>
      <c r="E152" s="12"/>
      <c r="F152" s="17"/>
      <c r="G152" s="12"/>
      <c r="H152" s="19"/>
      <c r="I152" s="12"/>
      <c r="J152" s="11"/>
      <c r="K152" s="17"/>
      <c r="L152" s="12"/>
      <c r="M152" s="11"/>
      <c r="N152" s="17"/>
    </row>
    <row r="153" spans="1:14" x14ac:dyDescent="0.25">
      <c r="A153" s="7"/>
      <c r="B153" s="11"/>
      <c r="C153" s="10"/>
      <c r="D153" s="18"/>
      <c r="E153" s="12"/>
      <c r="F153" s="17"/>
      <c r="G153" s="12"/>
      <c r="H153" s="19"/>
      <c r="I153" s="12"/>
      <c r="J153" s="11"/>
      <c r="K153" s="17"/>
      <c r="L153" s="12"/>
      <c r="M153" s="11"/>
      <c r="N153" s="17"/>
    </row>
    <row r="154" spans="1:14" x14ac:dyDescent="0.25">
      <c r="A154" s="7"/>
      <c r="B154" s="11"/>
      <c r="C154" s="10"/>
      <c r="D154" s="18"/>
      <c r="E154" s="12"/>
      <c r="F154" s="17"/>
      <c r="G154" s="12"/>
      <c r="H154" s="19"/>
      <c r="I154" s="12"/>
      <c r="J154" s="11"/>
      <c r="K154" s="17"/>
      <c r="L154" s="12"/>
      <c r="M154" s="11"/>
      <c r="N154" s="17"/>
    </row>
    <row r="155" spans="1:14" x14ac:dyDescent="0.25">
      <c r="A155" s="7"/>
      <c r="B155" s="11"/>
      <c r="C155" s="10"/>
      <c r="D155" s="18"/>
      <c r="E155" s="12"/>
      <c r="F155" s="17"/>
      <c r="G155" s="12"/>
      <c r="H155" s="19"/>
      <c r="I155" s="12"/>
      <c r="J155" s="11"/>
      <c r="K155" s="17"/>
      <c r="L155" s="12"/>
      <c r="M155" s="11"/>
      <c r="N155" s="17"/>
    </row>
    <row r="156" spans="1:14" x14ac:dyDescent="0.25">
      <c r="A156" s="7"/>
      <c r="B156" s="11"/>
      <c r="C156" s="10"/>
      <c r="D156" s="18"/>
      <c r="E156" s="12"/>
      <c r="F156" s="17"/>
      <c r="G156" s="12"/>
      <c r="H156" s="19"/>
      <c r="I156" s="12"/>
      <c r="J156" s="11"/>
      <c r="K156" s="17"/>
      <c r="L156" s="12"/>
      <c r="M156" s="11"/>
      <c r="N156" s="17"/>
    </row>
    <row r="157" spans="1:14" x14ac:dyDescent="0.25">
      <c r="A157" s="7"/>
      <c r="B157" s="11"/>
      <c r="C157" s="10"/>
      <c r="D157" s="18"/>
      <c r="E157" s="12"/>
      <c r="F157" s="17"/>
      <c r="G157" s="12"/>
      <c r="H157" s="19"/>
      <c r="I157" s="12"/>
      <c r="J157" s="11"/>
      <c r="K157" s="17"/>
      <c r="L157" s="12"/>
      <c r="M157" s="11"/>
      <c r="N157" s="17"/>
    </row>
    <row r="158" spans="1:14" x14ac:dyDescent="0.25">
      <c r="A158" s="7"/>
      <c r="B158" s="11"/>
      <c r="C158" s="10"/>
      <c r="D158" s="18"/>
      <c r="E158" s="12"/>
      <c r="F158" s="17"/>
      <c r="G158" s="12"/>
      <c r="H158" s="19"/>
      <c r="I158" s="12"/>
      <c r="J158" s="11"/>
      <c r="K158" s="17"/>
      <c r="L158" s="12"/>
      <c r="M158" s="11"/>
      <c r="N158" s="17"/>
    </row>
    <row r="159" spans="1:14" x14ac:dyDescent="0.25">
      <c r="A159" s="7"/>
      <c r="B159" s="11"/>
      <c r="C159" s="10"/>
      <c r="D159" s="18"/>
      <c r="E159" s="12"/>
      <c r="F159" s="17"/>
      <c r="G159" s="12"/>
      <c r="H159" s="19"/>
      <c r="I159" s="12"/>
      <c r="J159" s="11"/>
      <c r="K159" s="17"/>
      <c r="L159" s="12"/>
      <c r="M159" s="11"/>
      <c r="N159" s="17"/>
    </row>
    <row r="160" spans="1:14" x14ac:dyDescent="0.25">
      <c r="A160" s="7"/>
      <c r="B160" s="11"/>
      <c r="C160" s="10"/>
      <c r="D160" s="18"/>
      <c r="E160" s="12"/>
      <c r="F160" s="17"/>
      <c r="G160" s="12"/>
      <c r="H160" s="19"/>
      <c r="I160" s="12"/>
      <c r="J160" s="11"/>
      <c r="K160" s="17"/>
      <c r="L160" s="12"/>
      <c r="M160" s="11"/>
      <c r="N160" s="17"/>
    </row>
    <row r="161" spans="1:14" x14ac:dyDescent="0.25">
      <c r="A161" s="7"/>
      <c r="B161" s="11"/>
      <c r="C161" s="10"/>
      <c r="D161" s="18"/>
      <c r="E161" s="12"/>
      <c r="F161" s="17"/>
      <c r="G161" s="12"/>
      <c r="H161" s="19"/>
      <c r="I161" s="12"/>
      <c r="J161" s="11"/>
      <c r="K161" s="17"/>
      <c r="L161" s="12"/>
      <c r="M161" s="11"/>
      <c r="N161" s="17"/>
    </row>
    <row r="162" spans="1:14" x14ac:dyDescent="0.25">
      <c r="A162" s="7"/>
      <c r="B162" s="11"/>
      <c r="C162" s="10"/>
      <c r="D162" s="18"/>
      <c r="E162" s="12"/>
      <c r="F162" s="17"/>
      <c r="G162" s="12"/>
      <c r="H162" s="19"/>
      <c r="I162" s="12"/>
      <c r="J162" s="11"/>
      <c r="K162" s="17"/>
      <c r="L162" s="12"/>
      <c r="M162" s="11"/>
      <c r="N162" s="17"/>
    </row>
    <row r="163" spans="1:14" x14ac:dyDescent="0.25">
      <c r="A163" s="7"/>
      <c r="B163" s="11"/>
      <c r="C163" s="10"/>
      <c r="D163" s="18"/>
      <c r="E163" s="12"/>
      <c r="F163" s="17"/>
      <c r="G163" s="12"/>
      <c r="H163" s="19"/>
      <c r="I163" s="12"/>
      <c r="J163" s="11"/>
      <c r="K163" s="17"/>
      <c r="L163" s="12"/>
      <c r="M163" s="11"/>
      <c r="N163" s="17"/>
    </row>
    <row r="164" spans="1:14" x14ac:dyDescent="0.25">
      <c r="A164" s="7"/>
      <c r="B164" s="11"/>
      <c r="C164" s="10"/>
      <c r="D164" s="18"/>
      <c r="E164" s="12"/>
      <c r="F164" s="17"/>
      <c r="G164" s="12"/>
      <c r="H164" s="19"/>
      <c r="I164" s="12"/>
      <c r="J164" s="11"/>
      <c r="K164" s="17"/>
      <c r="L164" s="12"/>
      <c r="M164" s="11"/>
      <c r="N164" s="17"/>
    </row>
    <row r="165" spans="1:14" x14ac:dyDescent="0.25">
      <c r="A165" s="7"/>
      <c r="B165" s="11"/>
      <c r="C165" s="10"/>
      <c r="D165" s="18"/>
      <c r="E165" s="12"/>
      <c r="F165" s="17"/>
      <c r="G165" s="12"/>
      <c r="H165" s="19"/>
      <c r="I165" s="12"/>
      <c r="J165" s="11"/>
      <c r="K165" s="17"/>
      <c r="L165" s="12"/>
      <c r="M165" s="11"/>
      <c r="N165" s="17"/>
    </row>
    <row r="166" spans="1:14" x14ac:dyDescent="0.25">
      <c r="A166" s="7"/>
      <c r="B166" s="11"/>
      <c r="C166" s="10"/>
      <c r="D166" s="18"/>
      <c r="E166" s="12"/>
      <c r="F166" s="17"/>
      <c r="G166" s="12"/>
      <c r="H166" s="19"/>
      <c r="I166" s="12"/>
      <c r="J166" s="11"/>
      <c r="K166" s="17"/>
      <c r="L166" s="12"/>
      <c r="M166" s="11"/>
      <c r="N166" s="17"/>
    </row>
    <row r="167" spans="1:14" x14ac:dyDescent="0.25">
      <c r="A167" s="7"/>
      <c r="B167" s="11"/>
      <c r="C167" s="10"/>
      <c r="D167" s="18"/>
      <c r="E167" s="12"/>
      <c r="F167" s="17"/>
      <c r="G167" s="12"/>
      <c r="H167" s="19"/>
      <c r="I167" s="12"/>
      <c r="J167" s="11"/>
      <c r="K167" s="17"/>
      <c r="L167" s="12"/>
      <c r="M167" s="11"/>
      <c r="N167" s="17"/>
    </row>
    <row r="168" spans="1:14" x14ac:dyDescent="0.25">
      <c r="A168" s="7"/>
      <c r="B168" s="11"/>
      <c r="C168" s="10"/>
      <c r="D168" s="18"/>
      <c r="E168" s="12"/>
      <c r="F168" s="17"/>
      <c r="G168" s="12"/>
      <c r="H168" s="19"/>
      <c r="I168" s="12"/>
      <c r="J168" s="11"/>
      <c r="K168" s="17"/>
      <c r="L168" s="12"/>
      <c r="M168" s="11"/>
      <c r="N168" s="17"/>
    </row>
    <row r="169" spans="1:14" x14ac:dyDescent="0.25">
      <c r="A169" s="7"/>
      <c r="B169" s="11"/>
      <c r="C169" s="10"/>
      <c r="D169" s="18"/>
      <c r="E169" s="12"/>
      <c r="F169" s="17"/>
      <c r="G169" s="12"/>
      <c r="H169" s="19"/>
      <c r="I169" s="12"/>
      <c r="J169" s="11"/>
      <c r="K169" s="17"/>
      <c r="L169" s="12"/>
      <c r="M169" s="11"/>
      <c r="N169" s="17"/>
    </row>
    <row r="170" spans="1:14" x14ac:dyDescent="0.25">
      <c r="A170" s="7"/>
      <c r="B170" s="11"/>
      <c r="C170" s="10"/>
      <c r="D170" s="18"/>
      <c r="E170" s="12"/>
      <c r="F170" s="17"/>
      <c r="G170" s="12"/>
      <c r="H170" s="19"/>
      <c r="I170" s="12"/>
      <c r="J170" s="11"/>
      <c r="K170" s="17"/>
      <c r="L170" s="12"/>
      <c r="M170" s="11"/>
      <c r="N170" s="17"/>
    </row>
    <row r="171" spans="1:14" x14ac:dyDescent="0.25">
      <c r="A171" s="7"/>
      <c r="B171" s="11"/>
      <c r="C171" s="10"/>
      <c r="D171" s="18"/>
      <c r="E171" s="12"/>
      <c r="F171" s="17"/>
      <c r="G171" s="12"/>
      <c r="H171" s="19"/>
      <c r="I171" s="12"/>
      <c r="J171" s="11"/>
      <c r="K171" s="17"/>
      <c r="L171" s="12"/>
      <c r="M171" s="11"/>
      <c r="N171" s="17"/>
    </row>
    <row r="172" spans="1:14" x14ac:dyDescent="0.25">
      <c r="A172" s="7"/>
      <c r="B172" s="11"/>
      <c r="C172" s="10"/>
      <c r="D172" s="18"/>
      <c r="E172" s="12"/>
      <c r="F172" s="17"/>
      <c r="G172" s="12"/>
      <c r="H172" s="19"/>
      <c r="I172" s="12"/>
      <c r="J172" s="11"/>
      <c r="K172" s="17"/>
      <c r="L172" s="12"/>
      <c r="M172" s="11"/>
      <c r="N172" s="17"/>
    </row>
    <row r="173" spans="1:14" x14ac:dyDescent="0.25">
      <c r="A173" s="7"/>
      <c r="B173" s="11"/>
      <c r="C173" s="10"/>
      <c r="D173" s="18"/>
      <c r="E173" s="12"/>
      <c r="F173" s="17"/>
      <c r="G173" s="12"/>
      <c r="H173" s="19"/>
      <c r="I173" s="12"/>
      <c r="J173" s="11"/>
      <c r="K173" s="17"/>
      <c r="L173" s="12"/>
      <c r="M173" s="11"/>
      <c r="N173" s="17"/>
    </row>
    <row r="174" spans="1:14" x14ac:dyDescent="0.25">
      <c r="A174" s="7"/>
      <c r="B174" s="11"/>
      <c r="C174" s="10"/>
      <c r="D174" s="18"/>
      <c r="E174" s="12"/>
      <c r="F174" s="17"/>
      <c r="G174" s="12"/>
      <c r="H174" s="19"/>
      <c r="I174" s="12"/>
      <c r="J174" s="11"/>
      <c r="K174" s="17"/>
      <c r="L174" s="12"/>
      <c r="M174" s="11"/>
      <c r="N174" s="17"/>
    </row>
    <row r="175" spans="1:14" x14ac:dyDescent="0.25">
      <c r="A175" s="7"/>
      <c r="B175" s="11"/>
      <c r="C175" s="10"/>
      <c r="D175" s="18"/>
      <c r="E175" s="12"/>
      <c r="F175" s="17"/>
      <c r="G175" s="12"/>
      <c r="H175" s="19"/>
      <c r="I175" s="12"/>
      <c r="J175" s="11"/>
      <c r="K175" s="17"/>
      <c r="L175" s="12"/>
      <c r="M175" s="11"/>
      <c r="N175" s="17"/>
    </row>
    <row r="176" spans="1:14" x14ac:dyDescent="0.25">
      <c r="A176" s="7"/>
      <c r="B176" s="11"/>
      <c r="C176" s="10"/>
      <c r="D176" s="18"/>
      <c r="E176" s="12"/>
      <c r="F176" s="17"/>
      <c r="G176" s="12"/>
      <c r="H176" s="19"/>
      <c r="I176" s="12"/>
      <c r="J176" s="11"/>
      <c r="K176" s="17"/>
      <c r="L176" s="12"/>
      <c r="M176" s="11"/>
      <c r="N176" s="17"/>
    </row>
    <row r="177" spans="1:14" x14ac:dyDescent="0.25">
      <c r="A177" s="7"/>
      <c r="B177" s="11"/>
      <c r="C177" s="10"/>
      <c r="D177" s="18"/>
      <c r="E177" s="12"/>
      <c r="F177" s="17"/>
      <c r="G177" s="12"/>
      <c r="H177" s="19"/>
      <c r="I177" s="12"/>
      <c r="J177" s="11"/>
      <c r="K177" s="17"/>
      <c r="L177" s="12"/>
      <c r="M177" s="11"/>
      <c r="N177" s="17"/>
    </row>
    <row r="178" spans="1:14" x14ac:dyDescent="0.25">
      <c r="A178" s="7"/>
      <c r="B178" s="11"/>
      <c r="C178" s="10"/>
      <c r="D178" s="18"/>
      <c r="E178" s="12"/>
      <c r="F178" s="17"/>
      <c r="G178" s="12"/>
      <c r="H178" s="19"/>
      <c r="I178" s="12"/>
      <c r="J178" s="11"/>
      <c r="K178" s="17"/>
      <c r="L178" s="12"/>
      <c r="M178" s="11"/>
      <c r="N178" s="17"/>
    </row>
    <row r="179" spans="1:14" x14ac:dyDescent="0.25">
      <c r="A179" s="7"/>
      <c r="B179" s="11"/>
      <c r="C179" s="10"/>
      <c r="D179" s="18"/>
      <c r="E179" s="12"/>
      <c r="F179" s="17"/>
      <c r="G179" s="12"/>
      <c r="H179" s="19"/>
      <c r="I179" s="12"/>
      <c r="J179" s="11"/>
      <c r="K179" s="17"/>
      <c r="L179" s="12"/>
      <c r="M179" s="11"/>
      <c r="N179" s="17"/>
    </row>
    <row r="180" spans="1:14" x14ac:dyDescent="0.25">
      <c r="A180" s="7"/>
      <c r="B180" s="11"/>
      <c r="C180" s="10"/>
      <c r="D180" s="18"/>
      <c r="E180" s="12"/>
      <c r="F180" s="17"/>
      <c r="G180" s="12"/>
      <c r="H180" s="19"/>
      <c r="I180" s="12"/>
      <c r="J180" s="11"/>
      <c r="K180" s="17"/>
      <c r="L180" s="12"/>
      <c r="M180" s="11"/>
      <c r="N180" s="17"/>
    </row>
    <row r="181" spans="1:14" x14ac:dyDescent="0.25">
      <c r="A181" s="7"/>
      <c r="B181" s="11"/>
      <c r="C181" s="10"/>
      <c r="D181" s="18"/>
      <c r="E181" s="12"/>
      <c r="F181" s="17"/>
      <c r="G181" s="12"/>
      <c r="H181" s="19"/>
      <c r="I181" s="12"/>
      <c r="J181" s="11"/>
      <c r="K181" s="17"/>
      <c r="L181" s="12"/>
      <c r="M181" s="11"/>
      <c r="N181" s="17"/>
    </row>
    <row r="182" spans="1:14" x14ac:dyDescent="0.25">
      <c r="A182" s="7"/>
      <c r="B182" s="11"/>
      <c r="C182" s="10"/>
      <c r="D182" s="18"/>
      <c r="E182" s="12"/>
      <c r="F182" s="17"/>
      <c r="G182" s="12"/>
      <c r="H182" s="19"/>
      <c r="I182" s="12"/>
      <c r="J182" s="11"/>
      <c r="K182" s="17"/>
      <c r="L182" s="12"/>
      <c r="M182" s="11"/>
      <c r="N182" s="17"/>
    </row>
    <row r="183" spans="1:14" x14ac:dyDescent="0.25">
      <c r="A183" s="7"/>
      <c r="B183" s="11"/>
      <c r="C183" s="10"/>
      <c r="D183" s="18"/>
      <c r="E183" s="12"/>
      <c r="F183" s="17"/>
      <c r="G183" s="12"/>
      <c r="H183" s="19"/>
      <c r="I183" s="12"/>
      <c r="J183" s="11"/>
      <c r="K183" s="17"/>
      <c r="L183" s="12"/>
      <c r="M183" s="11"/>
      <c r="N183" s="17"/>
    </row>
    <row r="184" spans="1:14" x14ac:dyDescent="0.25">
      <c r="A184" s="7"/>
      <c r="B184" s="11"/>
      <c r="C184" s="10"/>
      <c r="D184" s="18"/>
      <c r="E184" s="12"/>
      <c r="F184" s="17"/>
      <c r="G184" s="12"/>
      <c r="H184" s="19"/>
      <c r="I184" s="12"/>
      <c r="J184" s="11"/>
      <c r="K184" s="17"/>
      <c r="L184" s="12"/>
      <c r="M184" s="11"/>
      <c r="N184" s="17"/>
    </row>
    <row r="185" spans="1:14" x14ac:dyDescent="0.25">
      <c r="A185" s="7"/>
      <c r="B185" s="11"/>
      <c r="C185" s="10"/>
      <c r="D185" s="18"/>
      <c r="E185" s="12"/>
      <c r="F185" s="17"/>
      <c r="G185" s="12"/>
      <c r="H185" s="19"/>
      <c r="I185" s="12"/>
      <c r="J185" s="11"/>
      <c r="K185" s="17"/>
      <c r="L185" s="12"/>
      <c r="M185" s="11"/>
      <c r="N185" s="17"/>
    </row>
    <row r="186" spans="1:14" x14ac:dyDescent="0.25">
      <c r="A186" s="7"/>
      <c r="B186" s="11"/>
      <c r="C186" s="10"/>
      <c r="D186" s="18"/>
      <c r="E186" s="12"/>
      <c r="F186" s="17"/>
      <c r="G186" s="12"/>
      <c r="H186" s="19"/>
      <c r="I186" s="12"/>
      <c r="J186" s="11"/>
      <c r="K186" s="17"/>
      <c r="L186" s="12"/>
      <c r="M186" s="11"/>
      <c r="N186" s="17"/>
    </row>
    <row r="187" spans="1:14" x14ac:dyDescent="0.25">
      <c r="A187" s="7"/>
      <c r="B187" s="11"/>
      <c r="C187" s="10"/>
      <c r="D187" s="18"/>
      <c r="E187" s="12"/>
      <c r="F187" s="17"/>
      <c r="G187" s="12"/>
      <c r="H187" s="19"/>
      <c r="I187" s="12"/>
      <c r="J187" s="11"/>
      <c r="K187" s="17"/>
      <c r="L187" s="12"/>
      <c r="M187" s="11"/>
      <c r="N187" s="17"/>
    </row>
    <row r="188" spans="1:14" x14ac:dyDescent="0.25">
      <c r="A188" s="7"/>
      <c r="B188" s="11"/>
      <c r="C188" s="10"/>
      <c r="D188" s="18"/>
      <c r="E188" s="12"/>
      <c r="F188" s="17"/>
      <c r="G188" s="12"/>
      <c r="H188" s="19"/>
      <c r="I188" s="12"/>
      <c r="J188" s="11"/>
      <c r="K188" s="17"/>
      <c r="L188" s="12"/>
      <c r="M188" s="11"/>
      <c r="N188" s="17"/>
    </row>
    <row r="189" spans="1:14" x14ac:dyDescent="0.25">
      <c r="A189" s="7"/>
      <c r="B189" s="11"/>
      <c r="C189" s="10"/>
      <c r="D189" s="18"/>
      <c r="E189" s="12"/>
      <c r="F189" s="17"/>
      <c r="G189" s="12"/>
      <c r="H189" s="19"/>
      <c r="I189" s="12"/>
      <c r="J189" s="11"/>
      <c r="K189" s="17"/>
      <c r="L189" s="12"/>
      <c r="M189" s="11"/>
      <c r="N189" s="17"/>
    </row>
    <row r="190" spans="1:14" ht="15" thickBot="1" x14ac:dyDescent="0.3">
      <c r="A190" s="26"/>
      <c r="B190" s="27"/>
      <c r="C190" s="28"/>
      <c r="D190" s="29"/>
      <c r="E190" s="30"/>
      <c r="F190" s="31"/>
      <c r="G190" s="30"/>
      <c r="H190" s="32"/>
      <c r="I190" s="30"/>
      <c r="J190" s="27"/>
      <c r="K190" s="31"/>
      <c r="L190" s="30"/>
      <c r="M190" s="27"/>
      <c r="N190" s="31"/>
    </row>
    <row r="191" spans="1:14" ht="39.950000000000003" customHeight="1" thickBot="1" x14ac:dyDescent="0.3">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2357"/>
  <sheetViews>
    <sheetView zoomScale="70" zoomScaleNormal="70" workbookViewId="0">
      <pane xSplit="4" ySplit="8" topLeftCell="E9" activePane="bottomRight" state="frozen"/>
      <selection activeCell="E20" sqref="E20"/>
      <selection pane="topRight" activeCell="E20" sqref="E20"/>
      <selection pane="bottomLeft" activeCell="E20" sqref="E20"/>
      <selection pane="bottomRight" sqref="A1:XFD1"/>
    </sheetView>
  </sheetViews>
  <sheetFormatPr defaultColWidth="9.140625" defaultRowHeight="14.25" x14ac:dyDescent="0.25"/>
  <cols>
    <col min="1" max="2" width="25.5703125" style="112" customWidth="1"/>
    <col min="3" max="3" width="15.5703125" style="113" customWidth="1"/>
    <col min="4" max="4" width="50.5703125" style="4" customWidth="1"/>
    <col min="5" max="5" width="12.5703125" style="54" customWidth="1"/>
    <col min="6" max="6" width="15.5703125" style="54" customWidth="1"/>
    <col min="7" max="8" width="10.5703125" style="54" customWidth="1"/>
    <col min="9" max="11" width="15.5703125" style="112" customWidth="1"/>
    <col min="12" max="12" width="50.5703125" style="4" customWidth="1"/>
    <col min="13" max="14" width="15.5703125" style="112" customWidth="1"/>
    <col min="15" max="15" width="8.85546875" style="4" hidden="1" customWidth="1"/>
    <col min="16" max="16" width="9.140625" style="4" customWidth="1"/>
    <col min="17" max="16384" width="9.140625" style="4"/>
  </cols>
  <sheetData>
    <row r="1" spans="1:20" ht="20.100000000000001" customHeight="1" x14ac:dyDescent="0.25">
      <c r="A1" s="2" t="str">
        <f>'1. Facility Information'!$B$1</f>
        <v>AQ520 Form - Version 2.0</v>
      </c>
      <c r="K1" s="89"/>
      <c r="M1" s="89"/>
    </row>
    <row r="2" spans="1:20" ht="20.100000000000001" customHeight="1" x14ac:dyDescent="0.25">
      <c r="A2" s="114" t="str">
        <f>IF(ISBLANK('1. Facility Information'!$B$6),"",'1. Facility Information'!$B$6)</f>
        <v>Boeing Portland</v>
      </c>
      <c r="H2" s="55"/>
      <c r="M2" s="89"/>
      <c r="Q2" s="115"/>
      <c r="R2" s="115"/>
      <c r="S2" s="115"/>
      <c r="T2" s="115"/>
    </row>
    <row r="3" spans="1:20" ht="20.100000000000001" customHeight="1" x14ac:dyDescent="0.25">
      <c r="A3" s="85" t="str">
        <f>"Source No. "&amp;IF(ISBLANK('1. Facility Information'!$B$10),"",'1. Facility Information'!$B$10)</f>
        <v>Source No. 26-2204-ST-01</v>
      </c>
      <c r="H3" s="55"/>
    </row>
    <row r="4" spans="1:20" ht="20.100000000000001" customHeight="1" x14ac:dyDescent="0.25">
      <c r="A4" s="85" t="str">
        <f>_xlfn.CONCAT("Submitted on ",IF(ISBLANK('1. Facility Information'!$B$14),"",TEXT('1. Facility Information'!$B$14,"mm/dd/yyyy")))</f>
        <v>Submitted on 02/12/2026</v>
      </c>
      <c r="C4" s="4"/>
      <c r="D4" s="112"/>
      <c r="E4" s="112"/>
      <c r="F4" s="112"/>
      <c r="G4" s="89"/>
      <c r="H4" s="4"/>
      <c r="L4" s="112"/>
    </row>
    <row r="5" spans="1:20" ht="15" customHeight="1" thickBot="1" x14ac:dyDescent="0.3">
      <c r="B5" s="33"/>
      <c r="E5" s="33"/>
      <c r="F5" s="33"/>
      <c r="G5" s="33"/>
      <c r="H5" s="33"/>
      <c r="I5" s="4"/>
      <c r="J5" s="4"/>
      <c r="K5" s="4"/>
    </row>
    <row r="6" spans="1:20" s="119" customFormat="1" ht="39.950000000000003" customHeight="1" thickBot="1" x14ac:dyDescent="0.3">
      <c r="A6" s="185" t="s">
        <v>12</v>
      </c>
      <c r="B6" s="185"/>
      <c r="C6" s="185" t="s">
        <v>28</v>
      </c>
      <c r="D6" s="185"/>
      <c r="E6" s="116" t="s">
        <v>29</v>
      </c>
      <c r="F6" s="116"/>
      <c r="G6" s="116"/>
      <c r="H6" s="116"/>
      <c r="I6" s="116"/>
      <c r="J6" s="116"/>
      <c r="K6" s="116"/>
      <c r="L6" s="116"/>
      <c r="M6" s="117" t="s">
        <v>30</v>
      </c>
      <c r="N6" s="118"/>
    </row>
    <row r="7" spans="1:20" s="119" customFormat="1" ht="30" customHeight="1" thickBot="1" x14ac:dyDescent="0.3">
      <c r="A7" s="185"/>
      <c r="B7" s="185"/>
      <c r="C7" s="185"/>
      <c r="D7" s="185"/>
      <c r="E7" s="195" t="s">
        <v>38</v>
      </c>
      <c r="F7" s="193" t="s">
        <v>39</v>
      </c>
      <c r="G7" s="51" t="s">
        <v>31</v>
      </c>
      <c r="H7" s="52"/>
      <c r="I7" s="116" t="s">
        <v>32</v>
      </c>
      <c r="J7" s="120"/>
      <c r="K7" s="121"/>
      <c r="L7" s="191" t="s">
        <v>33</v>
      </c>
      <c r="M7" s="187" t="s">
        <v>34</v>
      </c>
      <c r="N7" s="189" t="s">
        <v>35</v>
      </c>
    </row>
    <row r="8" spans="1:20" s="119" customFormat="1" ht="60" customHeight="1" thickBot="1" x14ac:dyDescent="0.3">
      <c r="A8" s="122" t="s">
        <v>15</v>
      </c>
      <c r="B8" s="123" t="s">
        <v>16</v>
      </c>
      <c r="C8" s="124" t="s">
        <v>36</v>
      </c>
      <c r="D8" s="125" t="s">
        <v>37</v>
      </c>
      <c r="E8" s="196"/>
      <c r="F8" s="194"/>
      <c r="G8" s="24" t="s">
        <v>40</v>
      </c>
      <c r="H8" s="25" t="s">
        <v>41</v>
      </c>
      <c r="I8" s="126" t="s">
        <v>42</v>
      </c>
      <c r="J8" s="127" t="s">
        <v>43</v>
      </c>
      <c r="K8" s="128" t="s">
        <v>44</v>
      </c>
      <c r="L8" s="192"/>
      <c r="M8" s="188"/>
      <c r="N8" s="190"/>
      <c r="O8" s="129" t="s">
        <v>45</v>
      </c>
    </row>
    <row r="9" spans="1:20" ht="15" x14ac:dyDescent="0.25">
      <c r="A9" s="35" t="s">
        <v>1309</v>
      </c>
      <c r="B9" s="95"/>
      <c r="C9" s="101" t="s">
        <v>50</v>
      </c>
      <c r="D9" s="106" t="str">
        <f>IFERROR(IF(C9="No CAS","",INDEX('DEQ Pollutant List'!$B$7:$B$611,MATCH('3. Pollutant Emissions - EF'!C9,'DEQ Pollutant List'!$A$7:$A$611,0))),"")</f>
        <v>Acetaldehyde</v>
      </c>
      <c r="E9" s="98">
        <v>0</v>
      </c>
      <c r="F9" s="99">
        <v>0</v>
      </c>
      <c r="G9" s="98" t="s">
        <v>1415</v>
      </c>
      <c r="H9" s="99" t="s">
        <v>1415</v>
      </c>
      <c r="I9" s="102">
        <v>3.0999999999999999E-3</v>
      </c>
      <c r="J9" s="92">
        <f>I9</f>
        <v>3.0999999999999999E-3</v>
      </c>
      <c r="K9" s="103" t="s">
        <v>1416</v>
      </c>
      <c r="L9" s="104" t="s">
        <v>1421</v>
      </c>
      <c r="M9" s="7">
        <f>IF(ISBLANK($B9),_xlfn.XLOOKUP($A9,'2. TEUs &amp; Activities - EF'!$A$9:$A$190,'2. TEUs &amp; Activities - EF'!$J$9:$J$190),_xlfn.XLOOKUP($B9,'2. TEUs &amp; Activities - EF'!$B$9:$B$190,'2. TEUs &amp; Activities - EF'!$J$9:$J$190))*'3. Pollutant Emissions - EF'!$I9*IF(OR(ISBLANK($E9),$G9="Yes"),1,$E9)*IF($H9="Yes",1,(1-$F9))</f>
        <v>0.39935294117647052</v>
      </c>
      <c r="N9" s="35">
        <f>IF(ISBLANK($B9),_xlfn.XLOOKUP($A9,'2. TEUs &amp; Activities - EF'!$A$9:$A$190,'2. TEUs &amp; Activities - EF'!$M$9:$M$190),_xlfn.XLOOKUP($B9,'2. TEUs &amp; Activities - EF'!$B$9:$B$190,'2. TEUs &amp; Activities - EF'!$M$9:$M$190))*'3. Pollutant Emissions - EF'!$J9*IF(OR(ISBLANK($E9),$G9="Yes"),1,$E9)*IF($H9="Yes",1,(1-$F9))</f>
        <v>1.0941176470588233E-3</v>
      </c>
      <c r="O9" s="130">
        <f>IFERROR(IF(OR($C9="",$C9="No CAS"),INDEX('DEQ Pollutant List'!$D$7:$D$611,MATCH($D9,'DEQ Pollutant List'!$B$7:$B$611,0)),INDEX('DEQ Pollutant List'!$D$7:$D$611,MATCH($C9,'DEQ Pollutant List'!$A$7:$A$611,0))),"")</f>
        <v>1</v>
      </c>
    </row>
    <row r="10" spans="1:20" ht="15" x14ac:dyDescent="0.25">
      <c r="A10" s="5" t="s">
        <v>1309</v>
      </c>
      <c r="B10" s="7"/>
      <c r="C10" s="13" t="s">
        <v>51</v>
      </c>
      <c r="D10" s="19" t="str">
        <f>IFERROR(IF(C10="No CAS","",INDEX('DEQ Pollutant List'!$B$7:$B$611,MATCH('3. Pollutant Emissions - EF'!C10,'DEQ Pollutant List'!$A$7:$A$611,0))),"")</f>
        <v>Acrolein</v>
      </c>
      <c r="E10" s="100">
        <v>0</v>
      </c>
      <c r="F10" s="36">
        <v>0</v>
      </c>
      <c r="G10" s="100" t="s">
        <v>1415</v>
      </c>
      <c r="H10" s="36" t="s">
        <v>1415</v>
      </c>
      <c r="I10" s="34">
        <v>2.7000000000000001E-3</v>
      </c>
      <c r="J10" s="11">
        <f t="shared" ref="J10:J73" si="0">I10</f>
        <v>2.7000000000000001E-3</v>
      </c>
      <c r="K10" s="6" t="s">
        <v>1416</v>
      </c>
      <c r="L10" s="20" t="s">
        <v>1421</v>
      </c>
      <c r="M10" s="7">
        <f>IF(ISBLANK($B10),_xlfn.XLOOKUP($A10,'2. TEUs &amp; Activities - EF'!$A$9:$A$190,'2. TEUs &amp; Activities - EF'!$J$9:$J$190),_xlfn.XLOOKUP($B10,'2. TEUs &amp; Activities - EF'!$B$9:$B$190,'2. TEUs &amp; Activities - EF'!$J$9:$J$190))*'3. Pollutant Emissions - EF'!$I10*IF(OR(ISBLANK($E10),$G10="Yes"),1,$E10)*IF($H10="Yes",1,(1-$F10))</f>
        <v>0.3478235294117647</v>
      </c>
      <c r="N10" s="5">
        <f>IF(ISBLANK($B10),_xlfn.XLOOKUP($A10,'2. TEUs &amp; Activities - EF'!$A$9:$A$190,'2. TEUs &amp; Activities - EF'!$M$9:$M$190),_xlfn.XLOOKUP($B10,'2. TEUs &amp; Activities - EF'!$B$9:$B$190,'2. TEUs &amp; Activities - EF'!$M$9:$M$190))*'3. Pollutant Emissions - EF'!$J10*IF(OR(ISBLANK($E10),$G10="Yes"),1,$E10)*IF($H10="Yes",1,(1-$F10))</f>
        <v>9.5294117647058815E-4</v>
      </c>
      <c r="O10" s="130"/>
    </row>
    <row r="11" spans="1:20" ht="15" x14ac:dyDescent="0.25">
      <c r="A11" s="5" t="s">
        <v>1309</v>
      </c>
      <c r="B11" s="7"/>
      <c r="C11" s="13" t="s">
        <v>52</v>
      </c>
      <c r="D11" s="19" t="str">
        <f>IFERROR(IF(C11="No CAS","",INDEX('DEQ Pollutant List'!$B$7:$B$611,MATCH('3. Pollutant Emissions - EF'!C11,'DEQ Pollutant List'!$A$7:$A$611,0))),"")</f>
        <v>Ammonia</v>
      </c>
      <c r="E11" s="100">
        <v>0</v>
      </c>
      <c r="F11" s="36">
        <v>0</v>
      </c>
      <c r="G11" s="100" t="s">
        <v>1415</v>
      </c>
      <c r="H11" s="36" t="s">
        <v>1415</v>
      </c>
      <c r="I11" s="34">
        <v>3.2</v>
      </c>
      <c r="J11" s="11">
        <f t="shared" si="0"/>
        <v>3.2</v>
      </c>
      <c r="K11" s="6" t="s">
        <v>1416</v>
      </c>
      <c r="L11" s="20" t="s">
        <v>1421</v>
      </c>
      <c r="M11" s="7">
        <f>IF(ISBLANK($B11),_xlfn.XLOOKUP($A11,'2. TEUs &amp; Activities - EF'!$A$9:$A$190,'2. TEUs &amp; Activities - EF'!$J$9:$J$190),_xlfn.XLOOKUP($B11,'2. TEUs &amp; Activities - EF'!$B$9:$B$190,'2. TEUs &amp; Activities - EF'!$J$9:$J$190))*'3. Pollutant Emissions - EF'!$I11*IF(OR(ISBLANK($E11),$G11="Yes"),1,$E11)*IF($H11="Yes",1,(1-$F11))</f>
        <v>412.23529411764707</v>
      </c>
      <c r="N11" s="5">
        <f>IF(ISBLANK($B11),_xlfn.XLOOKUP($A11,'2. TEUs &amp; Activities - EF'!$A$9:$A$190,'2. TEUs &amp; Activities - EF'!$M$9:$M$190),_xlfn.XLOOKUP($B11,'2. TEUs &amp; Activities - EF'!$B$9:$B$190,'2. TEUs &amp; Activities - EF'!$M$9:$M$190))*'3. Pollutant Emissions - EF'!$J11*IF(OR(ISBLANK($E11),$G11="Yes"),1,$E11)*IF($H11="Yes",1,(1-$F11))</f>
        <v>1.1294117647058823</v>
      </c>
      <c r="O11" s="130"/>
    </row>
    <row r="12" spans="1:20" ht="15" x14ac:dyDescent="0.25">
      <c r="A12" s="5" t="s">
        <v>1309</v>
      </c>
      <c r="B12" s="7"/>
      <c r="C12" s="13" t="s">
        <v>53</v>
      </c>
      <c r="D12" s="19" t="str">
        <f>IFERROR(IF(C12="No CAS","",INDEX('DEQ Pollutant List'!$B$7:$B$611,MATCH('3. Pollutant Emissions - EF'!C12,'DEQ Pollutant List'!$A$7:$A$611,0))),"")</f>
        <v>Arsenic and compounds</v>
      </c>
      <c r="E12" s="100">
        <v>0</v>
      </c>
      <c r="F12" s="36">
        <v>0</v>
      </c>
      <c r="G12" s="100" t="s">
        <v>1415</v>
      </c>
      <c r="H12" s="36" t="s">
        <v>1415</v>
      </c>
      <c r="I12" s="34">
        <v>2.0000000000000001E-4</v>
      </c>
      <c r="J12" s="11">
        <f t="shared" si="0"/>
        <v>2.0000000000000001E-4</v>
      </c>
      <c r="K12" s="6" t="s">
        <v>1416</v>
      </c>
      <c r="L12" s="20" t="s">
        <v>1421</v>
      </c>
      <c r="M12" s="7">
        <f>IF(ISBLANK($B12),_xlfn.XLOOKUP($A12,'2. TEUs &amp; Activities - EF'!$A$9:$A$190,'2. TEUs &amp; Activities - EF'!$J$9:$J$190),_xlfn.XLOOKUP($B12,'2. TEUs &amp; Activities - EF'!$B$9:$B$190,'2. TEUs &amp; Activities - EF'!$J$9:$J$190))*'3. Pollutant Emissions - EF'!$I12*IF(OR(ISBLANK($E12),$G12="Yes"),1,$E12)*IF($H12="Yes",1,(1-$F12))</f>
        <v>2.576470588235294E-2</v>
      </c>
      <c r="N12" s="5">
        <f>IF(ISBLANK($B12),_xlfn.XLOOKUP($A12,'2. TEUs &amp; Activities - EF'!$A$9:$A$190,'2. TEUs &amp; Activities - EF'!$M$9:$M$190),_xlfn.XLOOKUP($B12,'2. TEUs &amp; Activities - EF'!$B$9:$B$190,'2. TEUs &amp; Activities - EF'!$M$9:$M$190))*'3. Pollutant Emissions - EF'!$J12*IF(OR(ISBLANK($E12),$G12="Yes"),1,$E12)*IF($H12="Yes",1,(1-$F12))</f>
        <v>7.0588235294117641E-5</v>
      </c>
      <c r="O12" s="130"/>
    </row>
    <row r="13" spans="1:20" ht="15" x14ac:dyDescent="0.25">
      <c r="A13" s="5" t="s">
        <v>1309</v>
      </c>
      <c r="B13" s="7"/>
      <c r="C13" s="13" t="s">
        <v>54</v>
      </c>
      <c r="D13" s="19" t="str">
        <f>IFERROR(IF(C13="No CAS","",INDEX('DEQ Pollutant List'!$B$7:$B$611,MATCH('3. Pollutant Emissions - EF'!C13,'DEQ Pollutant List'!$A$7:$A$611,0))),"")</f>
        <v>Barium and compounds</v>
      </c>
      <c r="E13" s="100">
        <v>0</v>
      </c>
      <c r="F13" s="36">
        <v>0</v>
      </c>
      <c r="G13" s="100" t="s">
        <v>1415</v>
      </c>
      <c r="H13" s="36" t="s">
        <v>1415</v>
      </c>
      <c r="I13" s="34">
        <v>4.4000000000000003E-3</v>
      </c>
      <c r="J13" s="11">
        <f t="shared" si="0"/>
        <v>4.4000000000000003E-3</v>
      </c>
      <c r="K13" s="6" t="s">
        <v>1416</v>
      </c>
      <c r="L13" s="20" t="s">
        <v>1421</v>
      </c>
      <c r="M13" s="7">
        <f>IF(ISBLANK($B13),_xlfn.XLOOKUP($A13,'2. TEUs &amp; Activities - EF'!$A$9:$A$190,'2. TEUs &amp; Activities - EF'!$J$9:$J$190),_xlfn.XLOOKUP($B13,'2. TEUs &amp; Activities - EF'!$B$9:$B$190,'2. TEUs &amp; Activities - EF'!$J$9:$J$190))*'3. Pollutant Emissions - EF'!$I13*IF(OR(ISBLANK($E13),$G13="Yes"),1,$E13)*IF($H13="Yes",1,(1-$F13))</f>
        <v>0.56682352941176473</v>
      </c>
      <c r="N13" s="5">
        <f>IF(ISBLANK($B13),_xlfn.XLOOKUP($A13,'2. TEUs &amp; Activities - EF'!$A$9:$A$190,'2. TEUs &amp; Activities - EF'!$M$9:$M$190),_xlfn.XLOOKUP($B13,'2. TEUs &amp; Activities - EF'!$B$9:$B$190,'2. TEUs &amp; Activities - EF'!$M$9:$M$190))*'3. Pollutant Emissions - EF'!$J13*IF(OR(ISBLANK($E13),$G13="Yes"),1,$E13)*IF($H13="Yes",1,(1-$F13))</f>
        <v>1.5529411764705881E-3</v>
      </c>
      <c r="O13" s="130"/>
    </row>
    <row r="14" spans="1:20" ht="15" x14ac:dyDescent="0.25">
      <c r="A14" s="5" t="s">
        <v>1309</v>
      </c>
      <c r="B14" s="7"/>
      <c r="C14" s="13" t="s">
        <v>46</v>
      </c>
      <c r="D14" s="19" t="str">
        <f>IFERROR(IF(C14="No CAS","",INDEX('DEQ Pollutant List'!$B$7:$B$611,MATCH('3. Pollutant Emissions - EF'!C14,'DEQ Pollutant List'!$A$7:$A$611,0))),"")</f>
        <v>Benzene</v>
      </c>
      <c r="E14" s="100">
        <v>0</v>
      </c>
      <c r="F14" s="36">
        <v>0</v>
      </c>
      <c r="G14" s="100" t="s">
        <v>1415</v>
      </c>
      <c r="H14" s="36" t="s">
        <v>1415</v>
      </c>
      <c r="I14" s="34">
        <v>5.7999999999999996E-3</v>
      </c>
      <c r="J14" s="11">
        <f t="shared" si="0"/>
        <v>5.7999999999999996E-3</v>
      </c>
      <c r="K14" s="6" t="s">
        <v>1416</v>
      </c>
      <c r="L14" s="20" t="s">
        <v>1421</v>
      </c>
      <c r="M14" s="7">
        <f>IF(ISBLANK($B14),_xlfn.XLOOKUP($A14,'2. TEUs &amp; Activities - EF'!$A$9:$A$190,'2. TEUs &amp; Activities - EF'!$J$9:$J$190),_xlfn.XLOOKUP($B14,'2. TEUs &amp; Activities - EF'!$B$9:$B$190,'2. TEUs &amp; Activities - EF'!$J$9:$J$190))*'3. Pollutant Emissions - EF'!$I14*IF(OR(ISBLANK($E14),$G14="Yes"),1,$E14)*IF($H14="Yes",1,(1-$F14))</f>
        <v>0.74717647058823522</v>
      </c>
      <c r="N14" s="5">
        <f>IF(ISBLANK($B14),_xlfn.XLOOKUP($A14,'2. TEUs &amp; Activities - EF'!$A$9:$A$190,'2. TEUs &amp; Activities - EF'!$M$9:$M$190),_xlfn.XLOOKUP($B14,'2. TEUs &amp; Activities - EF'!$B$9:$B$190,'2. TEUs &amp; Activities - EF'!$M$9:$M$190))*'3. Pollutant Emissions - EF'!$J14*IF(OR(ISBLANK($E14),$G14="Yes"),1,$E14)*IF($H14="Yes",1,(1-$F14))</f>
        <v>2.0470588235294114E-3</v>
      </c>
      <c r="O14" s="130"/>
    </row>
    <row r="15" spans="1:20" ht="15" x14ac:dyDescent="0.25">
      <c r="A15" s="5" t="s">
        <v>1309</v>
      </c>
      <c r="B15" s="7"/>
      <c r="C15" s="13" t="s">
        <v>48</v>
      </c>
      <c r="D15" s="19" t="str">
        <f>IFERROR(IF(C15="No CAS","",INDEX('DEQ Pollutant List'!$B$7:$B$611,MATCH('3. Pollutant Emissions - EF'!C15,'DEQ Pollutant List'!$A$7:$A$611,0))),"")</f>
        <v>Benzo[a]pyrene</v>
      </c>
      <c r="E15" s="100">
        <v>0</v>
      </c>
      <c r="F15" s="36">
        <v>0</v>
      </c>
      <c r="G15" s="100" t="s">
        <v>1415</v>
      </c>
      <c r="H15" s="36" t="s">
        <v>1415</v>
      </c>
      <c r="I15" s="34">
        <v>1.1999999999999999E-6</v>
      </c>
      <c r="J15" s="11">
        <f t="shared" si="0"/>
        <v>1.1999999999999999E-6</v>
      </c>
      <c r="K15" s="6" t="s">
        <v>1416</v>
      </c>
      <c r="L15" s="20" t="s">
        <v>1421</v>
      </c>
      <c r="M15" s="7">
        <f>IF(ISBLANK($B15),_xlfn.XLOOKUP($A15,'2. TEUs &amp; Activities - EF'!$A$9:$A$190,'2. TEUs &amp; Activities - EF'!$J$9:$J$190),_xlfn.XLOOKUP($B15,'2. TEUs &amp; Activities - EF'!$B$9:$B$190,'2. TEUs &amp; Activities - EF'!$J$9:$J$190))*'3. Pollutant Emissions - EF'!$I15*IF(OR(ISBLANK($E15),$G15="Yes"),1,$E15)*IF($H15="Yes",1,(1-$F15))</f>
        <v>1.5458823529411762E-4</v>
      </c>
      <c r="N15" s="5">
        <f>IF(ISBLANK($B15),_xlfn.XLOOKUP($A15,'2. TEUs &amp; Activities - EF'!$A$9:$A$190,'2. TEUs &amp; Activities - EF'!$M$9:$M$190),_xlfn.XLOOKUP($B15,'2. TEUs &amp; Activities - EF'!$B$9:$B$190,'2. TEUs &amp; Activities - EF'!$M$9:$M$190))*'3. Pollutant Emissions - EF'!$J15*IF(OR(ISBLANK($E15),$G15="Yes"),1,$E15)*IF($H15="Yes",1,(1-$F15))</f>
        <v>4.2352941176470581E-7</v>
      </c>
      <c r="O15" s="130"/>
    </row>
    <row r="16" spans="1:20" ht="15" x14ac:dyDescent="0.25">
      <c r="A16" s="5" t="s">
        <v>1309</v>
      </c>
      <c r="B16" s="7"/>
      <c r="C16" s="13" t="s">
        <v>55</v>
      </c>
      <c r="D16" s="19" t="str">
        <f>IFERROR(IF(C16="No CAS","",INDEX('DEQ Pollutant List'!$B$7:$B$611,MATCH('3. Pollutant Emissions - EF'!C16,'DEQ Pollutant List'!$A$7:$A$611,0))),"")</f>
        <v>Beryllium and compounds</v>
      </c>
      <c r="E16" s="100">
        <v>0</v>
      </c>
      <c r="F16" s="36">
        <v>0</v>
      </c>
      <c r="G16" s="100" t="s">
        <v>1415</v>
      </c>
      <c r="H16" s="36" t="s">
        <v>1415</v>
      </c>
      <c r="I16" s="34">
        <v>1.2E-5</v>
      </c>
      <c r="J16" s="11">
        <f t="shared" si="0"/>
        <v>1.2E-5</v>
      </c>
      <c r="K16" s="6" t="s">
        <v>1416</v>
      </c>
      <c r="L16" s="20" t="s">
        <v>1421</v>
      </c>
      <c r="M16" s="7">
        <f>IF(ISBLANK($B16),_xlfn.XLOOKUP($A16,'2. TEUs &amp; Activities - EF'!$A$9:$A$190,'2. TEUs &amp; Activities - EF'!$J$9:$J$190),_xlfn.XLOOKUP($B16,'2. TEUs &amp; Activities - EF'!$B$9:$B$190,'2. TEUs &amp; Activities - EF'!$J$9:$J$190))*'3. Pollutant Emissions - EF'!$I16*IF(OR(ISBLANK($E16),$G16="Yes"),1,$E16)*IF($H16="Yes",1,(1-$F16))</f>
        <v>1.5458823529411764E-3</v>
      </c>
      <c r="N16" s="5">
        <f>IF(ISBLANK($B16),_xlfn.XLOOKUP($A16,'2. TEUs &amp; Activities - EF'!$A$9:$A$190,'2. TEUs &amp; Activities - EF'!$M$9:$M$190),_xlfn.XLOOKUP($B16,'2. TEUs &amp; Activities - EF'!$B$9:$B$190,'2. TEUs &amp; Activities - EF'!$M$9:$M$190))*'3. Pollutant Emissions - EF'!$J16*IF(OR(ISBLANK($E16),$G16="Yes"),1,$E16)*IF($H16="Yes",1,(1-$F16))</f>
        <v>4.2352941176470583E-6</v>
      </c>
      <c r="O16" s="130"/>
    </row>
    <row r="17" spans="1:15" ht="15" x14ac:dyDescent="0.25">
      <c r="A17" s="5" t="s">
        <v>1309</v>
      </c>
      <c r="B17" s="7"/>
      <c r="C17" s="13" t="s">
        <v>56</v>
      </c>
      <c r="D17" s="19" t="str">
        <f>IFERROR(IF(C17="No CAS","",INDEX('DEQ Pollutant List'!$B$7:$B$611,MATCH('3. Pollutant Emissions - EF'!C17,'DEQ Pollutant List'!$A$7:$A$611,0))),"")</f>
        <v>Cadmium and compounds</v>
      </c>
      <c r="E17" s="100">
        <v>0</v>
      </c>
      <c r="F17" s="36">
        <v>0</v>
      </c>
      <c r="G17" s="100" t="s">
        <v>1415</v>
      </c>
      <c r="H17" s="36" t="s">
        <v>1415</v>
      </c>
      <c r="I17" s="34">
        <v>1.1000000000000001E-3</v>
      </c>
      <c r="J17" s="11">
        <f t="shared" si="0"/>
        <v>1.1000000000000001E-3</v>
      </c>
      <c r="K17" s="6" t="s">
        <v>1416</v>
      </c>
      <c r="L17" s="20" t="s">
        <v>1421</v>
      </c>
      <c r="M17" s="7">
        <f>IF(ISBLANK($B17),_xlfn.XLOOKUP($A17,'2. TEUs &amp; Activities - EF'!$A$9:$A$190,'2. TEUs &amp; Activities - EF'!$J$9:$J$190),_xlfn.XLOOKUP($B17,'2. TEUs &amp; Activities - EF'!$B$9:$B$190,'2. TEUs &amp; Activities - EF'!$J$9:$J$190))*'3. Pollutant Emissions - EF'!$I17*IF(OR(ISBLANK($E17),$G17="Yes"),1,$E17)*IF($H17="Yes",1,(1-$F17))</f>
        <v>0.14170588235294118</v>
      </c>
      <c r="N17" s="5">
        <f>IF(ISBLANK($B17),_xlfn.XLOOKUP($A17,'2. TEUs &amp; Activities - EF'!$A$9:$A$190,'2. TEUs &amp; Activities - EF'!$M$9:$M$190),_xlfn.XLOOKUP($B17,'2. TEUs &amp; Activities - EF'!$B$9:$B$190,'2. TEUs &amp; Activities - EF'!$M$9:$M$190))*'3. Pollutant Emissions - EF'!$J17*IF(OR(ISBLANK($E17),$G17="Yes"),1,$E17)*IF($H17="Yes",1,(1-$F17))</f>
        <v>3.8823529411764702E-4</v>
      </c>
      <c r="O17" s="130"/>
    </row>
    <row r="18" spans="1:15" ht="15" x14ac:dyDescent="0.25">
      <c r="A18" s="5" t="s">
        <v>1309</v>
      </c>
      <c r="B18" s="7"/>
      <c r="C18" s="13" t="s">
        <v>57</v>
      </c>
      <c r="D18" s="19" t="str">
        <f>IFERROR(IF(C18="No CAS","",INDEX('DEQ Pollutant List'!$B$7:$B$611,MATCH('3. Pollutant Emissions - EF'!C18,'DEQ Pollutant List'!$A$7:$A$611,0))),"")</f>
        <v>Chromium VI, chromate and dichromate particulate</v>
      </c>
      <c r="E18" s="100">
        <v>0</v>
      </c>
      <c r="F18" s="36">
        <v>0</v>
      </c>
      <c r="G18" s="100" t="s">
        <v>1415</v>
      </c>
      <c r="H18" s="36" t="s">
        <v>1415</v>
      </c>
      <c r="I18" s="34">
        <v>1.4E-3</v>
      </c>
      <c r="J18" s="11">
        <f t="shared" si="0"/>
        <v>1.4E-3</v>
      </c>
      <c r="K18" s="6" t="s">
        <v>1416</v>
      </c>
      <c r="L18" s="20" t="s">
        <v>1421</v>
      </c>
      <c r="M18" s="7">
        <f>IF(ISBLANK($B18),_xlfn.XLOOKUP($A18,'2. TEUs &amp; Activities - EF'!$A$9:$A$190,'2. TEUs &amp; Activities - EF'!$J$9:$J$190),_xlfn.XLOOKUP($B18,'2. TEUs &amp; Activities - EF'!$B$9:$B$190,'2. TEUs &amp; Activities - EF'!$J$9:$J$190))*'3. Pollutant Emissions - EF'!$I18*IF(OR(ISBLANK($E18),$G18="Yes"),1,$E18)*IF($H18="Yes",1,(1-$F18))</f>
        <v>0.18035294117647058</v>
      </c>
      <c r="N18" s="5">
        <f>IF(ISBLANK($B18),_xlfn.XLOOKUP($A18,'2. TEUs &amp; Activities - EF'!$A$9:$A$190,'2. TEUs &amp; Activities - EF'!$M$9:$M$190),_xlfn.XLOOKUP($B18,'2. TEUs &amp; Activities - EF'!$B$9:$B$190,'2. TEUs &amp; Activities - EF'!$M$9:$M$190))*'3. Pollutant Emissions - EF'!$J18*IF(OR(ISBLANK($E18),$G18="Yes"),1,$E18)*IF($H18="Yes",1,(1-$F18))</f>
        <v>4.9411764705882349E-4</v>
      </c>
      <c r="O18" s="130"/>
    </row>
    <row r="19" spans="1:15" ht="15" x14ac:dyDescent="0.25">
      <c r="A19" s="5" t="s">
        <v>1309</v>
      </c>
      <c r="B19" s="7"/>
      <c r="C19" s="13" t="s">
        <v>58</v>
      </c>
      <c r="D19" s="19" t="str">
        <f>IFERROR(IF(C19="No CAS","",INDEX('DEQ Pollutant List'!$B$7:$B$611,MATCH('3. Pollutant Emissions - EF'!C19,'DEQ Pollutant List'!$A$7:$A$611,0))),"")</f>
        <v>Cobalt and compounds</v>
      </c>
      <c r="E19" s="100">
        <v>0</v>
      </c>
      <c r="F19" s="36">
        <v>0</v>
      </c>
      <c r="G19" s="100" t="s">
        <v>1415</v>
      </c>
      <c r="H19" s="36" t="s">
        <v>1415</v>
      </c>
      <c r="I19" s="34">
        <v>8.3999999999999995E-5</v>
      </c>
      <c r="J19" s="11">
        <f t="shared" si="0"/>
        <v>8.3999999999999995E-5</v>
      </c>
      <c r="K19" s="6" t="s">
        <v>1416</v>
      </c>
      <c r="L19" s="20" t="s">
        <v>1421</v>
      </c>
      <c r="M19" s="7">
        <f>IF(ISBLANK($B19),_xlfn.XLOOKUP($A19,'2. TEUs &amp; Activities - EF'!$A$9:$A$190,'2. TEUs &amp; Activities - EF'!$J$9:$J$190),_xlfn.XLOOKUP($B19,'2. TEUs &amp; Activities - EF'!$B$9:$B$190,'2. TEUs &amp; Activities - EF'!$J$9:$J$190))*'3. Pollutant Emissions - EF'!$I19*IF(OR(ISBLANK($E19),$G19="Yes"),1,$E19)*IF($H19="Yes",1,(1-$F19))</f>
        <v>1.0821176470588233E-2</v>
      </c>
      <c r="N19" s="5">
        <f>IF(ISBLANK($B19),_xlfn.XLOOKUP($A19,'2. TEUs &amp; Activities - EF'!$A$9:$A$190,'2. TEUs &amp; Activities - EF'!$M$9:$M$190),_xlfn.XLOOKUP($B19,'2. TEUs &amp; Activities - EF'!$B$9:$B$190,'2. TEUs &amp; Activities - EF'!$M$9:$M$190))*'3. Pollutant Emissions - EF'!$J19*IF(OR(ISBLANK($E19),$G19="Yes"),1,$E19)*IF($H19="Yes",1,(1-$F19))</f>
        <v>2.9647058823529407E-5</v>
      </c>
      <c r="O19" s="130"/>
    </row>
    <row r="20" spans="1:15" ht="15" x14ac:dyDescent="0.25">
      <c r="A20" s="5" t="s">
        <v>1309</v>
      </c>
      <c r="B20" s="7"/>
      <c r="C20" s="13" t="s">
        <v>59</v>
      </c>
      <c r="D20" s="19" t="str">
        <f>IFERROR(IF(C20="No CAS","",INDEX('DEQ Pollutant List'!$B$7:$B$611,MATCH('3. Pollutant Emissions - EF'!C20,'DEQ Pollutant List'!$A$7:$A$611,0))),"")</f>
        <v>Copper and compounds</v>
      </c>
      <c r="E20" s="100">
        <v>0</v>
      </c>
      <c r="F20" s="36">
        <v>0</v>
      </c>
      <c r="G20" s="100" t="s">
        <v>1415</v>
      </c>
      <c r="H20" s="36" t="s">
        <v>1415</v>
      </c>
      <c r="I20" s="34">
        <v>8.4999999999999995E-4</v>
      </c>
      <c r="J20" s="11">
        <f t="shared" si="0"/>
        <v>8.4999999999999995E-4</v>
      </c>
      <c r="K20" s="6" t="s">
        <v>1416</v>
      </c>
      <c r="L20" s="20" t="s">
        <v>1421</v>
      </c>
      <c r="M20" s="7">
        <f>IF(ISBLANK($B20),_xlfn.XLOOKUP($A20,'2. TEUs &amp; Activities - EF'!$A$9:$A$190,'2. TEUs &amp; Activities - EF'!$J$9:$J$190),_xlfn.XLOOKUP($B20,'2. TEUs &amp; Activities - EF'!$B$9:$B$190,'2. TEUs &amp; Activities - EF'!$J$9:$J$190))*'3. Pollutant Emissions - EF'!$I20*IF(OR(ISBLANK($E20),$G20="Yes"),1,$E20)*IF($H20="Yes",1,(1-$F20))</f>
        <v>0.10949999999999999</v>
      </c>
      <c r="N20" s="5">
        <f>IF(ISBLANK($B20),_xlfn.XLOOKUP($A20,'2. TEUs &amp; Activities - EF'!$A$9:$A$190,'2. TEUs &amp; Activities - EF'!$M$9:$M$190),_xlfn.XLOOKUP($B20,'2. TEUs &amp; Activities - EF'!$B$9:$B$190,'2. TEUs &amp; Activities - EF'!$M$9:$M$190))*'3. Pollutant Emissions - EF'!$J20*IF(OR(ISBLANK($E20),$G20="Yes"),1,$E20)*IF($H20="Yes",1,(1-$F20))</f>
        <v>2.9999999999999997E-4</v>
      </c>
      <c r="O20" s="130"/>
    </row>
    <row r="21" spans="1:15" ht="15" x14ac:dyDescent="0.25">
      <c r="A21" s="5" t="s">
        <v>1309</v>
      </c>
      <c r="B21" s="7"/>
      <c r="C21" s="13" t="s">
        <v>60</v>
      </c>
      <c r="D21" s="19" t="str">
        <f>IFERROR(IF(C21="No CAS","",INDEX('DEQ Pollutant List'!$B$7:$B$611,MATCH('3. Pollutant Emissions - EF'!C21,'DEQ Pollutant List'!$A$7:$A$611,0))),"")</f>
        <v>Ethyl benzene</v>
      </c>
      <c r="E21" s="100">
        <v>0</v>
      </c>
      <c r="F21" s="36">
        <v>0</v>
      </c>
      <c r="G21" s="100" t="s">
        <v>1415</v>
      </c>
      <c r="H21" s="36" t="s">
        <v>1415</v>
      </c>
      <c r="I21" s="34">
        <v>6.8999999999999999E-3</v>
      </c>
      <c r="J21" s="11">
        <f t="shared" si="0"/>
        <v>6.8999999999999999E-3</v>
      </c>
      <c r="K21" s="6" t="s">
        <v>1416</v>
      </c>
      <c r="L21" s="20" t="s">
        <v>1421</v>
      </c>
      <c r="M21" s="7">
        <f>IF(ISBLANK($B21),_xlfn.XLOOKUP($A21,'2. TEUs &amp; Activities - EF'!$A$9:$A$190,'2. TEUs &amp; Activities - EF'!$J$9:$J$190),_xlfn.XLOOKUP($B21,'2. TEUs &amp; Activities - EF'!$B$9:$B$190,'2. TEUs &amp; Activities - EF'!$J$9:$J$190))*'3. Pollutant Emissions - EF'!$I21*IF(OR(ISBLANK($E21),$G21="Yes"),1,$E21)*IF($H21="Yes",1,(1-$F21))</f>
        <v>0.88888235294117635</v>
      </c>
      <c r="N21" s="5">
        <f>IF(ISBLANK($B21),_xlfn.XLOOKUP($A21,'2. TEUs &amp; Activities - EF'!$A$9:$A$190,'2. TEUs &amp; Activities - EF'!$M$9:$M$190),_xlfn.XLOOKUP($B21,'2. TEUs &amp; Activities - EF'!$B$9:$B$190,'2. TEUs &amp; Activities - EF'!$M$9:$M$190))*'3. Pollutant Emissions - EF'!$J21*IF(OR(ISBLANK($E21),$G21="Yes"),1,$E21)*IF($H21="Yes",1,(1-$F21))</f>
        <v>2.4352941176470585E-3</v>
      </c>
      <c r="O21" s="130"/>
    </row>
    <row r="22" spans="1:15" ht="15" x14ac:dyDescent="0.25">
      <c r="A22" s="5" t="s">
        <v>1309</v>
      </c>
      <c r="B22" s="7"/>
      <c r="C22" s="13" t="s">
        <v>47</v>
      </c>
      <c r="D22" s="19" t="str">
        <f>IFERROR(IF(C22="No CAS","",INDEX('DEQ Pollutant List'!$B$7:$B$611,MATCH('3. Pollutant Emissions - EF'!C22,'DEQ Pollutant List'!$A$7:$A$611,0))),"")</f>
        <v>Formaldehyde</v>
      </c>
      <c r="E22" s="100">
        <v>0</v>
      </c>
      <c r="F22" s="36">
        <v>0</v>
      </c>
      <c r="G22" s="100" t="s">
        <v>1415</v>
      </c>
      <c r="H22" s="36" t="s">
        <v>1415</v>
      </c>
      <c r="I22" s="34">
        <v>1.23E-2</v>
      </c>
      <c r="J22" s="11">
        <f t="shared" si="0"/>
        <v>1.23E-2</v>
      </c>
      <c r="K22" s="6" t="s">
        <v>1416</v>
      </c>
      <c r="L22" s="20" t="s">
        <v>1421</v>
      </c>
      <c r="M22" s="7">
        <f>IF(ISBLANK($B22),_xlfn.XLOOKUP($A22,'2. TEUs &amp; Activities - EF'!$A$9:$A$190,'2. TEUs &amp; Activities - EF'!$J$9:$J$190),_xlfn.XLOOKUP($B22,'2. TEUs &amp; Activities - EF'!$B$9:$B$190,'2. TEUs &amp; Activities - EF'!$J$9:$J$190))*'3. Pollutant Emissions - EF'!$I22*IF(OR(ISBLANK($E22),$G22="Yes"),1,$E22)*IF($H22="Yes",1,(1-$F22))</f>
        <v>1.5845294117647057</v>
      </c>
      <c r="N22" s="5">
        <f>IF(ISBLANK($B22),_xlfn.XLOOKUP($A22,'2. TEUs &amp; Activities - EF'!$A$9:$A$190,'2. TEUs &amp; Activities - EF'!$M$9:$M$190),_xlfn.XLOOKUP($B22,'2. TEUs &amp; Activities - EF'!$B$9:$B$190,'2. TEUs &amp; Activities - EF'!$M$9:$M$190))*'3. Pollutant Emissions - EF'!$J22*IF(OR(ISBLANK($E22),$G22="Yes"),1,$E22)*IF($H22="Yes",1,(1-$F22))</f>
        <v>4.3411764705882346E-3</v>
      </c>
      <c r="O22" s="130"/>
    </row>
    <row r="23" spans="1:15" ht="15" x14ac:dyDescent="0.25">
      <c r="A23" s="5" t="s">
        <v>1309</v>
      </c>
      <c r="B23" s="7"/>
      <c r="C23" s="13" t="s">
        <v>61</v>
      </c>
      <c r="D23" s="19" t="str">
        <f>IFERROR(IF(C23="No CAS","",INDEX('DEQ Pollutant List'!$B$7:$B$611,MATCH('3. Pollutant Emissions - EF'!C23,'DEQ Pollutant List'!$A$7:$A$611,0))),"")</f>
        <v>Hexane</v>
      </c>
      <c r="E23" s="100">
        <v>0</v>
      </c>
      <c r="F23" s="36">
        <v>0</v>
      </c>
      <c r="G23" s="100" t="s">
        <v>1415</v>
      </c>
      <c r="H23" s="36" t="s">
        <v>1415</v>
      </c>
      <c r="I23" s="34">
        <v>4.5999999999999999E-3</v>
      </c>
      <c r="J23" s="11">
        <f t="shared" si="0"/>
        <v>4.5999999999999999E-3</v>
      </c>
      <c r="K23" s="6" t="s">
        <v>1416</v>
      </c>
      <c r="L23" s="20" t="s">
        <v>1421</v>
      </c>
      <c r="M23" s="7">
        <f>IF(ISBLANK($B23),_xlfn.XLOOKUP($A23,'2. TEUs &amp; Activities - EF'!$A$9:$A$190,'2. TEUs &amp; Activities - EF'!$J$9:$J$190),_xlfn.XLOOKUP($B23,'2. TEUs &amp; Activities - EF'!$B$9:$B$190,'2. TEUs &amp; Activities - EF'!$J$9:$J$190))*'3. Pollutant Emissions - EF'!$I23*IF(OR(ISBLANK($E23),$G23="Yes"),1,$E23)*IF($H23="Yes",1,(1-$F23))</f>
        <v>0.59258823529411764</v>
      </c>
      <c r="N23" s="5">
        <f>IF(ISBLANK($B23),_xlfn.XLOOKUP($A23,'2. TEUs &amp; Activities - EF'!$A$9:$A$190,'2. TEUs &amp; Activities - EF'!$M$9:$M$190),_xlfn.XLOOKUP($B23,'2. TEUs &amp; Activities - EF'!$B$9:$B$190,'2. TEUs &amp; Activities - EF'!$M$9:$M$190))*'3. Pollutant Emissions - EF'!$J23*IF(OR(ISBLANK($E23),$G23="Yes"),1,$E23)*IF($H23="Yes",1,(1-$F23))</f>
        <v>1.6235294117647057E-3</v>
      </c>
      <c r="O23" s="130"/>
    </row>
    <row r="24" spans="1:15" ht="15" x14ac:dyDescent="0.25">
      <c r="A24" s="5" t="s">
        <v>1309</v>
      </c>
      <c r="B24" s="7"/>
      <c r="C24" s="13" t="s">
        <v>62</v>
      </c>
      <c r="D24" s="19" t="str">
        <f>IFERROR(IF(C24="No CAS","",INDEX('DEQ Pollutant List'!$B$7:$B$611,MATCH('3. Pollutant Emissions - EF'!C24,'DEQ Pollutant List'!$A$7:$A$611,0))),"")</f>
        <v>Lead and compounds</v>
      </c>
      <c r="E24" s="100">
        <v>0</v>
      </c>
      <c r="F24" s="36">
        <v>0</v>
      </c>
      <c r="G24" s="100" t="s">
        <v>1415</v>
      </c>
      <c r="H24" s="36" t="s">
        <v>1415</v>
      </c>
      <c r="I24" s="34">
        <v>5.0000000000000001E-4</v>
      </c>
      <c r="J24" s="11">
        <f t="shared" si="0"/>
        <v>5.0000000000000001E-4</v>
      </c>
      <c r="K24" s="6" t="s">
        <v>1416</v>
      </c>
      <c r="L24" s="20" t="s">
        <v>1421</v>
      </c>
      <c r="M24" s="7">
        <f>IF(ISBLANK($B24),_xlfn.XLOOKUP($A24,'2. TEUs &amp; Activities - EF'!$A$9:$A$190,'2. TEUs &amp; Activities - EF'!$J$9:$J$190),_xlfn.XLOOKUP($B24,'2. TEUs &amp; Activities - EF'!$B$9:$B$190,'2. TEUs &amp; Activities - EF'!$J$9:$J$190))*'3. Pollutant Emissions - EF'!$I24*IF(OR(ISBLANK($E24),$G24="Yes"),1,$E24)*IF($H24="Yes",1,(1-$F24))</f>
        <v>6.4411764705882349E-2</v>
      </c>
      <c r="N24" s="5">
        <f>IF(ISBLANK($B24),_xlfn.XLOOKUP($A24,'2. TEUs &amp; Activities - EF'!$A$9:$A$190,'2. TEUs &amp; Activities - EF'!$M$9:$M$190),_xlfn.XLOOKUP($B24,'2. TEUs &amp; Activities - EF'!$B$9:$B$190,'2. TEUs &amp; Activities - EF'!$M$9:$M$190))*'3. Pollutant Emissions - EF'!$J24*IF(OR(ISBLANK($E24),$G24="Yes"),1,$E24)*IF($H24="Yes",1,(1-$F24))</f>
        <v>1.764705882352941E-4</v>
      </c>
      <c r="O24" s="130"/>
    </row>
    <row r="25" spans="1:15" ht="15" x14ac:dyDescent="0.25">
      <c r="A25" s="5" t="s">
        <v>1309</v>
      </c>
      <c r="B25" s="7"/>
      <c r="C25" s="13" t="s">
        <v>63</v>
      </c>
      <c r="D25" s="19" t="str">
        <f>IFERROR(IF(C25="No CAS","",INDEX('DEQ Pollutant List'!$B$7:$B$611,MATCH('3. Pollutant Emissions - EF'!C25,'DEQ Pollutant List'!$A$7:$A$611,0))),"")</f>
        <v>Manganese and compounds</v>
      </c>
      <c r="E25" s="100">
        <v>0</v>
      </c>
      <c r="F25" s="36">
        <v>0</v>
      </c>
      <c r="G25" s="100" t="s">
        <v>1415</v>
      </c>
      <c r="H25" s="36" t="s">
        <v>1415</v>
      </c>
      <c r="I25" s="34">
        <v>3.8000000000000002E-4</v>
      </c>
      <c r="J25" s="11">
        <f t="shared" si="0"/>
        <v>3.8000000000000002E-4</v>
      </c>
      <c r="K25" s="6" t="s">
        <v>1416</v>
      </c>
      <c r="L25" s="20" t="s">
        <v>1421</v>
      </c>
      <c r="M25" s="7">
        <f>IF(ISBLANK($B25),_xlfn.XLOOKUP($A25,'2. TEUs &amp; Activities - EF'!$A$9:$A$190,'2. TEUs &amp; Activities - EF'!$J$9:$J$190),_xlfn.XLOOKUP($B25,'2. TEUs &amp; Activities - EF'!$B$9:$B$190,'2. TEUs &amp; Activities - EF'!$J$9:$J$190))*'3. Pollutant Emissions - EF'!$I25*IF(OR(ISBLANK($E25),$G25="Yes"),1,$E25)*IF($H25="Yes",1,(1-$F25))</f>
        <v>4.8952941176470588E-2</v>
      </c>
      <c r="N25" s="5">
        <f>IF(ISBLANK($B25),_xlfn.XLOOKUP($A25,'2. TEUs &amp; Activities - EF'!$A$9:$A$190,'2. TEUs &amp; Activities - EF'!$M$9:$M$190),_xlfn.XLOOKUP($B25,'2. TEUs &amp; Activities - EF'!$B$9:$B$190,'2. TEUs &amp; Activities - EF'!$M$9:$M$190))*'3. Pollutant Emissions - EF'!$J25*IF(OR(ISBLANK($E25),$G25="Yes"),1,$E25)*IF($H25="Yes",1,(1-$F25))</f>
        <v>1.3411764705882352E-4</v>
      </c>
      <c r="O25" s="130"/>
    </row>
    <row r="26" spans="1:15" ht="15" x14ac:dyDescent="0.25">
      <c r="A26" s="5" t="s">
        <v>1309</v>
      </c>
      <c r="B26" s="7"/>
      <c r="C26" s="13" t="s">
        <v>64</v>
      </c>
      <c r="D26" s="19" t="str">
        <f>IFERROR(IF(C26="No CAS","",INDEX('DEQ Pollutant List'!$B$7:$B$611,MATCH('3. Pollutant Emissions - EF'!C26,'DEQ Pollutant List'!$A$7:$A$611,0))),"")</f>
        <v>Mercury and compounds</v>
      </c>
      <c r="E26" s="100">
        <v>0</v>
      </c>
      <c r="F26" s="36">
        <v>0</v>
      </c>
      <c r="G26" s="100" t="s">
        <v>1415</v>
      </c>
      <c r="H26" s="36" t="s">
        <v>1415</v>
      </c>
      <c r="I26" s="34">
        <v>2.5999999999999998E-4</v>
      </c>
      <c r="J26" s="11">
        <f t="shared" si="0"/>
        <v>2.5999999999999998E-4</v>
      </c>
      <c r="K26" s="6" t="s">
        <v>1416</v>
      </c>
      <c r="L26" s="20" t="s">
        <v>1421</v>
      </c>
      <c r="M26" s="7">
        <f>IF(ISBLANK($B26),_xlfn.XLOOKUP($A26,'2. TEUs &amp; Activities - EF'!$A$9:$A$190,'2. TEUs &amp; Activities - EF'!$J$9:$J$190),_xlfn.XLOOKUP($B26,'2. TEUs &amp; Activities - EF'!$B$9:$B$190,'2. TEUs &amp; Activities - EF'!$J$9:$J$190))*'3. Pollutant Emissions - EF'!$I26*IF(OR(ISBLANK($E26),$G26="Yes"),1,$E26)*IF($H26="Yes",1,(1-$F26))</f>
        <v>3.349411764705882E-2</v>
      </c>
      <c r="N26" s="5">
        <f>IF(ISBLANK($B26),_xlfn.XLOOKUP($A26,'2. TEUs &amp; Activities - EF'!$A$9:$A$190,'2. TEUs &amp; Activities - EF'!$M$9:$M$190),_xlfn.XLOOKUP($B26,'2. TEUs &amp; Activities - EF'!$B$9:$B$190,'2. TEUs &amp; Activities - EF'!$M$9:$M$190))*'3. Pollutant Emissions - EF'!$J26*IF(OR(ISBLANK($E26),$G26="Yes"),1,$E26)*IF($H26="Yes",1,(1-$F26))</f>
        <v>9.176470588235292E-5</v>
      </c>
      <c r="O26" s="130"/>
    </row>
    <row r="27" spans="1:15" ht="15" x14ac:dyDescent="0.25">
      <c r="A27" s="5" t="s">
        <v>1309</v>
      </c>
      <c r="B27" s="7"/>
      <c r="C27" s="13" t="s">
        <v>65</v>
      </c>
      <c r="D27" s="19" t="str">
        <f>IFERROR(IF(C27="No CAS","",INDEX('DEQ Pollutant List'!$B$7:$B$611,MATCH('3. Pollutant Emissions - EF'!C27,'DEQ Pollutant List'!$A$7:$A$611,0))),"")</f>
        <v>Molybdenum trioxide</v>
      </c>
      <c r="E27" s="100">
        <v>0</v>
      </c>
      <c r="F27" s="36">
        <v>0</v>
      </c>
      <c r="G27" s="100" t="s">
        <v>1415</v>
      </c>
      <c r="H27" s="36" t="s">
        <v>1415</v>
      </c>
      <c r="I27" s="34">
        <v>1.65E-3</v>
      </c>
      <c r="J27" s="11">
        <f t="shared" si="0"/>
        <v>1.65E-3</v>
      </c>
      <c r="K27" s="6" t="s">
        <v>1416</v>
      </c>
      <c r="L27" s="20" t="s">
        <v>1421</v>
      </c>
      <c r="M27" s="7">
        <f>IF(ISBLANK($B27),_xlfn.XLOOKUP($A27,'2. TEUs &amp; Activities - EF'!$A$9:$A$190,'2. TEUs &amp; Activities - EF'!$J$9:$J$190),_xlfn.XLOOKUP($B27,'2. TEUs &amp; Activities - EF'!$B$9:$B$190,'2. TEUs &amp; Activities - EF'!$J$9:$J$190))*'3. Pollutant Emissions - EF'!$I27*IF(OR(ISBLANK($E27),$G27="Yes"),1,$E27)*IF($H27="Yes",1,(1-$F27))</f>
        <v>0.21255882352941174</v>
      </c>
      <c r="N27" s="5">
        <f>IF(ISBLANK($B27),_xlfn.XLOOKUP($A27,'2. TEUs &amp; Activities - EF'!$A$9:$A$190,'2. TEUs &amp; Activities - EF'!$M$9:$M$190),_xlfn.XLOOKUP($B27,'2. TEUs &amp; Activities - EF'!$B$9:$B$190,'2. TEUs &amp; Activities - EF'!$M$9:$M$190))*'3. Pollutant Emissions - EF'!$J27*IF(OR(ISBLANK($E27),$G27="Yes"),1,$E27)*IF($H27="Yes",1,(1-$F27))</f>
        <v>5.8235294117647048E-4</v>
      </c>
      <c r="O27" s="130"/>
    </row>
    <row r="28" spans="1:15" ht="15" x14ac:dyDescent="0.25">
      <c r="A28" s="5" t="s">
        <v>1309</v>
      </c>
      <c r="B28" s="7"/>
      <c r="C28" s="13" t="s">
        <v>49</v>
      </c>
      <c r="D28" s="19" t="str">
        <f>IFERROR(IF(C28="No CAS","",INDEX('DEQ Pollutant List'!$B$7:$B$611,MATCH('3. Pollutant Emissions - EF'!C28,'DEQ Pollutant List'!$A$7:$A$611,0))),"")</f>
        <v>Naphthalene</v>
      </c>
      <c r="E28" s="100">
        <v>0</v>
      </c>
      <c r="F28" s="36">
        <v>0</v>
      </c>
      <c r="G28" s="100" t="s">
        <v>1415</v>
      </c>
      <c r="H28" s="36" t="s">
        <v>1415</v>
      </c>
      <c r="I28" s="34">
        <v>2.9999999999999997E-4</v>
      </c>
      <c r="J28" s="11">
        <f t="shared" si="0"/>
        <v>2.9999999999999997E-4</v>
      </c>
      <c r="K28" s="6" t="s">
        <v>1416</v>
      </c>
      <c r="L28" s="20" t="s">
        <v>1421</v>
      </c>
      <c r="M28" s="7">
        <f>IF(ISBLANK($B28),_xlfn.XLOOKUP($A28,'2. TEUs &amp; Activities - EF'!$A$9:$A$190,'2. TEUs &amp; Activities - EF'!$J$9:$J$190),_xlfn.XLOOKUP($B28,'2. TEUs &amp; Activities - EF'!$B$9:$B$190,'2. TEUs &amp; Activities - EF'!$J$9:$J$190))*'3. Pollutant Emissions - EF'!$I28*IF(OR(ISBLANK($E28),$G28="Yes"),1,$E28)*IF($H28="Yes",1,(1-$F28))</f>
        <v>3.8647058823529402E-2</v>
      </c>
      <c r="N28" s="5">
        <f>IF(ISBLANK($B28),_xlfn.XLOOKUP($A28,'2. TEUs &amp; Activities - EF'!$A$9:$A$190,'2. TEUs &amp; Activities - EF'!$M$9:$M$190),_xlfn.XLOOKUP($B28,'2. TEUs &amp; Activities - EF'!$B$9:$B$190,'2. TEUs &amp; Activities - EF'!$M$9:$M$190))*'3. Pollutant Emissions - EF'!$J28*IF(OR(ISBLANK($E28),$G28="Yes"),1,$E28)*IF($H28="Yes",1,(1-$F28))</f>
        <v>1.0588235294117645E-4</v>
      </c>
      <c r="O28" s="130"/>
    </row>
    <row r="29" spans="1:15" ht="15" x14ac:dyDescent="0.25">
      <c r="A29" s="5" t="s">
        <v>1309</v>
      </c>
      <c r="B29" s="7"/>
      <c r="C29" s="13" t="s">
        <v>66</v>
      </c>
      <c r="D29" s="19" t="str">
        <f>IFERROR(IF(C29="No CAS","",INDEX('DEQ Pollutant List'!$B$7:$B$611,MATCH('3. Pollutant Emissions - EF'!C29,'DEQ Pollutant List'!$A$7:$A$611,0))),"")</f>
        <v>Nickel and compounds</v>
      </c>
      <c r="E29" s="100">
        <v>0</v>
      </c>
      <c r="F29" s="36">
        <v>0</v>
      </c>
      <c r="G29" s="100" t="s">
        <v>1415</v>
      </c>
      <c r="H29" s="36" t="s">
        <v>1415</v>
      </c>
      <c r="I29" s="34">
        <v>2.0999999999999999E-3</v>
      </c>
      <c r="J29" s="11">
        <f t="shared" si="0"/>
        <v>2.0999999999999999E-3</v>
      </c>
      <c r="K29" s="6" t="s">
        <v>1416</v>
      </c>
      <c r="L29" s="20" t="s">
        <v>1421</v>
      </c>
      <c r="M29" s="7">
        <f>IF(ISBLANK($B29),_xlfn.XLOOKUP($A29,'2. TEUs &amp; Activities - EF'!$A$9:$A$190,'2. TEUs &amp; Activities - EF'!$J$9:$J$190),_xlfn.XLOOKUP($B29,'2. TEUs &amp; Activities - EF'!$B$9:$B$190,'2. TEUs &amp; Activities - EF'!$J$9:$J$190))*'3. Pollutant Emissions - EF'!$I29*IF(OR(ISBLANK($E29),$G29="Yes"),1,$E29)*IF($H29="Yes",1,(1-$F29))</f>
        <v>0.27052941176470585</v>
      </c>
      <c r="N29" s="5">
        <f>IF(ISBLANK($B29),_xlfn.XLOOKUP($A29,'2. TEUs &amp; Activities - EF'!$A$9:$A$190,'2. TEUs &amp; Activities - EF'!$M$9:$M$190),_xlfn.XLOOKUP($B29,'2. TEUs &amp; Activities - EF'!$B$9:$B$190,'2. TEUs &amp; Activities - EF'!$M$9:$M$190))*'3. Pollutant Emissions - EF'!$J29*IF(OR(ISBLANK($E29),$G29="Yes"),1,$E29)*IF($H29="Yes",1,(1-$F29))</f>
        <v>7.4117647058823523E-4</v>
      </c>
      <c r="O29" s="130"/>
    </row>
    <row r="30" spans="1:15" ht="15" x14ac:dyDescent="0.25">
      <c r="A30" s="5" t="s">
        <v>1309</v>
      </c>
      <c r="B30" s="7"/>
      <c r="C30" s="13">
        <v>401</v>
      </c>
      <c r="D30" s="19" t="str">
        <f>IFERROR(IF(C30="No CAS","",INDEX('DEQ Pollutant List'!$B$7:$B$611,MATCH('3. Pollutant Emissions - EF'!C30,'DEQ Pollutant List'!$A$7:$A$611,0))),"")</f>
        <v>Polycyclic aromatic hydrocarbons (PAHs)</v>
      </c>
      <c r="E30" s="100">
        <v>0</v>
      </c>
      <c r="F30" s="36">
        <v>0</v>
      </c>
      <c r="G30" s="100" t="s">
        <v>1415</v>
      </c>
      <c r="H30" s="36" t="s">
        <v>1415</v>
      </c>
      <c r="I30" s="34">
        <v>1E-4</v>
      </c>
      <c r="J30" s="11">
        <f t="shared" si="0"/>
        <v>1E-4</v>
      </c>
      <c r="K30" s="6" t="s">
        <v>1416</v>
      </c>
      <c r="L30" s="20" t="s">
        <v>1421</v>
      </c>
      <c r="M30" s="7">
        <f>IF(ISBLANK($B30),_xlfn.XLOOKUP($A30,'2. TEUs &amp; Activities - EF'!$A$9:$A$190,'2. TEUs &amp; Activities - EF'!$J$9:$J$190),_xlfn.XLOOKUP($B30,'2. TEUs &amp; Activities - EF'!$B$9:$B$190,'2. TEUs &amp; Activities - EF'!$J$9:$J$190))*'3. Pollutant Emissions - EF'!$I30*IF(OR(ISBLANK($E30),$G30="Yes"),1,$E30)*IF($H30="Yes",1,(1-$F30))</f>
        <v>1.288235294117647E-2</v>
      </c>
      <c r="N30" s="5">
        <f>IF(ISBLANK($B30),_xlfn.XLOOKUP($A30,'2. TEUs &amp; Activities - EF'!$A$9:$A$190,'2. TEUs &amp; Activities - EF'!$M$9:$M$190),_xlfn.XLOOKUP($B30,'2. TEUs &amp; Activities - EF'!$B$9:$B$190,'2. TEUs &amp; Activities - EF'!$M$9:$M$190))*'3. Pollutant Emissions - EF'!$J30*IF(OR(ISBLANK($E30),$G30="Yes"),1,$E30)*IF($H30="Yes",1,(1-$F30))</f>
        <v>3.529411764705882E-5</v>
      </c>
      <c r="O30" s="130"/>
    </row>
    <row r="31" spans="1:15" ht="15" x14ac:dyDescent="0.25">
      <c r="A31" s="5" t="s">
        <v>1309</v>
      </c>
      <c r="B31" s="7"/>
      <c r="C31" s="13" t="s">
        <v>67</v>
      </c>
      <c r="D31" s="19" t="str">
        <f>IFERROR(IF(C31="No CAS","",INDEX('DEQ Pollutant List'!$B$7:$B$611,MATCH('3. Pollutant Emissions - EF'!C31,'DEQ Pollutant List'!$A$7:$A$611,0))),"")</f>
        <v>Selenium and compounds</v>
      </c>
      <c r="E31" s="100">
        <v>0</v>
      </c>
      <c r="F31" s="36">
        <v>0</v>
      </c>
      <c r="G31" s="100" t="s">
        <v>1415</v>
      </c>
      <c r="H31" s="36" t="s">
        <v>1415</v>
      </c>
      <c r="I31" s="34">
        <v>2.4000000000000001E-5</v>
      </c>
      <c r="J31" s="11">
        <f t="shared" si="0"/>
        <v>2.4000000000000001E-5</v>
      </c>
      <c r="K31" s="6" t="s">
        <v>1416</v>
      </c>
      <c r="L31" s="20" t="s">
        <v>1421</v>
      </c>
      <c r="M31" s="7">
        <f>IF(ISBLANK($B31),_xlfn.XLOOKUP($A31,'2. TEUs &amp; Activities - EF'!$A$9:$A$190,'2. TEUs &amp; Activities - EF'!$J$9:$J$190),_xlfn.XLOOKUP($B31,'2. TEUs &amp; Activities - EF'!$B$9:$B$190,'2. TEUs &amp; Activities - EF'!$J$9:$J$190))*'3. Pollutant Emissions - EF'!$I31*IF(OR(ISBLANK($E31),$G31="Yes"),1,$E31)*IF($H31="Yes",1,(1-$F31))</f>
        <v>3.0917647058823529E-3</v>
      </c>
      <c r="N31" s="5">
        <f>IF(ISBLANK($B31),_xlfn.XLOOKUP($A31,'2. TEUs &amp; Activities - EF'!$A$9:$A$190,'2. TEUs &amp; Activities - EF'!$M$9:$M$190),_xlfn.XLOOKUP($B31,'2. TEUs &amp; Activities - EF'!$B$9:$B$190,'2. TEUs &amp; Activities - EF'!$M$9:$M$190))*'3. Pollutant Emissions - EF'!$J31*IF(OR(ISBLANK($E31),$G31="Yes"),1,$E31)*IF($H31="Yes",1,(1-$F31))</f>
        <v>8.4705882352941166E-6</v>
      </c>
      <c r="O31" s="130"/>
    </row>
    <row r="32" spans="1:15" ht="15" x14ac:dyDescent="0.25">
      <c r="A32" s="5" t="s">
        <v>1309</v>
      </c>
      <c r="B32" s="7"/>
      <c r="C32" s="13" t="s">
        <v>68</v>
      </c>
      <c r="D32" s="19" t="str">
        <f>IFERROR(IF(C32="No CAS","",INDEX('DEQ Pollutant List'!$B$7:$B$611,MATCH('3. Pollutant Emissions - EF'!C32,'DEQ Pollutant List'!$A$7:$A$611,0))),"")</f>
        <v>Toluene</v>
      </c>
      <c r="E32" s="100">
        <v>0</v>
      </c>
      <c r="F32" s="36">
        <v>0</v>
      </c>
      <c r="G32" s="100" t="s">
        <v>1415</v>
      </c>
      <c r="H32" s="36" t="s">
        <v>1415</v>
      </c>
      <c r="I32" s="34">
        <v>2.6499999999999999E-2</v>
      </c>
      <c r="J32" s="11">
        <f t="shared" si="0"/>
        <v>2.6499999999999999E-2</v>
      </c>
      <c r="K32" s="6" t="s">
        <v>1416</v>
      </c>
      <c r="L32" s="20" t="s">
        <v>1421</v>
      </c>
      <c r="M32" s="7">
        <f>IF(ISBLANK($B32),_xlfn.XLOOKUP($A32,'2. TEUs &amp; Activities - EF'!$A$9:$A$190,'2. TEUs &amp; Activities - EF'!$J$9:$J$190),_xlfn.XLOOKUP($B32,'2. TEUs &amp; Activities - EF'!$B$9:$B$190,'2. TEUs &amp; Activities - EF'!$J$9:$J$190))*'3. Pollutant Emissions - EF'!$I32*IF(OR(ISBLANK($E32),$G32="Yes"),1,$E32)*IF($H32="Yes",1,(1-$F32))</f>
        <v>3.4138235294117645</v>
      </c>
      <c r="N32" s="5">
        <f>IF(ISBLANK($B32),_xlfn.XLOOKUP($A32,'2. TEUs &amp; Activities - EF'!$A$9:$A$190,'2. TEUs &amp; Activities - EF'!$M$9:$M$190),_xlfn.XLOOKUP($B32,'2. TEUs &amp; Activities - EF'!$B$9:$B$190,'2. TEUs &amp; Activities - EF'!$M$9:$M$190))*'3. Pollutant Emissions - EF'!$J32*IF(OR(ISBLANK($E32),$G32="Yes"),1,$E32)*IF($H32="Yes",1,(1-$F32))</f>
        <v>9.3529411764705864E-3</v>
      </c>
      <c r="O32" s="130"/>
    </row>
    <row r="33" spans="1:15" ht="15" x14ac:dyDescent="0.25">
      <c r="A33" s="5" t="s">
        <v>1309</v>
      </c>
      <c r="B33" s="7"/>
      <c r="C33" s="13" t="s">
        <v>69</v>
      </c>
      <c r="D33" s="19" t="str">
        <f>IFERROR(IF(C33="No CAS","",INDEX('DEQ Pollutant List'!$B$7:$B$611,MATCH('3. Pollutant Emissions - EF'!C33,'DEQ Pollutant List'!$A$7:$A$611,0))),"")</f>
        <v>Vanadium (fume or dust)</v>
      </c>
      <c r="E33" s="100">
        <v>0</v>
      </c>
      <c r="F33" s="36">
        <v>0</v>
      </c>
      <c r="G33" s="100" t="s">
        <v>1415</v>
      </c>
      <c r="H33" s="36" t="s">
        <v>1415</v>
      </c>
      <c r="I33" s="34">
        <v>2.3E-3</v>
      </c>
      <c r="J33" s="11">
        <f t="shared" si="0"/>
        <v>2.3E-3</v>
      </c>
      <c r="K33" s="6" t="s">
        <v>1416</v>
      </c>
      <c r="L33" s="20" t="s">
        <v>1421</v>
      </c>
      <c r="M33" s="7">
        <f>IF(ISBLANK($B33),_xlfn.XLOOKUP($A33,'2. TEUs &amp; Activities - EF'!$A$9:$A$190,'2. TEUs &amp; Activities - EF'!$J$9:$J$190),_xlfn.XLOOKUP($B33,'2. TEUs &amp; Activities - EF'!$B$9:$B$190,'2. TEUs &amp; Activities - EF'!$J$9:$J$190))*'3. Pollutant Emissions - EF'!$I33*IF(OR(ISBLANK($E33),$G33="Yes"),1,$E33)*IF($H33="Yes",1,(1-$F33))</f>
        <v>0.29629411764705882</v>
      </c>
      <c r="N33" s="5">
        <f>IF(ISBLANK($B33),_xlfn.XLOOKUP($A33,'2. TEUs &amp; Activities - EF'!$A$9:$A$190,'2. TEUs &amp; Activities - EF'!$M$9:$M$190),_xlfn.XLOOKUP($B33,'2. TEUs &amp; Activities - EF'!$B$9:$B$190,'2. TEUs &amp; Activities - EF'!$M$9:$M$190))*'3. Pollutant Emissions - EF'!$J33*IF(OR(ISBLANK($E33),$G33="Yes"),1,$E33)*IF($H33="Yes",1,(1-$F33))</f>
        <v>8.1176470588235287E-4</v>
      </c>
      <c r="O33" s="130"/>
    </row>
    <row r="34" spans="1:15" ht="15" x14ac:dyDescent="0.25">
      <c r="A34" s="5" t="s">
        <v>1309</v>
      </c>
      <c r="B34" s="7"/>
      <c r="C34" s="13" t="s">
        <v>70</v>
      </c>
      <c r="D34" s="19" t="str">
        <f>IFERROR(IF(C34="No CAS","",INDEX('DEQ Pollutant List'!$B$7:$B$611,MATCH('3. Pollutant Emissions - EF'!C34,'DEQ Pollutant List'!$A$7:$A$611,0))),"")</f>
        <v>Xylene (mixture), including m-xylene, o-xylene, p-xylene</v>
      </c>
      <c r="E34" s="100">
        <v>0</v>
      </c>
      <c r="F34" s="36">
        <v>0</v>
      </c>
      <c r="G34" s="100" t="s">
        <v>1415</v>
      </c>
      <c r="H34" s="36" t="s">
        <v>1415</v>
      </c>
      <c r="I34" s="34">
        <v>1.9699999999999999E-2</v>
      </c>
      <c r="J34" s="11">
        <f t="shared" si="0"/>
        <v>1.9699999999999999E-2</v>
      </c>
      <c r="K34" s="6" t="s">
        <v>1416</v>
      </c>
      <c r="L34" s="20" t="s">
        <v>1421</v>
      </c>
      <c r="M34" s="7">
        <f>IF(ISBLANK($B34),_xlfn.XLOOKUP($A34,'2. TEUs &amp; Activities - EF'!$A$9:$A$190,'2. TEUs &amp; Activities - EF'!$J$9:$J$190),_xlfn.XLOOKUP($B34,'2. TEUs &amp; Activities - EF'!$B$9:$B$190,'2. TEUs &amp; Activities - EF'!$J$9:$J$190))*'3. Pollutant Emissions - EF'!$I34*IF(OR(ISBLANK($E34),$G34="Yes"),1,$E34)*IF($H34="Yes",1,(1-$F34))</f>
        <v>2.5378235294117641</v>
      </c>
      <c r="N34" s="5">
        <f>IF(ISBLANK($B34),_xlfn.XLOOKUP($A34,'2. TEUs &amp; Activities - EF'!$A$9:$A$190,'2. TEUs &amp; Activities - EF'!$M$9:$M$190),_xlfn.XLOOKUP($B34,'2. TEUs &amp; Activities - EF'!$B$9:$B$190,'2. TEUs &amp; Activities - EF'!$M$9:$M$190))*'3. Pollutant Emissions - EF'!$J34*IF(OR(ISBLANK($E34),$G34="Yes"),1,$E34)*IF($H34="Yes",1,(1-$F34))</f>
        <v>6.9529411764705871E-3</v>
      </c>
      <c r="O34" s="130"/>
    </row>
    <row r="35" spans="1:15" ht="15" x14ac:dyDescent="0.25">
      <c r="A35" s="5" t="s">
        <v>1309</v>
      </c>
      <c r="B35" s="7"/>
      <c r="C35" s="13" t="s">
        <v>71</v>
      </c>
      <c r="D35" s="19" t="str">
        <f>IFERROR(IF(C35="No CAS","",INDEX('DEQ Pollutant List'!$B$7:$B$611,MATCH('3. Pollutant Emissions - EF'!C35,'DEQ Pollutant List'!$A$7:$A$611,0))),"")</f>
        <v>Zinc and compounds</v>
      </c>
      <c r="E35" s="100">
        <v>0</v>
      </c>
      <c r="F35" s="36">
        <v>0</v>
      </c>
      <c r="G35" s="100" t="s">
        <v>1415</v>
      </c>
      <c r="H35" s="36" t="s">
        <v>1415</v>
      </c>
      <c r="I35" s="34">
        <v>2.9000000000000001E-2</v>
      </c>
      <c r="J35" s="11">
        <f t="shared" si="0"/>
        <v>2.9000000000000001E-2</v>
      </c>
      <c r="K35" s="6" t="s">
        <v>1416</v>
      </c>
      <c r="L35" s="20" t="s">
        <v>1421</v>
      </c>
      <c r="M35" s="7">
        <f>IF(ISBLANK($B35),_xlfn.XLOOKUP($A35,'2. TEUs &amp; Activities - EF'!$A$9:$A$190,'2. TEUs &amp; Activities - EF'!$J$9:$J$190),_xlfn.XLOOKUP($B35,'2. TEUs &amp; Activities - EF'!$B$9:$B$190,'2. TEUs &amp; Activities - EF'!$J$9:$J$190))*'3. Pollutant Emissions - EF'!$I35*IF(OR(ISBLANK($E35),$G35="Yes"),1,$E35)*IF($H35="Yes",1,(1-$F35))</f>
        <v>3.7358823529411764</v>
      </c>
      <c r="N35" s="5">
        <f>IF(ISBLANK($B35),_xlfn.XLOOKUP($A35,'2. TEUs &amp; Activities - EF'!$A$9:$A$190,'2. TEUs &amp; Activities - EF'!$M$9:$M$190),_xlfn.XLOOKUP($B35,'2. TEUs &amp; Activities - EF'!$B$9:$B$190,'2. TEUs &amp; Activities - EF'!$M$9:$M$190))*'3. Pollutant Emissions - EF'!$J35*IF(OR(ISBLANK($E35),$G35="Yes"),1,$E35)*IF($H35="Yes",1,(1-$F35))</f>
        <v>1.0235294117647058E-2</v>
      </c>
      <c r="O35" s="130"/>
    </row>
    <row r="36" spans="1:15" ht="15" x14ac:dyDescent="0.25">
      <c r="A36" s="5"/>
      <c r="B36" s="7"/>
      <c r="C36" s="13"/>
      <c r="D36" s="19" t="str">
        <f>IFERROR(IF(C36="No CAS","",INDEX('DEQ Pollutant List'!$B$7:$B$611,MATCH('3. Pollutant Emissions - EF'!C36,'DEQ Pollutant List'!$A$7:$A$611,0))),"")</f>
        <v/>
      </c>
      <c r="E36" s="100"/>
      <c r="F36" s="36"/>
      <c r="G36" s="100"/>
      <c r="H36" s="36"/>
      <c r="I36" s="34"/>
      <c r="J36" s="11"/>
      <c r="K36" s="6"/>
      <c r="L36" s="20"/>
      <c r="M36" s="7">
        <f>IF(ISBLANK($B36),_xlfn.XLOOKUP($A36,'2. TEUs &amp; Activities - EF'!$A$9:$A$190,'2. TEUs &amp; Activities - EF'!$J$9:$J$190),_xlfn.XLOOKUP($B36,'2. TEUs &amp; Activities - EF'!$B$9:$B$190,'2. TEUs &amp; Activities - EF'!$J$9:$J$190))*'3. Pollutant Emissions - EF'!$I36*IF(OR(ISBLANK($E36),$G36="Yes"),1,$E36)*IF($H36="Yes",1,(1-$F36))</f>
        <v>0</v>
      </c>
      <c r="N36" s="5">
        <f>IF(ISBLANK($B36),_xlfn.XLOOKUP($A36,'2. TEUs &amp; Activities - EF'!$A$9:$A$190,'2. TEUs &amp; Activities - EF'!$M$9:$M$190),_xlfn.XLOOKUP($B36,'2. TEUs &amp; Activities - EF'!$B$9:$B$190,'2. TEUs &amp; Activities - EF'!$M$9:$M$190))*'3. Pollutant Emissions - EF'!$J36*IF(OR(ISBLANK($E36),$G36="Yes"),1,$E36)*IF($H36="Yes",1,(1-$F36))</f>
        <v>0</v>
      </c>
      <c r="O36" s="130"/>
    </row>
    <row r="37" spans="1:15" ht="15" x14ac:dyDescent="0.25">
      <c r="A37" s="5" t="s">
        <v>1310</v>
      </c>
      <c r="B37" s="7"/>
      <c r="C37" s="13" t="s">
        <v>50</v>
      </c>
      <c r="D37" s="19" t="str">
        <f>IFERROR(IF(C37="No CAS","",INDEX('DEQ Pollutant List'!$B$7:$B$611,MATCH('3. Pollutant Emissions - EF'!C37,'DEQ Pollutant List'!$A$7:$A$611,0))),"")</f>
        <v>Acetaldehyde</v>
      </c>
      <c r="E37" s="100">
        <v>0</v>
      </c>
      <c r="F37" s="36">
        <v>0</v>
      </c>
      <c r="G37" s="100" t="s">
        <v>1415</v>
      </c>
      <c r="H37" s="36" t="s">
        <v>1415</v>
      </c>
      <c r="I37" s="34">
        <v>3.0999999999999999E-3</v>
      </c>
      <c r="J37" s="11">
        <f t="shared" si="0"/>
        <v>3.0999999999999999E-3</v>
      </c>
      <c r="K37" s="6" t="s">
        <v>1416</v>
      </c>
      <c r="L37" s="20" t="s">
        <v>1421</v>
      </c>
      <c r="M37" s="7">
        <f>IF(ISBLANK($B37),_xlfn.XLOOKUP($A37,'2. TEUs &amp; Activities - EF'!$A$9:$A$190,'2. TEUs &amp; Activities - EF'!$J$9:$J$190),_xlfn.XLOOKUP($B37,'2. TEUs &amp; Activities - EF'!$B$9:$B$190,'2. TEUs &amp; Activities - EF'!$J$9:$J$190))*'3. Pollutant Emissions - EF'!$I37*IF(OR(ISBLANK($E37),$G37="Yes"),1,$E37)*IF($H37="Yes",1,(1-$F37))</f>
        <v>0.39935294117647052</v>
      </c>
      <c r="N37" s="5">
        <f>IF(ISBLANK($B37),_xlfn.XLOOKUP($A37,'2. TEUs &amp; Activities - EF'!$A$9:$A$190,'2. TEUs &amp; Activities - EF'!$M$9:$M$190),_xlfn.XLOOKUP($B37,'2. TEUs &amp; Activities - EF'!$B$9:$B$190,'2. TEUs &amp; Activities - EF'!$M$9:$M$190))*'3. Pollutant Emissions - EF'!$J37*IF(OR(ISBLANK($E37),$G37="Yes"),1,$E37)*IF($H37="Yes",1,(1-$F37))</f>
        <v>1.0941176470588233E-3</v>
      </c>
      <c r="O37" s="130"/>
    </row>
    <row r="38" spans="1:15" ht="15" x14ac:dyDescent="0.25">
      <c r="A38" s="5" t="s">
        <v>1310</v>
      </c>
      <c r="B38" s="7"/>
      <c r="C38" s="13" t="s">
        <v>51</v>
      </c>
      <c r="D38" s="19" t="str">
        <f>IFERROR(IF(C38="No CAS","",INDEX('DEQ Pollutant List'!$B$7:$B$611,MATCH('3. Pollutant Emissions - EF'!C38,'DEQ Pollutant List'!$A$7:$A$611,0))),"")</f>
        <v>Acrolein</v>
      </c>
      <c r="E38" s="100">
        <v>0</v>
      </c>
      <c r="F38" s="36">
        <v>0</v>
      </c>
      <c r="G38" s="100" t="s">
        <v>1415</v>
      </c>
      <c r="H38" s="36" t="s">
        <v>1415</v>
      </c>
      <c r="I38" s="34">
        <v>2.7000000000000001E-3</v>
      </c>
      <c r="J38" s="11">
        <f t="shared" si="0"/>
        <v>2.7000000000000001E-3</v>
      </c>
      <c r="K38" s="6" t="s">
        <v>1416</v>
      </c>
      <c r="L38" s="20" t="s">
        <v>1421</v>
      </c>
      <c r="M38" s="7">
        <f>IF(ISBLANK($B38),_xlfn.XLOOKUP($A38,'2. TEUs &amp; Activities - EF'!$A$9:$A$190,'2. TEUs &amp; Activities - EF'!$J$9:$J$190),_xlfn.XLOOKUP($B38,'2. TEUs &amp; Activities - EF'!$B$9:$B$190,'2. TEUs &amp; Activities - EF'!$J$9:$J$190))*'3. Pollutant Emissions - EF'!$I38*IF(OR(ISBLANK($E38),$G38="Yes"),1,$E38)*IF($H38="Yes",1,(1-$F38))</f>
        <v>0.3478235294117647</v>
      </c>
      <c r="N38" s="5">
        <f>IF(ISBLANK($B38),_xlfn.XLOOKUP($A38,'2. TEUs &amp; Activities - EF'!$A$9:$A$190,'2. TEUs &amp; Activities - EF'!$M$9:$M$190),_xlfn.XLOOKUP($B38,'2. TEUs &amp; Activities - EF'!$B$9:$B$190,'2. TEUs &amp; Activities - EF'!$M$9:$M$190))*'3. Pollutant Emissions - EF'!$J38*IF(OR(ISBLANK($E38),$G38="Yes"),1,$E38)*IF($H38="Yes",1,(1-$F38))</f>
        <v>9.5294117647058815E-4</v>
      </c>
      <c r="O38" s="130"/>
    </row>
    <row r="39" spans="1:15" ht="15" x14ac:dyDescent="0.25">
      <c r="A39" s="5" t="s">
        <v>1310</v>
      </c>
      <c r="B39" s="7"/>
      <c r="C39" s="13" t="s">
        <v>52</v>
      </c>
      <c r="D39" s="19" t="str">
        <f>IFERROR(IF(C39="No CAS","",INDEX('DEQ Pollutant List'!$B$7:$B$611,MATCH('3. Pollutant Emissions - EF'!C39,'DEQ Pollutant List'!$A$7:$A$611,0))),"")</f>
        <v>Ammonia</v>
      </c>
      <c r="E39" s="100">
        <v>0</v>
      </c>
      <c r="F39" s="36">
        <v>0</v>
      </c>
      <c r="G39" s="100" t="s">
        <v>1415</v>
      </c>
      <c r="H39" s="36" t="s">
        <v>1415</v>
      </c>
      <c r="I39" s="34">
        <v>3.2</v>
      </c>
      <c r="J39" s="11">
        <f t="shared" si="0"/>
        <v>3.2</v>
      </c>
      <c r="K39" s="6" t="s">
        <v>1416</v>
      </c>
      <c r="L39" s="20" t="s">
        <v>1421</v>
      </c>
      <c r="M39" s="7">
        <f>IF(ISBLANK($B39),_xlfn.XLOOKUP($A39,'2. TEUs &amp; Activities - EF'!$A$9:$A$190,'2. TEUs &amp; Activities - EF'!$J$9:$J$190),_xlfn.XLOOKUP($B39,'2. TEUs &amp; Activities - EF'!$B$9:$B$190,'2. TEUs &amp; Activities - EF'!$J$9:$J$190))*'3. Pollutant Emissions - EF'!$I39*IF(OR(ISBLANK($E39),$G39="Yes"),1,$E39)*IF($H39="Yes",1,(1-$F39))</f>
        <v>412.23529411764707</v>
      </c>
      <c r="N39" s="5">
        <f>IF(ISBLANK($B39),_xlfn.XLOOKUP($A39,'2. TEUs &amp; Activities - EF'!$A$9:$A$190,'2. TEUs &amp; Activities - EF'!$M$9:$M$190),_xlfn.XLOOKUP($B39,'2. TEUs &amp; Activities - EF'!$B$9:$B$190,'2. TEUs &amp; Activities - EF'!$M$9:$M$190))*'3. Pollutant Emissions - EF'!$J39*IF(OR(ISBLANK($E39),$G39="Yes"),1,$E39)*IF($H39="Yes",1,(1-$F39))</f>
        <v>1.1294117647058823</v>
      </c>
      <c r="O39" s="130"/>
    </row>
    <row r="40" spans="1:15" ht="15" x14ac:dyDescent="0.25">
      <c r="A40" s="5" t="s">
        <v>1310</v>
      </c>
      <c r="B40" s="7"/>
      <c r="C40" s="13" t="s">
        <v>53</v>
      </c>
      <c r="D40" s="19" t="str">
        <f>IFERROR(IF(C40="No CAS","",INDEX('DEQ Pollutant List'!$B$7:$B$611,MATCH('3. Pollutant Emissions - EF'!C40,'DEQ Pollutant List'!$A$7:$A$611,0))),"")</f>
        <v>Arsenic and compounds</v>
      </c>
      <c r="E40" s="100">
        <v>0</v>
      </c>
      <c r="F40" s="36">
        <v>0</v>
      </c>
      <c r="G40" s="100" t="s">
        <v>1415</v>
      </c>
      <c r="H40" s="36" t="s">
        <v>1415</v>
      </c>
      <c r="I40" s="34">
        <v>2.0000000000000001E-4</v>
      </c>
      <c r="J40" s="11">
        <f t="shared" si="0"/>
        <v>2.0000000000000001E-4</v>
      </c>
      <c r="K40" s="6" t="s">
        <v>1416</v>
      </c>
      <c r="L40" s="20" t="s">
        <v>1421</v>
      </c>
      <c r="M40" s="7">
        <f>IF(ISBLANK($B40),_xlfn.XLOOKUP($A40,'2. TEUs &amp; Activities - EF'!$A$9:$A$190,'2. TEUs &amp; Activities - EF'!$J$9:$J$190),_xlfn.XLOOKUP($B40,'2. TEUs &amp; Activities - EF'!$B$9:$B$190,'2. TEUs &amp; Activities - EF'!$J$9:$J$190))*'3. Pollutant Emissions - EF'!$I40*IF(OR(ISBLANK($E40),$G40="Yes"),1,$E40)*IF($H40="Yes",1,(1-$F40))</f>
        <v>2.576470588235294E-2</v>
      </c>
      <c r="N40" s="5">
        <f>IF(ISBLANK($B40),_xlfn.XLOOKUP($A40,'2. TEUs &amp; Activities - EF'!$A$9:$A$190,'2. TEUs &amp; Activities - EF'!$M$9:$M$190),_xlfn.XLOOKUP($B40,'2. TEUs &amp; Activities - EF'!$B$9:$B$190,'2. TEUs &amp; Activities - EF'!$M$9:$M$190))*'3. Pollutant Emissions - EF'!$J40*IF(OR(ISBLANK($E40),$G40="Yes"),1,$E40)*IF($H40="Yes",1,(1-$F40))</f>
        <v>7.0588235294117641E-5</v>
      </c>
      <c r="O40" s="130"/>
    </row>
    <row r="41" spans="1:15" ht="15" x14ac:dyDescent="0.25">
      <c r="A41" s="5" t="s">
        <v>1310</v>
      </c>
      <c r="B41" s="7"/>
      <c r="C41" s="13" t="s">
        <v>54</v>
      </c>
      <c r="D41" s="19" t="str">
        <f>IFERROR(IF(C41="No CAS","",INDEX('DEQ Pollutant List'!$B$7:$B$611,MATCH('3. Pollutant Emissions - EF'!C41,'DEQ Pollutant List'!$A$7:$A$611,0))),"")</f>
        <v>Barium and compounds</v>
      </c>
      <c r="E41" s="100">
        <v>0</v>
      </c>
      <c r="F41" s="36">
        <v>0</v>
      </c>
      <c r="G41" s="100" t="s">
        <v>1415</v>
      </c>
      <c r="H41" s="36" t="s">
        <v>1415</v>
      </c>
      <c r="I41" s="34">
        <v>4.4000000000000003E-3</v>
      </c>
      <c r="J41" s="11">
        <f t="shared" si="0"/>
        <v>4.4000000000000003E-3</v>
      </c>
      <c r="K41" s="6" t="s">
        <v>1416</v>
      </c>
      <c r="L41" s="20" t="s">
        <v>1421</v>
      </c>
      <c r="M41" s="7">
        <f>IF(ISBLANK($B41),_xlfn.XLOOKUP($A41,'2. TEUs &amp; Activities - EF'!$A$9:$A$190,'2. TEUs &amp; Activities - EF'!$J$9:$J$190),_xlfn.XLOOKUP($B41,'2. TEUs &amp; Activities - EF'!$B$9:$B$190,'2. TEUs &amp; Activities - EF'!$J$9:$J$190))*'3. Pollutant Emissions - EF'!$I41*IF(OR(ISBLANK($E41),$G41="Yes"),1,$E41)*IF($H41="Yes",1,(1-$F41))</f>
        <v>0.56682352941176473</v>
      </c>
      <c r="N41" s="5">
        <f>IF(ISBLANK($B41),_xlfn.XLOOKUP($A41,'2. TEUs &amp; Activities - EF'!$A$9:$A$190,'2. TEUs &amp; Activities - EF'!$M$9:$M$190),_xlfn.XLOOKUP($B41,'2. TEUs &amp; Activities - EF'!$B$9:$B$190,'2. TEUs &amp; Activities - EF'!$M$9:$M$190))*'3. Pollutant Emissions - EF'!$J41*IF(OR(ISBLANK($E41),$G41="Yes"),1,$E41)*IF($H41="Yes",1,(1-$F41))</f>
        <v>1.5529411764705881E-3</v>
      </c>
      <c r="O41" s="130"/>
    </row>
    <row r="42" spans="1:15" ht="15" x14ac:dyDescent="0.25">
      <c r="A42" s="5" t="s">
        <v>1310</v>
      </c>
      <c r="B42" s="7"/>
      <c r="C42" s="13" t="s">
        <v>46</v>
      </c>
      <c r="D42" s="19" t="str">
        <f>IFERROR(IF(C42="No CAS","",INDEX('DEQ Pollutant List'!$B$7:$B$611,MATCH('3. Pollutant Emissions - EF'!C42,'DEQ Pollutant List'!$A$7:$A$611,0))),"")</f>
        <v>Benzene</v>
      </c>
      <c r="E42" s="100">
        <v>0</v>
      </c>
      <c r="F42" s="36">
        <v>0</v>
      </c>
      <c r="G42" s="100" t="s">
        <v>1415</v>
      </c>
      <c r="H42" s="36" t="s">
        <v>1415</v>
      </c>
      <c r="I42" s="34">
        <v>5.7999999999999996E-3</v>
      </c>
      <c r="J42" s="11">
        <f t="shared" si="0"/>
        <v>5.7999999999999996E-3</v>
      </c>
      <c r="K42" s="6" t="s">
        <v>1416</v>
      </c>
      <c r="L42" s="20" t="s">
        <v>1421</v>
      </c>
      <c r="M42" s="7">
        <f>IF(ISBLANK($B42),_xlfn.XLOOKUP($A42,'2. TEUs &amp; Activities - EF'!$A$9:$A$190,'2. TEUs &amp; Activities - EF'!$J$9:$J$190),_xlfn.XLOOKUP($B42,'2. TEUs &amp; Activities - EF'!$B$9:$B$190,'2. TEUs &amp; Activities - EF'!$J$9:$J$190))*'3. Pollutant Emissions - EF'!$I42*IF(OR(ISBLANK($E42),$G42="Yes"),1,$E42)*IF($H42="Yes",1,(1-$F42))</f>
        <v>0.74717647058823522</v>
      </c>
      <c r="N42" s="5">
        <f>IF(ISBLANK($B42),_xlfn.XLOOKUP($A42,'2. TEUs &amp; Activities - EF'!$A$9:$A$190,'2. TEUs &amp; Activities - EF'!$M$9:$M$190),_xlfn.XLOOKUP($B42,'2. TEUs &amp; Activities - EF'!$B$9:$B$190,'2. TEUs &amp; Activities - EF'!$M$9:$M$190))*'3. Pollutant Emissions - EF'!$J42*IF(OR(ISBLANK($E42),$G42="Yes"),1,$E42)*IF($H42="Yes",1,(1-$F42))</f>
        <v>2.0470588235294114E-3</v>
      </c>
      <c r="O42" s="130"/>
    </row>
    <row r="43" spans="1:15" ht="15" x14ac:dyDescent="0.25">
      <c r="A43" s="5" t="s">
        <v>1310</v>
      </c>
      <c r="B43" s="7"/>
      <c r="C43" s="13" t="s">
        <v>48</v>
      </c>
      <c r="D43" s="19" t="str">
        <f>IFERROR(IF(C43="No CAS","",INDEX('DEQ Pollutant List'!$B$7:$B$611,MATCH('3. Pollutant Emissions - EF'!C43,'DEQ Pollutant List'!$A$7:$A$611,0))),"")</f>
        <v>Benzo[a]pyrene</v>
      </c>
      <c r="E43" s="100">
        <v>0</v>
      </c>
      <c r="F43" s="36">
        <v>0</v>
      </c>
      <c r="G43" s="100" t="s">
        <v>1415</v>
      </c>
      <c r="H43" s="36" t="s">
        <v>1415</v>
      </c>
      <c r="I43" s="34">
        <v>1.1999999999999999E-6</v>
      </c>
      <c r="J43" s="11">
        <f t="shared" si="0"/>
        <v>1.1999999999999999E-6</v>
      </c>
      <c r="K43" s="6" t="s">
        <v>1416</v>
      </c>
      <c r="L43" s="20" t="s">
        <v>1421</v>
      </c>
      <c r="M43" s="7">
        <f>IF(ISBLANK($B43),_xlfn.XLOOKUP($A43,'2. TEUs &amp; Activities - EF'!$A$9:$A$190,'2. TEUs &amp; Activities - EF'!$J$9:$J$190),_xlfn.XLOOKUP($B43,'2. TEUs &amp; Activities - EF'!$B$9:$B$190,'2. TEUs &amp; Activities - EF'!$J$9:$J$190))*'3. Pollutant Emissions - EF'!$I43*IF(OR(ISBLANK($E43),$G43="Yes"),1,$E43)*IF($H43="Yes",1,(1-$F43))</f>
        <v>1.5458823529411762E-4</v>
      </c>
      <c r="N43" s="5">
        <f>IF(ISBLANK($B43),_xlfn.XLOOKUP($A43,'2. TEUs &amp; Activities - EF'!$A$9:$A$190,'2. TEUs &amp; Activities - EF'!$M$9:$M$190),_xlfn.XLOOKUP($B43,'2. TEUs &amp; Activities - EF'!$B$9:$B$190,'2. TEUs &amp; Activities - EF'!$M$9:$M$190))*'3. Pollutant Emissions - EF'!$J43*IF(OR(ISBLANK($E43),$G43="Yes"),1,$E43)*IF($H43="Yes",1,(1-$F43))</f>
        <v>4.2352941176470581E-7</v>
      </c>
      <c r="O43" s="130"/>
    </row>
    <row r="44" spans="1:15" ht="15" x14ac:dyDescent="0.25">
      <c r="A44" s="5" t="s">
        <v>1310</v>
      </c>
      <c r="B44" s="7"/>
      <c r="C44" s="13" t="s">
        <v>55</v>
      </c>
      <c r="D44" s="19" t="str">
        <f>IFERROR(IF(C44="No CAS","",INDEX('DEQ Pollutant List'!$B$7:$B$611,MATCH('3. Pollutant Emissions - EF'!C44,'DEQ Pollutant List'!$A$7:$A$611,0))),"")</f>
        <v>Beryllium and compounds</v>
      </c>
      <c r="E44" s="100">
        <v>0</v>
      </c>
      <c r="F44" s="36">
        <v>0</v>
      </c>
      <c r="G44" s="100" t="s">
        <v>1415</v>
      </c>
      <c r="H44" s="36" t="s">
        <v>1415</v>
      </c>
      <c r="I44" s="34">
        <v>1.2E-5</v>
      </c>
      <c r="J44" s="11">
        <f t="shared" si="0"/>
        <v>1.2E-5</v>
      </c>
      <c r="K44" s="6" t="s">
        <v>1416</v>
      </c>
      <c r="L44" s="20" t="s">
        <v>1421</v>
      </c>
      <c r="M44" s="7">
        <f>IF(ISBLANK($B44),_xlfn.XLOOKUP($A44,'2. TEUs &amp; Activities - EF'!$A$9:$A$190,'2. TEUs &amp; Activities - EF'!$J$9:$J$190),_xlfn.XLOOKUP($B44,'2. TEUs &amp; Activities - EF'!$B$9:$B$190,'2. TEUs &amp; Activities - EF'!$J$9:$J$190))*'3. Pollutant Emissions - EF'!$I44*IF(OR(ISBLANK($E44),$G44="Yes"),1,$E44)*IF($H44="Yes",1,(1-$F44))</f>
        <v>1.5458823529411764E-3</v>
      </c>
      <c r="N44" s="5">
        <f>IF(ISBLANK($B44),_xlfn.XLOOKUP($A44,'2. TEUs &amp; Activities - EF'!$A$9:$A$190,'2. TEUs &amp; Activities - EF'!$M$9:$M$190),_xlfn.XLOOKUP($B44,'2. TEUs &amp; Activities - EF'!$B$9:$B$190,'2. TEUs &amp; Activities - EF'!$M$9:$M$190))*'3. Pollutant Emissions - EF'!$J44*IF(OR(ISBLANK($E44),$G44="Yes"),1,$E44)*IF($H44="Yes",1,(1-$F44))</f>
        <v>4.2352941176470583E-6</v>
      </c>
      <c r="O44" s="130"/>
    </row>
    <row r="45" spans="1:15" ht="15" x14ac:dyDescent="0.25">
      <c r="A45" s="5" t="s">
        <v>1310</v>
      </c>
      <c r="B45" s="7"/>
      <c r="C45" s="13" t="s">
        <v>56</v>
      </c>
      <c r="D45" s="19" t="str">
        <f>IFERROR(IF(C45="No CAS","",INDEX('DEQ Pollutant List'!$B$7:$B$611,MATCH('3. Pollutant Emissions - EF'!C45,'DEQ Pollutant List'!$A$7:$A$611,0))),"")</f>
        <v>Cadmium and compounds</v>
      </c>
      <c r="E45" s="100">
        <v>0</v>
      </c>
      <c r="F45" s="36">
        <v>0</v>
      </c>
      <c r="G45" s="100" t="s">
        <v>1415</v>
      </c>
      <c r="H45" s="36" t="s">
        <v>1415</v>
      </c>
      <c r="I45" s="34">
        <v>1.1000000000000001E-3</v>
      </c>
      <c r="J45" s="11">
        <f t="shared" si="0"/>
        <v>1.1000000000000001E-3</v>
      </c>
      <c r="K45" s="6" t="s">
        <v>1416</v>
      </c>
      <c r="L45" s="20" t="s">
        <v>1421</v>
      </c>
      <c r="M45" s="7">
        <f>IF(ISBLANK($B45),_xlfn.XLOOKUP($A45,'2. TEUs &amp; Activities - EF'!$A$9:$A$190,'2. TEUs &amp; Activities - EF'!$J$9:$J$190),_xlfn.XLOOKUP($B45,'2. TEUs &amp; Activities - EF'!$B$9:$B$190,'2. TEUs &amp; Activities - EF'!$J$9:$J$190))*'3. Pollutant Emissions - EF'!$I45*IF(OR(ISBLANK($E45),$G45="Yes"),1,$E45)*IF($H45="Yes",1,(1-$F45))</f>
        <v>0.14170588235294118</v>
      </c>
      <c r="N45" s="5">
        <f>IF(ISBLANK($B45),_xlfn.XLOOKUP($A45,'2. TEUs &amp; Activities - EF'!$A$9:$A$190,'2. TEUs &amp; Activities - EF'!$M$9:$M$190),_xlfn.XLOOKUP($B45,'2. TEUs &amp; Activities - EF'!$B$9:$B$190,'2. TEUs &amp; Activities - EF'!$M$9:$M$190))*'3. Pollutant Emissions - EF'!$J45*IF(OR(ISBLANK($E45),$G45="Yes"),1,$E45)*IF($H45="Yes",1,(1-$F45))</f>
        <v>3.8823529411764702E-4</v>
      </c>
      <c r="O45" s="130"/>
    </row>
    <row r="46" spans="1:15" ht="15" x14ac:dyDescent="0.25">
      <c r="A46" s="5" t="s">
        <v>1310</v>
      </c>
      <c r="B46" s="7"/>
      <c r="C46" s="13" t="s">
        <v>57</v>
      </c>
      <c r="D46" s="19" t="str">
        <f>IFERROR(IF(C46="No CAS","",INDEX('DEQ Pollutant List'!$B$7:$B$611,MATCH('3. Pollutant Emissions - EF'!C46,'DEQ Pollutant List'!$A$7:$A$611,0))),"")</f>
        <v>Chromium VI, chromate and dichromate particulate</v>
      </c>
      <c r="E46" s="100">
        <v>0</v>
      </c>
      <c r="F46" s="36">
        <v>0</v>
      </c>
      <c r="G46" s="100" t="s">
        <v>1415</v>
      </c>
      <c r="H46" s="36" t="s">
        <v>1415</v>
      </c>
      <c r="I46" s="34">
        <v>1.4E-3</v>
      </c>
      <c r="J46" s="11">
        <f t="shared" si="0"/>
        <v>1.4E-3</v>
      </c>
      <c r="K46" s="6" t="s">
        <v>1416</v>
      </c>
      <c r="L46" s="20" t="s">
        <v>1421</v>
      </c>
      <c r="M46" s="7">
        <f>IF(ISBLANK($B46),_xlfn.XLOOKUP($A46,'2. TEUs &amp; Activities - EF'!$A$9:$A$190,'2. TEUs &amp; Activities - EF'!$J$9:$J$190),_xlfn.XLOOKUP($B46,'2. TEUs &amp; Activities - EF'!$B$9:$B$190,'2. TEUs &amp; Activities - EF'!$J$9:$J$190))*'3. Pollutant Emissions - EF'!$I46*IF(OR(ISBLANK($E46),$G46="Yes"),1,$E46)*IF($H46="Yes",1,(1-$F46))</f>
        <v>0.18035294117647058</v>
      </c>
      <c r="N46" s="5">
        <f>IF(ISBLANK($B46),_xlfn.XLOOKUP($A46,'2. TEUs &amp; Activities - EF'!$A$9:$A$190,'2. TEUs &amp; Activities - EF'!$M$9:$M$190),_xlfn.XLOOKUP($B46,'2. TEUs &amp; Activities - EF'!$B$9:$B$190,'2. TEUs &amp; Activities - EF'!$M$9:$M$190))*'3. Pollutant Emissions - EF'!$J46*IF(OR(ISBLANK($E46),$G46="Yes"),1,$E46)*IF($H46="Yes",1,(1-$F46))</f>
        <v>4.9411764705882349E-4</v>
      </c>
      <c r="O46" s="130"/>
    </row>
    <row r="47" spans="1:15" ht="15" x14ac:dyDescent="0.25">
      <c r="A47" s="5" t="s">
        <v>1310</v>
      </c>
      <c r="B47" s="7"/>
      <c r="C47" s="13" t="s">
        <v>58</v>
      </c>
      <c r="D47" s="19" t="str">
        <f>IFERROR(IF(C47="No CAS","",INDEX('DEQ Pollutant List'!$B$7:$B$611,MATCH('3. Pollutant Emissions - EF'!C47,'DEQ Pollutant List'!$A$7:$A$611,0))),"")</f>
        <v>Cobalt and compounds</v>
      </c>
      <c r="E47" s="100">
        <v>0</v>
      </c>
      <c r="F47" s="36">
        <v>0</v>
      </c>
      <c r="G47" s="100" t="s">
        <v>1415</v>
      </c>
      <c r="H47" s="36" t="s">
        <v>1415</v>
      </c>
      <c r="I47" s="34">
        <v>8.3999999999999995E-5</v>
      </c>
      <c r="J47" s="11">
        <f t="shared" si="0"/>
        <v>8.3999999999999995E-5</v>
      </c>
      <c r="K47" s="6" t="s">
        <v>1416</v>
      </c>
      <c r="L47" s="20" t="s">
        <v>1421</v>
      </c>
      <c r="M47" s="7">
        <f>IF(ISBLANK($B47),_xlfn.XLOOKUP($A47,'2. TEUs &amp; Activities - EF'!$A$9:$A$190,'2. TEUs &amp; Activities - EF'!$J$9:$J$190),_xlfn.XLOOKUP($B47,'2. TEUs &amp; Activities - EF'!$B$9:$B$190,'2. TEUs &amp; Activities - EF'!$J$9:$J$190))*'3. Pollutant Emissions - EF'!$I47*IF(OR(ISBLANK($E47),$G47="Yes"),1,$E47)*IF($H47="Yes",1,(1-$F47))</f>
        <v>1.0821176470588233E-2</v>
      </c>
      <c r="N47" s="5">
        <f>IF(ISBLANK($B47),_xlfn.XLOOKUP($A47,'2. TEUs &amp; Activities - EF'!$A$9:$A$190,'2. TEUs &amp; Activities - EF'!$M$9:$M$190),_xlfn.XLOOKUP($B47,'2. TEUs &amp; Activities - EF'!$B$9:$B$190,'2. TEUs &amp; Activities - EF'!$M$9:$M$190))*'3. Pollutant Emissions - EF'!$J47*IF(OR(ISBLANK($E47),$G47="Yes"),1,$E47)*IF($H47="Yes",1,(1-$F47))</f>
        <v>2.9647058823529407E-5</v>
      </c>
      <c r="O47" s="130"/>
    </row>
    <row r="48" spans="1:15" ht="15" x14ac:dyDescent="0.25">
      <c r="A48" s="5" t="s">
        <v>1310</v>
      </c>
      <c r="B48" s="7"/>
      <c r="C48" s="13" t="s">
        <v>59</v>
      </c>
      <c r="D48" s="19" t="str">
        <f>IFERROR(IF(C48="No CAS","",INDEX('DEQ Pollutant List'!$B$7:$B$611,MATCH('3. Pollutant Emissions - EF'!C48,'DEQ Pollutant List'!$A$7:$A$611,0))),"")</f>
        <v>Copper and compounds</v>
      </c>
      <c r="E48" s="100">
        <v>0</v>
      </c>
      <c r="F48" s="36">
        <v>0</v>
      </c>
      <c r="G48" s="100" t="s">
        <v>1415</v>
      </c>
      <c r="H48" s="36" t="s">
        <v>1415</v>
      </c>
      <c r="I48" s="34">
        <v>8.4999999999999995E-4</v>
      </c>
      <c r="J48" s="11">
        <f t="shared" si="0"/>
        <v>8.4999999999999995E-4</v>
      </c>
      <c r="K48" s="6" t="s">
        <v>1416</v>
      </c>
      <c r="L48" s="20" t="s">
        <v>1421</v>
      </c>
      <c r="M48" s="7">
        <f>IF(ISBLANK($B48),_xlfn.XLOOKUP($A48,'2. TEUs &amp; Activities - EF'!$A$9:$A$190,'2. TEUs &amp; Activities - EF'!$J$9:$J$190),_xlfn.XLOOKUP($B48,'2. TEUs &amp; Activities - EF'!$B$9:$B$190,'2. TEUs &amp; Activities - EF'!$J$9:$J$190))*'3. Pollutant Emissions - EF'!$I48*IF(OR(ISBLANK($E48),$G48="Yes"),1,$E48)*IF($H48="Yes",1,(1-$F48))</f>
        <v>0.10949999999999999</v>
      </c>
      <c r="N48" s="5">
        <f>IF(ISBLANK($B48),_xlfn.XLOOKUP($A48,'2. TEUs &amp; Activities - EF'!$A$9:$A$190,'2. TEUs &amp; Activities - EF'!$M$9:$M$190),_xlfn.XLOOKUP($B48,'2. TEUs &amp; Activities - EF'!$B$9:$B$190,'2. TEUs &amp; Activities - EF'!$M$9:$M$190))*'3. Pollutant Emissions - EF'!$J48*IF(OR(ISBLANK($E48),$G48="Yes"),1,$E48)*IF($H48="Yes",1,(1-$F48))</f>
        <v>2.9999999999999997E-4</v>
      </c>
      <c r="O48" s="130"/>
    </row>
    <row r="49" spans="1:15" ht="15" x14ac:dyDescent="0.25">
      <c r="A49" s="5" t="s">
        <v>1310</v>
      </c>
      <c r="B49" s="7"/>
      <c r="C49" s="13" t="s">
        <v>60</v>
      </c>
      <c r="D49" s="19" t="str">
        <f>IFERROR(IF(C49="No CAS","",INDEX('DEQ Pollutant List'!$B$7:$B$611,MATCH('3. Pollutant Emissions - EF'!C49,'DEQ Pollutant List'!$A$7:$A$611,0))),"")</f>
        <v>Ethyl benzene</v>
      </c>
      <c r="E49" s="100">
        <v>0</v>
      </c>
      <c r="F49" s="36">
        <v>0</v>
      </c>
      <c r="G49" s="100" t="s">
        <v>1415</v>
      </c>
      <c r="H49" s="36" t="s">
        <v>1415</v>
      </c>
      <c r="I49" s="34">
        <v>6.8999999999999999E-3</v>
      </c>
      <c r="J49" s="11">
        <f t="shared" si="0"/>
        <v>6.8999999999999999E-3</v>
      </c>
      <c r="K49" s="6" t="s">
        <v>1416</v>
      </c>
      <c r="L49" s="20" t="s">
        <v>1421</v>
      </c>
      <c r="M49" s="7">
        <f>IF(ISBLANK($B49),_xlfn.XLOOKUP($A49,'2. TEUs &amp; Activities - EF'!$A$9:$A$190,'2. TEUs &amp; Activities - EF'!$J$9:$J$190),_xlfn.XLOOKUP($B49,'2. TEUs &amp; Activities - EF'!$B$9:$B$190,'2. TEUs &amp; Activities - EF'!$J$9:$J$190))*'3. Pollutant Emissions - EF'!$I49*IF(OR(ISBLANK($E49),$G49="Yes"),1,$E49)*IF($H49="Yes",1,(1-$F49))</f>
        <v>0.88888235294117635</v>
      </c>
      <c r="N49" s="5">
        <f>IF(ISBLANK($B49),_xlfn.XLOOKUP($A49,'2. TEUs &amp; Activities - EF'!$A$9:$A$190,'2. TEUs &amp; Activities - EF'!$M$9:$M$190),_xlfn.XLOOKUP($B49,'2. TEUs &amp; Activities - EF'!$B$9:$B$190,'2. TEUs &amp; Activities - EF'!$M$9:$M$190))*'3. Pollutant Emissions - EF'!$J49*IF(OR(ISBLANK($E49),$G49="Yes"),1,$E49)*IF($H49="Yes",1,(1-$F49))</f>
        <v>2.4352941176470585E-3</v>
      </c>
      <c r="O49" s="130"/>
    </row>
    <row r="50" spans="1:15" ht="15" x14ac:dyDescent="0.25">
      <c r="A50" s="5" t="s">
        <v>1310</v>
      </c>
      <c r="B50" s="7"/>
      <c r="C50" s="13" t="s">
        <v>47</v>
      </c>
      <c r="D50" s="19" t="str">
        <f>IFERROR(IF(C50="No CAS","",INDEX('DEQ Pollutant List'!$B$7:$B$611,MATCH('3. Pollutant Emissions - EF'!C50,'DEQ Pollutant List'!$A$7:$A$611,0))),"")</f>
        <v>Formaldehyde</v>
      </c>
      <c r="E50" s="100">
        <v>0</v>
      </c>
      <c r="F50" s="36">
        <v>0</v>
      </c>
      <c r="G50" s="100" t="s">
        <v>1415</v>
      </c>
      <c r="H50" s="36" t="s">
        <v>1415</v>
      </c>
      <c r="I50" s="34">
        <v>1.23E-2</v>
      </c>
      <c r="J50" s="11">
        <f t="shared" si="0"/>
        <v>1.23E-2</v>
      </c>
      <c r="K50" s="6" t="s">
        <v>1416</v>
      </c>
      <c r="L50" s="20" t="s">
        <v>1421</v>
      </c>
      <c r="M50" s="7">
        <f>IF(ISBLANK($B50),_xlfn.XLOOKUP($A50,'2. TEUs &amp; Activities - EF'!$A$9:$A$190,'2. TEUs &amp; Activities - EF'!$J$9:$J$190),_xlfn.XLOOKUP($B50,'2. TEUs &amp; Activities - EF'!$B$9:$B$190,'2. TEUs &amp; Activities - EF'!$J$9:$J$190))*'3. Pollutant Emissions - EF'!$I50*IF(OR(ISBLANK($E50),$G50="Yes"),1,$E50)*IF($H50="Yes",1,(1-$F50))</f>
        <v>1.5845294117647057</v>
      </c>
      <c r="N50" s="5">
        <f>IF(ISBLANK($B50),_xlfn.XLOOKUP($A50,'2. TEUs &amp; Activities - EF'!$A$9:$A$190,'2. TEUs &amp; Activities - EF'!$M$9:$M$190),_xlfn.XLOOKUP($B50,'2. TEUs &amp; Activities - EF'!$B$9:$B$190,'2. TEUs &amp; Activities - EF'!$M$9:$M$190))*'3. Pollutant Emissions - EF'!$J50*IF(OR(ISBLANK($E50),$G50="Yes"),1,$E50)*IF($H50="Yes",1,(1-$F50))</f>
        <v>4.3411764705882346E-3</v>
      </c>
      <c r="O50" s="130"/>
    </row>
    <row r="51" spans="1:15" ht="15" x14ac:dyDescent="0.25">
      <c r="A51" s="5" t="s">
        <v>1310</v>
      </c>
      <c r="B51" s="7"/>
      <c r="C51" s="13" t="s">
        <v>61</v>
      </c>
      <c r="D51" s="19" t="str">
        <f>IFERROR(IF(C51="No CAS","",INDEX('DEQ Pollutant List'!$B$7:$B$611,MATCH('3. Pollutant Emissions - EF'!C51,'DEQ Pollutant List'!$A$7:$A$611,0))),"")</f>
        <v>Hexane</v>
      </c>
      <c r="E51" s="100">
        <v>0</v>
      </c>
      <c r="F51" s="36">
        <v>0</v>
      </c>
      <c r="G51" s="100" t="s">
        <v>1415</v>
      </c>
      <c r="H51" s="36" t="s">
        <v>1415</v>
      </c>
      <c r="I51" s="34">
        <v>4.5999999999999999E-3</v>
      </c>
      <c r="J51" s="11">
        <f t="shared" si="0"/>
        <v>4.5999999999999999E-3</v>
      </c>
      <c r="K51" s="6" t="s">
        <v>1416</v>
      </c>
      <c r="L51" s="20" t="s">
        <v>1421</v>
      </c>
      <c r="M51" s="7">
        <f>IF(ISBLANK($B51),_xlfn.XLOOKUP($A51,'2. TEUs &amp; Activities - EF'!$A$9:$A$190,'2. TEUs &amp; Activities - EF'!$J$9:$J$190),_xlfn.XLOOKUP($B51,'2. TEUs &amp; Activities - EF'!$B$9:$B$190,'2. TEUs &amp; Activities - EF'!$J$9:$J$190))*'3. Pollutant Emissions - EF'!$I51*IF(OR(ISBLANK($E51),$G51="Yes"),1,$E51)*IF($H51="Yes",1,(1-$F51))</f>
        <v>0.59258823529411764</v>
      </c>
      <c r="N51" s="5">
        <f>IF(ISBLANK($B51),_xlfn.XLOOKUP($A51,'2. TEUs &amp; Activities - EF'!$A$9:$A$190,'2. TEUs &amp; Activities - EF'!$M$9:$M$190),_xlfn.XLOOKUP($B51,'2. TEUs &amp; Activities - EF'!$B$9:$B$190,'2. TEUs &amp; Activities - EF'!$M$9:$M$190))*'3. Pollutant Emissions - EF'!$J51*IF(OR(ISBLANK($E51),$G51="Yes"),1,$E51)*IF($H51="Yes",1,(1-$F51))</f>
        <v>1.6235294117647057E-3</v>
      </c>
      <c r="O51" s="130"/>
    </row>
    <row r="52" spans="1:15" ht="15" x14ac:dyDescent="0.25">
      <c r="A52" s="5" t="s">
        <v>1310</v>
      </c>
      <c r="B52" s="7"/>
      <c r="C52" s="13" t="s">
        <v>62</v>
      </c>
      <c r="D52" s="19" t="str">
        <f>IFERROR(IF(C52="No CAS","",INDEX('DEQ Pollutant List'!$B$7:$B$611,MATCH('3. Pollutant Emissions - EF'!C52,'DEQ Pollutant List'!$A$7:$A$611,0))),"")</f>
        <v>Lead and compounds</v>
      </c>
      <c r="E52" s="100">
        <v>0</v>
      </c>
      <c r="F52" s="36">
        <v>0</v>
      </c>
      <c r="G52" s="100" t="s">
        <v>1415</v>
      </c>
      <c r="H52" s="36" t="s">
        <v>1415</v>
      </c>
      <c r="I52" s="34">
        <v>5.0000000000000001E-4</v>
      </c>
      <c r="J52" s="11">
        <f t="shared" si="0"/>
        <v>5.0000000000000001E-4</v>
      </c>
      <c r="K52" s="6" t="s">
        <v>1416</v>
      </c>
      <c r="L52" s="20" t="s">
        <v>1421</v>
      </c>
      <c r="M52" s="7">
        <f>IF(ISBLANK($B52),_xlfn.XLOOKUP($A52,'2. TEUs &amp; Activities - EF'!$A$9:$A$190,'2. TEUs &amp; Activities - EF'!$J$9:$J$190),_xlfn.XLOOKUP($B52,'2. TEUs &amp; Activities - EF'!$B$9:$B$190,'2. TEUs &amp; Activities - EF'!$J$9:$J$190))*'3. Pollutant Emissions - EF'!$I52*IF(OR(ISBLANK($E52),$G52="Yes"),1,$E52)*IF($H52="Yes",1,(1-$F52))</f>
        <v>6.4411764705882349E-2</v>
      </c>
      <c r="N52" s="5">
        <f>IF(ISBLANK($B52),_xlfn.XLOOKUP($A52,'2. TEUs &amp; Activities - EF'!$A$9:$A$190,'2. TEUs &amp; Activities - EF'!$M$9:$M$190),_xlfn.XLOOKUP($B52,'2. TEUs &amp; Activities - EF'!$B$9:$B$190,'2. TEUs &amp; Activities - EF'!$M$9:$M$190))*'3. Pollutant Emissions - EF'!$J52*IF(OR(ISBLANK($E52),$G52="Yes"),1,$E52)*IF($H52="Yes",1,(1-$F52))</f>
        <v>1.764705882352941E-4</v>
      </c>
      <c r="O52" s="130"/>
    </row>
    <row r="53" spans="1:15" ht="15" x14ac:dyDescent="0.25">
      <c r="A53" s="5" t="s">
        <v>1310</v>
      </c>
      <c r="B53" s="7"/>
      <c r="C53" s="13" t="s">
        <v>63</v>
      </c>
      <c r="D53" s="19" t="str">
        <f>IFERROR(IF(C53="No CAS","",INDEX('DEQ Pollutant List'!$B$7:$B$611,MATCH('3. Pollutant Emissions - EF'!C53,'DEQ Pollutant List'!$A$7:$A$611,0))),"")</f>
        <v>Manganese and compounds</v>
      </c>
      <c r="E53" s="100">
        <v>0</v>
      </c>
      <c r="F53" s="36">
        <v>0</v>
      </c>
      <c r="G53" s="100" t="s">
        <v>1415</v>
      </c>
      <c r="H53" s="36" t="s">
        <v>1415</v>
      </c>
      <c r="I53" s="34">
        <v>3.8000000000000002E-4</v>
      </c>
      <c r="J53" s="11">
        <f t="shared" si="0"/>
        <v>3.8000000000000002E-4</v>
      </c>
      <c r="K53" s="6" t="s">
        <v>1416</v>
      </c>
      <c r="L53" s="20" t="s">
        <v>1421</v>
      </c>
      <c r="M53" s="7">
        <f>IF(ISBLANK($B53),_xlfn.XLOOKUP($A53,'2. TEUs &amp; Activities - EF'!$A$9:$A$190,'2. TEUs &amp; Activities - EF'!$J$9:$J$190),_xlfn.XLOOKUP($B53,'2. TEUs &amp; Activities - EF'!$B$9:$B$190,'2. TEUs &amp; Activities - EF'!$J$9:$J$190))*'3. Pollutant Emissions - EF'!$I53*IF(OR(ISBLANK($E53),$G53="Yes"),1,$E53)*IF($H53="Yes",1,(1-$F53))</f>
        <v>4.8952941176470588E-2</v>
      </c>
      <c r="N53" s="5">
        <f>IF(ISBLANK($B53),_xlfn.XLOOKUP($A53,'2. TEUs &amp; Activities - EF'!$A$9:$A$190,'2. TEUs &amp; Activities - EF'!$M$9:$M$190),_xlfn.XLOOKUP($B53,'2. TEUs &amp; Activities - EF'!$B$9:$B$190,'2. TEUs &amp; Activities - EF'!$M$9:$M$190))*'3. Pollutant Emissions - EF'!$J53*IF(OR(ISBLANK($E53),$G53="Yes"),1,$E53)*IF($H53="Yes",1,(1-$F53))</f>
        <v>1.3411764705882352E-4</v>
      </c>
      <c r="O53" s="130"/>
    </row>
    <row r="54" spans="1:15" ht="15" x14ac:dyDescent="0.25">
      <c r="A54" s="5" t="s">
        <v>1310</v>
      </c>
      <c r="B54" s="7"/>
      <c r="C54" s="13" t="s">
        <v>64</v>
      </c>
      <c r="D54" s="19" t="str">
        <f>IFERROR(IF(C54="No CAS","",INDEX('DEQ Pollutant List'!$B$7:$B$611,MATCH('3. Pollutant Emissions - EF'!C54,'DEQ Pollutant List'!$A$7:$A$611,0))),"")</f>
        <v>Mercury and compounds</v>
      </c>
      <c r="E54" s="100">
        <v>0</v>
      </c>
      <c r="F54" s="36">
        <v>0</v>
      </c>
      <c r="G54" s="100" t="s">
        <v>1415</v>
      </c>
      <c r="H54" s="36" t="s">
        <v>1415</v>
      </c>
      <c r="I54" s="34">
        <v>2.5999999999999998E-4</v>
      </c>
      <c r="J54" s="11">
        <f t="shared" si="0"/>
        <v>2.5999999999999998E-4</v>
      </c>
      <c r="K54" s="6" t="s">
        <v>1416</v>
      </c>
      <c r="L54" s="20" t="s">
        <v>1421</v>
      </c>
      <c r="M54" s="7">
        <f>IF(ISBLANK($B54),_xlfn.XLOOKUP($A54,'2. TEUs &amp; Activities - EF'!$A$9:$A$190,'2. TEUs &amp; Activities - EF'!$J$9:$J$190),_xlfn.XLOOKUP($B54,'2. TEUs &amp; Activities - EF'!$B$9:$B$190,'2. TEUs &amp; Activities - EF'!$J$9:$J$190))*'3. Pollutant Emissions - EF'!$I54*IF(OR(ISBLANK($E54),$G54="Yes"),1,$E54)*IF($H54="Yes",1,(1-$F54))</f>
        <v>3.349411764705882E-2</v>
      </c>
      <c r="N54" s="5">
        <f>IF(ISBLANK($B54),_xlfn.XLOOKUP($A54,'2. TEUs &amp; Activities - EF'!$A$9:$A$190,'2. TEUs &amp; Activities - EF'!$M$9:$M$190),_xlfn.XLOOKUP($B54,'2. TEUs &amp; Activities - EF'!$B$9:$B$190,'2. TEUs &amp; Activities - EF'!$M$9:$M$190))*'3. Pollutant Emissions - EF'!$J54*IF(OR(ISBLANK($E54),$G54="Yes"),1,$E54)*IF($H54="Yes",1,(1-$F54))</f>
        <v>9.176470588235292E-5</v>
      </c>
      <c r="O54" s="130"/>
    </row>
    <row r="55" spans="1:15" ht="15" x14ac:dyDescent="0.25">
      <c r="A55" s="5" t="s">
        <v>1310</v>
      </c>
      <c r="B55" s="7"/>
      <c r="C55" s="13" t="s">
        <v>65</v>
      </c>
      <c r="D55" s="19" t="str">
        <f>IFERROR(IF(C55="No CAS","",INDEX('DEQ Pollutant List'!$B$7:$B$611,MATCH('3. Pollutant Emissions - EF'!C55,'DEQ Pollutant List'!$A$7:$A$611,0))),"")</f>
        <v>Molybdenum trioxide</v>
      </c>
      <c r="E55" s="100">
        <v>0</v>
      </c>
      <c r="F55" s="36">
        <v>0</v>
      </c>
      <c r="G55" s="100" t="s">
        <v>1415</v>
      </c>
      <c r="H55" s="36" t="s">
        <v>1415</v>
      </c>
      <c r="I55" s="34">
        <v>1.65E-3</v>
      </c>
      <c r="J55" s="11">
        <f t="shared" si="0"/>
        <v>1.65E-3</v>
      </c>
      <c r="K55" s="6" t="s">
        <v>1416</v>
      </c>
      <c r="L55" s="20" t="s">
        <v>1421</v>
      </c>
      <c r="M55" s="7">
        <f>IF(ISBLANK($B55),_xlfn.XLOOKUP($A55,'2. TEUs &amp; Activities - EF'!$A$9:$A$190,'2. TEUs &amp; Activities - EF'!$J$9:$J$190),_xlfn.XLOOKUP($B55,'2. TEUs &amp; Activities - EF'!$B$9:$B$190,'2. TEUs &amp; Activities - EF'!$J$9:$J$190))*'3. Pollutant Emissions - EF'!$I55*IF(OR(ISBLANK($E55),$G55="Yes"),1,$E55)*IF($H55="Yes",1,(1-$F55))</f>
        <v>0.21255882352941174</v>
      </c>
      <c r="N55" s="5">
        <f>IF(ISBLANK($B55),_xlfn.XLOOKUP($A55,'2. TEUs &amp; Activities - EF'!$A$9:$A$190,'2. TEUs &amp; Activities - EF'!$M$9:$M$190),_xlfn.XLOOKUP($B55,'2. TEUs &amp; Activities - EF'!$B$9:$B$190,'2. TEUs &amp; Activities - EF'!$M$9:$M$190))*'3. Pollutant Emissions - EF'!$J55*IF(OR(ISBLANK($E55),$G55="Yes"),1,$E55)*IF($H55="Yes",1,(1-$F55))</f>
        <v>5.8235294117647048E-4</v>
      </c>
      <c r="O55" s="130"/>
    </row>
    <row r="56" spans="1:15" ht="15" x14ac:dyDescent="0.25">
      <c r="A56" s="5" t="s">
        <v>1310</v>
      </c>
      <c r="B56" s="7"/>
      <c r="C56" s="13" t="s">
        <v>49</v>
      </c>
      <c r="D56" s="19" t="str">
        <f>IFERROR(IF(C56="No CAS","",INDEX('DEQ Pollutant List'!$B$7:$B$611,MATCH('3. Pollutant Emissions - EF'!C56,'DEQ Pollutant List'!$A$7:$A$611,0))),"")</f>
        <v>Naphthalene</v>
      </c>
      <c r="E56" s="100">
        <v>0</v>
      </c>
      <c r="F56" s="36">
        <v>0</v>
      </c>
      <c r="G56" s="100" t="s">
        <v>1415</v>
      </c>
      <c r="H56" s="36" t="s">
        <v>1415</v>
      </c>
      <c r="I56" s="34">
        <v>2.9999999999999997E-4</v>
      </c>
      <c r="J56" s="11">
        <f t="shared" si="0"/>
        <v>2.9999999999999997E-4</v>
      </c>
      <c r="K56" s="6" t="s">
        <v>1416</v>
      </c>
      <c r="L56" s="20" t="s">
        <v>1421</v>
      </c>
      <c r="M56" s="7">
        <f>IF(ISBLANK($B56),_xlfn.XLOOKUP($A56,'2. TEUs &amp; Activities - EF'!$A$9:$A$190,'2. TEUs &amp; Activities - EF'!$J$9:$J$190),_xlfn.XLOOKUP($B56,'2. TEUs &amp; Activities - EF'!$B$9:$B$190,'2. TEUs &amp; Activities - EF'!$J$9:$J$190))*'3. Pollutant Emissions - EF'!$I56*IF(OR(ISBLANK($E56),$G56="Yes"),1,$E56)*IF($H56="Yes",1,(1-$F56))</f>
        <v>3.8647058823529402E-2</v>
      </c>
      <c r="N56" s="5">
        <f>IF(ISBLANK($B56),_xlfn.XLOOKUP($A56,'2. TEUs &amp; Activities - EF'!$A$9:$A$190,'2. TEUs &amp; Activities - EF'!$M$9:$M$190),_xlfn.XLOOKUP($B56,'2. TEUs &amp; Activities - EF'!$B$9:$B$190,'2. TEUs &amp; Activities - EF'!$M$9:$M$190))*'3. Pollutant Emissions - EF'!$J56*IF(OR(ISBLANK($E56),$G56="Yes"),1,$E56)*IF($H56="Yes",1,(1-$F56))</f>
        <v>1.0588235294117645E-4</v>
      </c>
      <c r="O56" s="130"/>
    </row>
    <row r="57" spans="1:15" ht="15" x14ac:dyDescent="0.25">
      <c r="A57" s="5" t="s">
        <v>1310</v>
      </c>
      <c r="B57" s="7"/>
      <c r="C57" s="13" t="s">
        <v>66</v>
      </c>
      <c r="D57" s="19" t="str">
        <f>IFERROR(IF(C57="No CAS","",INDEX('DEQ Pollutant List'!$B$7:$B$611,MATCH('3. Pollutant Emissions - EF'!C57,'DEQ Pollutant List'!$A$7:$A$611,0))),"")</f>
        <v>Nickel and compounds</v>
      </c>
      <c r="E57" s="100">
        <v>0</v>
      </c>
      <c r="F57" s="36">
        <v>0</v>
      </c>
      <c r="G57" s="100" t="s">
        <v>1415</v>
      </c>
      <c r="H57" s="36" t="s">
        <v>1415</v>
      </c>
      <c r="I57" s="34">
        <v>2.0999999999999999E-3</v>
      </c>
      <c r="J57" s="11">
        <f t="shared" si="0"/>
        <v>2.0999999999999999E-3</v>
      </c>
      <c r="K57" s="6" t="s">
        <v>1416</v>
      </c>
      <c r="L57" s="20" t="s">
        <v>1421</v>
      </c>
      <c r="M57" s="7">
        <f>IF(ISBLANK($B57),_xlfn.XLOOKUP($A57,'2. TEUs &amp; Activities - EF'!$A$9:$A$190,'2. TEUs &amp; Activities - EF'!$J$9:$J$190),_xlfn.XLOOKUP($B57,'2. TEUs &amp; Activities - EF'!$B$9:$B$190,'2. TEUs &amp; Activities - EF'!$J$9:$J$190))*'3. Pollutant Emissions - EF'!$I57*IF(OR(ISBLANK($E57),$G57="Yes"),1,$E57)*IF($H57="Yes",1,(1-$F57))</f>
        <v>0.27052941176470585</v>
      </c>
      <c r="N57" s="5">
        <f>IF(ISBLANK($B57),_xlfn.XLOOKUP($A57,'2. TEUs &amp; Activities - EF'!$A$9:$A$190,'2. TEUs &amp; Activities - EF'!$M$9:$M$190),_xlfn.XLOOKUP($B57,'2. TEUs &amp; Activities - EF'!$B$9:$B$190,'2. TEUs &amp; Activities - EF'!$M$9:$M$190))*'3. Pollutant Emissions - EF'!$J57*IF(OR(ISBLANK($E57),$G57="Yes"),1,$E57)*IF($H57="Yes",1,(1-$F57))</f>
        <v>7.4117647058823523E-4</v>
      </c>
      <c r="O57" s="130"/>
    </row>
    <row r="58" spans="1:15" ht="15" x14ac:dyDescent="0.25">
      <c r="A58" s="5" t="s">
        <v>1310</v>
      </c>
      <c r="B58" s="7"/>
      <c r="C58" s="13">
        <v>401</v>
      </c>
      <c r="D58" s="19" t="str">
        <f>IFERROR(IF(C58="No CAS","",INDEX('DEQ Pollutant List'!$B$7:$B$611,MATCH('3. Pollutant Emissions - EF'!C58,'DEQ Pollutant List'!$A$7:$A$611,0))),"")</f>
        <v>Polycyclic aromatic hydrocarbons (PAHs)</v>
      </c>
      <c r="E58" s="100">
        <v>0</v>
      </c>
      <c r="F58" s="36">
        <v>0</v>
      </c>
      <c r="G58" s="100" t="s">
        <v>1415</v>
      </c>
      <c r="H58" s="36" t="s">
        <v>1415</v>
      </c>
      <c r="I58" s="34">
        <v>1E-4</v>
      </c>
      <c r="J58" s="11">
        <f t="shared" si="0"/>
        <v>1E-4</v>
      </c>
      <c r="K58" s="6" t="s">
        <v>1416</v>
      </c>
      <c r="L58" s="20" t="s">
        <v>1421</v>
      </c>
      <c r="M58" s="7">
        <f>IF(ISBLANK($B58),_xlfn.XLOOKUP($A58,'2. TEUs &amp; Activities - EF'!$A$9:$A$190,'2. TEUs &amp; Activities - EF'!$J$9:$J$190),_xlfn.XLOOKUP($B58,'2. TEUs &amp; Activities - EF'!$B$9:$B$190,'2. TEUs &amp; Activities - EF'!$J$9:$J$190))*'3. Pollutant Emissions - EF'!$I58*IF(OR(ISBLANK($E58),$G58="Yes"),1,$E58)*IF($H58="Yes",1,(1-$F58))</f>
        <v>1.288235294117647E-2</v>
      </c>
      <c r="N58" s="5">
        <f>IF(ISBLANK($B58),_xlfn.XLOOKUP($A58,'2. TEUs &amp; Activities - EF'!$A$9:$A$190,'2. TEUs &amp; Activities - EF'!$M$9:$M$190),_xlfn.XLOOKUP($B58,'2. TEUs &amp; Activities - EF'!$B$9:$B$190,'2. TEUs &amp; Activities - EF'!$M$9:$M$190))*'3. Pollutant Emissions - EF'!$J58*IF(OR(ISBLANK($E58),$G58="Yes"),1,$E58)*IF($H58="Yes",1,(1-$F58))</f>
        <v>3.529411764705882E-5</v>
      </c>
      <c r="O58" s="130"/>
    </row>
    <row r="59" spans="1:15" ht="15" x14ac:dyDescent="0.25">
      <c r="A59" s="5" t="s">
        <v>1310</v>
      </c>
      <c r="B59" s="7"/>
      <c r="C59" s="13" t="s">
        <v>67</v>
      </c>
      <c r="D59" s="19" t="str">
        <f>IFERROR(IF(C59="No CAS","",INDEX('DEQ Pollutant List'!$B$7:$B$611,MATCH('3. Pollutant Emissions - EF'!C59,'DEQ Pollutant List'!$A$7:$A$611,0))),"")</f>
        <v>Selenium and compounds</v>
      </c>
      <c r="E59" s="100">
        <v>0</v>
      </c>
      <c r="F59" s="36">
        <v>0</v>
      </c>
      <c r="G59" s="100" t="s">
        <v>1415</v>
      </c>
      <c r="H59" s="36" t="s">
        <v>1415</v>
      </c>
      <c r="I59" s="34">
        <v>2.4000000000000001E-5</v>
      </c>
      <c r="J59" s="11">
        <f t="shared" si="0"/>
        <v>2.4000000000000001E-5</v>
      </c>
      <c r="K59" s="6" t="s">
        <v>1416</v>
      </c>
      <c r="L59" s="20" t="s">
        <v>1421</v>
      </c>
      <c r="M59" s="7">
        <f>IF(ISBLANK($B59),_xlfn.XLOOKUP($A59,'2. TEUs &amp; Activities - EF'!$A$9:$A$190,'2. TEUs &amp; Activities - EF'!$J$9:$J$190),_xlfn.XLOOKUP($B59,'2. TEUs &amp; Activities - EF'!$B$9:$B$190,'2. TEUs &amp; Activities - EF'!$J$9:$J$190))*'3. Pollutant Emissions - EF'!$I59*IF(OR(ISBLANK($E59),$G59="Yes"),1,$E59)*IF($H59="Yes",1,(1-$F59))</f>
        <v>3.0917647058823529E-3</v>
      </c>
      <c r="N59" s="5">
        <f>IF(ISBLANK($B59),_xlfn.XLOOKUP($A59,'2. TEUs &amp; Activities - EF'!$A$9:$A$190,'2. TEUs &amp; Activities - EF'!$M$9:$M$190),_xlfn.XLOOKUP($B59,'2. TEUs &amp; Activities - EF'!$B$9:$B$190,'2. TEUs &amp; Activities - EF'!$M$9:$M$190))*'3. Pollutant Emissions - EF'!$J59*IF(OR(ISBLANK($E59),$G59="Yes"),1,$E59)*IF($H59="Yes",1,(1-$F59))</f>
        <v>8.4705882352941166E-6</v>
      </c>
      <c r="O59" s="130"/>
    </row>
    <row r="60" spans="1:15" ht="15" x14ac:dyDescent="0.25">
      <c r="A60" s="5" t="s">
        <v>1310</v>
      </c>
      <c r="B60" s="7"/>
      <c r="C60" s="13" t="s">
        <v>68</v>
      </c>
      <c r="D60" s="19" t="str">
        <f>IFERROR(IF(C60="No CAS","",INDEX('DEQ Pollutant List'!$B$7:$B$611,MATCH('3. Pollutant Emissions - EF'!C60,'DEQ Pollutant List'!$A$7:$A$611,0))),"")</f>
        <v>Toluene</v>
      </c>
      <c r="E60" s="100">
        <v>0</v>
      </c>
      <c r="F60" s="36">
        <v>0</v>
      </c>
      <c r="G60" s="100" t="s">
        <v>1415</v>
      </c>
      <c r="H60" s="36" t="s">
        <v>1415</v>
      </c>
      <c r="I60" s="34">
        <v>2.6499999999999999E-2</v>
      </c>
      <c r="J60" s="11">
        <f t="shared" si="0"/>
        <v>2.6499999999999999E-2</v>
      </c>
      <c r="K60" s="6" t="s">
        <v>1416</v>
      </c>
      <c r="L60" s="20" t="s">
        <v>1421</v>
      </c>
      <c r="M60" s="7">
        <f>IF(ISBLANK($B60),_xlfn.XLOOKUP($A60,'2. TEUs &amp; Activities - EF'!$A$9:$A$190,'2. TEUs &amp; Activities - EF'!$J$9:$J$190),_xlfn.XLOOKUP($B60,'2. TEUs &amp; Activities - EF'!$B$9:$B$190,'2. TEUs &amp; Activities - EF'!$J$9:$J$190))*'3. Pollutant Emissions - EF'!$I60*IF(OR(ISBLANK($E60),$G60="Yes"),1,$E60)*IF($H60="Yes",1,(1-$F60))</f>
        <v>3.4138235294117645</v>
      </c>
      <c r="N60" s="5">
        <f>IF(ISBLANK($B60),_xlfn.XLOOKUP($A60,'2. TEUs &amp; Activities - EF'!$A$9:$A$190,'2. TEUs &amp; Activities - EF'!$M$9:$M$190),_xlfn.XLOOKUP($B60,'2. TEUs &amp; Activities - EF'!$B$9:$B$190,'2. TEUs &amp; Activities - EF'!$M$9:$M$190))*'3. Pollutant Emissions - EF'!$J60*IF(OR(ISBLANK($E60),$G60="Yes"),1,$E60)*IF($H60="Yes",1,(1-$F60))</f>
        <v>9.3529411764705864E-3</v>
      </c>
      <c r="O60" s="130"/>
    </row>
    <row r="61" spans="1:15" ht="15" x14ac:dyDescent="0.25">
      <c r="A61" s="5" t="s">
        <v>1310</v>
      </c>
      <c r="B61" s="7"/>
      <c r="C61" s="13" t="s">
        <v>69</v>
      </c>
      <c r="D61" s="19" t="str">
        <f>IFERROR(IF(C61="No CAS","",INDEX('DEQ Pollutant List'!$B$7:$B$611,MATCH('3. Pollutant Emissions - EF'!C61,'DEQ Pollutant List'!$A$7:$A$611,0))),"")</f>
        <v>Vanadium (fume or dust)</v>
      </c>
      <c r="E61" s="100">
        <v>0</v>
      </c>
      <c r="F61" s="36">
        <v>0</v>
      </c>
      <c r="G61" s="100" t="s">
        <v>1415</v>
      </c>
      <c r="H61" s="36" t="s">
        <v>1415</v>
      </c>
      <c r="I61" s="34">
        <v>2.3E-3</v>
      </c>
      <c r="J61" s="11">
        <f t="shared" si="0"/>
        <v>2.3E-3</v>
      </c>
      <c r="K61" s="6" t="s">
        <v>1416</v>
      </c>
      <c r="L61" s="20" t="s">
        <v>1421</v>
      </c>
      <c r="M61" s="7">
        <f>IF(ISBLANK($B61),_xlfn.XLOOKUP($A61,'2. TEUs &amp; Activities - EF'!$A$9:$A$190,'2. TEUs &amp; Activities - EF'!$J$9:$J$190),_xlfn.XLOOKUP($B61,'2. TEUs &amp; Activities - EF'!$B$9:$B$190,'2. TEUs &amp; Activities - EF'!$J$9:$J$190))*'3. Pollutant Emissions - EF'!$I61*IF(OR(ISBLANK($E61),$G61="Yes"),1,$E61)*IF($H61="Yes",1,(1-$F61))</f>
        <v>0.29629411764705882</v>
      </c>
      <c r="N61" s="5">
        <f>IF(ISBLANK($B61),_xlfn.XLOOKUP($A61,'2. TEUs &amp; Activities - EF'!$A$9:$A$190,'2. TEUs &amp; Activities - EF'!$M$9:$M$190),_xlfn.XLOOKUP($B61,'2. TEUs &amp; Activities - EF'!$B$9:$B$190,'2. TEUs &amp; Activities - EF'!$M$9:$M$190))*'3. Pollutant Emissions - EF'!$J61*IF(OR(ISBLANK($E61),$G61="Yes"),1,$E61)*IF($H61="Yes",1,(1-$F61))</f>
        <v>8.1176470588235287E-4</v>
      </c>
      <c r="O61" s="130"/>
    </row>
    <row r="62" spans="1:15" ht="15" x14ac:dyDescent="0.25">
      <c r="A62" s="5" t="s">
        <v>1310</v>
      </c>
      <c r="B62" s="7"/>
      <c r="C62" s="13" t="s">
        <v>70</v>
      </c>
      <c r="D62" s="19" t="str">
        <f>IFERROR(IF(C62="No CAS","",INDEX('DEQ Pollutant List'!$B$7:$B$611,MATCH('3. Pollutant Emissions - EF'!C62,'DEQ Pollutant List'!$A$7:$A$611,0))),"")</f>
        <v>Xylene (mixture), including m-xylene, o-xylene, p-xylene</v>
      </c>
      <c r="E62" s="100">
        <v>0</v>
      </c>
      <c r="F62" s="36">
        <v>0</v>
      </c>
      <c r="G62" s="100" t="s">
        <v>1415</v>
      </c>
      <c r="H62" s="36" t="s">
        <v>1415</v>
      </c>
      <c r="I62" s="34">
        <v>1.9699999999999999E-2</v>
      </c>
      <c r="J62" s="11">
        <f t="shared" si="0"/>
        <v>1.9699999999999999E-2</v>
      </c>
      <c r="K62" s="6" t="s">
        <v>1416</v>
      </c>
      <c r="L62" s="20" t="s">
        <v>1421</v>
      </c>
      <c r="M62" s="7">
        <f>IF(ISBLANK($B62),_xlfn.XLOOKUP($A62,'2. TEUs &amp; Activities - EF'!$A$9:$A$190,'2. TEUs &amp; Activities - EF'!$J$9:$J$190),_xlfn.XLOOKUP($B62,'2. TEUs &amp; Activities - EF'!$B$9:$B$190,'2. TEUs &amp; Activities - EF'!$J$9:$J$190))*'3. Pollutant Emissions - EF'!$I62*IF(OR(ISBLANK($E62),$G62="Yes"),1,$E62)*IF($H62="Yes",1,(1-$F62))</f>
        <v>2.5378235294117641</v>
      </c>
      <c r="N62" s="5">
        <f>IF(ISBLANK($B62),_xlfn.XLOOKUP($A62,'2. TEUs &amp; Activities - EF'!$A$9:$A$190,'2. TEUs &amp; Activities - EF'!$M$9:$M$190),_xlfn.XLOOKUP($B62,'2. TEUs &amp; Activities - EF'!$B$9:$B$190,'2. TEUs &amp; Activities - EF'!$M$9:$M$190))*'3. Pollutant Emissions - EF'!$J62*IF(OR(ISBLANK($E62),$G62="Yes"),1,$E62)*IF($H62="Yes",1,(1-$F62))</f>
        <v>6.9529411764705871E-3</v>
      </c>
      <c r="O62" s="130"/>
    </row>
    <row r="63" spans="1:15" ht="15" x14ac:dyDescent="0.25">
      <c r="A63" s="5" t="s">
        <v>1310</v>
      </c>
      <c r="B63" s="7"/>
      <c r="C63" s="13" t="s">
        <v>71</v>
      </c>
      <c r="D63" s="19" t="str">
        <f>IFERROR(IF(C63="No CAS","",INDEX('DEQ Pollutant List'!$B$7:$B$611,MATCH('3. Pollutant Emissions - EF'!C63,'DEQ Pollutant List'!$A$7:$A$611,0))),"")</f>
        <v>Zinc and compounds</v>
      </c>
      <c r="E63" s="100">
        <v>0</v>
      </c>
      <c r="F63" s="36">
        <v>0</v>
      </c>
      <c r="G63" s="100" t="s">
        <v>1415</v>
      </c>
      <c r="H63" s="36" t="s">
        <v>1415</v>
      </c>
      <c r="I63" s="34">
        <v>2.9000000000000001E-2</v>
      </c>
      <c r="J63" s="11">
        <f t="shared" si="0"/>
        <v>2.9000000000000001E-2</v>
      </c>
      <c r="K63" s="6" t="s">
        <v>1416</v>
      </c>
      <c r="L63" s="20" t="s">
        <v>1421</v>
      </c>
      <c r="M63" s="7">
        <f>IF(ISBLANK($B63),_xlfn.XLOOKUP($A63,'2. TEUs &amp; Activities - EF'!$A$9:$A$190,'2. TEUs &amp; Activities - EF'!$J$9:$J$190),_xlfn.XLOOKUP($B63,'2. TEUs &amp; Activities - EF'!$B$9:$B$190,'2. TEUs &amp; Activities - EF'!$J$9:$J$190))*'3. Pollutant Emissions - EF'!$I63*IF(OR(ISBLANK($E63),$G63="Yes"),1,$E63)*IF($H63="Yes",1,(1-$F63))</f>
        <v>3.7358823529411764</v>
      </c>
      <c r="N63" s="5">
        <f>IF(ISBLANK($B63),_xlfn.XLOOKUP($A63,'2. TEUs &amp; Activities - EF'!$A$9:$A$190,'2. TEUs &amp; Activities - EF'!$M$9:$M$190),_xlfn.XLOOKUP($B63,'2. TEUs &amp; Activities - EF'!$B$9:$B$190,'2. TEUs &amp; Activities - EF'!$M$9:$M$190))*'3. Pollutant Emissions - EF'!$J63*IF(OR(ISBLANK($E63),$G63="Yes"),1,$E63)*IF($H63="Yes",1,(1-$F63))</f>
        <v>1.0235294117647058E-2</v>
      </c>
      <c r="O63" s="130"/>
    </row>
    <row r="64" spans="1:15" ht="15" x14ac:dyDescent="0.25">
      <c r="A64" s="5"/>
      <c r="B64" s="7"/>
      <c r="C64" s="13"/>
      <c r="D64" s="19" t="str">
        <f>IFERROR(IF(C64="No CAS","",INDEX('DEQ Pollutant List'!$B$7:$B$611,MATCH('3. Pollutant Emissions - EF'!C64,'DEQ Pollutant List'!$A$7:$A$611,0))),"")</f>
        <v/>
      </c>
      <c r="E64" s="100"/>
      <c r="F64" s="36"/>
      <c r="G64" s="100"/>
      <c r="H64" s="36"/>
      <c r="I64" s="34"/>
      <c r="J64" s="11"/>
      <c r="K64" s="6"/>
      <c r="L64" s="20"/>
      <c r="M64" s="7">
        <f>IF(ISBLANK($B64),_xlfn.XLOOKUP($A64,'2. TEUs &amp; Activities - EF'!$A$9:$A$190,'2. TEUs &amp; Activities - EF'!$J$9:$J$190),_xlfn.XLOOKUP($B64,'2. TEUs &amp; Activities - EF'!$B$9:$B$190,'2. TEUs &amp; Activities - EF'!$J$9:$J$190))*'3. Pollutant Emissions - EF'!$I64*IF(OR(ISBLANK($E64),$G64="Yes"),1,$E64)*IF($H64="Yes",1,(1-$F64))</f>
        <v>0</v>
      </c>
      <c r="N64" s="5">
        <f>IF(ISBLANK($B64),_xlfn.XLOOKUP($A64,'2. TEUs &amp; Activities - EF'!$A$9:$A$190,'2. TEUs &amp; Activities - EF'!$M$9:$M$190),_xlfn.XLOOKUP($B64,'2. TEUs &amp; Activities - EF'!$B$9:$B$190,'2. TEUs &amp; Activities - EF'!$M$9:$M$190))*'3. Pollutant Emissions - EF'!$J64*IF(OR(ISBLANK($E64),$G64="Yes"),1,$E64)*IF($H64="Yes",1,(1-$F64))</f>
        <v>0</v>
      </c>
      <c r="O64" s="130"/>
    </row>
    <row r="65" spans="1:15" ht="15" x14ac:dyDescent="0.25">
      <c r="A65" s="5" t="s">
        <v>1311</v>
      </c>
      <c r="B65" s="7"/>
      <c r="C65" s="13" t="s">
        <v>50</v>
      </c>
      <c r="D65" s="19" t="str">
        <f>IFERROR(IF(C65="No CAS","",INDEX('DEQ Pollutant List'!$B$7:$B$611,MATCH('3. Pollutant Emissions - EF'!C65,'DEQ Pollutant List'!$A$7:$A$611,0))),"")</f>
        <v>Acetaldehyde</v>
      </c>
      <c r="E65" s="100">
        <v>0</v>
      </c>
      <c r="F65" s="36">
        <v>0</v>
      </c>
      <c r="G65" s="100" t="s">
        <v>1415</v>
      </c>
      <c r="H65" s="36" t="s">
        <v>1415</v>
      </c>
      <c r="I65" s="34">
        <v>3.0999999999999999E-3</v>
      </c>
      <c r="J65" s="11">
        <f t="shared" si="0"/>
        <v>3.0999999999999999E-3</v>
      </c>
      <c r="K65" s="6" t="s">
        <v>1416</v>
      </c>
      <c r="L65" s="20" t="s">
        <v>1421</v>
      </c>
      <c r="M65" s="7">
        <f>IF(ISBLANK($B65),_xlfn.XLOOKUP($A65,'2. TEUs &amp; Activities - EF'!$A$9:$A$190,'2. TEUs &amp; Activities - EF'!$J$9:$J$190),_xlfn.XLOOKUP($B65,'2. TEUs &amp; Activities - EF'!$B$9:$B$190,'2. TEUs &amp; Activities - EF'!$J$9:$J$190))*'3. Pollutant Emissions - EF'!$I65*IF(OR(ISBLANK($E65),$G65="Yes"),1,$E65)*IF($H65="Yes",1,(1-$F65))</f>
        <v>0.27848211764705882</v>
      </c>
      <c r="N65" s="5">
        <f>IF(ISBLANK($B65),_xlfn.XLOOKUP($A65,'2. TEUs &amp; Activities - EF'!$A$9:$A$190,'2. TEUs &amp; Activities - EF'!$M$9:$M$190),_xlfn.XLOOKUP($B65,'2. TEUs &amp; Activities - EF'!$B$9:$B$190,'2. TEUs &amp; Activities - EF'!$M$9:$M$190))*'3. Pollutant Emissions - EF'!$J65*IF(OR(ISBLANK($E65),$G65="Yes"),1,$E65)*IF($H65="Yes",1,(1-$F65))</f>
        <v>7.6296470588235298E-4</v>
      </c>
      <c r="O65" s="130"/>
    </row>
    <row r="66" spans="1:15" ht="15" x14ac:dyDescent="0.25">
      <c r="A66" s="5" t="s">
        <v>1311</v>
      </c>
      <c r="B66" s="7"/>
      <c r="C66" s="13" t="s">
        <v>51</v>
      </c>
      <c r="D66" s="19" t="str">
        <f>IFERROR(IF(C66="No CAS","",INDEX('DEQ Pollutant List'!$B$7:$B$611,MATCH('3. Pollutant Emissions - EF'!C66,'DEQ Pollutant List'!$A$7:$A$611,0))),"")</f>
        <v>Acrolein</v>
      </c>
      <c r="E66" s="100">
        <v>0</v>
      </c>
      <c r="F66" s="36">
        <v>0</v>
      </c>
      <c r="G66" s="100" t="s">
        <v>1415</v>
      </c>
      <c r="H66" s="36" t="s">
        <v>1415</v>
      </c>
      <c r="I66" s="34">
        <v>2.7000000000000001E-3</v>
      </c>
      <c r="J66" s="11">
        <f t="shared" si="0"/>
        <v>2.7000000000000001E-3</v>
      </c>
      <c r="K66" s="6" t="s">
        <v>1416</v>
      </c>
      <c r="L66" s="20" t="s">
        <v>1421</v>
      </c>
      <c r="M66" s="7">
        <f>IF(ISBLANK($B66),_xlfn.XLOOKUP($A66,'2. TEUs &amp; Activities - EF'!$A$9:$A$190,'2. TEUs &amp; Activities - EF'!$J$9:$J$190),_xlfn.XLOOKUP($B66,'2. TEUs &amp; Activities - EF'!$B$9:$B$190,'2. TEUs &amp; Activities - EF'!$J$9:$J$190))*'3. Pollutant Emissions - EF'!$I66*IF(OR(ISBLANK($E66),$G66="Yes"),1,$E66)*IF($H66="Yes",1,(1-$F66))</f>
        <v>0.24254894117647063</v>
      </c>
      <c r="N66" s="5">
        <f>IF(ISBLANK($B66),_xlfn.XLOOKUP($A66,'2. TEUs &amp; Activities - EF'!$A$9:$A$190,'2. TEUs &amp; Activities - EF'!$M$9:$M$190),_xlfn.XLOOKUP($B66,'2. TEUs &amp; Activities - EF'!$B$9:$B$190,'2. TEUs &amp; Activities - EF'!$M$9:$M$190))*'3. Pollutant Emissions - EF'!$J66*IF(OR(ISBLANK($E66),$G66="Yes"),1,$E66)*IF($H66="Yes",1,(1-$F66))</f>
        <v>6.6451764705882362E-4</v>
      </c>
      <c r="O66" s="130"/>
    </row>
    <row r="67" spans="1:15" ht="15" x14ac:dyDescent="0.25">
      <c r="A67" s="5" t="s">
        <v>1311</v>
      </c>
      <c r="B67" s="7"/>
      <c r="C67" s="13" t="s">
        <v>52</v>
      </c>
      <c r="D67" s="19" t="str">
        <f>IFERROR(IF(C67="No CAS","",INDEX('DEQ Pollutant List'!$B$7:$B$611,MATCH('3. Pollutant Emissions - EF'!C67,'DEQ Pollutant List'!$A$7:$A$611,0))),"")</f>
        <v>Ammonia</v>
      </c>
      <c r="E67" s="100">
        <v>0</v>
      </c>
      <c r="F67" s="36">
        <v>0</v>
      </c>
      <c r="G67" s="100" t="s">
        <v>1415</v>
      </c>
      <c r="H67" s="36" t="s">
        <v>1415</v>
      </c>
      <c r="I67" s="34">
        <v>3.2</v>
      </c>
      <c r="J67" s="11">
        <f t="shared" si="0"/>
        <v>3.2</v>
      </c>
      <c r="K67" s="6" t="s">
        <v>1416</v>
      </c>
      <c r="L67" s="20" t="s">
        <v>1421</v>
      </c>
      <c r="M67" s="7">
        <f>IF(ISBLANK($B67),_xlfn.XLOOKUP($A67,'2. TEUs &amp; Activities - EF'!$A$9:$A$190,'2. TEUs &amp; Activities - EF'!$J$9:$J$190),_xlfn.XLOOKUP($B67,'2. TEUs &amp; Activities - EF'!$B$9:$B$190,'2. TEUs &amp; Activities - EF'!$J$9:$J$190))*'3. Pollutant Emissions - EF'!$I67*IF(OR(ISBLANK($E67),$G67="Yes"),1,$E67)*IF($H67="Yes",1,(1-$F67))</f>
        <v>287.46541176470595</v>
      </c>
      <c r="N67" s="5">
        <f>IF(ISBLANK($B67),_xlfn.XLOOKUP($A67,'2. TEUs &amp; Activities - EF'!$A$9:$A$190,'2. TEUs &amp; Activities - EF'!$M$9:$M$190),_xlfn.XLOOKUP($B67,'2. TEUs &amp; Activities - EF'!$B$9:$B$190,'2. TEUs &amp; Activities - EF'!$M$9:$M$190))*'3. Pollutant Emissions - EF'!$J67*IF(OR(ISBLANK($E67),$G67="Yes"),1,$E67)*IF($H67="Yes",1,(1-$F67))</f>
        <v>0.78757647058823543</v>
      </c>
      <c r="O67" s="130"/>
    </row>
    <row r="68" spans="1:15" ht="15" x14ac:dyDescent="0.25">
      <c r="A68" s="5" t="s">
        <v>1311</v>
      </c>
      <c r="B68" s="7"/>
      <c r="C68" s="13" t="s">
        <v>53</v>
      </c>
      <c r="D68" s="19" t="str">
        <f>IFERROR(IF(C68="No CAS","",INDEX('DEQ Pollutant List'!$B$7:$B$611,MATCH('3. Pollutant Emissions - EF'!C68,'DEQ Pollutant List'!$A$7:$A$611,0))),"")</f>
        <v>Arsenic and compounds</v>
      </c>
      <c r="E68" s="100">
        <v>0</v>
      </c>
      <c r="F68" s="36">
        <v>0</v>
      </c>
      <c r="G68" s="100" t="s">
        <v>1415</v>
      </c>
      <c r="H68" s="36" t="s">
        <v>1415</v>
      </c>
      <c r="I68" s="34">
        <v>2.0000000000000001E-4</v>
      </c>
      <c r="J68" s="11">
        <f t="shared" si="0"/>
        <v>2.0000000000000001E-4</v>
      </c>
      <c r="K68" s="6" t="s">
        <v>1416</v>
      </c>
      <c r="L68" s="20" t="s">
        <v>1421</v>
      </c>
      <c r="M68" s="7">
        <f>IF(ISBLANK($B68),_xlfn.XLOOKUP($A68,'2. TEUs &amp; Activities - EF'!$A$9:$A$190,'2. TEUs &amp; Activities - EF'!$J$9:$J$190),_xlfn.XLOOKUP($B68,'2. TEUs &amp; Activities - EF'!$B$9:$B$190,'2. TEUs &amp; Activities - EF'!$J$9:$J$190))*'3. Pollutant Emissions - EF'!$I68*IF(OR(ISBLANK($E68),$G68="Yes"),1,$E68)*IF($H68="Yes",1,(1-$F68))</f>
        <v>1.796658823529412E-2</v>
      </c>
      <c r="N68" s="5">
        <f>IF(ISBLANK($B68),_xlfn.XLOOKUP($A68,'2. TEUs &amp; Activities - EF'!$A$9:$A$190,'2. TEUs &amp; Activities - EF'!$M$9:$M$190),_xlfn.XLOOKUP($B68,'2. TEUs &amp; Activities - EF'!$B$9:$B$190,'2. TEUs &amp; Activities - EF'!$M$9:$M$190))*'3. Pollutant Emissions - EF'!$J68*IF(OR(ISBLANK($E68),$G68="Yes"),1,$E68)*IF($H68="Yes",1,(1-$F68))</f>
        <v>4.9223529411764711E-5</v>
      </c>
      <c r="O68" s="130"/>
    </row>
    <row r="69" spans="1:15" ht="15" x14ac:dyDescent="0.25">
      <c r="A69" s="5" t="s">
        <v>1311</v>
      </c>
      <c r="B69" s="7"/>
      <c r="C69" s="13" t="s">
        <v>54</v>
      </c>
      <c r="D69" s="19" t="str">
        <f>IFERROR(IF(C69="No CAS","",INDEX('DEQ Pollutant List'!$B$7:$B$611,MATCH('3. Pollutant Emissions - EF'!C69,'DEQ Pollutant List'!$A$7:$A$611,0))),"")</f>
        <v>Barium and compounds</v>
      </c>
      <c r="E69" s="100">
        <v>0</v>
      </c>
      <c r="F69" s="36">
        <v>0</v>
      </c>
      <c r="G69" s="100" t="s">
        <v>1415</v>
      </c>
      <c r="H69" s="36" t="s">
        <v>1415</v>
      </c>
      <c r="I69" s="34">
        <v>4.4000000000000003E-3</v>
      </c>
      <c r="J69" s="11">
        <f t="shared" si="0"/>
        <v>4.4000000000000003E-3</v>
      </c>
      <c r="K69" s="6" t="s">
        <v>1416</v>
      </c>
      <c r="L69" s="20" t="s">
        <v>1421</v>
      </c>
      <c r="M69" s="7">
        <f>IF(ISBLANK($B69),_xlfn.XLOOKUP($A69,'2. TEUs &amp; Activities - EF'!$A$9:$A$190,'2. TEUs &amp; Activities - EF'!$J$9:$J$190),_xlfn.XLOOKUP($B69,'2. TEUs &amp; Activities - EF'!$B$9:$B$190,'2. TEUs &amp; Activities - EF'!$J$9:$J$190))*'3. Pollutant Emissions - EF'!$I69*IF(OR(ISBLANK($E69),$G69="Yes"),1,$E69)*IF($H69="Yes",1,(1-$F69))</f>
        <v>0.39526494117647065</v>
      </c>
      <c r="N69" s="5">
        <f>IF(ISBLANK($B69),_xlfn.XLOOKUP($A69,'2. TEUs &amp; Activities - EF'!$A$9:$A$190,'2. TEUs &amp; Activities - EF'!$M$9:$M$190),_xlfn.XLOOKUP($B69,'2. TEUs &amp; Activities - EF'!$B$9:$B$190,'2. TEUs &amp; Activities - EF'!$M$9:$M$190))*'3. Pollutant Emissions - EF'!$J69*IF(OR(ISBLANK($E69),$G69="Yes"),1,$E69)*IF($H69="Yes",1,(1-$F69))</f>
        <v>1.0829176470588237E-3</v>
      </c>
      <c r="O69" s="130"/>
    </row>
    <row r="70" spans="1:15" ht="15" x14ac:dyDescent="0.25">
      <c r="A70" s="5" t="s">
        <v>1311</v>
      </c>
      <c r="B70" s="7"/>
      <c r="C70" s="13" t="s">
        <v>46</v>
      </c>
      <c r="D70" s="19" t="str">
        <f>IFERROR(IF(C70="No CAS","",INDEX('DEQ Pollutant List'!$B$7:$B$611,MATCH('3. Pollutant Emissions - EF'!C70,'DEQ Pollutant List'!$A$7:$A$611,0))),"")</f>
        <v>Benzene</v>
      </c>
      <c r="E70" s="100">
        <v>0</v>
      </c>
      <c r="F70" s="36">
        <v>0</v>
      </c>
      <c r="G70" s="100" t="s">
        <v>1415</v>
      </c>
      <c r="H70" s="36" t="s">
        <v>1415</v>
      </c>
      <c r="I70" s="34">
        <v>5.7999999999999996E-3</v>
      </c>
      <c r="J70" s="11">
        <f t="shared" si="0"/>
        <v>5.7999999999999996E-3</v>
      </c>
      <c r="K70" s="6" t="s">
        <v>1416</v>
      </c>
      <c r="L70" s="20" t="s">
        <v>1421</v>
      </c>
      <c r="M70" s="7">
        <f>IF(ISBLANK($B70),_xlfn.XLOOKUP($A70,'2. TEUs &amp; Activities - EF'!$A$9:$A$190,'2. TEUs &amp; Activities - EF'!$J$9:$J$190),_xlfn.XLOOKUP($B70,'2. TEUs &amp; Activities - EF'!$B$9:$B$190,'2. TEUs &amp; Activities - EF'!$J$9:$J$190))*'3. Pollutant Emissions - EF'!$I70*IF(OR(ISBLANK($E70),$G70="Yes"),1,$E70)*IF($H70="Yes",1,(1-$F70))</f>
        <v>0.5210310588235294</v>
      </c>
      <c r="N70" s="5">
        <f>IF(ISBLANK($B70),_xlfn.XLOOKUP($A70,'2. TEUs &amp; Activities - EF'!$A$9:$A$190,'2. TEUs &amp; Activities - EF'!$M$9:$M$190),_xlfn.XLOOKUP($B70,'2. TEUs &amp; Activities - EF'!$B$9:$B$190,'2. TEUs &amp; Activities - EF'!$M$9:$M$190))*'3. Pollutant Emissions - EF'!$J70*IF(OR(ISBLANK($E70),$G70="Yes"),1,$E70)*IF($H70="Yes",1,(1-$F70))</f>
        <v>1.4274823529411766E-3</v>
      </c>
      <c r="O70" s="130"/>
    </row>
    <row r="71" spans="1:15" ht="15" x14ac:dyDescent="0.25">
      <c r="A71" s="5" t="s">
        <v>1311</v>
      </c>
      <c r="B71" s="7"/>
      <c r="C71" s="13" t="s">
        <v>48</v>
      </c>
      <c r="D71" s="19" t="str">
        <f>IFERROR(IF(C71="No CAS","",INDEX('DEQ Pollutant List'!$B$7:$B$611,MATCH('3. Pollutant Emissions - EF'!C71,'DEQ Pollutant List'!$A$7:$A$611,0))),"")</f>
        <v>Benzo[a]pyrene</v>
      </c>
      <c r="E71" s="100">
        <v>0</v>
      </c>
      <c r="F71" s="36">
        <v>0</v>
      </c>
      <c r="G71" s="100" t="s">
        <v>1415</v>
      </c>
      <c r="H71" s="36" t="s">
        <v>1415</v>
      </c>
      <c r="I71" s="34">
        <v>1.1999999999999999E-6</v>
      </c>
      <c r="J71" s="11">
        <f t="shared" si="0"/>
        <v>1.1999999999999999E-6</v>
      </c>
      <c r="K71" s="6" t="s">
        <v>1416</v>
      </c>
      <c r="L71" s="20" t="s">
        <v>1421</v>
      </c>
      <c r="M71" s="7">
        <f>IF(ISBLANK($B71),_xlfn.XLOOKUP($A71,'2. TEUs &amp; Activities - EF'!$A$9:$A$190,'2. TEUs &amp; Activities - EF'!$J$9:$J$190),_xlfn.XLOOKUP($B71,'2. TEUs &amp; Activities - EF'!$B$9:$B$190,'2. TEUs &amp; Activities - EF'!$J$9:$J$190))*'3. Pollutant Emissions - EF'!$I71*IF(OR(ISBLANK($E71),$G71="Yes"),1,$E71)*IF($H71="Yes",1,(1-$F71))</f>
        <v>1.0779952941176471E-4</v>
      </c>
      <c r="N71" s="5">
        <f>IF(ISBLANK($B71),_xlfn.XLOOKUP($A71,'2. TEUs &amp; Activities - EF'!$A$9:$A$190,'2. TEUs &amp; Activities - EF'!$M$9:$M$190),_xlfn.XLOOKUP($B71,'2. TEUs &amp; Activities - EF'!$B$9:$B$190,'2. TEUs &amp; Activities - EF'!$M$9:$M$190))*'3. Pollutant Emissions - EF'!$J71*IF(OR(ISBLANK($E71),$G71="Yes"),1,$E71)*IF($H71="Yes",1,(1-$F71))</f>
        <v>2.9534117647058824E-7</v>
      </c>
      <c r="O71" s="130"/>
    </row>
    <row r="72" spans="1:15" ht="15" x14ac:dyDescent="0.25">
      <c r="A72" s="5" t="s">
        <v>1311</v>
      </c>
      <c r="B72" s="7"/>
      <c r="C72" s="13" t="s">
        <v>55</v>
      </c>
      <c r="D72" s="19" t="str">
        <f>IFERROR(IF(C72="No CAS","",INDEX('DEQ Pollutant List'!$B$7:$B$611,MATCH('3. Pollutant Emissions - EF'!C72,'DEQ Pollutant List'!$A$7:$A$611,0))),"")</f>
        <v>Beryllium and compounds</v>
      </c>
      <c r="E72" s="100">
        <v>0</v>
      </c>
      <c r="F72" s="36">
        <v>0</v>
      </c>
      <c r="G72" s="100" t="s">
        <v>1415</v>
      </c>
      <c r="H72" s="36" t="s">
        <v>1415</v>
      </c>
      <c r="I72" s="34">
        <v>1.2E-5</v>
      </c>
      <c r="J72" s="11">
        <f t="shared" si="0"/>
        <v>1.2E-5</v>
      </c>
      <c r="K72" s="6" t="s">
        <v>1416</v>
      </c>
      <c r="L72" s="20" t="s">
        <v>1421</v>
      </c>
      <c r="M72" s="7">
        <f>IF(ISBLANK($B72),_xlfn.XLOOKUP($A72,'2. TEUs &amp; Activities - EF'!$A$9:$A$190,'2. TEUs &amp; Activities - EF'!$J$9:$J$190),_xlfn.XLOOKUP($B72,'2. TEUs &amp; Activities - EF'!$B$9:$B$190,'2. TEUs &amp; Activities - EF'!$J$9:$J$190))*'3. Pollutant Emissions - EF'!$I72*IF(OR(ISBLANK($E72),$G72="Yes"),1,$E72)*IF($H72="Yes",1,(1-$F72))</f>
        <v>1.0779952941176471E-3</v>
      </c>
      <c r="N72" s="5">
        <f>IF(ISBLANK($B72),_xlfn.XLOOKUP($A72,'2. TEUs &amp; Activities - EF'!$A$9:$A$190,'2. TEUs &amp; Activities - EF'!$M$9:$M$190),_xlfn.XLOOKUP($B72,'2. TEUs &amp; Activities - EF'!$B$9:$B$190,'2. TEUs &amp; Activities - EF'!$M$9:$M$190))*'3. Pollutant Emissions - EF'!$J72*IF(OR(ISBLANK($E72),$G72="Yes"),1,$E72)*IF($H72="Yes",1,(1-$F72))</f>
        <v>2.9534117647058828E-6</v>
      </c>
      <c r="O72" s="130"/>
    </row>
    <row r="73" spans="1:15" ht="15" x14ac:dyDescent="0.25">
      <c r="A73" s="5" t="s">
        <v>1311</v>
      </c>
      <c r="B73" s="7"/>
      <c r="C73" s="13" t="s">
        <v>56</v>
      </c>
      <c r="D73" s="19" t="str">
        <f>IFERROR(IF(C73="No CAS","",INDEX('DEQ Pollutant List'!$B$7:$B$611,MATCH('3. Pollutant Emissions - EF'!C73,'DEQ Pollutant List'!$A$7:$A$611,0))),"")</f>
        <v>Cadmium and compounds</v>
      </c>
      <c r="E73" s="100">
        <v>0</v>
      </c>
      <c r="F73" s="36">
        <v>0</v>
      </c>
      <c r="G73" s="100" t="s">
        <v>1415</v>
      </c>
      <c r="H73" s="36" t="s">
        <v>1415</v>
      </c>
      <c r="I73" s="34">
        <v>1.1000000000000001E-3</v>
      </c>
      <c r="J73" s="11">
        <f t="shared" si="0"/>
        <v>1.1000000000000001E-3</v>
      </c>
      <c r="K73" s="6" t="s">
        <v>1416</v>
      </c>
      <c r="L73" s="20" t="s">
        <v>1421</v>
      </c>
      <c r="M73" s="7">
        <f>IF(ISBLANK($B73),_xlfn.XLOOKUP($A73,'2. TEUs &amp; Activities - EF'!$A$9:$A$190,'2. TEUs &amp; Activities - EF'!$J$9:$J$190),_xlfn.XLOOKUP($B73,'2. TEUs &amp; Activities - EF'!$B$9:$B$190,'2. TEUs &amp; Activities - EF'!$J$9:$J$190))*'3. Pollutant Emissions - EF'!$I73*IF(OR(ISBLANK($E73),$G73="Yes"),1,$E73)*IF($H73="Yes",1,(1-$F73))</f>
        <v>9.8816235294117663E-2</v>
      </c>
      <c r="N73" s="5">
        <f>IF(ISBLANK($B73),_xlfn.XLOOKUP($A73,'2. TEUs &amp; Activities - EF'!$A$9:$A$190,'2. TEUs &amp; Activities - EF'!$M$9:$M$190),_xlfn.XLOOKUP($B73,'2. TEUs &amp; Activities - EF'!$B$9:$B$190,'2. TEUs &amp; Activities - EF'!$M$9:$M$190))*'3. Pollutant Emissions - EF'!$J73*IF(OR(ISBLANK($E73),$G73="Yes"),1,$E73)*IF($H73="Yes",1,(1-$F73))</f>
        <v>2.7072941176470593E-4</v>
      </c>
      <c r="O73" s="130"/>
    </row>
    <row r="74" spans="1:15" ht="15" x14ac:dyDescent="0.25">
      <c r="A74" s="5" t="s">
        <v>1311</v>
      </c>
      <c r="B74" s="7"/>
      <c r="C74" s="13" t="s">
        <v>57</v>
      </c>
      <c r="D74" s="19" t="str">
        <f>IFERROR(IF(C74="No CAS","",INDEX('DEQ Pollutant List'!$B$7:$B$611,MATCH('3. Pollutant Emissions - EF'!C74,'DEQ Pollutant List'!$A$7:$A$611,0))),"")</f>
        <v>Chromium VI, chromate and dichromate particulate</v>
      </c>
      <c r="E74" s="100">
        <v>0</v>
      </c>
      <c r="F74" s="36">
        <v>0</v>
      </c>
      <c r="G74" s="100" t="s">
        <v>1415</v>
      </c>
      <c r="H74" s="36" t="s">
        <v>1415</v>
      </c>
      <c r="I74" s="34">
        <v>1.4E-3</v>
      </c>
      <c r="J74" s="11">
        <f t="shared" ref="J74:J137" si="1">I74</f>
        <v>1.4E-3</v>
      </c>
      <c r="K74" s="6" t="s">
        <v>1416</v>
      </c>
      <c r="L74" s="20" t="s">
        <v>1421</v>
      </c>
      <c r="M74" s="7">
        <f>IF(ISBLANK($B74),_xlfn.XLOOKUP($A74,'2. TEUs &amp; Activities - EF'!$A$9:$A$190,'2. TEUs &amp; Activities - EF'!$J$9:$J$190),_xlfn.XLOOKUP($B74,'2. TEUs &amp; Activities - EF'!$B$9:$B$190,'2. TEUs &amp; Activities - EF'!$J$9:$J$190))*'3. Pollutant Emissions - EF'!$I74*IF(OR(ISBLANK($E74),$G74="Yes"),1,$E74)*IF($H74="Yes",1,(1-$F74))</f>
        <v>0.12576611764705883</v>
      </c>
      <c r="N74" s="5">
        <f>IF(ISBLANK($B74),_xlfn.XLOOKUP($A74,'2. TEUs &amp; Activities - EF'!$A$9:$A$190,'2. TEUs &amp; Activities - EF'!$M$9:$M$190),_xlfn.XLOOKUP($B74,'2. TEUs &amp; Activities - EF'!$B$9:$B$190,'2. TEUs &amp; Activities - EF'!$M$9:$M$190))*'3. Pollutant Emissions - EF'!$J74*IF(OR(ISBLANK($E74),$G74="Yes"),1,$E74)*IF($H74="Yes",1,(1-$F74))</f>
        <v>3.4456470588235295E-4</v>
      </c>
      <c r="O74" s="130"/>
    </row>
    <row r="75" spans="1:15" ht="15" x14ac:dyDescent="0.25">
      <c r="A75" s="5" t="s">
        <v>1311</v>
      </c>
      <c r="B75" s="7"/>
      <c r="C75" s="13" t="s">
        <v>58</v>
      </c>
      <c r="D75" s="19" t="str">
        <f>IFERROR(IF(C75="No CAS","",INDEX('DEQ Pollutant List'!$B$7:$B$611,MATCH('3. Pollutant Emissions - EF'!C75,'DEQ Pollutant List'!$A$7:$A$611,0))),"")</f>
        <v>Cobalt and compounds</v>
      </c>
      <c r="E75" s="100">
        <v>0</v>
      </c>
      <c r="F75" s="36">
        <v>0</v>
      </c>
      <c r="G75" s="100" t="s">
        <v>1415</v>
      </c>
      <c r="H75" s="36" t="s">
        <v>1415</v>
      </c>
      <c r="I75" s="34">
        <v>8.3999999999999995E-5</v>
      </c>
      <c r="J75" s="11">
        <f t="shared" si="1"/>
        <v>8.3999999999999995E-5</v>
      </c>
      <c r="K75" s="6" t="s">
        <v>1416</v>
      </c>
      <c r="L75" s="20" t="s">
        <v>1421</v>
      </c>
      <c r="M75" s="7">
        <f>IF(ISBLANK($B75),_xlfn.XLOOKUP($A75,'2. TEUs &amp; Activities - EF'!$A$9:$A$190,'2. TEUs &amp; Activities - EF'!$J$9:$J$190),_xlfn.XLOOKUP($B75,'2. TEUs &amp; Activities - EF'!$B$9:$B$190,'2. TEUs &amp; Activities - EF'!$J$9:$J$190))*'3. Pollutant Emissions - EF'!$I75*IF(OR(ISBLANK($E75),$G75="Yes"),1,$E75)*IF($H75="Yes",1,(1-$F75))</f>
        <v>7.54596705882353E-3</v>
      </c>
      <c r="N75" s="5">
        <f>IF(ISBLANK($B75),_xlfn.XLOOKUP($A75,'2. TEUs &amp; Activities - EF'!$A$9:$A$190,'2. TEUs &amp; Activities - EF'!$M$9:$M$190),_xlfn.XLOOKUP($B75,'2. TEUs &amp; Activities - EF'!$B$9:$B$190,'2. TEUs &amp; Activities - EF'!$M$9:$M$190))*'3. Pollutant Emissions - EF'!$J75*IF(OR(ISBLANK($E75),$G75="Yes"),1,$E75)*IF($H75="Yes",1,(1-$F75))</f>
        <v>2.0673882352941176E-5</v>
      </c>
      <c r="O75" s="130"/>
    </row>
    <row r="76" spans="1:15" ht="15" x14ac:dyDescent="0.25">
      <c r="A76" s="5" t="s">
        <v>1311</v>
      </c>
      <c r="B76" s="7"/>
      <c r="C76" s="13" t="s">
        <v>59</v>
      </c>
      <c r="D76" s="19" t="str">
        <f>IFERROR(IF(C76="No CAS","",INDEX('DEQ Pollutant List'!$B$7:$B$611,MATCH('3. Pollutant Emissions - EF'!C76,'DEQ Pollutant List'!$A$7:$A$611,0))),"")</f>
        <v>Copper and compounds</v>
      </c>
      <c r="E76" s="100">
        <v>0</v>
      </c>
      <c r="F76" s="36">
        <v>0</v>
      </c>
      <c r="G76" s="100" t="s">
        <v>1415</v>
      </c>
      <c r="H76" s="36" t="s">
        <v>1415</v>
      </c>
      <c r="I76" s="34">
        <v>8.4999999999999995E-4</v>
      </c>
      <c r="J76" s="11">
        <f t="shared" si="1"/>
        <v>8.4999999999999995E-4</v>
      </c>
      <c r="K76" s="6" t="s">
        <v>1416</v>
      </c>
      <c r="L76" s="20" t="s">
        <v>1421</v>
      </c>
      <c r="M76" s="7">
        <f>IF(ISBLANK($B76),_xlfn.XLOOKUP($A76,'2. TEUs &amp; Activities - EF'!$A$9:$A$190,'2. TEUs &amp; Activities - EF'!$J$9:$J$190),_xlfn.XLOOKUP($B76,'2. TEUs &amp; Activities - EF'!$B$9:$B$190,'2. TEUs &amp; Activities - EF'!$J$9:$J$190))*'3. Pollutant Emissions - EF'!$I76*IF(OR(ISBLANK($E76),$G76="Yes"),1,$E76)*IF($H76="Yes",1,(1-$F76))</f>
        <v>7.6358000000000009E-2</v>
      </c>
      <c r="N76" s="5">
        <f>IF(ISBLANK($B76),_xlfn.XLOOKUP($A76,'2. TEUs &amp; Activities - EF'!$A$9:$A$190,'2. TEUs &amp; Activities - EF'!$M$9:$M$190),_xlfn.XLOOKUP($B76,'2. TEUs &amp; Activities - EF'!$B$9:$B$190,'2. TEUs &amp; Activities - EF'!$M$9:$M$190))*'3. Pollutant Emissions - EF'!$J76*IF(OR(ISBLANK($E76),$G76="Yes"),1,$E76)*IF($H76="Yes",1,(1-$F76))</f>
        <v>2.0920000000000002E-4</v>
      </c>
      <c r="O76" s="130"/>
    </row>
    <row r="77" spans="1:15" ht="15" x14ac:dyDescent="0.25">
      <c r="A77" s="5" t="s">
        <v>1311</v>
      </c>
      <c r="B77" s="7"/>
      <c r="C77" s="13" t="s">
        <v>60</v>
      </c>
      <c r="D77" s="19" t="str">
        <f>IFERROR(IF(C77="No CAS","",INDEX('DEQ Pollutant List'!$B$7:$B$611,MATCH('3. Pollutant Emissions - EF'!C77,'DEQ Pollutant List'!$A$7:$A$611,0))),"")</f>
        <v>Ethyl benzene</v>
      </c>
      <c r="E77" s="100">
        <v>0</v>
      </c>
      <c r="F77" s="36">
        <v>0</v>
      </c>
      <c r="G77" s="100" t="s">
        <v>1415</v>
      </c>
      <c r="H77" s="36" t="s">
        <v>1415</v>
      </c>
      <c r="I77" s="34">
        <v>6.8999999999999999E-3</v>
      </c>
      <c r="J77" s="11">
        <f t="shared" si="1"/>
        <v>6.8999999999999999E-3</v>
      </c>
      <c r="K77" s="6" t="s">
        <v>1416</v>
      </c>
      <c r="L77" s="20" t="s">
        <v>1421</v>
      </c>
      <c r="M77" s="7">
        <f>IF(ISBLANK($B77),_xlfn.XLOOKUP($A77,'2. TEUs &amp; Activities - EF'!$A$9:$A$190,'2. TEUs &amp; Activities - EF'!$J$9:$J$190),_xlfn.XLOOKUP($B77,'2. TEUs &amp; Activities - EF'!$B$9:$B$190,'2. TEUs &amp; Activities - EF'!$J$9:$J$190))*'3. Pollutant Emissions - EF'!$I77*IF(OR(ISBLANK($E77),$G77="Yes"),1,$E77)*IF($H77="Yes",1,(1-$F77))</f>
        <v>0.61984729411764716</v>
      </c>
      <c r="N77" s="5">
        <f>IF(ISBLANK($B77),_xlfn.XLOOKUP($A77,'2. TEUs &amp; Activities - EF'!$A$9:$A$190,'2. TEUs &amp; Activities - EF'!$M$9:$M$190),_xlfn.XLOOKUP($B77,'2. TEUs &amp; Activities - EF'!$B$9:$B$190,'2. TEUs &amp; Activities - EF'!$M$9:$M$190))*'3. Pollutant Emissions - EF'!$J77*IF(OR(ISBLANK($E77),$G77="Yes"),1,$E77)*IF($H77="Yes",1,(1-$F77))</f>
        <v>1.6982117647058824E-3</v>
      </c>
      <c r="O77" s="130"/>
    </row>
    <row r="78" spans="1:15" ht="15" x14ac:dyDescent="0.25">
      <c r="A78" s="5" t="s">
        <v>1311</v>
      </c>
      <c r="B78" s="7"/>
      <c r="C78" s="13" t="s">
        <v>47</v>
      </c>
      <c r="D78" s="19" t="str">
        <f>IFERROR(IF(C78="No CAS","",INDEX('DEQ Pollutant List'!$B$7:$B$611,MATCH('3. Pollutant Emissions - EF'!C78,'DEQ Pollutant List'!$A$7:$A$611,0))),"")</f>
        <v>Formaldehyde</v>
      </c>
      <c r="E78" s="100">
        <v>0</v>
      </c>
      <c r="F78" s="36">
        <v>0</v>
      </c>
      <c r="G78" s="100" t="s">
        <v>1415</v>
      </c>
      <c r="H78" s="36" t="s">
        <v>1415</v>
      </c>
      <c r="I78" s="34">
        <v>1.23E-2</v>
      </c>
      <c r="J78" s="11">
        <f t="shared" si="1"/>
        <v>1.23E-2</v>
      </c>
      <c r="K78" s="6" t="s">
        <v>1416</v>
      </c>
      <c r="L78" s="20" t="s">
        <v>1421</v>
      </c>
      <c r="M78" s="7">
        <f>IF(ISBLANK($B78),_xlfn.XLOOKUP($A78,'2. TEUs &amp; Activities - EF'!$A$9:$A$190,'2. TEUs &amp; Activities - EF'!$J$9:$J$190),_xlfn.XLOOKUP($B78,'2. TEUs &amp; Activities - EF'!$B$9:$B$190,'2. TEUs &amp; Activities - EF'!$J$9:$J$190))*'3. Pollutant Emissions - EF'!$I78*IF(OR(ISBLANK($E78),$G78="Yes"),1,$E78)*IF($H78="Yes",1,(1-$F78))</f>
        <v>1.1049451764705884</v>
      </c>
      <c r="N78" s="5">
        <f>IF(ISBLANK($B78),_xlfn.XLOOKUP($A78,'2. TEUs &amp; Activities - EF'!$A$9:$A$190,'2. TEUs &amp; Activities - EF'!$M$9:$M$190),_xlfn.XLOOKUP($B78,'2. TEUs &amp; Activities - EF'!$B$9:$B$190,'2. TEUs &amp; Activities - EF'!$M$9:$M$190))*'3. Pollutant Emissions - EF'!$J78*IF(OR(ISBLANK($E78),$G78="Yes"),1,$E78)*IF($H78="Yes",1,(1-$F78))</f>
        <v>3.0272470588235297E-3</v>
      </c>
      <c r="O78" s="130"/>
    </row>
    <row r="79" spans="1:15" ht="15" x14ac:dyDescent="0.25">
      <c r="A79" s="5" t="s">
        <v>1311</v>
      </c>
      <c r="B79" s="7"/>
      <c r="C79" s="13" t="s">
        <v>61</v>
      </c>
      <c r="D79" s="19" t="str">
        <f>IFERROR(IF(C79="No CAS","",INDEX('DEQ Pollutant List'!$B$7:$B$611,MATCH('3. Pollutant Emissions - EF'!C79,'DEQ Pollutant List'!$A$7:$A$611,0))),"")</f>
        <v>Hexane</v>
      </c>
      <c r="E79" s="100">
        <v>0</v>
      </c>
      <c r="F79" s="36">
        <v>0</v>
      </c>
      <c r="G79" s="100" t="s">
        <v>1415</v>
      </c>
      <c r="H79" s="36" t="s">
        <v>1415</v>
      </c>
      <c r="I79" s="34">
        <v>4.5999999999999999E-3</v>
      </c>
      <c r="J79" s="11">
        <f t="shared" si="1"/>
        <v>4.5999999999999999E-3</v>
      </c>
      <c r="K79" s="6" t="s">
        <v>1416</v>
      </c>
      <c r="L79" s="20" t="s">
        <v>1421</v>
      </c>
      <c r="M79" s="7">
        <f>IF(ISBLANK($B79),_xlfn.XLOOKUP($A79,'2. TEUs &amp; Activities - EF'!$A$9:$A$190,'2. TEUs &amp; Activities - EF'!$J$9:$J$190),_xlfn.XLOOKUP($B79,'2. TEUs &amp; Activities - EF'!$B$9:$B$190,'2. TEUs &amp; Activities - EF'!$J$9:$J$190))*'3. Pollutant Emissions - EF'!$I79*IF(OR(ISBLANK($E79),$G79="Yes"),1,$E79)*IF($H79="Yes",1,(1-$F79))</f>
        <v>0.41323152941176472</v>
      </c>
      <c r="N79" s="5">
        <f>IF(ISBLANK($B79),_xlfn.XLOOKUP($A79,'2. TEUs &amp; Activities - EF'!$A$9:$A$190,'2. TEUs &amp; Activities - EF'!$M$9:$M$190),_xlfn.XLOOKUP($B79,'2. TEUs &amp; Activities - EF'!$B$9:$B$190,'2. TEUs &amp; Activities - EF'!$M$9:$M$190))*'3. Pollutant Emissions - EF'!$J79*IF(OR(ISBLANK($E79),$G79="Yes"),1,$E79)*IF($H79="Yes",1,(1-$F79))</f>
        <v>1.1321411764705883E-3</v>
      </c>
      <c r="O79" s="130"/>
    </row>
    <row r="80" spans="1:15" ht="15" x14ac:dyDescent="0.25">
      <c r="A80" s="5" t="s">
        <v>1311</v>
      </c>
      <c r="B80" s="7"/>
      <c r="C80" s="13" t="s">
        <v>62</v>
      </c>
      <c r="D80" s="19" t="str">
        <f>IFERROR(IF(C80="No CAS","",INDEX('DEQ Pollutant List'!$B$7:$B$611,MATCH('3. Pollutant Emissions - EF'!C80,'DEQ Pollutant List'!$A$7:$A$611,0))),"")</f>
        <v>Lead and compounds</v>
      </c>
      <c r="E80" s="100">
        <v>0</v>
      </c>
      <c r="F80" s="36">
        <v>0</v>
      </c>
      <c r="G80" s="100" t="s">
        <v>1415</v>
      </c>
      <c r="H80" s="36" t="s">
        <v>1415</v>
      </c>
      <c r="I80" s="34">
        <v>5.0000000000000001E-4</v>
      </c>
      <c r="J80" s="11">
        <f t="shared" si="1"/>
        <v>5.0000000000000001E-4</v>
      </c>
      <c r="K80" s="6" t="s">
        <v>1416</v>
      </c>
      <c r="L80" s="20" t="s">
        <v>1421</v>
      </c>
      <c r="M80" s="7">
        <f>IF(ISBLANK($B80),_xlfn.XLOOKUP($A80,'2. TEUs &amp; Activities - EF'!$A$9:$A$190,'2. TEUs &amp; Activities - EF'!$J$9:$J$190),_xlfn.XLOOKUP($B80,'2. TEUs &amp; Activities - EF'!$B$9:$B$190,'2. TEUs &amp; Activities - EF'!$J$9:$J$190))*'3. Pollutant Emissions - EF'!$I80*IF(OR(ISBLANK($E80),$G80="Yes"),1,$E80)*IF($H80="Yes",1,(1-$F80))</f>
        <v>4.4916470588235301E-2</v>
      </c>
      <c r="N80" s="5">
        <f>IF(ISBLANK($B80),_xlfn.XLOOKUP($A80,'2. TEUs &amp; Activities - EF'!$A$9:$A$190,'2. TEUs &amp; Activities - EF'!$M$9:$M$190),_xlfn.XLOOKUP($B80,'2. TEUs &amp; Activities - EF'!$B$9:$B$190,'2. TEUs &amp; Activities - EF'!$M$9:$M$190))*'3. Pollutant Emissions - EF'!$J80*IF(OR(ISBLANK($E80),$G80="Yes"),1,$E80)*IF($H80="Yes",1,(1-$F80))</f>
        <v>1.2305882352941179E-4</v>
      </c>
      <c r="O80" s="130"/>
    </row>
    <row r="81" spans="1:15" ht="15" x14ac:dyDescent="0.25">
      <c r="A81" s="5" t="s">
        <v>1311</v>
      </c>
      <c r="B81" s="7"/>
      <c r="C81" s="13" t="s">
        <v>63</v>
      </c>
      <c r="D81" s="19" t="str">
        <f>IFERROR(IF(C81="No CAS","",INDEX('DEQ Pollutant List'!$B$7:$B$611,MATCH('3. Pollutant Emissions - EF'!C81,'DEQ Pollutant List'!$A$7:$A$611,0))),"")</f>
        <v>Manganese and compounds</v>
      </c>
      <c r="E81" s="100">
        <v>0</v>
      </c>
      <c r="F81" s="36">
        <v>0</v>
      </c>
      <c r="G81" s="100" t="s">
        <v>1415</v>
      </c>
      <c r="H81" s="36" t="s">
        <v>1415</v>
      </c>
      <c r="I81" s="34">
        <v>3.8000000000000002E-4</v>
      </c>
      <c r="J81" s="11">
        <f t="shared" si="1"/>
        <v>3.8000000000000002E-4</v>
      </c>
      <c r="K81" s="6" t="s">
        <v>1416</v>
      </c>
      <c r="L81" s="20" t="s">
        <v>1421</v>
      </c>
      <c r="M81" s="7">
        <f>IF(ISBLANK($B81),_xlfn.XLOOKUP($A81,'2. TEUs &amp; Activities - EF'!$A$9:$A$190,'2. TEUs &amp; Activities - EF'!$J$9:$J$190),_xlfn.XLOOKUP($B81,'2. TEUs &amp; Activities - EF'!$B$9:$B$190,'2. TEUs &amp; Activities - EF'!$J$9:$J$190))*'3. Pollutant Emissions - EF'!$I81*IF(OR(ISBLANK($E81),$G81="Yes"),1,$E81)*IF($H81="Yes",1,(1-$F81))</f>
        <v>3.4136517647058828E-2</v>
      </c>
      <c r="N81" s="5">
        <f>IF(ISBLANK($B81),_xlfn.XLOOKUP($A81,'2. TEUs &amp; Activities - EF'!$A$9:$A$190,'2. TEUs &amp; Activities - EF'!$M$9:$M$190),_xlfn.XLOOKUP($B81,'2. TEUs &amp; Activities - EF'!$B$9:$B$190,'2. TEUs &amp; Activities - EF'!$M$9:$M$190))*'3. Pollutant Emissions - EF'!$J81*IF(OR(ISBLANK($E81),$G81="Yes"),1,$E81)*IF($H81="Yes",1,(1-$F81))</f>
        <v>9.3524705882352957E-5</v>
      </c>
      <c r="O81" s="130"/>
    </row>
    <row r="82" spans="1:15" ht="15" x14ac:dyDescent="0.25">
      <c r="A82" s="5" t="s">
        <v>1311</v>
      </c>
      <c r="B82" s="7"/>
      <c r="C82" s="13" t="s">
        <v>64</v>
      </c>
      <c r="D82" s="19" t="str">
        <f>IFERROR(IF(C82="No CAS","",INDEX('DEQ Pollutant List'!$B$7:$B$611,MATCH('3. Pollutant Emissions - EF'!C82,'DEQ Pollutant List'!$A$7:$A$611,0))),"")</f>
        <v>Mercury and compounds</v>
      </c>
      <c r="E82" s="100">
        <v>0</v>
      </c>
      <c r="F82" s="36">
        <v>0</v>
      </c>
      <c r="G82" s="100" t="s">
        <v>1415</v>
      </c>
      <c r="H82" s="36" t="s">
        <v>1415</v>
      </c>
      <c r="I82" s="34">
        <v>2.5999999999999998E-4</v>
      </c>
      <c r="J82" s="11">
        <f t="shared" si="1"/>
        <v>2.5999999999999998E-4</v>
      </c>
      <c r="K82" s="6" t="s">
        <v>1416</v>
      </c>
      <c r="L82" s="20" t="s">
        <v>1421</v>
      </c>
      <c r="M82" s="7">
        <f>IF(ISBLANK($B82),_xlfn.XLOOKUP($A82,'2. TEUs &amp; Activities - EF'!$A$9:$A$190,'2. TEUs &amp; Activities - EF'!$J$9:$J$190),_xlfn.XLOOKUP($B82,'2. TEUs &amp; Activities - EF'!$B$9:$B$190,'2. TEUs &amp; Activities - EF'!$J$9:$J$190))*'3. Pollutant Emissions - EF'!$I82*IF(OR(ISBLANK($E82),$G82="Yes"),1,$E82)*IF($H82="Yes",1,(1-$F82))</f>
        <v>2.3356564705882352E-2</v>
      </c>
      <c r="N82" s="5">
        <f>IF(ISBLANK($B82),_xlfn.XLOOKUP($A82,'2. TEUs &amp; Activities - EF'!$A$9:$A$190,'2. TEUs &amp; Activities - EF'!$M$9:$M$190),_xlfn.XLOOKUP($B82,'2. TEUs &amp; Activities - EF'!$B$9:$B$190,'2. TEUs &amp; Activities - EF'!$M$9:$M$190))*'3. Pollutant Emissions - EF'!$J82*IF(OR(ISBLANK($E82),$G82="Yes"),1,$E82)*IF($H82="Yes",1,(1-$F82))</f>
        <v>6.3990588235294122E-5</v>
      </c>
      <c r="O82" s="130"/>
    </row>
    <row r="83" spans="1:15" ht="15" x14ac:dyDescent="0.25">
      <c r="A83" s="5" t="s">
        <v>1311</v>
      </c>
      <c r="B83" s="7"/>
      <c r="C83" s="13" t="s">
        <v>65</v>
      </c>
      <c r="D83" s="19" t="str">
        <f>IFERROR(IF(C83="No CAS","",INDEX('DEQ Pollutant List'!$B$7:$B$611,MATCH('3. Pollutant Emissions - EF'!C83,'DEQ Pollutant List'!$A$7:$A$611,0))),"")</f>
        <v>Molybdenum trioxide</v>
      </c>
      <c r="E83" s="100">
        <v>0</v>
      </c>
      <c r="F83" s="36">
        <v>0</v>
      </c>
      <c r="G83" s="100" t="s">
        <v>1415</v>
      </c>
      <c r="H83" s="36" t="s">
        <v>1415</v>
      </c>
      <c r="I83" s="34">
        <v>1.65E-3</v>
      </c>
      <c r="J83" s="11">
        <f t="shared" si="1"/>
        <v>1.65E-3</v>
      </c>
      <c r="K83" s="6" t="s">
        <v>1416</v>
      </c>
      <c r="L83" s="20" t="s">
        <v>1421</v>
      </c>
      <c r="M83" s="7">
        <f>IF(ISBLANK($B83),_xlfn.XLOOKUP($A83,'2. TEUs &amp; Activities - EF'!$A$9:$A$190,'2. TEUs &amp; Activities - EF'!$J$9:$J$190),_xlfn.XLOOKUP($B83,'2. TEUs &amp; Activities - EF'!$B$9:$B$190,'2. TEUs &amp; Activities - EF'!$J$9:$J$190))*'3. Pollutant Emissions - EF'!$I83*IF(OR(ISBLANK($E83),$G83="Yes"),1,$E83)*IF($H83="Yes",1,(1-$F83))</f>
        <v>0.14822435294117647</v>
      </c>
      <c r="N83" s="5">
        <f>IF(ISBLANK($B83),_xlfn.XLOOKUP($A83,'2. TEUs &amp; Activities - EF'!$A$9:$A$190,'2. TEUs &amp; Activities - EF'!$M$9:$M$190),_xlfn.XLOOKUP($B83,'2. TEUs &amp; Activities - EF'!$B$9:$B$190,'2. TEUs &amp; Activities - EF'!$M$9:$M$190))*'3. Pollutant Emissions - EF'!$J83*IF(OR(ISBLANK($E83),$G83="Yes"),1,$E83)*IF($H83="Yes",1,(1-$F83))</f>
        <v>4.0609411764705883E-4</v>
      </c>
      <c r="O83" s="130"/>
    </row>
    <row r="84" spans="1:15" ht="15" x14ac:dyDescent="0.25">
      <c r="A84" s="5" t="s">
        <v>1311</v>
      </c>
      <c r="B84" s="7"/>
      <c r="C84" s="13" t="s">
        <v>49</v>
      </c>
      <c r="D84" s="19" t="str">
        <f>IFERROR(IF(C84="No CAS","",INDEX('DEQ Pollutant List'!$B$7:$B$611,MATCH('3. Pollutant Emissions - EF'!C84,'DEQ Pollutant List'!$A$7:$A$611,0))),"")</f>
        <v>Naphthalene</v>
      </c>
      <c r="E84" s="100">
        <v>0</v>
      </c>
      <c r="F84" s="36">
        <v>0</v>
      </c>
      <c r="G84" s="100" t="s">
        <v>1415</v>
      </c>
      <c r="H84" s="36" t="s">
        <v>1415</v>
      </c>
      <c r="I84" s="34">
        <v>2.9999999999999997E-4</v>
      </c>
      <c r="J84" s="11">
        <f t="shared" si="1"/>
        <v>2.9999999999999997E-4</v>
      </c>
      <c r="K84" s="6" t="s">
        <v>1416</v>
      </c>
      <c r="L84" s="20" t="s">
        <v>1421</v>
      </c>
      <c r="M84" s="7">
        <f>IF(ISBLANK($B84),_xlfn.XLOOKUP($A84,'2. TEUs &amp; Activities - EF'!$A$9:$A$190,'2. TEUs &amp; Activities - EF'!$J$9:$J$190),_xlfn.XLOOKUP($B84,'2. TEUs &amp; Activities - EF'!$B$9:$B$190,'2. TEUs &amp; Activities - EF'!$J$9:$J$190))*'3. Pollutant Emissions - EF'!$I84*IF(OR(ISBLANK($E84),$G84="Yes"),1,$E84)*IF($H84="Yes",1,(1-$F84))</f>
        <v>2.6949882352941178E-2</v>
      </c>
      <c r="N84" s="5">
        <f>IF(ISBLANK($B84),_xlfn.XLOOKUP($A84,'2. TEUs &amp; Activities - EF'!$A$9:$A$190,'2. TEUs &amp; Activities - EF'!$M$9:$M$190),_xlfn.XLOOKUP($B84,'2. TEUs &amp; Activities - EF'!$B$9:$B$190,'2. TEUs &amp; Activities - EF'!$M$9:$M$190))*'3. Pollutant Emissions - EF'!$J84*IF(OR(ISBLANK($E84),$G84="Yes"),1,$E84)*IF($H84="Yes",1,(1-$F84))</f>
        <v>7.3835294117647053E-5</v>
      </c>
      <c r="O84" s="130"/>
    </row>
    <row r="85" spans="1:15" ht="15" x14ac:dyDescent="0.25">
      <c r="A85" s="5" t="s">
        <v>1311</v>
      </c>
      <c r="B85" s="7"/>
      <c r="C85" s="13" t="s">
        <v>66</v>
      </c>
      <c r="D85" s="19" t="str">
        <f>IFERROR(IF(C85="No CAS","",INDEX('DEQ Pollutant List'!$B$7:$B$611,MATCH('3. Pollutant Emissions - EF'!C85,'DEQ Pollutant List'!$A$7:$A$611,0))),"")</f>
        <v>Nickel and compounds</v>
      </c>
      <c r="E85" s="100">
        <v>0</v>
      </c>
      <c r="F85" s="36">
        <v>0</v>
      </c>
      <c r="G85" s="100" t="s">
        <v>1415</v>
      </c>
      <c r="H85" s="36" t="s">
        <v>1415</v>
      </c>
      <c r="I85" s="34">
        <v>2.0999999999999999E-3</v>
      </c>
      <c r="J85" s="11">
        <f t="shared" si="1"/>
        <v>2.0999999999999999E-3</v>
      </c>
      <c r="K85" s="6" t="s">
        <v>1416</v>
      </c>
      <c r="L85" s="20" t="s">
        <v>1421</v>
      </c>
      <c r="M85" s="7">
        <f>IF(ISBLANK($B85),_xlfn.XLOOKUP($A85,'2. TEUs &amp; Activities - EF'!$A$9:$A$190,'2. TEUs &amp; Activities - EF'!$J$9:$J$190),_xlfn.XLOOKUP($B85,'2. TEUs &amp; Activities - EF'!$B$9:$B$190,'2. TEUs &amp; Activities - EF'!$J$9:$J$190))*'3. Pollutant Emissions - EF'!$I85*IF(OR(ISBLANK($E85),$G85="Yes"),1,$E85)*IF($H85="Yes",1,(1-$F85))</f>
        <v>0.18864917647058824</v>
      </c>
      <c r="N85" s="5">
        <f>IF(ISBLANK($B85),_xlfn.XLOOKUP($A85,'2. TEUs &amp; Activities - EF'!$A$9:$A$190,'2. TEUs &amp; Activities - EF'!$M$9:$M$190),_xlfn.XLOOKUP($B85,'2. TEUs &amp; Activities - EF'!$B$9:$B$190,'2. TEUs &amp; Activities - EF'!$M$9:$M$190))*'3. Pollutant Emissions - EF'!$J85*IF(OR(ISBLANK($E85),$G85="Yes"),1,$E85)*IF($H85="Yes",1,(1-$F85))</f>
        <v>5.1684705882352946E-4</v>
      </c>
      <c r="O85" s="130"/>
    </row>
    <row r="86" spans="1:15" ht="15" x14ac:dyDescent="0.25">
      <c r="A86" s="5" t="s">
        <v>1311</v>
      </c>
      <c r="B86" s="7"/>
      <c r="C86" s="13">
        <v>401</v>
      </c>
      <c r="D86" s="19" t="str">
        <f>IFERROR(IF(C86="No CAS","",INDEX('DEQ Pollutant List'!$B$7:$B$611,MATCH('3. Pollutant Emissions - EF'!C86,'DEQ Pollutant List'!$A$7:$A$611,0))),"")</f>
        <v>Polycyclic aromatic hydrocarbons (PAHs)</v>
      </c>
      <c r="E86" s="100">
        <v>0</v>
      </c>
      <c r="F86" s="36">
        <v>0</v>
      </c>
      <c r="G86" s="100" t="s">
        <v>1415</v>
      </c>
      <c r="H86" s="36" t="s">
        <v>1415</v>
      </c>
      <c r="I86" s="34">
        <v>1E-4</v>
      </c>
      <c r="J86" s="11">
        <f t="shared" si="1"/>
        <v>1E-4</v>
      </c>
      <c r="K86" s="6" t="s">
        <v>1416</v>
      </c>
      <c r="L86" s="20" t="s">
        <v>1421</v>
      </c>
      <c r="M86" s="7">
        <f>IF(ISBLANK($B86),_xlfn.XLOOKUP($A86,'2. TEUs &amp; Activities - EF'!$A$9:$A$190,'2. TEUs &amp; Activities - EF'!$J$9:$J$190),_xlfn.XLOOKUP($B86,'2. TEUs &amp; Activities - EF'!$B$9:$B$190,'2. TEUs &amp; Activities - EF'!$J$9:$J$190))*'3. Pollutant Emissions - EF'!$I86*IF(OR(ISBLANK($E86),$G86="Yes"),1,$E86)*IF($H86="Yes",1,(1-$F86))</f>
        <v>8.9832941176470598E-3</v>
      </c>
      <c r="N86" s="5">
        <f>IF(ISBLANK($B86),_xlfn.XLOOKUP($A86,'2. TEUs &amp; Activities - EF'!$A$9:$A$190,'2. TEUs &amp; Activities - EF'!$M$9:$M$190),_xlfn.XLOOKUP($B86,'2. TEUs &amp; Activities - EF'!$B$9:$B$190,'2. TEUs &amp; Activities - EF'!$M$9:$M$190))*'3. Pollutant Emissions - EF'!$J86*IF(OR(ISBLANK($E86),$G86="Yes"),1,$E86)*IF($H86="Yes",1,(1-$F86))</f>
        <v>2.4611764705882356E-5</v>
      </c>
      <c r="O86" s="130"/>
    </row>
    <row r="87" spans="1:15" ht="15" x14ac:dyDescent="0.25">
      <c r="A87" s="5" t="s">
        <v>1311</v>
      </c>
      <c r="B87" s="7"/>
      <c r="C87" s="13" t="s">
        <v>67</v>
      </c>
      <c r="D87" s="19" t="str">
        <f>IFERROR(IF(C87="No CAS","",INDEX('DEQ Pollutant List'!$B$7:$B$611,MATCH('3. Pollutant Emissions - EF'!C87,'DEQ Pollutant List'!$A$7:$A$611,0))),"")</f>
        <v>Selenium and compounds</v>
      </c>
      <c r="E87" s="100">
        <v>0</v>
      </c>
      <c r="F87" s="36">
        <v>0</v>
      </c>
      <c r="G87" s="100" t="s">
        <v>1415</v>
      </c>
      <c r="H87" s="36" t="s">
        <v>1415</v>
      </c>
      <c r="I87" s="34">
        <v>2.4000000000000001E-5</v>
      </c>
      <c r="J87" s="11">
        <f t="shared" si="1"/>
        <v>2.4000000000000001E-5</v>
      </c>
      <c r="K87" s="6" t="s">
        <v>1416</v>
      </c>
      <c r="L87" s="20" t="s">
        <v>1421</v>
      </c>
      <c r="M87" s="7">
        <f>IF(ISBLANK($B87),_xlfn.XLOOKUP($A87,'2. TEUs &amp; Activities - EF'!$A$9:$A$190,'2. TEUs &amp; Activities - EF'!$J$9:$J$190),_xlfn.XLOOKUP($B87,'2. TEUs &amp; Activities - EF'!$B$9:$B$190,'2. TEUs &amp; Activities - EF'!$J$9:$J$190))*'3. Pollutant Emissions - EF'!$I87*IF(OR(ISBLANK($E87),$G87="Yes"),1,$E87)*IF($H87="Yes",1,(1-$F87))</f>
        <v>2.1559905882352942E-3</v>
      </c>
      <c r="N87" s="5">
        <f>IF(ISBLANK($B87),_xlfn.XLOOKUP($A87,'2. TEUs &amp; Activities - EF'!$A$9:$A$190,'2. TEUs &amp; Activities - EF'!$M$9:$M$190),_xlfn.XLOOKUP($B87,'2. TEUs &amp; Activities - EF'!$B$9:$B$190,'2. TEUs &amp; Activities - EF'!$M$9:$M$190))*'3. Pollutant Emissions - EF'!$J87*IF(OR(ISBLANK($E87),$G87="Yes"),1,$E87)*IF($H87="Yes",1,(1-$F87))</f>
        <v>5.9068235294117656E-6</v>
      </c>
      <c r="O87" s="130"/>
    </row>
    <row r="88" spans="1:15" ht="15" x14ac:dyDescent="0.25">
      <c r="A88" s="5" t="s">
        <v>1311</v>
      </c>
      <c r="B88" s="7"/>
      <c r="C88" s="13" t="s">
        <v>68</v>
      </c>
      <c r="D88" s="19" t="str">
        <f>IFERROR(IF(C88="No CAS","",INDEX('DEQ Pollutant List'!$B$7:$B$611,MATCH('3. Pollutant Emissions - EF'!C88,'DEQ Pollutant List'!$A$7:$A$611,0))),"")</f>
        <v>Toluene</v>
      </c>
      <c r="E88" s="100">
        <v>0</v>
      </c>
      <c r="F88" s="36">
        <v>0</v>
      </c>
      <c r="G88" s="100" t="s">
        <v>1415</v>
      </c>
      <c r="H88" s="36" t="s">
        <v>1415</v>
      </c>
      <c r="I88" s="34">
        <v>2.6499999999999999E-2</v>
      </c>
      <c r="J88" s="11">
        <f t="shared" si="1"/>
        <v>2.6499999999999999E-2</v>
      </c>
      <c r="K88" s="6" t="s">
        <v>1416</v>
      </c>
      <c r="L88" s="20" t="s">
        <v>1421</v>
      </c>
      <c r="M88" s="7">
        <f>IF(ISBLANK($B88),_xlfn.XLOOKUP($A88,'2. TEUs &amp; Activities - EF'!$A$9:$A$190,'2. TEUs &amp; Activities - EF'!$J$9:$J$190),_xlfn.XLOOKUP($B88,'2. TEUs &amp; Activities - EF'!$B$9:$B$190,'2. TEUs &amp; Activities - EF'!$J$9:$J$190))*'3. Pollutant Emissions - EF'!$I88*IF(OR(ISBLANK($E88),$G88="Yes"),1,$E88)*IF($H88="Yes",1,(1-$F88))</f>
        <v>2.3805729411764709</v>
      </c>
      <c r="N88" s="5">
        <f>IF(ISBLANK($B88),_xlfn.XLOOKUP($A88,'2. TEUs &amp; Activities - EF'!$A$9:$A$190,'2. TEUs &amp; Activities - EF'!$M$9:$M$190),_xlfn.XLOOKUP($B88,'2. TEUs &amp; Activities - EF'!$B$9:$B$190,'2. TEUs &amp; Activities - EF'!$M$9:$M$190))*'3. Pollutant Emissions - EF'!$J88*IF(OR(ISBLANK($E88),$G88="Yes"),1,$E88)*IF($H88="Yes",1,(1-$F88))</f>
        <v>6.5221176470588241E-3</v>
      </c>
      <c r="O88" s="130"/>
    </row>
    <row r="89" spans="1:15" ht="15" x14ac:dyDescent="0.25">
      <c r="A89" s="5" t="s">
        <v>1311</v>
      </c>
      <c r="B89" s="7"/>
      <c r="C89" s="13" t="s">
        <v>69</v>
      </c>
      <c r="D89" s="19" t="str">
        <f>IFERROR(IF(C89="No CAS","",INDEX('DEQ Pollutant List'!$B$7:$B$611,MATCH('3. Pollutant Emissions - EF'!C89,'DEQ Pollutant List'!$A$7:$A$611,0))),"")</f>
        <v>Vanadium (fume or dust)</v>
      </c>
      <c r="E89" s="100">
        <v>0</v>
      </c>
      <c r="F89" s="36">
        <v>0</v>
      </c>
      <c r="G89" s="100" t="s">
        <v>1415</v>
      </c>
      <c r="H89" s="36" t="s">
        <v>1415</v>
      </c>
      <c r="I89" s="34">
        <v>2.3E-3</v>
      </c>
      <c r="J89" s="11">
        <f t="shared" si="1"/>
        <v>2.3E-3</v>
      </c>
      <c r="K89" s="6" t="s">
        <v>1416</v>
      </c>
      <c r="L89" s="20" t="s">
        <v>1421</v>
      </c>
      <c r="M89" s="7">
        <f>IF(ISBLANK($B89),_xlfn.XLOOKUP($A89,'2. TEUs &amp; Activities - EF'!$A$9:$A$190,'2. TEUs &amp; Activities - EF'!$J$9:$J$190),_xlfn.XLOOKUP($B89,'2. TEUs &amp; Activities - EF'!$B$9:$B$190,'2. TEUs &amp; Activities - EF'!$J$9:$J$190))*'3. Pollutant Emissions - EF'!$I89*IF(OR(ISBLANK($E89),$G89="Yes"),1,$E89)*IF($H89="Yes",1,(1-$F89))</f>
        <v>0.20661576470588236</v>
      </c>
      <c r="N89" s="5">
        <f>IF(ISBLANK($B89),_xlfn.XLOOKUP($A89,'2. TEUs &amp; Activities - EF'!$A$9:$A$190,'2. TEUs &amp; Activities - EF'!$M$9:$M$190),_xlfn.XLOOKUP($B89,'2. TEUs &amp; Activities - EF'!$B$9:$B$190,'2. TEUs &amp; Activities - EF'!$M$9:$M$190))*'3. Pollutant Emissions - EF'!$J89*IF(OR(ISBLANK($E89),$G89="Yes"),1,$E89)*IF($H89="Yes",1,(1-$F89))</f>
        <v>5.6607058823529414E-4</v>
      </c>
      <c r="O89" s="130"/>
    </row>
    <row r="90" spans="1:15" ht="15" x14ac:dyDescent="0.25">
      <c r="A90" s="5" t="s">
        <v>1311</v>
      </c>
      <c r="B90" s="7"/>
      <c r="C90" s="13" t="s">
        <v>70</v>
      </c>
      <c r="D90" s="19" t="str">
        <f>IFERROR(IF(C90="No CAS","",INDEX('DEQ Pollutant List'!$B$7:$B$611,MATCH('3. Pollutant Emissions - EF'!C90,'DEQ Pollutant List'!$A$7:$A$611,0))),"")</f>
        <v>Xylene (mixture), including m-xylene, o-xylene, p-xylene</v>
      </c>
      <c r="E90" s="100">
        <v>0</v>
      </c>
      <c r="F90" s="36">
        <v>0</v>
      </c>
      <c r="G90" s="100" t="s">
        <v>1415</v>
      </c>
      <c r="H90" s="36" t="s">
        <v>1415</v>
      </c>
      <c r="I90" s="34">
        <v>1.9699999999999999E-2</v>
      </c>
      <c r="J90" s="11">
        <f t="shared" si="1"/>
        <v>1.9699999999999999E-2</v>
      </c>
      <c r="K90" s="6" t="s">
        <v>1416</v>
      </c>
      <c r="L90" s="20" t="s">
        <v>1421</v>
      </c>
      <c r="M90" s="7">
        <f>IF(ISBLANK($B90),_xlfn.XLOOKUP($A90,'2. TEUs &amp; Activities - EF'!$A$9:$A$190,'2. TEUs &amp; Activities - EF'!$J$9:$J$190),_xlfn.XLOOKUP($B90,'2. TEUs &amp; Activities - EF'!$B$9:$B$190,'2. TEUs &amp; Activities - EF'!$J$9:$J$190))*'3. Pollutant Emissions - EF'!$I90*IF(OR(ISBLANK($E90),$G90="Yes"),1,$E90)*IF($H90="Yes",1,(1-$F90))</f>
        <v>1.7697089411764706</v>
      </c>
      <c r="N90" s="5">
        <f>IF(ISBLANK($B90),_xlfn.XLOOKUP($A90,'2. TEUs &amp; Activities - EF'!$A$9:$A$190,'2. TEUs &amp; Activities - EF'!$M$9:$M$190),_xlfn.XLOOKUP($B90,'2. TEUs &amp; Activities - EF'!$B$9:$B$190,'2. TEUs &amp; Activities - EF'!$M$9:$M$190))*'3. Pollutant Emissions - EF'!$J90*IF(OR(ISBLANK($E90),$G90="Yes"),1,$E90)*IF($H90="Yes",1,(1-$F90))</f>
        <v>4.8485176470588233E-3</v>
      </c>
      <c r="O90" s="130"/>
    </row>
    <row r="91" spans="1:15" ht="15" x14ac:dyDescent="0.25">
      <c r="A91" s="5" t="s">
        <v>1311</v>
      </c>
      <c r="B91" s="7"/>
      <c r="C91" s="13" t="s">
        <v>71</v>
      </c>
      <c r="D91" s="19" t="str">
        <f>IFERROR(IF(C91="No CAS","",INDEX('DEQ Pollutant List'!$B$7:$B$611,MATCH('3. Pollutant Emissions - EF'!C91,'DEQ Pollutant List'!$A$7:$A$611,0))),"")</f>
        <v>Zinc and compounds</v>
      </c>
      <c r="E91" s="100">
        <v>0</v>
      </c>
      <c r="F91" s="36">
        <v>0</v>
      </c>
      <c r="G91" s="100" t="s">
        <v>1415</v>
      </c>
      <c r="H91" s="36" t="s">
        <v>1415</v>
      </c>
      <c r="I91" s="34">
        <v>2.9000000000000001E-2</v>
      </c>
      <c r="J91" s="11">
        <f t="shared" si="1"/>
        <v>2.9000000000000001E-2</v>
      </c>
      <c r="K91" s="6" t="s">
        <v>1416</v>
      </c>
      <c r="L91" s="20" t="s">
        <v>1421</v>
      </c>
      <c r="M91" s="7">
        <f>IF(ISBLANK($B91),_xlfn.XLOOKUP($A91,'2. TEUs &amp; Activities - EF'!$A$9:$A$190,'2. TEUs &amp; Activities - EF'!$J$9:$J$190),_xlfn.XLOOKUP($B91,'2. TEUs &amp; Activities - EF'!$B$9:$B$190,'2. TEUs &amp; Activities - EF'!$J$9:$J$190))*'3. Pollutant Emissions - EF'!$I91*IF(OR(ISBLANK($E91),$G91="Yes"),1,$E91)*IF($H91="Yes",1,(1-$F91))</f>
        <v>2.6051552941176475</v>
      </c>
      <c r="N91" s="5">
        <f>IF(ISBLANK($B91),_xlfn.XLOOKUP($A91,'2. TEUs &amp; Activities - EF'!$A$9:$A$190,'2. TEUs &amp; Activities - EF'!$M$9:$M$190),_xlfn.XLOOKUP($B91,'2. TEUs &amp; Activities - EF'!$B$9:$B$190,'2. TEUs &amp; Activities - EF'!$M$9:$M$190))*'3. Pollutant Emissions - EF'!$J91*IF(OR(ISBLANK($E91),$G91="Yes"),1,$E91)*IF($H91="Yes",1,(1-$F91))</f>
        <v>7.1374117647058834E-3</v>
      </c>
      <c r="O91" s="130"/>
    </row>
    <row r="92" spans="1:15" ht="15" x14ac:dyDescent="0.25">
      <c r="A92" s="5"/>
      <c r="B92" s="7"/>
      <c r="C92" s="13"/>
      <c r="D92" s="19" t="str">
        <f>IFERROR(IF(C92="No CAS","",INDEX('DEQ Pollutant List'!$B$7:$B$611,MATCH('3. Pollutant Emissions - EF'!C92,'DEQ Pollutant List'!$A$7:$A$611,0))),"")</f>
        <v/>
      </c>
      <c r="E92" s="100"/>
      <c r="F92" s="36"/>
      <c r="G92" s="100"/>
      <c r="H92" s="36"/>
      <c r="I92" s="34"/>
      <c r="J92" s="11"/>
      <c r="K92" s="6"/>
      <c r="L92" s="20"/>
      <c r="M92" s="7">
        <f>IF(ISBLANK($B92),_xlfn.XLOOKUP($A92,'2. TEUs &amp; Activities - EF'!$A$9:$A$190,'2. TEUs &amp; Activities - EF'!$J$9:$J$190),_xlfn.XLOOKUP($B92,'2. TEUs &amp; Activities - EF'!$B$9:$B$190,'2. TEUs &amp; Activities - EF'!$J$9:$J$190))*'3. Pollutant Emissions - EF'!$I92*IF(OR(ISBLANK($E92),$G92="Yes"),1,$E92)*IF($H92="Yes",1,(1-$F92))</f>
        <v>0</v>
      </c>
      <c r="N92" s="5">
        <f>IF(ISBLANK($B92),_xlfn.XLOOKUP($A92,'2. TEUs &amp; Activities - EF'!$A$9:$A$190,'2. TEUs &amp; Activities - EF'!$M$9:$M$190),_xlfn.XLOOKUP($B92,'2. TEUs &amp; Activities - EF'!$B$9:$B$190,'2. TEUs &amp; Activities - EF'!$M$9:$M$190))*'3. Pollutant Emissions - EF'!$J92*IF(OR(ISBLANK($E92),$G92="Yes"),1,$E92)*IF($H92="Yes",1,(1-$F92))</f>
        <v>0</v>
      </c>
      <c r="O92" s="130"/>
    </row>
    <row r="93" spans="1:15" ht="15" x14ac:dyDescent="0.25">
      <c r="A93" s="5" t="s">
        <v>1312</v>
      </c>
      <c r="B93" s="7"/>
      <c r="C93" s="13" t="s">
        <v>50</v>
      </c>
      <c r="D93" s="19" t="str">
        <f>IFERROR(IF(C93="No CAS","",INDEX('DEQ Pollutant List'!$B$7:$B$611,MATCH('3. Pollutant Emissions - EF'!C93,'DEQ Pollutant List'!$A$7:$A$611,0))),"")</f>
        <v>Acetaldehyde</v>
      </c>
      <c r="E93" s="100">
        <v>0</v>
      </c>
      <c r="F93" s="36">
        <v>0</v>
      </c>
      <c r="G93" s="100" t="s">
        <v>1415</v>
      </c>
      <c r="H93" s="36" t="s">
        <v>1415</v>
      </c>
      <c r="I93" s="34">
        <v>3.0999999999999999E-3</v>
      </c>
      <c r="J93" s="11">
        <f t="shared" si="1"/>
        <v>3.0999999999999999E-3</v>
      </c>
      <c r="K93" s="6" t="s">
        <v>1416</v>
      </c>
      <c r="L93" s="20" t="s">
        <v>1421</v>
      </c>
      <c r="M93" s="7">
        <f>IF(ISBLANK($B93),_xlfn.XLOOKUP($A93,'2. TEUs &amp; Activities - EF'!$A$9:$A$190,'2. TEUs &amp; Activities - EF'!$J$9:$J$190),_xlfn.XLOOKUP($B93,'2. TEUs &amp; Activities - EF'!$B$9:$B$190,'2. TEUs &amp; Activities - EF'!$J$9:$J$190))*'3. Pollutant Emissions - EF'!$I93*IF(OR(ISBLANK($E93),$G93="Yes"),1,$E93)*IF($H93="Yes",1,(1-$F93))</f>
        <v>0.27848211764705882</v>
      </c>
      <c r="N93" s="5">
        <f>IF(ISBLANK($B93),_xlfn.XLOOKUP($A93,'2. TEUs &amp; Activities - EF'!$A$9:$A$190,'2. TEUs &amp; Activities - EF'!$M$9:$M$190),_xlfn.XLOOKUP($B93,'2. TEUs &amp; Activities - EF'!$B$9:$B$190,'2. TEUs &amp; Activities - EF'!$M$9:$M$190))*'3. Pollutant Emissions - EF'!$J93*IF(OR(ISBLANK($E93),$G93="Yes"),1,$E93)*IF($H93="Yes",1,(1-$F93))</f>
        <v>7.6296470588235298E-4</v>
      </c>
      <c r="O93" s="130"/>
    </row>
    <row r="94" spans="1:15" ht="15" x14ac:dyDescent="0.25">
      <c r="A94" s="5" t="s">
        <v>1312</v>
      </c>
      <c r="B94" s="7"/>
      <c r="C94" s="13" t="s">
        <v>51</v>
      </c>
      <c r="D94" s="19" t="str">
        <f>IFERROR(IF(C94="No CAS","",INDEX('DEQ Pollutant List'!$B$7:$B$611,MATCH('3. Pollutant Emissions - EF'!C94,'DEQ Pollutant List'!$A$7:$A$611,0))),"")</f>
        <v>Acrolein</v>
      </c>
      <c r="E94" s="100">
        <v>0</v>
      </c>
      <c r="F94" s="36">
        <v>0</v>
      </c>
      <c r="G94" s="100" t="s">
        <v>1415</v>
      </c>
      <c r="H94" s="36" t="s">
        <v>1415</v>
      </c>
      <c r="I94" s="34">
        <v>2.7000000000000001E-3</v>
      </c>
      <c r="J94" s="11">
        <f t="shared" si="1"/>
        <v>2.7000000000000001E-3</v>
      </c>
      <c r="K94" s="6" t="s">
        <v>1416</v>
      </c>
      <c r="L94" s="20" t="s">
        <v>1421</v>
      </c>
      <c r="M94" s="7">
        <f>IF(ISBLANK($B94),_xlfn.XLOOKUP($A94,'2. TEUs &amp; Activities - EF'!$A$9:$A$190,'2. TEUs &amp; Activities - EF'!$J$9:$J$190),_xlfn.XLOOKUP($B94,'2. TEUs &amp; Activities - EF'!$B$9:$B$190,'2. TEUs &amp; Activities - EF'!$J$9:$J$190))*'3. Pollutant Emissions - EF'!$I94*IF(OR(ISBLANK($E94),$G94="Yes"),1,$E94)*IF($H94="Yes",1,(1-$F94))</f>
        <v>0.24254894117647063</v>
      </c>
      <c r="N94" s="5">
        <f>IF(ISBLANK($B94),_xlfn.XLOOKUP($A94,'2. TEUs &amp; Activities - EF'!$A$9:$A$190,'2. TEUs &amp; Activities - EF'!$M$9:$M$190),_xlfn.XLOOKUP($B94,'2. TEUs &amp; Activities - EF'!$B$9:$B$190,'2. TEUs &amp; Activities - EF'!$M$9:$M$190))*'3. Pollutant Emissions - EF'!$J94*IF(OR(ISBLANK($E94),$G94="Yes"),1,$E94)*IF($H94="Yes",1,(1-$F94))</f>
        <v>6.6451764705882362E-4</v>
      </c>
      <c r="O94" s="130"/>
    </row>
    <row r="95" spans="1:15" ht="15" x14ac:dyDescent="0.25">
      <c r="A95" s="5" t="s">
        <v>1312</v>
      </c>
      <c r="B95" s="7"/>
      <c r="C95" s="13" t="s">
        <v>52</v>
      </c>
      <c r="D95" s="19" t="str">
        <f>IFERROR(IF(C95="No CAS","",INDEX('DEQ Pollutant List'!$B$7:$B$611,MATCH('3. Pollutant Emissions - EF'!C95,'DEQ Pollutant List'!$A$7:$A$611,0))),"")</f>
        <v>Ammonia</v>
      </c>
      <c r="E95" s="100">
        <v>0</v>
      </c>
      <c r="F95" s="36">
        <v>0</v>
      </c>
      <c r="G95" s="100" t="s">
        <v>1415</v>
      </c>
      <c r="H95" s="36" t="s">
        <v>1415</v>
      </c>
      <c r="I95" s="34">
        <v>3.2</v>
      </c>
      <c r="J95" s="11">
        <f t="shared" si="1"/>
        <v>3.2</v>
      </c>
      <c r="K95" s="6" t="s">
        <v>1416</v>
      </c>
      <c r="L95" s="20" t="s">
        <v>1421</v>
      </c>
      <c r="M95" s="7">
        <f>IF(ISBLANK($B95),_xlfn.XLOOKUP($A95,'2. TEUs &amp; Activities - EF'!$A$9:$A$190,'2. TEUs &amp; Activities - EF'!$J$9:$J$190),_xlfn.XLOOKUP($B95,'2. TEUs &amp; Activities - EF'!$B$9:$B$190,'2. TEUs &amp; Activities - EF'!$J$9:$J$190))*'3. Pollutant Emissions - EF'!$I95*IF(OR(ISBLANK($E95),$G95="Yes"),1,$E95)*IF($H95="Yes",1,(1-$F95))</f>
        <v>287.46541176470595</v>
      </c>
      <c r="N95" s="5">
        <f>IF(ISBLANK($B95),_xlfn.XLOOKUP($A95,'2. TEUs &amp; Activities - EF'!$A$9:$A$190,'2. TEUs &amp; Activities - EF'!$M$9:$M$190),_xlfn.XLOOKUP($B95,'2. TEUs &amp; Activities - EF'!$B$9:$B$190,'2. TEUs &amp; Activities - EF'!$M$9:$M$190))*'3. Pollutant Emissions - EF'!$J95*IF(OR(ISBLANK($E95),$G95="Yes"),1,$E95)*IF($H95="Yes",1,(1-$F95))</f>
        <v>0.78757647058823543</v>
      </c>
      <c r="O95" s="130"/>
    </row>
    <row r="96" spans="1:15" ht="15" x14ac:dyDescent="0.25">
      <c r="A96" s="5" t="s">
        <v>1312</v>
      </c>
      <c r="B96" s="7"/>
      <c r="C96" s="13" t="s">
        <v>53</v>
      </c>
      <c r="D96" s="19" t="str">
        <f>IFERROR(IF(C96="No CAS","",INDEX('DEQ Pollutant List'!$B$7:$B$611,MATCH('3. Pollutant Emissions - EF'!C96,'DEQ Pollutant List'!$A$7:$A$611,0))),"")</f>
        <v>Arsenic and compounds</v>
      </c>
      <c r="E96" s="100">
        <v>0</v>
      </c>
      <c r="F96" s="36">
        <v>0</v>
      </c>
      <c r="G96" s="100" t="s">
        <v>1415</v>
      </c>
      <c r="H96" s="36" t="s">
        <v>1415</v>
      </c>
      <c r="I96" s="34">
        <v>2.0000000000000001E-4</v>
      </c>
      <c r="J96" s="11">
        <f t="shared" si="1"/>
        <v>2.0000000000000001E-4</v>
      </c>
      <c r="K96" s="6" t="s">
        <v>1416</v>
      </c>
      <c r="L96" s="20" t="s">
        <v>1421</v>
      </c>
      <c r="M96" s="7">
        <f>IF(ISBLANK($B96),_xlfn.XLOOKUP($A96,'2. TEUs &amp; Activities - EF'!$A$9:$A$190,'2. TEUs &amp; Activities - EF'!$J$9:$J$190),_xlfn.XLOOKUP($B96,'2. TEUs &amp; Activities - EF'!$B$9:$B$190,'2. TEUs &amp; Activities - EF'!$J$9:$J$190))*'3. Pollutant Emissions - EF'!$I96*IF(OR(ISBLANK($E96),$G96="Yes"),1,$E96)*IF($H96="Yes",1,(1-$F96))</f>
        <v>1.796658823529412E-2</v>
      </c>
      <c r="N96" s="5">
        <f>IF(ISBLANK($B96),_xlfn.XLOOKUP($A96,'2. TEUs &amp; Activities - EF'!$A$9:$A$190,'2. TEUs &amp; Activities - EF'!$M$9:$M$190),_xlfn.XLOOKUP($B96,'2. TEUs &amp; Activities - EF'!$B$9:$B$190,'2. TEUs &amp; Activities - EF'!$M$9:$M$190))*'3. Pollutant Emissions - EF'!$J96*IF(OR(ISBLANK($E96),$G96="Yes"),1,$E96)*IF($H96="Yes",1,(1-$F96))</f>
        <v>4.9223529411764711E-5</v>
      </c>
      <c r="O96" s="130"/>
    </row>
    <row r="97" spans="1:15" ht="15" x14ac:dyDescent="0.25">
      <c r="A97" s="5" t="s">
        <v>1312</v>
      </c>
      <c r="B97" s="7"/>
      <c r="C97" s="13" t="s">
        <v>54</v>
      </c>
      <c r="D97" s="19" t="str">
        <f>IFERROR(IF(C97="No CAS","",INDEX('DEQ Pollutant List'!$B$7:$B$611,MATCH('3. Pollutant Emissions - EF'!C97,'DEQ Pollutant List'!$A$7:$A$611,0))),"")</f>
        <v>Barium and compounds</v>
      </c>
      <c r="E97" s="100">
        <v>0</v>
      </c>
      <c r="F97" s="36">
        <v>0</v>
      </c>
      <c r="G97" s="100" t="s">
        <v>1415</v>
      </c>
      <c r="H97" s="36" t="s">
        <v>1415</v>
      </c>
      <c r="I97" s="34">
        <v>4.4000000000000003E-3</v>
      </c>
      <c r="J97" s="11">
        <f t="shared" si="1"/>
        <v>4.4000000000000003E-3</v>
      </c>
      <c r="K97" s="6" t="s">
        <v>1416</v>
      </c>
      <c r="L97" s="20" t="s">
        <v>1421</v>
      </c>
      <c r="M97" s="7">
        <f>IF(ISBLANK($B97),_xlfn.XLOOKUP($A97,'2. TEUs &amp; Activities - EF'!$A$9:$A$190,'2. TEUs &amp; Activities - EF'!$J$9:$J$190),_xlfn.XLOOKUP($B97,'2. TEUs &amp; Activities - EF'!$B$9:$B$190,'2. TEUs &amp; Activities - EF'!$J$9:$J$190))*'3. Pollutant Emissions - EF'!$I97*IF(OR(ISBLANK($E97),$G97="Yes"),1,$E97)*IF($H97="Yes",1,(1-$F97))</f>
        <v>0.39526494117647065</v>
      </c>
      <c r="N97" s="5">
        <f>IF(ISBLANK($B97),_xlfn.XLOOKUP($A97,'2. TEUs &amp; Activities - EF'!$A$9:$A$190,'2. TEUs &amp; Activities - EF'!$M$9:$M$190),_xlfn.XLOOKUP($B97,'2. TEUs &amp; Activities - EF'!$B$9:$B$190,'2. TEUs &amp; Activities - EF'!$M$9:$M$190))*'3. Pollutant Emissions - EF'!$J97*IF(OR(ISBLANK($E97),$G97="Yes"),1,$E97)*IF($H97="Yes",1,(1-$F97))</f>
        <v>1.0829176470588237E-3</v>
      </c>
      <c r="O97" s="130"/>
    </row>
    <row r="98" spans="1:15" ht="15" x14ac:dyDescent="0.25">
      <c r="A98" s="5" t="s">
        <v>1312</v>
      </c>
      <c r="B98" s="7"/>
      <c r="C98" s="13" t="s">
        <v>46</v>
      </c>
      <c r="D98" s="19" t="str">
        <f>IFERROR(IF(C98="No CAS","",INDEX('DEQ Pollutant List'!$B$7:$B$611,MATCH('3. Pollutant Emissions - EF'!C98,'DEQ Pollutant List'!$A$7:$A$611,0))),"")</f>
        <v>Benzene</v>
      </c>
      <c r="E98" s="100">
        <v>0</v>
      </c>
      <c r="F98" s="36">
        <v>0</v>
      </c>
      <c r="G98" s="100" t="s">
        <v>1415</v>
      </c>
      <c r="H98" s="36" t="s">
        <v>1415</v>
      </c>
      <c r="I98" s="34">
        <v>5.7999999999999996E-3</v>
      </c>
      <c r="J98" s="11">
        <f t="shared" si="1"/>
        <v>5.7999999999999996E-3</v>
      </c>
      <c r="K98" s="6" t="s">
        <v>1416</v>
      </c>
      <c r="L98" s="20" t="s">
        <v>1421</v>
      </c>
      <c r="M98" s="7">
        <f>IF(ISBLANK($B98),_xlfn.XLOOKUP($A98,'2. TEUs &amp; Activities - EF'!$A$9:$A$190,'2. TEUs &amp; Activities - EF'!$J$9:$J$190),_xlfn.XLOOKUP($B98,'2. TEUs &amp; Activities - EF'!$B$9:$B$190,'2. TEUs &amp; Activities - EF'!$J$9:$J$190))*'3. Pollutant Emissions - EF'!$I98*IF(OR(ISBLANK($E98),$G98="Yes"),1,$E98)*IF($H98="Yes",1,(1-$F98))</f>
        <v>0.5210310588235294</v>
      </c>
      <c r="N98" s="5">
        <f>IF(ISBLANK($B98),_xlfn.XLOOKUP($A98,'2. TEUs &amp; Activities - EF'!$A$9:$A$190,'2. TEUs &amp; Activities - EF'!$M$9:$M$190),_xlfn.XLOOKUP($B98,'2. TEUs &amp; Activities - EF'!$B$9:$B$190,'2. TEUs &amp; Activities - EF'!$M$9:$M$190))*'3. Pollutant Emissions - EF'!$J98*IF(OR(ISBLANK($E98),$G98="Yes"),1,$E98)*IF($H98="Yes",1,(1-$F98))</f>
        <v>1.4274823529411766E-3</v>
      </c>
      <c r="O98" s="130"/>
    </row>
    <row r="99" spans="1:15" ht="15" x14ac:dyDescent="0.25">
      <c r="A99" s="5" t="s">
        <v>1312</v>
      </c>
      <c r="B99" s="7"/>
      <c r="C99" s="13" t="s">
        <v>48</v>
      </c>
      <c r="D99" s="19" t="str">
        <f>IFERROR(IF(C99="No CAS","",INDEX('DEQ Pollutant List'!$B$7:$B$611,MATCH('3. Pollutant Emissions - EF'!C99,'DEQ Pollutant List'!$A$7:$A$611,0))),"")</f>
        <v>Benzo[a]pyrene</v>
      </c>
      <c r="E99" s="100">
        <v>0</v>
      </c>
      <c r="F99" s="36">
        <v>0</v>
      </c>
      <c r="G99" s="100" t="s">
        <v>1415</v>
      </c>
      <c r="H99" s="36" t="s">
        <v>1415</v>
      </c>
      <c r="I99" s="34">
        <v>1.1999999999999999E-6</v>
      </c>
      <c r="J99" s="11">
        <f t="shared" si="1"/>
        <v>1.1999999999999999E-6</v>
      </c>
      <c r="K99" s="6" t="s">
        <v>1416</v>
      </c>
      <c r="L99" s="20" t="s">
        <v>1421</v>
      </c>
      <c r="M99" s="7">
        <f>IF(ISBLANK($B99),_xlfn.XLOOKUP($A99,'2. TEUs &amp; Activities - EF'!$A$9:$A$190,'2. TEUs &amp; Activities - EF'!$J$9:$J$190),_xlfn.XLOOKUP($B99,'2. TEUs &amp; Activities - EF'!$B$9:$B$190,'2. TEUs &amp; Activities - EF'!$J$9:$J$190))*'3. Pollutant Emissions - EF'!$I99*IF(OR(ISBLANK($E99),$G99="Yes"),1,$E99)*IF($H99="Yes",1,(1-$F99))</f>
        <v>1.0779952941176471E-4</v>
      </c>
      <c r="N99" s="5">
        <f>IF(ISBLANK($B99),_xlfn.XLOOKUP($A99,'2. TEUs &amp; Activities - EF'!$A$9:$A$190,'2. TEUs &amp; Activities - EF'!$M$9:$M$190),_xlfn.XLOOKUP($B99,'2. TEUs &amp; Activities - EF'!$B$9:$B$190,'2. TEUs &amp; Activities - EF'!$M$9:$M$190))*'3. Pollutant Emissions - EF'!$J99*IF(OR(ISBLANK($E99),$G99="Yes"),1,$E99)*IF($H99="Yes",1,(1-$F99))</f>
        <v>2.9534117647058824E-7</v>
      </c>
      <c r="O99" s="130"/>
    </row>
    <row r="100" spans="1:15" ht="15" x14ac:dyDescent="0.25">
      <c r="A100" s="5" t="s">
        <v>1312</v>
      </c>
      <c r="B100" s="7"/>
      <c r="C100" s="13" t="s">
        <v>55</v>
      </c>
      <c r="D100" s="19" t="str">
        <f>IFERROR(IF(C100="No CAS","",INDEX('DEQ Pollutant List'!$B$7:$B$611,MATCH('3. Pollutant Emissions - EF'!C100,'DEQ Pollutant List'!$A$7:$A$611,0))),"")</f>
        <v>Beryllium and compounds</v>
      </c>
      <c r="E100" s="100">
        <v>0</v>
      </c>
      <c r="F100" s="36">
        <v>0</v>
      </c>
      <c r="G100" s="100" t="s">
        <v>1415</v>
      </c>
      <c r="H100" s="36" t="s">
        <v>1415</v>
      </c>
      <c r="I100" s="34">
        <v>1.2E-5</v>
      </c>
      <c r="J100" s="11">
        <f t="shared" si="1"/>
        <v>1.2E-5</v>
      </c>
      <c r="K100" s="6" t="s">
        <v>1416</v>
      </c>
      <c r="L100" s="20" t="s">
        <v>1421</v>
      </c>
      <c r="M100" s="7">
        <f>IF(ISBLANK($B100),_xlfn.XLOOKUP($A100,'2. TEUs &amp; Activities - EF'!$A$9:$A$190,'2. TEUs &amp; Activities - EF'!$J$9:$J$190),_xlfn.XLOOKUP($B100,'2. TEUs &amp; Activities - EF'!$B$9:$B$190,'2. TEUs &amp; Activities - EF'!$J$9:$J$190))*'3. Pollutant Emissions - EF'!$I100*IF(OR(ISBLANK($E100),$G100="Yes"),1,$E100)*IF($H100="Yes",1,(1-$F100))</f>
        <v>1.0779952941176471E-3</v>
      </c>
      <c r="N100" s="5">
        <f>IF(ISBLANK($B100),_xlfn.XLOOKUP($A100,'2. TEUs &amp; Activities - EF'!$A$9:$A$190,'2. TEUs &amp; Activities - EF'!$M$9:$M$190),_xlfn.XLOOKUP($B100,'2. TEUs &amp; Activities - EF'!$B$9:$B$190,'2. TEUs &amp; Activities - EF'!$M$9:$M$190))*'3. Pollutant Emissions - EF'!$J100*IF(OR(ISBLANK($E100),$G100="Yes"),1,$E100)*IF($H100="Yes",1,(1-$F100))</f>
        <v>2.9534117647058828E-6</v>
      </c>
      <c r="O100" s="130"/>
    </row>
    <row r="101" spans="1:15" ht="15" x14ac:dyDescent="0.25">
      <c r="A101" s="5" t="s">
        <v>1312</v>
      </c>
      <c r="B101" s="7"/>
      <c r="C101" s="13" t="s">
        <v>56</v>
      </c>
      <c r="D101" s="19" t="str">
        <f>IFERROR(IF(C101="No CAS","",INDEX('DEQ Pollutant List'!$B$7:$B$611,MATCH('3. Pollutant Emissions - EF'!C101,'DEQ Pollutant List'!$A$7:$A$611,0))),"")</f>
        <v>Cadmium and compounds</v>
      </c>
      <c r="E101" s="100">
        <v>0</v>
      </c>
      <c r="F101" s="36">
        <v>0</v>
      </c>
      <c r="G101" s="100" t="s">
        <v>1415</v>
      </c>
      <c r="H101" s="36" t="s">
        <v>1415</v>
      </c>
      <c r="I101" s="34">
        <v>1.1000000000000001E-3</v>
      </c>
      <c r="J101" s="11">
        <f t="shared" si="1"/>
        <v>1.1000000000000001E-3</v>
      </c>
      <c r="K101" s="6" t="s">
        <v>1416</v>
      </c>
      <c r="L101" s="20" t="s">
        <v>1421</v>
      </c>
      <c r="M101" s="7">
        <f>IF(ISBLANK($B101),_xlfn.XLOOKUP($A101,'2. TEUs &amp; Activities - EF'!$A$9:$A$190,'2. TEUs &amp; Activities - EF'!$J$9:$J$190),_xlfn.XLOOKUP($B101,'2. TEUs &amp; Activities - EF'!$B$9:$B$190,'2. TEUs &amp; Activities - EF'!$J$9:$J$190))*'3. Pollutant Emissions - EF'!$I101*IF(OR(ISBLANK($E101),$G101="Yes"),1,$E101)*IF($H101="Yes",1,(1-$F101))</f>
        <v>9.8816235294117663E-2</v>
      </c>
      <c r="N101" s="5">
        <f>IF(ISBLANK($B101),_xlfn.XLOOKUP($A101,'2. TEUs &amp; Activities - EF'!$A$9:$A$190,'2. TEUs &amp; Activities - EF'!$M$9:$M$190),_xlfn.XLOOKUP($B101,'2. TEUs &amp; Activities - EF'!$B$9:$B$190,'2. TEUs &amp; Activities - EF'!$M$9:$M$190))*'3. Pollutant Emissions - EF'!$J101*IF(OR(ISBLANK($E101),$G101="Yes"),1,$E101)*IF($H101="Yes",1,(1-$F101))</f>
        <v>2.7072941176470593E-4</v>
      </c>
      <c r="O101" s="130"/>
    </row>
    <row r="102" spans="1:15" ht="15" x14ac:dyDescent="0.25">
      <c r="A102" s="5" t="s">
        <v>1312</v>
      </c>
      <c r="B102" s="7"/>
      <c r="C102" s="13" t="s">
        <v>57</v>
      </c>
      <c r="D102" s="19" t="str">
        <f>IFERROR(IF(C102="No CAS","",INDEX('DEQ Pollutant List'!$B$7:$B$611,MATCH('3. Pollutant Emissions - EF'!C102,'DEQ Pollutant List'!$A$7:$A$611,0))),"")</f>
        <v>Chromium VI, chromate and dichromate particulate</v>
      </c>
      <c r="E102" s="100">
        <v>0</v>
      </c>
      <c r="F102" s="36">
        <v>0</v>
      </c>
      <c r="G102" s="100" t="s">
        <v>1415</v>
      </c>
      <c r="H102" s="36" t="s">
        <v>1415</v>
      </c>
      <c r="I102" s="34">
        <v>1.4E-3</v>
      </c>
      <c r="J102" s="11">
        <f t="shared" si="1"/>
        <v>1.4E-3</v>
      </c>
      <c r="K102" s="6" t="s">
        <v>1416</v>
      </c>
      <c r="L102" s="20" t="s">
        <v>1421</v>
      </c>
      <c r="M102" s="7">
        <f>IF(ISBLANK($B102),_xlfn.XLOOKUP($A102,'2. TEUs &amp; Activities - EF'!$A$9:$A$190,'2. TEUs &amp; Activities - EF'!$J$9:$J$190),_xlfn.XLOOKUP($B102,'2. TEUs &amp; Activities - EF'!$B$9:$B$190,'2. TEUs &amp; Activities - EF'!$J$9:$J$190))*'3. Pollutant Emissions - EF'!$I102*IF(OR(ISBLANK($E102),$G102="Yes"),1,$E102)*IF($H102="Yes",1,(1-$F102))</f>
        <v>0.12576611764705883</v>
      </c>
      <c r="N102" s="5">
        <f>IF(ISBLANK($B102),_xlfn.XLOOKUP($A102,'2. TEUs &amp; Activities - EF'!$A$9:$A$190,'2. TEUs &amp; Activities - EF'!$M$9:$M$190),_xlfn.XLOOKUP($B102,'2. TEUs &amp; Activities - EF'!$B$9:$B$190,'2. TEUs &amp; Activities - EF'!$M$9:$M$190))*'3. Pollutant Emissions - EF'!$J102*IF(OR(ISBLANK($E102),$G102="Yes"),1,$E102)*IF($H102="Yes",1,(1-$F102))</f>
        <v>3.4456470588235295E-4</v>
      </c>
      <c r="O102" s="130"/>
    </row>
    <row r="103" spans="1:15" ht="15" x14ac:dyDescent="0.25">
      <c r="A103" s="5" t="s">
        <v>1312</v>
      </c>
      <c r="B103" s="7"/>
      <c r="C103" s="13" t="s">
        <v>58</v>
      </c>
      <c r="D103" s="19" t="str">
        <f>IFERROR(IF(C103="No CAS","",INDEX('DEQ Pollutant List'!$B$7:$B$611,MATCH('3. Pollutant Emissions - EF'!C103,'DEQ Pollutant List'!$A$7:$A$611,0))),"")</f>
        <v>Cobalt and compounds</v>
      </c>
      <c r="E103" s="100">
        <v>0</v>
      </c>
      <c r="F103" s="36">
        <v>0</v>
      </c>
      <c r="G103" s="100" t="s">
        <v>1415</v>
      </c>
      <c r="H103" s="36" t="s">
        <v>1415</v>
      </c>
      <c r="I103" s="34">
        <v>8.3999999999999995E-5</v>
      </c>
      <c r="J103" s="11">
        <f t="shared" si="1"/>
        <v>8.3999999999999995E-5</v>
      </c>
      <c r="K103" s="6" t="s">
        <v>1416</v>
      </c>
      <c r="L103" s="20" t="s">
        <v>1421</v>
      </c>
      <c r="M103" s="7">
        <f>IF(ISBLANK($B103),_xlfn.XLOOKUP($A103,'2. TEUs &amp; Activities - EF'!$A$9:$A$190,'2. TEUs &amp; Activities - EF'!$J$9:$J$190),_xlfn.XLOOKUP($B103,'2. TEUs &amp; Activities - EF'!$B$9:$B$190,'2. TEUs &amp; Activities - EF'!$J$9:$J$190))*'3. Pollutant Emissions - EF'!$I103*IF(OR(ISBLANK($E103),$G103="Yes"),1,$E103)*IF($H103="Yes",1,(1-$F103))</f>
        <v>7.54596705882353E-3</v>
      </c>
      <c r="N103" s="5">
        <f>IF(ISBLANK($B103),_xlfn.XLOOKUP($A103,'2. TEUs &amp; Activities - EF'!$A$9:$A$190,'2. TEUs &amp; Activities - EF'!$M$9:$M$190),_xlfn.XLOOKUP($B103,'2. TEUs &amp; Activities - EF'!$B$9:$B$190,'2. TEUs &amp; Activities - EF'!$M$9:$M$190))*'3. Pollutant Emissions - EF'!$J103*IF(OR(ISBLANK($E103),$G103="Yes"),1,$E103)*IF($H103="Yes",1,(1-$F103))</f>
        <v>2.0673882352941176E-5</v>
      </c>
      <c r="O103" s="130"/>
    </row>
    <row r="104" spans="1:15" ht="15" x14ac:dyDescent="0.25">
      <c r="A104" s="5" t="s">
        <v>1312</v>
      </c>
      <c r="B104" s="7"/>
      <c r="C104" s="13" t="s">
        <v>59</v>
      </c>
      <c r="D104" s="19" t="str">
        <f>IFERROR(IF(C104="No CAS","",INDEX('DEQ Pollutant List'!$B$7:$B$611,MATCH('3. Pollutant Emissions - EF'!C104,'DEQ Pollutant List'!$A$7:$A$611,0))),"")</f>
        <v>Copper and compounds</v>
      </c>
      <c r="E104" s="100">
        <v>0</v>
      </c>
      <c r="F104" s="36">
        <v>0</v>
      </c>
      <c r="G104" s="100" t="s">
        <v>1415</v>
      </c>
      <c r="H104" s="36" t="s">
        <v>1415</v>
      </c>
      <c r="I104" s="34">
        <v>8.4999999999999995E-4</v>
      </c>
      <c r="J104" s="11">
        <f t="shared" si="1"/>
        <v>8.4999999999999995E-4</v>
      </c>
      <c r="K104" s="6" t="s">
        <v>1416</v>
      </c>
      <c r="L104" s="20" t="s">
        <v>1421</v>
      </c>
      <c r="M104" s="7">
        <f>IF(ISBLANK($B104),_xlfn.XLOOKUP($A104,'2. TEUs &amp; Activities - EF'!$A$9:$A$190,'2. TEUs &amp; Activities - EF'!$J$9:$J$190),_xlfn.XLOOKUP($B104,'2. TEUs &amp; Activities - EF'!$B$9:$B$190,'2. TEUs &amp; Activities - EF'!$J$9:$J$190))*'3. Pollutant Emissions - EF'!$I104*IF(OR(ISBLANK($E104),$G104="Yes"),1,$E104)*IF($H104="Yes",1,(1-$F104))</f>
        <v>7.6358000000000009E-2</v>
      </c>
      <c r="N104" s="5">
        <f>IF(ISBLANK($B104),_xlfn.XLOOKUP($A104,'2. TEUs &amp; Activities - EF'!$A$9:$A$190,'2. TEUs &amp; Activities - EF'!$M$9:$M$190),_xlfn.XLOOKUP($B104,'2. TEUs &amp; Activities - EF'!$B$9:$B$190,'2. TEUs &amp; Activities - EF'!$M$9:$M$190))*'3. Pollutant Emissions - EF'!$J104*IF(OR(ISBLANK($E104),$G104="Yes"),1,$E104)*IF($H104="Yes",1,(1-$F104))</f>
        <v>2.0920000000000002E-4</v>
      </c>
      <c r="O104" s="130"/>
    </row>
    <row r="105" spans="1:15" ht="15" x14ac:dyDescent="0.25">
      <c r="A105" s="5" t="s">
        <v>1312</v>
      </c>
      <c r="B105" s="7"/>
      <c r="C105" s="13" t="s">
        <v>60</v>
      </c>
      <c r="D105" s="19" t="str">
        <f>IFERROR(IF(C105="No CAS","",INDEX('DEQ Pollutant List'!$B$7:$B$611,MATCH('3. Pollutant Emissions - EF'!C105,'DEQ Pollutant List'!$A$7:$A$611,0))),"")</f>
        <v>Ethyl benzene</v>
      </c>
      <c r="E105" s="100">
        <v>0</v>
      </c>
      <c r="F105" s="36">
        <v>0</v>
      </c>
      <c r="G105" s="100" t="s">
        <v>1415</v>
      </c>
      <c r="H105" s="36" t="s">
        <v>1415</v>
      </c>
      <c r="I105" s="34">
        <v>6.8999999999999999E-3</v>
      </c>
      <c r="J105" s="11">
        <f t="shared" si="1"/>
        <v>6.8999999999999999E-3</v>
      </c>
      <c r="K105" s="6" t="s">
        <v>1416</v>
      </c>
      <c r="L105" s="20" t="s">
        <v>1421</v>
      </c>
      <c r="M105" s="7">
        <f>IF(ISBLANK($B105),_xlfn.XLOOKUP($A105,'2. TEUs &amp; Activities - EF'!$A$9:$A$190,'2. TEUs &amp; Activities - EF'!$J$9:$J$190),_xlfn.XLOOKUP($B105,'2. TEUs &amp; Activities - EF'!$B$9:$B$190,'2. TEUs &amp; Activities - EF'!$J$9:$J$190))*'3. Pollutant Emissions - EF'!$I105*IF(OR(ISBLANK($E105),$G105="Yes"),1,$E105)*IF($H105="Yes",1,(1-$F105))</f>
        <v>0.61984729411764716</v>
      </c>
      <c r="N105" s="5">
        <f>IF(ISBLANK($B105),_xlfn.XLOOKUP($A105,'2. TEUs &amp; Activities - EF'!$A$9:$A$190,'2. TEUs &amp; Activities - EF'!$M$9:$M$190),_xlfn.XLOOKUP($B105,'2. TEUs &amp; Activities - EF'!$B$9:$B$190,'2. TEUs &amp; Activities - EF'!$M$9:$M$190))*'3. Pollutant Emissions - EF'!$J105*IF(OR(ISBLANK($E105),$G105="Yes"),1,$E105)*IF($H105="Yes",1,(1-$F105))</f>
        <v>1.6982117647058824E-3</v>
      </c>
      <c r="O105" s="130"/>
    </row>
    <row r="106" spans="1:15" ht="15" x14ac:dyDescent="0.25">
      <c r="A106" s="5" t="s">
        <v>1312</v>
      </c>
      <c r="B106" s="7"/>
      <c r="C106" s="13" t="s">
        <v>47</v>
      </c>
      <c r="D106" s="19" t="str">
        <f>IFERROR(IF(C106="No CAS","",INDEX('DEQ Pollutant List'!$B$7:$B$611,MATCH('3. Pollutant Emissions - EF'!C106,'DEQ Pollutant List'!$A$7:$A$611,0))),"")</f>
        <v>Formaldehyde</v>
      </c>
      <c r="E106" s="100">
        <v>0</v>
      </c>
      <c r="F106" s="36">
        <v>0</v>
      </c>
      <c r="G106" s="100" t="s">
        <v>1415</v>
      </c>
      <c r="H106" s="36" t="s">
        <v>1415</v>
      </c>
      <c r="I106" s="34">
        <v>1.23E-2</v>
      </c>
      <c r="J106" s="11">
        <f t="shared" si="1"/>
        <v>1.23E-2</v>
      </c>
      <c r="K106" s="6" t="s">
        <v>1416</v>
      </c>
      <c r="L106" s="20" t="s">
        <v>1421</v>
      </c>
      <c r="M106" s="7">
        <f>IF(ISBLANK($B106),_xlfn.XLOOKUP($A106,'2. TEUs &amp; Activities - EF'!$A$9:$A$190,'2. TEUs &amp; Activities - EF'!$J$9:$J$190),_xlfn.XLOOKUP($B106,'2. TEUs &amp; Activities - EF'!$B$9:$B$190,'2. TEUs &amp; Activities - EF'!$J$9:$J$190))*'3. Pollutant Emissions - EF'!$I106*IF(OR(ISBLANK($E106),$G106="Yes"),1,$E106)*IF($H106="Yes",1,(1-$F106))</f>
        <v>1.1049451764705884</v>
      </c>
      <c r="N106" s="5">
        <f>IF(ISBLANK($B106),_xlfn.XLOOKUP($A106,'2. TEUs &amp; Activities - EF'!$A$9:$A$190,'2. TEUs &amp; Activities - EF'!$M$9:$M$190),_xlfn.XLOOKUP($B106,'2. TEUs &amp; Activities - EF'!$B$9:$B$190,'2. TEUs &amp; Activities - EF'!$M$9:$M$190))*'3. Pollutant Emissions - EF'!$J106*IF(OR(ISBLANK($E106),$G106="Yes"),1,$E106)*IF($H106="Yes",1,(1-$F106))</f>
        <v>3.0272470588235297E-3</v>
      </c>
      <c r="O106" s="130"/>
    </row>
    <row r="107" spans="1:15" ht="15" x14ac:dyDescent="0.25">
      <c r="A107" s="5" t="s">
        <v>1312</v>
      </c>
      <c r="B107" s="7"/>
      <c r="C107" s="13" t="s">
        <v>61</v>
      </c>
      <c r="D107" s="19" t="str">
        <f>IFERROR(IF(C107="No CAS","",INDEX('DEQ Pollutant List'!$B$7:$B$611,MATCH('3. Pollutant Emissions - EF'!C107,'DEQ Pollutant List'!$A$7:$A$611,0))),"")</f>
        <v>Hexane</v>
      </c>
      <c r="E107" s="100">
        <v>0</v>
      </c>
      <c r="F107" s="36">
        <v>0</v>
      </c>
      <c r="G107" s="100" t="s">
        <v>1415</v>
      </c>
      <c r="H107" s="36" t="s">
        <v>1415</v>
      </c>
      <c r="I107" s="34">
        <v>4.5999999999999999E-3</v>
      </c>
      <c r="J107" s="11">
        <f t="shared" si="1"/>
        <v>4.5999999999999999E-3</v>
      </c>
      <c r="K107" s="6" t="s">
        <v>1416</v>
      </c>
      <c r="L107" s="20" t="s">
        <v>1421</v>
      </c>
      <c r="M107" s="7">
        <f>IF(ISBLANK($B107),_xlfn.XLOOKUP($A107,'2. TEUs &amp; Activities - EF'!$A$9:$A$190,'2. TEUs &amp; Activities - EF'!$J$9:$J$190),_xlfn.XLOOKUP($B107,'2. TEUs &amp; Activities - EF'!$B$9:$B$190,'2. TEUs &amp; Activities - EF'!$J$9:$J$190))*'3. Pollutant Emissions - EF'!$I107*IF(OR(ISBLANK($E107),$G107="Yes"),1,$E107)*IF($H107="Yes",1,(1-$F107))</f>
        <v>0.41323152941176472</v>
      </c>
      <c r="N107" s="5">
        <f>IF(ISBLANK($B107),_xlfn.XLOOKUP($A107,'2. TEUs &amp; Activities - EF'!$A$9:$A$190,'2. TEUs &amp; Activities - EF'!$M$9:$M$190),_xlfn.XLOOKUP($B107,'2. TEUs &amp; Activities - EF'!$B$9:$B$190,'2. TEUs &amp; Activities - EF'!$M$9:$M$190))*'3. Pollutant Emissions - EF'!$J107*IF(OR(ISBLANK($E107),$G107="Yes"),1,$E107)*IF($H107="Yes",1,(1-$F107))</f>
        <v>1.1321411764705883E-3</v>
      </c>
      <c r="O107" s="130"/>
    </row>
    <row r="108" spans="1:15" ht="15" x14ac:dyDescent="0.25">
      <c r="A108" s="5" t="s">
        <v>1312</v>
      </c>
      <c r="B108" s="7"/>
      <c r="C108" s="13" t="s">
        <v>62</v>
      </c>
      <c r="D108" s="19" t="str">
        <f>IFERROR(IF(C108="No CAS","",INDEX('DEQ Pollutant List'!$B$7:$B$611,MATCH('3. Pollutant Emissions - EF'!C108,'DEQ Pollutant List'!$A$7:$A$611,0))),"")</f>
        <v>Lead and compounds</v>
      </c>
      <c r="E108" s="100">
        <v>0</v>
      </c>
      <c r="F108" s="36">
        <v>0</v>
      </c>
      <c r="G108" s="100" t="s">
        <v>1415</v>
      </c>
      <c r="H108" s="36" t="s">
        <v>1415</v>
      </c>
      <c r="I108" s="34">
        <v>5.0000000000000001E-4</v>
      </c>
      <c r="J108" s="11">
        <f t="shared" si="1"/>
        <v>5.0000000000000001E-4</v>
      </c>
      <c r="K108" s="6" t="s">
        <v>1416</v>
      </c>
      <c r="L108" s="20" t="s">
        <v>1421</v>
      </c>
      <c r="M108" s="7">
        <f>IF(ISBLANK($B108),_xlfn.XLOOKUP($A108,'2. TEUs &amp; Activities - EF'!$A$9:$A$190,'2. TEUs &amp; Activities - EF'!$J$9:$J$190),_xlfn.XLOOKUP($B108,'2. TEUs &amp; Activities - EF'!$B$9:$B$190,'2. TEUs &amp; Activities - EF'!$J$9:$J$190))*'3. Pollutant Emissions - EF'!$I108*IF(OR(ISBLANK($E108),$G108="Yes"),1,$E108)*IF($H108="Yes",1,(1-$F108))</f>
        <v>4.4916470588235301E-2</v>
      </c>
      <c r="N108" s="5">
        <f>IF(ISBLANK($B108),_xlfn.XLOOKUP($A108,'2. TEUs &amp; Activities - EF'!$A$9:$A$190,'2. TEUs &amp; Activities - EF'!$M$9:$M$190),_xlfn.XLOOKUP($B108,'2. TEUs &amp; Activities - EF'!$B$9:$B$190,'2. TEUs &amp; Activities - EF'!$M$9:$M$190))*'3. Pollutant Emissions - EF'!$J108*IF(OR(ISBLANK($E108),$G108="Yes"),1,$E108)*IF($H108="Yes",1,(1-$F108))</f>
        <v>1.2305882352941179E-4</v>
      </c>
      <c r="O108" s="130"/>
    </row>
    <row r="109" spans="1:15" ht="15" x14ac:dyDescent="0.25">
      <c r="A109" s="5" t="s">
        <v>1312</v>
      </c>
      <c r="B109" s="7"/>
      <c r="C109" s="13" t="s">
        <v>63</v>
      </c>
      <c r="D109" s="19" t="str">
        <f>IFERROR(IF(C109="No CAS","",INDEX('DEQ Pollutant List'!$B$7:$B$611,MATCH('3. Pollutant Emissions - EF'!C109,'DEQ Pollutant List'!$A$7:$A$611,0))),"")</f>
        <v>Manganese and compounds</v>
      </c>
      <c r="E109" s="100">
        <v>0</v>
      </c>
      <c r="F109" s="36">
        <v>0</v>
      </c>
      <c r="G109" s="100" t="s">
        <v>1415</v>
      </c>
      <c r="H109" s="36" t="s">
        <v>1415</v>
      </c>
      <c r="I109" s="34">
        <v>3.8000000000000002E-4</v>
      </c>
      <c r="J109" s="11">
        <f t="shared" si="1"/>
        <v>3.8000000000000002E-4</v>
      </c>
      <c r="K109" s="6" t="s">
        <v>1416</v>
      </c>
      <c r="L109" s="20" t="s">
        <v>1421</v>
      </c>
      <c r="M109" s="7">
        <f>IF(ISBLANK($B109),_xlfn.XLOOKUP($A109,'2. TEUs &amp; Activities - EF'!$A$9:$A$190,'2. TEUs &amp; Activities - EF'!$J$9:$J$190),_xlfn.XLOOKUP($B109,'2. TEUs &amp; Activities - EF'!$B$9:$B$190,'2. TEUs &amp; Activities - EF'!$J$9:$J$190))*'3. Pollutant Emissions - EF'!$I109*IF(OR(ISBLANK($E109),$G109="Yes"),1,$E109)*IF($H109="Yes",1,(1-$F109))</f>
        <v>3.4136517647058828E-2</v>
      </c>
      <c r="N109" s="5">
        <f>IF(ISBLANK($B109),_xlfn.XLOOKUP($A109,'2. TEUs &amp; Activities - EF'!$A$9:$A$190,'2. TEUs &amp; Activities - EF'!$M$9:$M$190),_xlfn.XLOOKUP($B109,'2. TEUs &amp; Activities - EF'!$B$9:$B$190,'2. TEUs &amp; Activities - EF'!$M$9:$M$190))*'3. Pollutant Emissions - EF'!$J109*IF(OR(ISBLANK($E109),$G109="Yes"),1,$E109)*IF($H109="Yes",1,(1-$F109))</f>
        <v>9.3524705882352957E-5</v>
      </c>
      <c r="O109" s="130"/>
    </row>
    <row r="110" spans="1:15" ht="15" x14ac:dyDescent="0.25">
      <c r="A110" s="5" t="s">
        <v>1312</v>
      </c>
      <c r="B110" s="7"/>
      <c r="C110" s="13" t="s">
        <v>64</v>
      </c>
      <c r="D110" s="19" t="str">
        <f>IFERROR(IF(C110="No CAS","",INDEX('DEQ Pollutant List'!$B$7:$B$611,MATCH('3. Pollutant Emissions - EF'!C110,'DEQ Pollutant List'!$A$7:$A$611,0))),"")</f>
        <v>Mercury and compounds</v>
      </c>
      <c r="E110" s="100">
        <v>0</v>
      </c>
      <c r="F110" s="36">
        <v>0</v>
      </c>
      <c r="G110" s="100" t="s">
        <v>1415</v>
      </c>
      <c r="H110" s="36" t="s">
        <v>1415</v>
      </c>
      <c r="I110" s="34">
        <v>2.5999999999999998E-4</v>
      </c>
      <c r="J110" s="11">
        <f t="shared" si="1"/>
        <v>2.5999999999999998E-4</v>
      </c>
      <c r="K110" s="6" t="s">
        <v>1416</v>
      </c>
      <c r="L110" s="20" t="s">
        <v>1421</v>
      </c>
      <c r="M110" s="7">
        <f>IF(ISBLANK($B110),_xlfn.XLOOKUP($A110,'2. TEUs &amp; Activities - EF'!$A$9:$A$190,'2. TEUs &amp; Activities - EF'!$J$9:$J$190),_xlfn.XLOOKUP($B110,'2. TEUs &amp; Activities - EF'!$B$9:$B$190,'2. TEUs &amp; Activities - EF'!$J$9:$J$190))*'3. Pollutant Emissions - EF'!$I110*IF(OR(ISBLANK($E110),$G110="Yes"),1,$E110)*IF($H110="Yes",1,(1-$F110))</f>
        <v>2.3356564705882352E-2</v>
      </c>
      <c r="N110" s="5">
        <f>IF(ISBLANK($B110),_xlfn.XLOOKUP($A110,'2. TEUs &amp; Activities - EF'!$A$9:$A$190,'2. TEUs &amp; Activities - EF'!$M$9:$M$190),_xlfn.XLOOKUP($B110,'2. TEUs &amp; Activities - EF'!$B$9:$B$190,'2. TEUs &amp; Activities - EF'!$M$9:$M$190))*'3. Pollutant Emissions - EF'!$J110*IF(OR(ISBLANK($E110),$G110="Yes"),1,$E110)*IF($H110="Yes",1,(1-$F110))</f>
        <v>6.3990588235294122E-5</v>
      </c>
      <c r="O110" s="130"/>
    </row>
    <row r="111" spans="1:15" ht="15" x14ac:dyDescent="0.25">
      <c r="A111" s="5" t="s">
        <v>1312</v>
      </c>
      <c r="B111" s="7"/>
      <c r="C111" s="13" t="s">
        <v>65</v>
      </c>
      <c r="D111" s="19" t="str">
        <f>IFERROR(IF(C111="No CAS","",INDEX('DEQ Pollutant List'!$B$7:$B$611,MATCH('3. Pollutant Emissions - EF'!C111,'DEQ Pollutant List'!$A$7:$A$611,0))),"")</f>
        <v>Molybdenum trioxide</v>
      </c>
      <c r="E111" s="100">
        <v>0</v>
      </c>
      <c r="F111" s="36">
        <v>0</v>
      </c>
      <c r="G111" s="100" t="s">
        <v>1415</v>
      </c>
      <c r="H111" s="36" t="s">
        <v>1415</v>
      </c>
      <c r="I111" s="34">
        <v>1.65E-3</v>
      </c>
      <c r="J111" s="11">
        <f t="shared" si="1"/>
        <v>1.65E-3</v>
      </c>
      <c r="K111" s="6" t="s">
        <v>1416</v>
      </c>
      <c r="L111" s="20" t="s">
        <v>1421</v>
      </c>
      <c r="M111" s="7">
        <f>IF(ISBLANK($B111),_xlfn.XLOOKUP($A111,'2. TEUs &amp; Activities - EF'!$A$9:$A$190,'2. TEUs &amp; Activities - EF'!$J$9:$J$190),_xlfn.XLOOKUP($B111,'2. TEUs &amp; Activities - EF'!$B$9:$B$190,'2. TEUs &amp; Activities - EF'!$J$9:$J$190))*'3. Pollutant Emissions - EF'!$I111*IF(OR(ISBLANK($E111),$G111="Yes"),1,$E111)*IF($H111="Yes",1,(1-$F111))</f>
        <v>0.14822435294117647</v>
      </c>
      <c r="N111" s="5">
        <f>IF(ISBLANK($B111),_xlfn.XLOOKUP($A111,'2. TEUs &amp; Activities - EF'!$A$9:$A$190,'2. TEUs &amp; Activities - EF'!$M$9:$M$190),_xlfn.XLOOKUP($B111,'2. TEUs &amp; Activities - EF'!$B$9:$B$190,'2. TEUs &amp; Activities - EF'!$M$9:$M$190))*'3. Pollutant Emissions - EF'!$J111*IF(OR(ISBLANK($E111),$G111="Yes"),1,$E111)*IF($H111="Yes",1,(1-$F111))</f>
        <v>4.0609411764705883E-4</v>
      </c>
      <c r="O111" s="130"/>
    </row>
    <row r="112" spans="1:15" ht="15" x14ac:dyDescent="0.25">
      <c r="A112" s="5" t="s">
        <v>1312</v>
      </c>
      <c r="B112" s="7"/>
      <c r="C112" s="13" t="s">
        <v>49</v>
      </c>
      <c r="D112" s="19" t="str">
        <f>IFERROR(IF(C112="No CAS","",INDEX('DEQ Pollutant List'!$B$7:$B$611,MATCH('3. Pollutant Emissions - EF'!C112,'DEQ Pollutant List'!$A$7:$A$611,0))),"")</f>
        <v>Naphthalene</v>
      </c>
      <c r="E112" s="100">
        <v>0</v>
      </c>
      <c r="F112" s="36">
        <v>0</v>
      </c>
      <c r="G112" s="100" t="s">
        <v>1415</v>
      </c>
      <c r="H112" s="36" t="s">
        <v>1415</v>
      </c>
      <c r="I112" s="34">
        <v>2.9999999999999997E-4</v>
      </c>
      <c r="J112" s="11">
        <f t="shared" si="1"/>
        <v>2.9999999999999997E-4</v>
      </c>
      <c r="K112" s="6" t="s">
        <v>1416</v>
      </c>
      <c r="L112" s="20" t="s">
        <v>1421</v>
      </c>
      <c r="M112" s="7">
        <f>IF(ISBLANK($B112),_xlfn.XLOOKUP($A112,'2. TEUs &amp; Activities - EF'!$A$9:$A$190,'2. TEUs &amp; Activities - EF'!$J$9:$J$190),_xlfn.XLOOKUP($B112,'2. TEUs &amp; Activities - EF'!$B$9:$B$190,'2. TEUs &amp; Activities - EF'!$J$9:$J$190))*'3. Pollutant Emissions - EF'!$I112*IF(OR(ISBLANK($E112),$G112="Yes"),1,$E112)*IF($H112="Yes",1,(1-$F112))</f>
        <v>2.6949882352941178E-2</v>
      </c>
      <c r="N112" s="5">
        <f>IF(ISBLANK($B112),_xlfn.XLOOKUP($A112,'2. TEUs &amp; Activities - EF'!$A$9:$A$190,'2. TEUs &amp; Activities - EF'!$M$9:$M$190),_xlfn.XLOOKUP($B112,'2. TEUs &amp; Activities - EF'!$B$9:$B$190,'2. TEUs &amp; Activities - EF'!$M$9:$M$190))*'3. Pollutant Emissions - EF'!$J112*IF(OR(ISBLANK($E112),$G112="Yes"),1,$E112)*IF($H112="Yes",1,(1-$F112))</f>
        <v>7.3835294117647053E-5</v>
      </c>
      <c r="O112" s="130"/>
    </row>
    <row r="113" spans="1:15" ht="15" x14ac:dyDescent="0.25">
      <c r="A113" s="5" t="s">
        <v>1312</v>
      </c>
      <c r="B113" s="7"/>
      <c r="C113" s="13" t="s">
        <v>66</v>
      </c>
      <c r="D113" s="19" t="str">
        <f>IFERROR(IF(C113="No CAS","",INDEX('DEQ Pollutant List'!$B$7:$B$611,MATCH('3. Pollutant Emissions - EF'!C113,'DEQ Pollutant List'!$A$7:$A$611,0))),"")</f>
        <v>Nickel and compounds</v>
      </c>
      <c r="E113" s="100">
        <v>0</v>
      </c>
      <c r="F113" s="36">
        <v>0</v>
      </c>
      <c r="G113" s="100" t="s">
        <v>1415</v>
      </c>
      <c r="H113" s="36" t="s">
        <v>1415</v>
      </c>
      <c r="I113" s="34">
        <v>2.0999999999999999E-3</v>
      </c>
      <c r="J113" s="11">
        <f t="shared" si="1"/>
        <v>2.0999999999999999E-3</v>
      </c>
      <c r="K113" s="6" t="s">
        <v>1416</v>
      </c>
      <c r="L113" s="20" t="s">
        <v>1421</v>
      </c>
      <c r="M113" s="7">
        <f>IF(ISBLANK($B113),_xlfn.XLOOKUP($A113,'2. TEUs &amp; Activities - EF'!$A$9:$A$190,'2. TEUs &amp; Activities - EF'!$J$9:$J$190),_xlfn.XLOOKUP($B113,'2. TEUs &amp; Activities - EF'!$B$9:$B$190,'2. TEUs &amp; Activities - EF'!$J$9:$J$190))*'3. Pollutant Emissions - EF'!$I113*IF(OR(ISBLANK($E113),$G113="Yes"),1,$E113)*IF($H113="Yes",1,(1-$F113))</f>
        <v>0.18864917647058824</v>
      </c>
      <c r="N113" s="5">
        <f>IF(ISBLANK($B113),_xlfn.XLOOKUP($A113,'2. TEUs &amp; Activities - EF'!$A$9:$A$190,'2. TEUs &amp; Activities - EF'!$M$9:$M$190),_xlfn.XLOOKUP($B113,'2. TEUs &amp; Activities - EF'!$B$9:$B$190,'2. TEUs &amp; Activities - EF'!$M$9:$M$190))*'3. Pollutant Emissions - EF'!$J113*IF(OR(ISBLANK($E113),$G113="Yes"),1,$E113)*IF($H113="Yes",1,(1-$F113))</f>
        <v>5.1684705882352946E-4</v>
      </c>
      <c r="O113" s="130"/>
    </row>
    <row r="114" spans="1:15" ht="15" x14ac:dyDescent="0.25">
      <c r="A114" s="5" t="s">
        <v>1312</v>
      </c>
      <c r="B114" s="7"/>
      <c r="C114" s="13">
        <v>401</v>
      </c>
      <c r="D114" s="19" t="str">
        <f>IFERROR(IF(C114="No CAS","",INDEX('DEQ Pollutant List'!$B$7:$B$611,MATCH('3. Pollutant Emissions - EF'!C114,'DEQ Pollutant List'!$A$7:$A$611,0))),"")</f>
        <v>Polycyclic aromatic hydrocarbons (PAHs)</v>
      </c>
      <c r="E114" s="100">
        <v>0</v>
      </c>
      <c r="F114" s="36">
        <v>0</v>
      </c>
      <c r="G114" s="100" t="s">
        <v>1415</v>
      </c>
      <c r="H114" s="36" t="s">
        <v>1415</v>
      </c>
      <c r="I114" s="34">
        <v>1E-4</v>
      </c>
      <c r="J114" s="11">
        <f t="shared" si="1"/>
        <v>1E-4</v>
      </c>
      <c r="K114" s="6" t="s">
        <v>1416</v>
      </c>
      <c r="L114" s="20" t="s">
        <v>1421</v>
      </c>
      <c r="M114" s="7">
        <f>IF(ISBLANK($B114),_xlfn.XLOOKUP($A114,'2. TEUs &amp; Activities - EF'!$A$9:$A$190,'2. TEUs &amp; Activities - EF'!$J$9:$J$190),_xlfn.XLOOKUP($B114,'2. TEUs &amp; Activities - EF'!$B$9:$B$190,'2. TEUs &amp; Activities - EF'!$J$9:$J$190))*'3. Pollutant Emissions - EF'!$I114*IF(OR(ISBLANK($E114),$G114="Yes"),1,$E114)*IF($H114="Yes",1,(1-$F114))</f>
        <v>8.9832941176470598E-3</v>
      </c>
      <c r="N114" s="5">
        <f>IF(ISBLANK($B114),_xlfn.XLOOKUP($A114,'2. TEUs &amp; Activities - EF'!$A$9:$A$190,'2. TEUs &amp; Activities - EF'!$M$9:$M$190),_xlfn.XLOOKUP($B114,'2. TEUs &amp; Activities - EF'!$B$9:$B$190,'2. TEUs &amp; Activities - EF'!$M$9:$M$190))*'3. Pollutant Emissions - EF'!$J114*IF(OR(ISBLANK($E114),$G114="Yes"),1,$E114)*IF($H114="Yes",1,(1-$F114))</f>
        <v>2.4611764705882356E-5</v>
      </c>
      <c r="O114" s="130"/>
    </row>
    <row r="115" spans="1:15" ht="15" x14ac:dyDescent="0.25">
      <c r="A115" s="5" t="s">
        <v>1312</v>
      </c>
      <c r="B115" s="7"/>
      <c r="C115" s="13" t="s">
        <v>67</v>
      </c>
      <c r="D115" s="19" t="str">
        <f>IFERROR(IF(C115="No CAS","",INDEX('DEQ Pollutant List'!$B$7:$B$611,MATCH('3. Pollutant Emissions - EF'!C115,'DEQ Pollutant List'!$A$7:$A$611,0))),"")</f>
        <v>Selenium and compounds</v>
      </c>
      <c r="E115" s="100">
        <v>0</v>
      </c>
      <c r="F115" s="36">
        <v>0</v>
      </c>
      <c r="G115" s="100" t="s">
        <v>1415</v>
      </c>
      <c r="H115" s="36" t="s">
        <v>1415</v>
      </c>
      <c r="I115" s="34">
        <v>2.4000000000000001E-5</v>
      </c>
      <c r="J115" s="11">
        <f t="shared" si="1"/>
        <v>2.4000000000000001E-5</v>
      </c>
      <c r="K115" s="6" t="s">
        <v>1416</v>
      </c>
      <c r="L115" s="20" t="s">
        <v>1421</v>
      </c>
      <c r="M115" s="7">
        <f>IF(ISBLANK($B115),_xlfn.XLOOKUP($A115,'2. TEUs &amp; Activities - EF'!$A$9:$A$190,'2. TEUs &amp; Activities - EF'!$J$9:$J$190),_xlfn.XLOOKUP($B115,'2. TEUs &amp; Activities - EF'!$B$9:$B$190,'2. TEUs &amp; Activities - EF'!$J$9:$J$190))*'3. Pollutant Emissions - EF'!$I115*IF(OR(ISBLANK($E115),$G115="Yes"),1,$E115)*IF($H115="Yes",1,(1-$F115))</f>
        <v>2.1559905882352942E-3</v>
      </c>
      <c r="N115" s="5">
        <f>IF(ISBLANK($B115),_xlfn.XLOOKUP($A115,'2. TEUs &amp; Activities - EF'!$A$9:$A$190,'2. TEUs &amp; Activities - EF'!$M$9:$M$190),_xlfn.XLOOKUP($B115,'2. TEUs &amp; Activities - EF'!$B$9:$B$190,'2. TEUs &amp; Activities - EF'!$M$9:$M$190))*'3. Pollutant Emissions - EF'!$J115*IF(OR(ISBLANK($E115),$G115="Yes"),1,$E115)*IF($H115="Yes",1,(1-$F115))</f>
        <v>5.9068235294117656E-6</v>
      </c>
      <c r="O115" s="130"/>
    </row>
    <row r="116" spans="1:15" ht="15" x14ac:dyDescent="0.25">
      <c r="A116" s="5" t="s">
        <v>1312</v>
      </c>
      <c r="B116" s="7"/>
      <c r="C116" s="13" t="s">
        <v>68</v>
      </c>
      <c r="D116" s="19" t="str">
        <f>IFERROR(IF(C116="No CAS","",INDEX('DEQ Pollutant List'!$B$7:$B$611,MATCH('3. Pollutant Emissions - EF'!C116,'DEQ Pollutant List'!$A$7:$A$611,0))),"")</f>
        <v>Toluene</v>
      </c>
      <c r="E116" s="100">
        <v>0</v>
      </c>
      <c r="F116" s="36">
        <v>0</v>
      </c>
      <c r="G116" s="100" t="s">
        <v>1415</v>
      </c>
      <c r="H116" s="36" t="s">
        <v>1415</v>
      </c>
      <c r="I116" s="34">
        <v>2.6499999999999999E-2</v>
      </c>
      <c r="J116" s="11">
        <f t="shared" si="1"/>
        <v>2.6499999999999999E-2</v>
      </c>
      <c r="K116" s="6" t="s">
        <v>1416</v>
      </c>
      <c r="L116" s="20" t="s">
        <v>1421</v>
      </c>
      <c r="M116" s="7">
        <f>IF(ISBLANK($B116),_xlfn.XLOOKUP($A116,'2. TEUs &amp; Activities - EF'!$A$9:$A$190,'2. TEUs &amp; Activities - EF'!$J$9:$J$190),_xlfn.XLOOKUP($B116,'2. TEUs &amp; Activities - EF'!$B$9:$B$190,'2. TEUs &amp; Activities - EF'!$J$9:$J$190))*'3. Pollutant Emissions - EF'!$I116*IF(OR(ISBLANK($E116),$G116="Yes"),1,$E116)*IF($H116="Yes",1,(1-$F116))</f>
        <v>2.3805729411764709</v>
      </c>
      <c r="N116" s="5">
        <f>IF(ISBLANK($B116),_xlfn.XLOOKUP($A116,'2. TEUs &amp; Activities - EF'!$A$9:$A$190,'2. TEUs &amp; Activities - EF'!$M$9:$M$190),_xlfn.XLOOKUP($B116,'2. TEUs &amp; Activities - EF'!$B$9:$B$190,'2. TEUs &amp; Activities - EF'!$M$9:$M$190))*'3. Pollutant Emissions - EF'!$J116*IF(OR(ISBLANK($E116),$G116="Yes"),1,$E116)*IF($H116="Yes",1,(1-$F116))</f>
        <v>6.5221176470588241E-3</v>
      </c>
      <c r="O116" s="130"/>
    </row>
    <row r="117" spans="1:15" ht="15" x14ac:dyDescent="0.25">
      <c r="A117" s="5" t="s">
        <v>1312</v>
      </c>
      <c r="B117" s="7"/>
      <c r="C117" s="13" t="s">
        <v>69</v>
      </c>
      <c r="D117" s="19" t="str">
        <f>IFERROR(IF(C117="No CAS","",INDEX('DEQ Pollutant List'!$B$7:$B$611,MATCH('3. Pollutant Emissions - EF'!C117,'DEQ Pollutant List'!$A$7:$A$611,0))),"")</f>
        <v>Vanadium (fume or dust)</v>
      </c>
      <c r="E117" s="100">
        <v>0</v>
      </c>
      <c r="F117" s="36">
        <v>0</v>
      </c>
      <c r="G117" s="100" t="s">
        <v>1415</v>
      </c>
      <c r="H117" s="36" t="s">
        <v>1415</v>
      </c>
      <c r="I117" s="34">
        <v>2.3E-3</v>
      </c>
      <c r="J117" s="11">
        <f t="shared" si="1"/>
        <v>2.3E-3</v>
      </c>
      <c r="K117" s="6" t="s">
        <v>1416</v>
      </c>
      <c r="L117" s="20" t="s">
        <v>1421</v>
      </c>
      <c r="M117" s="7">
        <f>IF(ISBLANK($B117),_xlfn.XLOOKUP($A117,'2. TEUs &amp; Activities - EF'!$A$9:$A$190,'2. TEUs &amp; Activities - EF'!$J$9:$J$190),_xlfn.XLOOKUP($B117,'2. TEUs &amp; Activities - EF'!$B$9:$B$190,'2. TEUs &amp; Activities - EF'!$J$9:$J$190))*'3. Pollutant Emissions - EF'!$I117*IF(OR(ISBLANK($E117),$G117="Yes"),1,$E117)*IF($H117="Yes",1,(1-$F117))</f>
        <v>0.20661576470588236</v>
      </c>
      <c r="N117" s="5">
        <f>IF(ISBLANK($B117),_xlfn.XLOOKUP($A117,'2. TEUs &amp; Activities - EF'!$A$9:$A$190,'2. TEUs &amp; Activities - EF'!$M$9:$M$190),_xlfn.XLOOKUP($B117,'2. TEUs &amp; Activities - EF'!$B$9:$B$190,'2. TEUs &amp; Activities - EF'!$M$9:$M$190))*'3. Pollutant Emissions - EF'!$J117*IF(OR(ISBLANK($E117),$G117="Yes"),1,$E117)*IF($H117="Yes",1,(1-$F117))</f>
        <v>5.6607058823529414E-4</v>
      </c>
      <c r="O117" s="130"/>
    </row>
    <row r="118" spans="1:15" ht="15" x14ac:dyDescent="0.25">
      <c r="A118" s="5" t="s">
        <v>1312</v>
      </c>
      <c r="B118" s="7"/>
      <c r="C118" s="13" t="s">
        <v>70</v>
      </c>
      <c r="D118" s="19" t="str">
        <f>IFERROR(IF(C118="No CAS","",INDEX('DEQ Pollutant List'!$B$7:$B$611,MATCH('3. Pollutant Emissions - EF'!C118,'DEQ Pollutant List'!$A$7:$A$611,0))),"")</f>
        <v>Xylene (mixture), including m-xylene, o-xylene, p-xylene</v>
      </c>
      <c r="E118" s="100">
        <v>0</v>
      </c>
      <c r="F118" s="36">
        <v>0</v>
      </c>
      <c r="G118" s="100" t="s">
        <v>1415</v>
      </c>
      <c r="H118" s="36" t="s">
        <v>1415</v>
      </c>
      <c r="I118" s="34">
        <v>1.9699999999999999E-2</v>
      </c>
      <c r="J118" s="11">
        <f t="shared" si="1"/>
        <v>1.9699999999999999E-2</v>
      </c>
      <c r="K118" s="6" t="s">
        <v>1416</v>
      </c>
      <c r="L118" s="20" t="s">
        <v>1421</v>
      </c>
      <c r="M118" s="7">
        <f>IF(ISBLANK($B118),_xlfn.XLOOKUP($A118,'2. TEUs &amp; Activities - EF'!$A$9:$A$190,'2. TEUs &amp; Activities - EF'!$J$9:$J$190),_xlfn.XLOOKUP($B118,'2. TEUs &amp; Activities - EF'!$B$9:$B$190,'2. TEUs &amp; Activities - EF'!$J$9:$J$190))*'3. Pollutant Emissions - EF'!$I118*IF(OR(ISBLANK($E118),$G118="Yes"),1,$E118)*IF($H118="Yes",1,(1-$F118))</f>
        <v>1.7697089411764706</v>
      </c>
      <c r="N118" s="5">
        <f>IF(ISBLANK($B118),_xlfn.XLOOKUP($A118,'2. TEUs &amp; Activities - EF'!$A$9:$A$190,'2. TEUs &amp; Activities - EF'!$M$9:$M$190),_xlfn.XLOOKUP($B118,'2. TEUs &amp; Activities - EF'!$B$9:$B$190,'2. TEUs &amp; Activities - EF'!$M$9:$M$190))*'3. Pollutant Emissions - EF'!$J118*IF(OR(ISBLANK($E118),$G118="Yes"),1,$E118)*IF($H118="Yes",1,(1-$F118))</f>
        <v>4.8485176470588233E-3</v>
      </c>
      <c r="O118" s="130"/>
    </row>
    <row r="119" spans="1:15" ht="15" x14ac:dyDescent="0.25">
      <c r="A119" s="5" t="s">
        <v>1312</v>
      </c>
      <c r="B119" s="7"/>
      <c r="C119" s="13" t="s">
        <v>71</v>
      </c>
      <c r="D119" s="19" t="str">
        <f>IFERROR(IF(C119="No CAS","",INDEX('DEQ Pollutant List'!$B$7:$B$611,MATCH('3. Pollutant Emissions - EF'!C119,'DEQ Pollutant List'!$A$7:$A$611,0))),"")</f>
        <v>Zinc and compounds</v>
      </c>
      <c r="E119" s="100">
        <v>0</v>
      </c>
      <c r="F119" s="36">
        <v>0</v>
      </c>
      <c r="G119" s="100" t="s">
        <v>1415</v>
      </c>
      <c r="H119" s="36" t="s">
        <v>1415</v>
      </c>
      <c r="I119" s="34">
        <v>2.9000000000000001E-2</v>
      </c>
      <c r="J119" s="11">
        <f t="shared" si="1"/>
        <v>2.9000000000000001E-2</v>
      </c>
      <c r="K119" s="6" t="s">
        <v>1416</v>
      </c>
      <c r="L119" s="20" t="s">
        <v>1421</v>
      </c>
      <c r="M119" s="7">
        <f>IF(ISBLANK($B119),_xlfn.XLOOKUP($A119,'2. TEUs &amp; Activities - EF'!$A$9:$A$190,'2. TEUs &amp; Activities - EF'!$J$9:$J$190),_xlfn.XLOOKUP($B119,'2. TEUs &amp; Activities - EF'!$B$9:$B$190,'2. TEUs &amp; Activities - EF'!$J$9:$J$190))*'3. Pollutant Emissions - EF'!$I119*IF(OR(ISBLANK($E119),$G119="Yes"),1,$E119)*IF($H119="Yes",1,(1-$F119))</f>
        <v>2.6051552941176475</v>
      </c>
      <c r="N119" s="5">
        <f>IF(ISBLANK($B119),_xlfn.XLOOKUP($A119,'2. TEUs &amp; Activities - EF'!$A$9:$A$190,'2. TEUs &amp; Activities - EF'!$M$9:$M$190),_xlfn.XLOOKUP($B119,'2. TEUs &amp; Activities - EF'!$B$9:$B$190,'2. TEUs &amp; Activities - EF'!$M$9:$M$190))*'3. Pollutant Emissions - EF'!$J119*IF(OR(ISBLANK($E119),$G119="Yes"),1,$E119)*IF($H119="Yes",1,(1-$F119))</f>
        <v>7.1374117647058834E-3</v>
      </c>
      <c r="O119" s="130"/>
    </row>
    <row r="120" spans="1:15" ht="15" x14ac:dyDescent="0.25">
      <c r="A120" s="5"/>
      <c r="B120" s="7"/>
      <c r="C120" s="13"/>
      <c r="D120" s="19" t="str">
        <f>IFERROR(IF(C120="No CAS","",INDEX('DEQ Pollutant List'!$B$7:$B$611,MATCH('3. Pollutant Emissions - EF'!C120,'DEQ Pollutant List'!$A$7:$A$611,0))),"")</f>
        <v/>
      </c>
      <c r="E120" s="100"/>
      <c r="F120" s="36"/>
      <c r="G120" s="100"/>
      <c r="H120" s="36"/>
      <c r="I120" s="34"/>
      <c r="J120" s="11"/>
      <c r="K120" s="6"/>
      <c r="L120" s="20"/>
      <c r="M120" s="7">
        <f>IF(ISBLANK($B120),_xlfn.XLOOKUP($A120,'2. TEUs &amp; Activities - EF'!$A$9:$A$190,'2. TEUs &amp; Activities - EF'!$J$9:$J$190),_xlfn.XLOOKUP($B120,'2. TEUs &amp; Activities - EF'!$B$9:$B$190,'2. TEUs &amp; Activities - EF'!$J$9:$J$190))*'3. Pollutant Emissions - EF'!$I120*IF(OR(ISBLANK($E120),$G120="Yes"),1,$E120)*IF($H120="Yes",1,(1-$F120))</f>
        <v>0</v>
      </c>
      <c r="N120" s="5">
        <f>IF(ISBLANK($B120),_xlfn.XLOOKUP($A120,'2. TEUs &amp; Activities - EF'!$A$9:$A$190,'2. TEUs &amp; Activities - EF'!$M$9:$M$190),_xlfn.XLOOKUP($B120,'2. TEUs &amp; Activities - EF'!$B$9:$B$190,'2. TEUs &amp; Activities - EF'!$M$9:$M$190))*'3. Pollutant Emissions - EF'!$J120*IF(OR(ISBLANK($E120),$G120="Yes"),1,$E120)*IF($H120="Yes",1,(1-$F120))</f>
        <v>0</v>
      </c>
      <c r="O120" s="130"/>
    </row>
    <row r="121" spans="1:15" ht="15" x14ac:dyDescent="0.25">
      <c r="A121" s="5" t="s">
        <v>1313</v>
      </c>
      <c r="B121" s="7"/>
      <c r="C121" s="13" t="s">
        <v>50</v>
      </c>
      <c r="D121" s="19" t="str">
        <f>IFERROR(IF(C121="No CAS","",INDEX('DEQ Pollutant List'!$B$7:$B$611,MATCH('3. Pollutant Emissions - EF'!C121,'DEQ Pollutant List'!$A$7:$A$611,0))),"")</f>
        <v>Acetaldehyde</v>
      </c>
      <c r="E121" s="100">
        <v>0</v>
      </c>
      <c r="F121" s="36">
        <v>0</v>
      </c>
      <c r="G121" s="100" t="s">
        <v>1415</v>
      </c>
      <c r="H121" s="36" t="s">
        <v>1415</v>
      </c>
      <c r="I121" s="34">
        <v>4.3E-3</v>
      </c>
      <c r="J121" s="11">
        <f t="shared" si="1"/>
        <v>4.3E-3</v>
      </c>
      <c r="K121" s="6" t="s">
        <v>1416</v>
      </c>
      <c r="L121" s="20" t="s">
        <v>1422</v>
      </c>
      <c r="M121" s="7">
        <f>IF(ISBLANK($B121),_xlfn.XLOOKUP($A121,'2. TEUs &amp; Activities - EF'!$A$9:$A$190,'2. TEUs &amp; Activities - EF'!$J$9:$J$190),_xlfn.XLOOKUP($B121,'2. TEUs &amp; Activities - EF'!$B$9:$B$190,'2. TEUs &amp; Activities - EF'!$J$9:$J$190))*'3. Pollutant Emissions - EF'!$I121*IF(OR(ISBLANK($E121),$G121="Yes"),1,$E121)*IF($H121="Yes",1,(1-$F121))</f>
        <v>0.1551035294117647</v>
      </c>
      <c r="N121" s="5">
        <f>IF(ISBLANK($B121),_xlfn.XLOOKUP($A121,'2. TEUs &amp; Activities - EF'!$A$9:$A$190,'2. TEUs &amp; Activities - EF'!$M$9:$M$190),_xlfn.XLOOKUP($B121,'2. TEUs &amp; Activities - EF'!$B$9:$B$190,'2. TEUs &amp; Activities - EF'!$M$9:$M$190))*'3. Pollutant Emissions - EF'!$J121*IF(OR(ISBLANK($E121),$G121="Yes"),1,$E121)*IF($H121="Yes",1,(1-$F121))</f>
        <v>4.2494117647058827E-4</v>
      </c>
      <c r="O121" s="130"/>
    </row>
    <row r="122" spans="1:15" ht="15" x14ac:dyDescent="0.25">
      <c r="A122" s="5" t="s">
        <v>1313</v>
      </c>
      <c r="B122" s="7"/>
      <c r="C122" s="13" t="s">
        <v>51</v>
      </c>
      <c r="D122" s="19" t="str">
        <f>IFERROR(IF(C122="No CAS","",INDEX('DEQ Pollutant List'!$B$7:$B$611,MATCH('3. Pollutant Emissions - EF'!C122,'DEQ Pollutant List'!$A$7:$A$611,0))),"")</f>
        <v>Acrolein</v>
      </c>
      <c r="E122" s="100">
        <v>0</v>
      </c>
      <c r="F122" s="36">
        <v>0</v>
      </c>
      <c r="G122" s="100" t="s">
        <v>1415</v>
      </c>
      <c r="H122" s="36" t="s">
        <v>1415</v>
      </c>
      <c r="I122" s="34">
        <v>2.7000000000000001E-3</v>
      </c>
      <c r="J122" s="11">
        <f t="shared" si="1"/>
        <v>2.7000000000000001E-3</v>
      </c>
      <c r="K122" s="6" t="s">
        <v>1416</v>
      </c>
      <c r="L122" s="20" t="s">
        <v>1422</v>
      </c>
      <c r="M122" s="7">
        <f>IF(ISBLANK($B122),_xlfn.XLOOKUP($A122,'2. TEUs &amp; Activities - EF'!$A$9:$A$190,'2. TEUs &amp; Activities - EF'!$J$9:$J$190),_xlfn.XLOOKUP($B122,'2. TEUs &amp; Activities - EF'!$B$9:$B$190,'2. TEUs &amp; Activities - EF'!$J$9:$J$190))*'3. Pollutant Emissions - EF'!$I122*IF(OR(ISBLANK($E122),$G122="Yes"),1,$E122)*IF($H122="Yes",1,(1-$F122))</f>
        <v>9.7390588235294118E-2</v>
      </c>
      <c r="N122" s="5">
        <f>IF(ISBLANK($B122),_xlfn.XLOOKUP($A122,'2. TEUs &amp; Activities - EF'!$A$9:$A$190,'2. TEUs &amp; Activities - EF'!$M$9:$M$190),_xlfn.XLOOKUP($B122,'2. TEUs &amp; Activities - EF'!$B$9:$B$190,'2. TEUs &amp; Activities - EF'!$M$9:$M$190))*'3. Pollutant Emissions - EF'!$J122*IF(OR(ISBLANK($E122),$G122="Yes"),1,$E122)*IF($H122="Yes",1,(1-$F122))</f>
        <v>2.6682352941176472E-4</v>
      </c>
      <c r="O122" s="130"/>
    </row>
    <row r="123" spans="1:15" ht="15" x14ac:dyDescent="0.25">
      <c r="A123" s="5" t="s">
        <v>1313</v>
      </c>
      <c r="B123" s="7"/>
      <c r="C123" s="13" t="s">
        <v>52</v>
      </c>
      <c r="D123" s="19" t="str">
        <f>IFERROR(IF(C123="No CAS","",INDEX('DEQ Pollutant List'!$B$7:$B$611,MATCH('3. Pollutant Emissions - EF'!C123,'DEQ Pollutant List'!$A$7:$A$611,0))),"")</f>
        <v>Ammonia</v>
      </c>
      <c r="E123" s="100">
        <v>0</v>
      </c>
      <c r="F123" s="36">
        <v>0</v>
      </c>
      <c r="G123" s="100" t="s">
        <v>1415</v>
      </c>
      <c r="H123" s="36" t="s">
        <v>1415</v>
      </c>
      <c r="I123" s="34">
        <v>3.2</v>
      </c>
      <c r="J123" s="11">
        <f t="shared" si="1"/>
        <v>3.2</v>
      </c>
      <c r="K123" s="6" t="s">
        <v>1416</v>
      </c>
      <c r="L123" s="20" t="s">
        <v>1422</v>
      </c>
      <c r="M123" s="7">
        <f>IF(ISBLANK($B123),_xlfn.XLOOKUP($A123,'2. TEUs &amp; Activities - EF'!$A$9:$A$190,'2. TEUs &amp; Activities - EF'!$J$9:$J$190),_xlfn.XLOOKUP($B123,'2. TEUs &amp; Activities - EF'!$B$9:$B$190,'2. TEUs &amp; Activities - EF'!$J$9:$J$190))*'3. Pollutant Emissions - EF'!$I123*IF(OR(ISBLANK($E123),$G123="Yes"),1,$E123)*IF($H123="Yes",1,(1-$F123))</f>
        <v>115.42588235294119</v>
      </c>
      <c r="N123" s="5">
        <f>IF(ISBLANK($B123),_xlfn.XLOOKUP($A123,'2. TEUs &amp; Activities - EF'!$A$9:$A$190,'2. TEUs &amp; Activities - EF'!$M$9:$M$190),_xlfn.XLOOKUP($B123,'2. TEUs &amp; Activities - EF'!$B$9:$B$190,'2. TEUs &amp; Activities - EF'!$M$9:$M$190))*'3. Pollutant Emissions - EF'!$J123*IF(OR(ISBLANK($E123),$G123="Yes"),1,$E123)*IF($H123="Yes",1,(1-$F123))</f>
        <v>0.31623529411764711</v>
      </c>
      <c r="O123" s="130"/>
    </row>
    <row r="124" spans="1:15" ht="15" x14ac:dyDescent="0.25">
      <c r="A124" s="5" t="s">
        <v>1313</v>
      </c>
      <c r="B124" s="7"/>
      <c r="C124" s="13" t="s">
        <v>53</v>
      </c>
      <c r="D124" s="19" t="str">
        <f>IFERROR(IF(C124="No CAS","",INDEX('DEQ Pollutant List'!$B$7:$B$611,MATCH('3. Pollutant Emissions - EF'!C124,'DEQ Pollutant List'!$A$7:$A$611,0))),"")</f>
        <v>Arsenic and compounds</v>
      </c>
      <c r="E124" s="100">
        <v>0</v>
      </c>
      <c r="F124" s="36">
        <v>0</v>
      </c>
      <c r="G124" s="100" t="s">
        <v>1415</v>
      </c>
      <c r="H124" s="36" t="s">
        <v>1415</v>
      </c>
      <c r="I124" s="34">
        <v>2.0000000000000001E-4</v>
      </c>
      <c r="J124" s="11">
        <f t="shared" si="1"/>
        <v>2.0000000000000001E-4</v>
      </c>
      <c r="K124" s="6" t="s">
        <v>1416</v>
      </c>
      <c r="L124" s="20" t="s">
        <v>1422</v>
      </c>
      <c r="M124" s="7">
        <f>IF(ISBLANK($B124),_xlfn.XLOOKUP($A124,'2. TEUs &amp; Activities - EF'!$A$9:$A$190,'2. TEUs &amp; Activities - EF'!$J$9:$J$190),_xlfn.XLOOKUP($B124,'2. TEUs &amp; Activities - EF'!$B$9:$B$190,'2. TEUs &amp; Activities - EF'!$J$9:$J$190))*'3. Pollutant Emissions - EF'!$I124*IF(OR(ISBLANK($E124),$G124="Yes"),1,$E124)*IF($H124="Yes",1,(1-$F124))</f>
        <v>7.214117647058824E-3</v>
      </c>
      <c r="N124" s="5">
        <f>IF(ISBLANK($B124),_xlfn.XLOOKUP($A124,'2. TEUs &amp; Activities - EF'!$A$9:$A$190,'2. TEUs &amp; Activities - EF'!$M$9:$M$190),_xlfn.XLOOKUP($B124,'2. TEUs &amp; Activities - EF'!$B$9:$B$190,'2. TEUs &amp; Activities - EF'!$M$9:$M$190))*'3. Pollutant Emissions - EF'!$J124*IF(OR(ISBLANK($E124),$G124="Yes"),1,$E124)*IF($H124="Yes",1,(1-$F124))</f>
        <v>1.9764705882352945E-5</v>
      </c>
      <c r="O124" s="130"/>
    </row>
    <row r="125" spans="1:15" ht="15" x14ac:dyDescent="0.25">
      <c r="A125" s="5" t="s">
        <v>1313</v>
      </c>
      <c r="B125" s="7"/>
      <c r="C125" s="13" t="s">
        <v>54</v>
      </c>
      <c r="D125" s="19" t="str">
        <f>IFERROR(IF(C125="No CAS","",INDEX('DEQ Pollutant List'!$B$7:$B$611,MATCH('3. Pollutant Emissions - EF'!C125,'DEQ Pollutant List'!$A$7:$A$611,0))),"")</f>
        <v>Barium and compounds</v>
      </c>
      <c r="E125" s="100">
        <v>0</v>
      </c>
      <c r="F125" s="36">
        <v>0</v>
      </c>
      <c r="G125" s="100" t="s">
        <v>1415</v>
      </c>
      <c r="H125" s="36" t="s">
        <v>1415</v>
      </c>
      <c r="I125" s="34">
        <v>4.4000000000000003E-3</v>
      </c>
      <c r="J125" s="11">
        <f t="shared" si="1"/>
        <v>4.4000000000000003E-3</v>
      </c>
      <c r="K125" s="6" t="s">
        <v>1416</v>
      </c>
      <c r="L125" s="20" t="s">
        <v>1422</v>
      </c>
      <c r="M125" s="7">
        <f>IF(ISBLANK($B125),_xlfn.XLOOKUP($A125,'2. TEUs &amp; Activities - EF'!$A$9:$A$190,'2. TEUs &amp; Activities - EF'!$J$9:$J$190),_xlfn.XLOOKUP($B125,'2. TEUs &amp; Activities - EF'!$B$9:$B$190,'2. TEUs &amp; Activities - EF'!$J$9:$J$190))*'3. Pollutant Emissions - EF'!$I125*IF(OR(ISBLANK($E125),$G125="Yes"),1,$E125)*IF($H125="Yes",1,(1-$F125))</f>
        <v>0.15871058823529413</v>
      </c>
      <c r="N125" s="5">
        <f>IF(ISBLANK($B125),_xlfn.XLOOKUP($A125,'2. TEUs &amp; Activities - EF'!$A$9:$A$190,'2. TEUs &amp; Activities - EF'!$M$9:$M$190),_xlfn.XLOOKUP($B125,'2. TEUs &amp; Activities - EF'!$B$9:$B$190,'2. TEUs &amp; Activities - EF'!$M$9:$M$190))*'3. Pollutant Emissions - EF'!$J125*IF(OR(ISBLANK($E125),$G125="Yes"),1,$E125)*IF($H125="Yes",1,(1-$F125))</f>
        <v>4.3482352941176479E-4</v>
      </c>
      <c r="O125" s="130"/>
    </row>
    <row r="126" spans="1:15" ht="15" x14ac:dyDescent="0.25">
      <c r="A126" s="5" t="s">
        <v>1313</v>
      </c>
      <c r="B126" s="7"/>
      <c r="C126" s="13" t="s">
        <v>46</v>
      </c>
      <c r="D126" s="19" t="str">
        <f>IFERROR(IF(C126="No CAS","",INDEX('DEQ Pollutant List'!$B$7:$B$611,MATCH('3. Pollutant Emissions - EF'!C126,'DEQ Pollutant List'!$A$7:$A$611,0))),"")</f>
        <v>Benzene</v>
      </c>
      <c r="E126" s="100">
        <v>0</v>
      </c>
      <c r="F126" s="36">
        <v>0</v>
      </c>
      <c r="G126" s="100" t="s">
        <v>1415</v>
      </c>
      <c r="H126" s="36" t="s">
        <v>1415</v>
      </c>
      <c r="I126" s="34">
        <v>8.0000000000000002E-3</v>
      </c>
      <c r="J126" s="11">
        <f t="shared" si="1"/>
        <v>8.0000000000000002E-3</v>
      </c>
      <c r="K126" s="6" t="s">
        <v>1416</v>
      </c>
      <c r="L126" s="20" t="s">
        <v>1422</v>
      </c>
      <c r="M126" s="7">
        <f>IF(ISBLANK($B126),_xlfn.XLOOKUP($A126,'2. TEUs &amp; Activities - EF'!$A$9:$A$190,'2. TEUs &amp; Activities - EF'!$J$9:$J$190),_xlfn.XLOOKUP($B126,'2. TEUs &amp; Activities - EF'!$B$9:$B$190,'2. TEUs &amp; Activities - EF'!$J$9:$J$190))*'3. Pollutant Emissions - EF'!$I126*IF(OR(ISBLANK($E126),$G126="Yes"),1,$E126)*IF($H126="Yes",1,(1-$F126))</f>
        <v>0.28856470588235295</v>
      </c>
      <c r="N126" s="5">
        <f>IF(ISBLANK($B126),_xlfn.XLOOKUP($A126,'2. TEUs &amp; Activities - EF'!$A$9:$A$190,'2. TEUs &amp; Activities - EF'!$M$9:$M$190),_xlfn.XLOOKUP($B126,'2. TEUs &amp; Activities - EF'!$B$9:$B$190,'2. TEUs &amp; Activities - EF'!$M$9:$M$190))*'3. Pollutant Emissions - EF'!$J126*IF(OR(ISBLANK($E126),$G126="Yes"),1,$E126)*IF($H126="Yes",1,(1-$F126))</f>
        <v>7.9058823529411769E-4</v>
      </c>
      <c r="O126" s="130"/>
    </row>
    <row r="127" spans="1:15" ht="15" x14ac:dyDescent="0.25">
      <c r="A127" s="5" t="s">
        <v>1313</v>
      </c>
      <c r="B127" s="7"/>
      <c r="C127" s="13" t="s">
        <v>55</v>
      </c>
      <c r="D127" s="19" t="str">
        <f>IFERROR(IF(C127="No CAS","",INDEX('DEQ Pollutant List'!$B$7:$B$611,MATCH('3. Pollutant Emissions - EF'!C127,'DEQ Pollutant List'!$A$7:$A$611,0))),"")</f>
        <v>Beryllium and compounds</v>
      </c>
      <c r="E127" s="100">
        <v>0</v>
      </c>
      <c r="F127" s="36">
        <v>0</v>
      </c>
      <c r="G127" s="100" t="s">
        <v>1415</v>
      </c>
      <c r="H127" s="36" t="s">
        <v>1415</v>
      </c>
      <c r="I127" s="34">
        <v>1.2E-5</v>
      </c>
      <c r="J127" s="11">
        <f t="shared" si="1"/>
        <v>1.2E-5</v>
      </c>
      <c r="K127" s="6" t="s">
        <v>1416</v>
      </c>
      <c r="L127" s="20" t="s">
        <v>1422</v>
      </c>
      <c r="M127" s="7">
        <f>IF(ISBLANK($B127),_xlfn.XLOOKUP($A127,'2. TEUs &amp; Activities - EF'!$A$9:$A$190,'2. TEUs &amp; Activities - EF'!$J$9:$J$190),_xlfn.XLOOKUP($B127,'2. TEUs &amp; Activities - EF'!$B$9:$B$190,'2. TEUs &amp; Activities - EF'!$J$9:$J$190))*'3. Pollutant Emissions - EF'!$I127*IF(OR(ISBLANK($E127),$G127="Yes"),1,$E127)*IF($H127="Yes",1,(1-$F127))</f>
        <v>4.3284705882352942E-4</v>
      </c>
      <c r="N127" s="5">
        <f>IF(ISBLANK($B127),_xlfn.XLOOKUP($A127,'2. TEUs &amp; Activities - EF'!$A$9:$A$190,'2. TEUs &amp; Activities - EF'!$M$9:$M$190),_xlfn.XLOOKUP($B127,'2. TEUs &amp; Activities - EF'!$B$9:$B$190,'2. TEUs &amp; Activities - EF'!$M$9:$M$190))*'3. Pollutant Emissions - EF'!$J127*IF(OR(ISBLANK($E127),$G127="Yes"),1,$E127)*IF($H127="Yes",1,(1-$F127))</f>
        <v>1.1858823529411765E-6</v>
      </c>
      <c r="O127" s="130"/>
    </row>
    <row r="128" spans="1:15" ht="15" x14ac:dyDescent="0.25">
      <c r="A128" s="5" t="s">
        <v>1313</v>
      </c>
      <c r="B128" s="7"/>
      <c r="C128" s="13" t="s">
        <v>56</v>
      </c>
      <c r="D128" s="19" t="str">
        <f>IFERROR(IF(C128="No CAS","",INDEX('DEQ Pollutant List'!$B$7:$B$611,MATCH('3. Pollutant Emissions - EF'!C128,'DEQ Pollutant List'!$A$7:$A$611,0))),"")</f>
        <v>Cadmium and compounds</v>
      </c>
      <c r="E128" s="100">
        <v>0</v>
      </c>
      <c r="F128" s="36">
        <v>0</v>
      </c>
      <c r="G128" s="100" t="s">
        <v>1415</v>
      </c>
      <c r="H128" s="36" t="s">
        <v>1415</v>
      </c>
      <c r="I128" s="34">
        <v>1.1000000000000001E-3</v>
      </c>
      <c r="J128" s="11">
        <f t="shared" si="1"/>
        <v>1.1000000000000001E-3</v>
      </c>
      <c r="K128" s="6" t="s">
        <v>1416</v>
      </c>
      <c r="L128" s="20" t="s">
        <v>1422</v>
      </c>
      <c r="M128" s="7">
        <f>IF(ISBLANK($B128),_xlfn.XLOOKUP($A128,'2. TEUs &amp; Activities - EF'!$A$9:$A$190,'2. TEUs &amp; Activities - EF'!$J$9:$J$190),_xlfn.XLOOKUP($B128,'2. TEUs &amp; Activities - EF'!$B$9:$B$190,'2. TEUs &amp; Activities - EF'!$J$9:$J$190))*'3. Pollutant Emissions - EF'!$I128*IF(OR(ISBLANK($E128),$G128="Yes"),1,$E128)*IF($H128="Yes",1,(1-$F128))</f>
        <v>3.9677647058823533E-2</v>
      </c>
      <c r="N128" s="5">
        <f>IF(ISBLANK($B128),_xlfn.XLOOKUP($A128,'2. TEUs &amp; Activities - EF'!$A$9:$A$190,'2. TEUs &amp; Activities - EF'!$M$9:$M$190),_xlfn.XLOOKUP($B128,'2. TEUs &amp; Activities - EF'!$B$9:$B$190,'2. TEUs &amp; Activities - EF'!$M$9:$M$190))*'3. Pollutant Emissions - EF'!$J128*IF(OR(ISBLANK($E128),$G128="Yes"),1,$E128)*IF($H128="Yes",1,(1-$F128))</f>
        <v>1.087058823529412E-4</v>
      </c>
      <c r="O128" s="130"/>
    </row>
    <row r="129" spans="1:15" ht="15" x14ac:dyDescent="0.25">
      <c r="A129" s="5" t="s">
        <v>1313</v>
      </c>
      <c r="B129" s="7"/>
      <c r="C129" s="13" t="s">
        <v>57</v>
      </c>
      <c r="D129" s="19" t="str">
        <f>IFERROR(IF(C129="No CAS","",INDEX('DEQ Pollutant List'!$B$7:$B$611,MATCH('3. Pollutant Emissions - EF'!C129,'DEQ Pollutant List'!$A$7:$A$611,0))),"")</f>
        <v>Chromium VI, chromate and dichromate particulate</v>
      </c>
      <c r="E129" s="100">
        <v>0</v>
      </c>
      <c r="F129" s="36">
        <v>0</v>
      </c>
      <c r="G129" s="100" t="s">
        <v>1415</v>
      </c>
      <c r="H129" s="36" t="s">
        <v>1415</v>
      </c>
      <c r="I129" s="34">
        <v>1.4E-3</v>
      </c>
      <c r="J129" s="11">
        <f t="shared" si="1"/>
        <v>1.4E-3</v>
      </c>
      <c r="K129" s="6" t="s">
        <v>1416</v>
      </c>
      <c r="L129" s="20" t="s">
        <v>1422</v>
      </c>
      <c r="M129" s="7">
        <f>IF(ISBLANK($B129),_xlfn.XLOOKUP($A129,'2. TEUs &amp; Activities - EF'!$A$9:$A$190,'2. TEUs &amp; Activities - EF'!$J$9:$J$190),_xlfn.XLOOKUP($B129,'2. TEUs &amp; Activities - EF'!$B$9:$B$190,'2. TEUs &amp; Activities - EF'!$J$9:$J$190))*'3. Pollutant Emissions - EF'!$I129*IF(OR(ISBLANK($E129),$G129="Yes"),1,$E129)*IF($H129="Yes",1,(1-$F129))</f>
        <v>5.0498823529411763E-2</v>
      </c>
      <c r="N129" s="5">
        <f>IF(ISBLANK($B129),_xlfn.XLOOKUP($A129,'2. TEUs &amp; Activities - EF'!$A$9:$A$190,'2. TEUs &amp; Activities - EF'!$M$9:$M$190),_xlfn.XLOOKUP($B129,'2. TEUs &amp; Activities - EF'!$B$9:$B$190,'2. TEUs &amp; Activities - EF'!$M$9:$M$190))*'3. Pollutant Emissions - EF'!$J129*IF(OR(ISBLANK($E129),$G129="Yes"),1,$E129)*IF($H129="Yes",1,(1-$F129))</f>
        <v>1.3835294117647059E-4</v>
      </c>
      <c r="O129" s="130"/>
    </row>
    <row r="130" spans="1:15" ht="15" x14ac:dyDescent="0.25">
      <c r="A130" s="5" t="s">
        <v>1313</v>
      </c>
      <c r="B130" s="7"/>
      <c r="C130" s="13" t="s">
        <v>58</v>
      </c>
      <c r="D130" s="19" t="str">
        <f>IFERROR(IF(C130="No CAS","",INDEX('DEQ Pollutant List'!$B$7:$B$611,MATCH('3. Pollutant Emissions - EF'!C130,'DEQ Pollutant List'!$A$7:$A$611,0))),"")</f>
        <v>Cobalt and compounds</v>
      </c>
      <c r="E130" s="100">
        <v>0</v>
      </c>
      <c r="F130" s="36">
        <v>0</v>
      </c>
      <c r="G130" s="100" t="s">
        <v>1415</v>
      </c>
      <c r="H130" s="36" t="s">
        <v>1415</v>
      </c>
      <c r="I130" s="34">
        <v>8.3999999999999995E-5</v>
      </c>
      <c r="J130" s="11">
        <f t="shared" si="1"/>
        <v>8.3999999999999995E-5</v>
      </c>
      <c r="K130" s="6" t="s">
        <v>1416</v>
      </c>
      <c r="L130" s="20" t="s">
        <v>1422</v>
      </c>
      <c r="M130" s="7">
        <f>IF(ISBLANK($B130),_xlfn.XLOOKUP($A130,'2. TEUs &amp; Activities - EF'!$A$9:$A$190,'2. TEUs &amp; Activities - EF'!$J$9:$J$190),_xlfn.XLOOKUP($B130,'2. TEUs &amp; Activities - EF'!$B$9:$B$190,'2. TEUs &amp; Activities - EF'!$J$9:$J$190))*'3. Pollutant Emissions - EF'!$I130*IF(OR(ISBLANK($E130),$G130="Yes"),1,$E130)*IF($H130="Yes",1,(1-$F130))</f>
        <v>3.0299294117647059E-3</v>
      </c>
      <c r="N130" s="5">
        <f>IF(ISBLANK($B130),_xlfn.XLOOKUP($A130,'2. TEUs &amp; Activities - EF'!$A$9:$A$190,'2. TEUs &amp; Activities - EF'!$M$9:$M$190),_xlfn.XLOOKUP($B130,'2. TEUs &amp; Activities - EF'!$B$9:$B$190,'2. TEUs &amp; Activities - EF'!$M$9:$M$190))*'3. Pollutant Emissions - EF'!$J130*IF(OR(ISBLANK($E130),$G130="Yes"),1,$E130)*IF($H130="Yes",1,(1-$F130))</f>
        <v>8.3011764705882362E-6</v>
      </c>
      <c r="O130" s="130"/>
    </row>
    <row r="131" spans="1:15" ht="15" x14ac:dyDescent="0.25">
      <c r="A131" s="5" t="s">
        <v>1313</v>
      </c>
      <c r="B131" s="7"/>
      <c r="C131" s="13" t="s">
        <v>59</v>
      </c>
      <c r="D131" s="19" t="str">
        <f>IFERROR(IF(C131="No CAS","",INDEX('DEQ Pollutant List'!$B$7:$B$611,MATCH('3. Pollutant Emissions - EF'!C131,'DEQ Pollutant List'!$A$7:$A$611,0))),"")</f>
        <v>Copper and compounds</v>
      </c>
      <c r="E131" s="100">
        <v>0</v>
      </c>
      <c r="F131" s="36">
        <v>0</v>
      </c>
      <c r="G131" s="100" t="s">
        <v>1415</v>
      </c>
      <c r="H131" s="36" t="s">
        <v>1415</v>
      </c>
      <c r="I131" s="34">
        <v>8.4999999999999995E-4</v>
      </c>
      <c r="J131" s="11">
        <f t="shared" si="1"/>
        <v>8.4999999999999995E-4</v>
      </c>
      <c r="K131" s="6" t="s">
        <v>1416</v>
      </c>
      <c r="L131" s="20" t="s">
        <v>1422</v>
      </c>
      <c r="M131" s="7">
        <f>IF(ISBLANK($B131),_xlfn.XLOOKUP($A131,'2. TEUs &amp; Activities - EF'!$A$9:$A$190,'2. TEUs &amp; Activities - EF'!$J$9:$J$190),_xlfn.XLOOKUP($B131,'2. TEUs &amp; Activities - EF'!$B$9:$B$190,'2. TEUs &amp; Activities - EF'!$J$9:$J$190))*'3. Pollutant Emissions - EF'!$I131*IF(OR(ISBLANK($E131),$G131="Yes"),1,$E131)*IF($H131="Yes",1,(1-$F131))</f>
        <v>3.066E-2</v>
      </c>
      <c r="N131" s="5">
        <f>IF(ISBLANK($B131),_xlfn.XLOOKUP($A131,'2. TEUs &amp; Activities - EF'!$A$9:$A$190,'2. TEUs &amp; Activities - EF'!$M$9:$M$190),_xlfn.XLOOKUP($B131,'2. TEUs &amp; Activities - EF'!$B$9:$B$190,'2. TEUs &amp; Activities - EF'!$M$9:$M$190))*'3. Pollutant Emissions - EF'!$J131*IF(OR(ISBLANK($E131),$G131="Yes"),1,$E131)*IF($H131="Yes",1,(1-$F131))</f>
        <v>8.3999999999999995E-5</v>
      </c>
      <c r="O131" s="130"/>
    </row>
    <row r="132" spans="1:15" ht="15" x14ac:dyDescent="0.25">
      <c r="A132" s="5" t="s">
        <v>1313</v>
      </c>
      <c r="B132" s="7"/>
      <c r="C132" s="13" t="s">
        <v>60</v>
      </c>
      <c r="D132" s="19" t="str">
        <f>IFERROR(IF(C132="No CAS","",INDEX('DEQ Pollutant List'!$B$7:$B$611,MATCH('3. Pollutant Emissions - EF'!C132,'DEQ Pollutant List'!$A$7:$A$611,0))),"")</f>
        <v>Ethyl benzene</v>
      </c>
      <c r="E132" s="100">
        <v>0</v>
      </c>
      <c r="F132" s="36">
        <v>0</v>
      </c>
      <c r="G132" s="100" t="s">
        <v>1415</v>
      </c>
      <c r="H132" s="36" t="s">
        <v>1415</v>
      </c>
      <c r="I132" s="34">
        <v>9.4999999999999998E-3</v>
      </c>
      <c r="J132" s="11">
        <f t="shared" si="1"/>
        <v>9.4999999999999998E-3</v>
      </c>
      <c r="K132" s="6" t="s">
        <v>1416</v>
      </c>
      <c r="L132" s="20" t="s">
        <v>1422</v>
      </c>
      <c r="M132" s="7">
        <f>IF(ISBLANK($B132),_xlfn.XLOOKUP($A132,'2. TEUs &amp; Activities - EF'!$A$9:$A$190,'2. TEUs &amp; Activities - EF'!$J$9:$J$190),_xlfn.XLOOKUP($B132,'2. TEUs &amp; Activities - EF'!$B$9:$B$190,'2. TEUs &amp; Activities - EF'!$J$9:$J$190))*'3. Pollutant Emissions - EF'!$I132*IF(OR(ISBLANK($E132),$G132="Yes"),1,$E132)*IF($H132="Yes",1,(1-$F132))</f>
        <v>0.34267058823529412</v>
      </c>
      <c r="N132" s="5">
        <f>IF(ISBLANK($B132),_xlfn.XLOOKUP($A132,'2. TEUs &amp; Activities - EF'!$A$9:$A$190,'2. TEUs &amp; Activities - EF'!$M$9:$M$190),_xlfn.XLOOKUP($B132,'2. TEUs &amp; Activities - EF'!$B$9:$B$190,'2. TEUs &amp; Activities - EF'!$M$9:$M$190))*'3. Pollutant Emissions - EF'!$J132*IF(OR(ISBLANK($E132),$G132="Yes"),1,$E132)*IF($H132="Yes",1,(1-$F132))</f>
        <v>9.3882352941176473E-4</v>
      </c>
      <c r="O132" s="130"/>
    </row>
    <row r="133" spans="1:15" ht="15" x14ac:dyDescent="0.25">
      <c r="A133" s="5" t="s">
        <v>1313</v>
      </c>
      <c r="B133" s="7"/>
      <c r="C133" s="13" t="s">
        <v>47</v>
      </c>
      <c r="D133" s="19" t="str">
        <f>IFERROR(IF(C133="No CAS","",INDEX('DEQ Pollutant List'!$B$7:$B$611,MATCH('3. Pollutant Emissions - EF'!C133,'DEQ Pollutant List'!$A$7:$A$611,0))),"")</f>
        <v>Formaldehyde</v>
      </c>
      <c r="E133" s="100">
        <v>0</v>
      </c>
      <c r="F133" s="36">
        <v>0</v>
      </c>
      <c r="G133" s="100" t="s">
        <v>1415</v>
      </c>
      <c r="H133" s="36" t="s">
        <v>1415</v>
      </c>
      <c r="I133" s="34">
        <v>1.7000000000000001E-2</v>
      </c>
      <c r="J133" s="11">
        <f t="shared" si="1"/>
        <v>1.7000000000000001E-2</v>
      </c>
      <c r="K133" s="6" t="s">
        <v>1416</v>
      </c>
      <c r="L133" s="20" t="s">
        <v>1422</v>
      </c>
      <c r="M133" s="7">
        <f>IF(ISBLANK($B133),_xlfn.XLOOKUP($A133,'2. TEUs &amp; Activities - EF'!$A$9:$A$190,'2. TEUs &amp; Activities - EF'!$J$9:$J$190),_xlfn.XLOOKUP($B133,'2. TEUs &amp; Activities - EF'!$B$9:$B$190,'2. TEUs &amp; Activities - EF'!$J$9:$J$190))*'3. Pollutant Emissions - EF'!$I133*IF(OR(ISBLANK($E133),$G133="Yes"),1,$E133)*IF($H133="Yes",1,(1-$F133))</f>
        <v>0.61320000000000008</v>
      </c>
      <c r="N133" s="5">
        <f>IF(ISBLANK($B133),_xlfn.XLOOKUP($A133,'2. TEUs &amp; Activities - EF'!$A$9:$A$190,'2. TEUs &amp; Activities - EF'!$M$9:$M$190),_xlfn.XLOOKUP($B133,'2. TEUs &amp; Activities - EF'!$B$9:$B$190,'2. TEUs &amp; Activities - EF'!$M$9:$M$190))*'3. Pollutant Emissions - EF'!$J133*IF(OR(ISBLANK($E133),$G133="Yes"),1,$E133)*IF($H133="Yes",1,(1-$F133))</f>
        <v>1.6800000000000003E-3</v>
      </c>
      <c r="O133" s="130"/>
    </row>
    <row r="134" spans="1:15" ht="15" x14ac:dyDescent="0.25">
      <c r="A134" s="5" t="s">
        <v>1313</v>
      </c>
      <c r="B134" s="7"/>
      <c r="C134" s="13" t="s">
        <v>61</v>
      </c>
      <c r="D134" s="19" t="str">
        <f>IFERROR(IF(C134="No CAS","",INDEX('DEQ Pollutant List'!$B$7:$B$611,MATCH('3. Pollutant Emissions - EF'!C134,'DEQ Pollutant List'!$A$7:$A$611,0))),"")</f>
        <v>Hexane</v>
      </c>
      <c r="E134" s="100">
        <v>0</v>
      </c>
      <c r="F134" s="36">
        <v>0</v>
      </c>
      <c r="G134" s="100" t="s">
        <v>1415</v>
      </c>
      <c r="H134" s="36" t="s">
        <v>1415</v>
      </c>
      <c r="I134" s="34">
        <v>6.3E-3</v>
      </c>
      <c r="J134" s="11">
        <f t="shared" si="1"/>
        <v>6.3E-3</v>
      </c>
      <c r="K134" s="6" t="s">
        <v>1416</v>
      </c>
      <c r="L134" s="20" t="s">
        <v>1422</v>
      </c>
      <c r="M134" s="7">
        <f>IF(ISBLANK($B134),_xlfn.XLOOKUP($A134,'2. TEUs &amp; Activities - EF'!$A$9:$A$190,'2. TEUs &amp; Activities - EF'!$J$9:$J$190),_xlfn.XLOOKUP($B134,'2. TEUs &amp; Activities - EF'!$B$9:$B$190,'2. TEUs &amp; Activities - EF'!$J$9:$J$190))*'3. Pollutant Emissions - EF'!$I134*IF(OR(ISBLANK($E134),$G134="Yes"),1,$E134)*IF($H134="Yes",1,(1-$F134))</f>
        <v>0.22724470588235293</v>
      </c>
      <c r="N134" s="5">
        <f>IF(ISBLANK($B134),_xlfn.XLOOKUP($A134,'2. TEUs &amp; Activities - EF'!$A$9:$A$190,'2. TEUs &amp; Activities - EF'!$M$9:$M$190),_xlfn.XLOOKUP($B134,'2. TEUs &amp; Activities - EF'!$B$9:$B$190,'2. TEUs &amp; Activities - EF'!$M$9:$M$190))*'3. Pollutant Emissions - EF'!$J134*IF(OR(ISBLANK($E134),$G134="Yes"),1,$E134)*IF($H134="Yes",1,(1-$F134))</f>
        <v>6.2258823529411772E-4</v>
      </c>
      <c r="O134" s="130"/>
    </row>
    <row r="135" spans="1:15" ht="15" x14ac:dyDescent="0.25">
      <c r="A135" s="5" t="s">
        <v>1313</v>
      </c>
      <c r="B135" s="7"/>
      <c r="C135" s="13" t="s">
        <v>62</v>
      </c>
      <c r="D135" s="19" t="str">
        <f>IFERROR(IF(C135="No CAS","",INDEX('DEQ Pollutant List'!$B$7:$B$611,MATCH('3. Pollutant Emissions - EF'!C135,'DEQ Pollutant List'!$A$7:$A$611,0))),"")</f>
        <v>Lead and compounds</v>
      </c>
      <c r="E135" s="100">
        <v>0</v>
      </c>
      <c r="F135" s="36">
        <v>0</v>
      </c>
      <c r="G135" s="100" t="s">
        <v>1415</v>
      </c>
      <c r="H135" s="36" t="s">
        <v>1415</v>
      </c>
      <c r="I135" s="34">
        <v>5.0000000000000001E-4</v>
      </c>
      <c r="J135" s="11">
        <f t="shared" si="1"/>
        <v>5.0000000000000001E-4</v>
      </c>
      <c r="K135" s="6" t="s">
        <v>1416</v>
      </c>
      <c r="L135" s="20" t="s">
        <v>1422</v>
      </c>
      <c r="M135" s="7">
        <f>IF(ISBLANK($B135),_xlfn.XLOOKUP($A135,'2. TEUs &amp; Activities - EF'!$A$9:$A$190,'2. TEUs &amp; Activities - EF'!$J$9:$J$190),_xlfn.XLOOKUP($B135,'2. TEUs &amp; Activities - EF'!$B$9:$B$190,'2. TEUs &amp; Activities - EF'!$J$9:$J$190))*'3. Pollutant Emissions - EF'!$I135*IF(OR(ISBLANK($E135),$G135="Yes"),1,$E135)*IF($H135="Yes",1,(1-$F135))</f>
        <v>1.8035294117647059E-2</v>
      </c>
      <c r="N135" s="5">
        <f>IF(ISBLANK($B135),_xlfn.XLOOKUP($A135,'2. TEUs &amp; Activities - EF'!$A$9:$A$190,'2. TEUs &amp; Activities - EF'!$M$9:$M$190),_xlfn.XLOOKUP($B135,'2. TEUs &amp; Activities - EF'!$B$9:$B$190,'2. TEUs &amp; Activities - EF'!$M$9:$M$190))*'3. Pollutant Emissions - EF'!$J135*IF(OR(ISBLANK($E135),$G135="Yes"),1,$E135)*IF($H135="Yes",1,(1-$F135))</f>
        <v>4.9411764705882355E-5</v>
      </c>
      <c r="O135" s="130"/>
    </row>
    <row r="136" spans="1:15" ht="15" x14ac:dyDescent="0.25">
      <c r="A136" s="5" t="s">
        <v>1313</v>
      </c>
      <c r="B136" s="7"/>
      <c r="C136" s="13" t="s">
        <v>63</v>
      </c>
      <c r="D136" s="19" t="str">
        <f>IFERROR(IF(C136="No CAS","",INDEX('DEQ Pollutant List'!$B$7:$B$611,MATCH('3. Pollutant Emissions - EF'!C136,'DEQ Pollutant List'!$A$7:$A$611,0))),"")</f>
        <v>Manganese and compounds</v>
      </c>
      <c r="E136" s="100">
        <v>0</v>
      </c>
      <c r="F136" s="36">
        <v>0</v>
      </c>
      <c r="G136" s="100" t="s">
        <v>1415</v>
      </c>
      <c r="H136" s="36" t="s">
        <v>1415</v>
      </c>
      <c r="I136" s="34">
        <v>3.8000000000000002E-4</v>
      </c>
      <c r="J136" s="11">
        <f t="shared" si="1"/>
        <v>3.8000000000000002E-4</v>
      </c>
      <c r="K136" s="6" t="s">
        <v>1416</v>
      </c>
      <c r="L136" s="20" t="s">
        <v>1422</v>
      </c>
      <c r="M136" s="7">
        <f>IF(ISBLANK($B136),_xlfn.XLOOKUP($A136,'2. TEUs &amp; Activities - EF'!$A$9:$A$190,'2. TEUs &amp; Activities - EF'!$J$9:$J$190),_xlfn.XLOOKUP($B136,'2. TEUs &amp; Activities - EF'!$B$9:$B$190,'2. TEUs &amp; Activities - EF'!$J$9:$J$190))*'3. Pollutant Emissions - EF'!$I136*IF(OR(ISBLANK($E136),$G136="Yes"),1,$E136)*IF($H136="Yes",1,(1-$F136))</f>
        <v>1.3706823529411766E-2</v>
      </c>
      <c r="N136" s="5">
        <f>IF(ISBLANK($B136),_xlfn.XLOOKUP($A136,'2. TEUs &amp; Activities - EF'!$A$9:$A$190,'2. TEUs &amp; Activities - EF'!$M$9:$M$190),_xlfn.XLOOKUP($B136,'2. TEUs &amp; Activities - EF'!$B$9:$B$190,'2. TEUs &amp; Activities - EF'!$M$9:$M$190))*'3. Pollutant Emissions - EF'!$J136*IF(OR(ISBLANK($E136),$G136="Yes"),1,$E136)*IF($H136="Yes",1,(1-$F136))</f>
        <v>3.755294117647059E-5</v>
      </c>
      <c r="O136" s="130"/>
    </row>
    <row r="137" spans="1:15" ht="15" x14ac:dyDescent="0.25">
      <c r="A137" s="5" t="s">
        <v>1313</v>
      </c>
      <c r="B137" s="7"/>
      <c r="C137" s="13" t="s">
        <v>64</v>
      </c>
      <c r="D137" s="19" t="str">
        <f>IFERROR(IF(C137="No CAS","",INDEX('DEQ Pollutant List'!$B$7:$B$611,MATCH('3. Pollutant Emissions - EF'!C137,'DEQ Pollutant List'!$A$7:$A$611,0))),"")</f>
        <v>Mercury and compounds</v>
      </c>
      <c r="E137" s="100">
        <v>0</v>
      </c>
      <c r="F137" s="36">
        <v>0</v>
      </c>
      <c r="G137" s="100" t="s">
        <v>1415</v>
      </c>
      <c r="H137" s="36" t="s">
        <v>1415</v>
      </c>
      <c r="I137" s="34">
        <v>2.5999999999999998E-4</v>
      </c>
      <c r="J137" s="11">
        <f t="shared" si="1"/>
        <v>2.5999999999999998E-4</v>
      </c>
      <c r="K137" s="6" t="s">
        <v>1416</v>
      </c>
      <c r="L137" s="20" t="s">
        <v>1422</v>
      </c>
      <c r="M137" s="7">
        <f>IF(ISBLANK($B137),_xlfn.XLOOKUP($A137,'2. TEUs &amp; Activities - EF'!$A$9:$A$190,'2. TEUs &amp; Activities - EF'!$J$9:$J$190),_xlfn.XLOOKUP($B137,'2. TEUs &amp; Activities - EF'!$B$9:$B$190,'2. TEUs &amp; Activities - EF'!$J$9:$J$190))*'3. Pollutant Emissions - EF'!$I137*IF(OR(ISBLANK($E137),$G137="Yes"),1,$E137)*IF($H137="Yes",1,(1-$F137))</f>
        <v>9.3783529411764696E-3</v>
      </c>
      <c r="N137" s="5">
        <f>IF(ISBLANK($B137),_xlfn.XLOOKUP($A137,'2. TEUs &amp; Activities - EF'!$A$9:$A$190,'2. TEUs &amp; Activities - EF'!$M$9:$M$190),_xlfn.XLOOKUP($B137,'2. TEUs &amp; Activities - EF'!$B$9:$B$190,'2. TEUs &amp; Activities - EF'!$M$9:$M$190))*'3. Pollutant Emissions - EF'!$J137*IF(OR(ISBLANK($E137),$G137="Yes"),1,$E137)*IF($H137="Yes",1,(1-$F137))</f>
        <v>2.5694117647058824E-5</v>
      </c>
      <c r="O137" s="130"/>
    </row>
    <row r="138" spans="1:15" ht="15" x14ac:dyDescent="0.25">
      <c r="A138" s="5" t="s">
        <v>1313</v>
      </c>
      <c r="B138" s="7"/>
      <c r="C138" s="13" t="s">
        <v>65</v>
      </c>
      <c r="D138" s="19" t="str">
        <f>IFERROR(IF(C138="No CAS","",INDEX('DEQ Pollutant List'!$B$7:$B$611,MATCH('3. Pollutant Emissions - EF'!C138,'DEQ Pollutant List'!$A$7:$A$611,0))),"")</f>
        <v>Molybdenum trioxide</v>
      </c>
      <c r="E138" s="100">
        <v>0</v>
      </c>
      <c r="F138" s="36">
        <v>0</v>
      </c>
      <c r="G138" s="100" t="s">
        <v>1415</v>
      </c>
      <c r="H138" s="36" t="s">
        <v>1415</v>
      </c>
      <c r="I138" s="34">
        <v>1.65E-3</v>
      </c>
      <c r="J138" s="11">
        <f t="shared" ref="J138:J200" si="2">I138</f>
        <v>1.65E-3</v>
      </c>
      <c r="K138" s="6" t="s">
        <v>1416</v>
      </c>
      <c r="L138" s="20" t="s">
        <v>1422</v>
      </c>
      <c r="M138" s="7">
        <f>IF(ISBLANK($B138),_xlfn.XLOOKUP($A138,'2. TEUs &amp; Activities - EF'!$A$9:$A$190,'2. TEUs &amp; Activities - EF'!$J$9:$J$190),_xlfn.XLOOKUP($B138,'2. TEUs &amp; Activities - EF'!$B$9:$B$190,'2. TEUs &amp; Activities - EF'!$J$9:$J$190))*'3. Pollutant Emissions - EF'!$I138*IF(OR(ISBLANK($E138),$G138="Yes"),1,$E138)*IF($H138="Yes",1,(1-$F138))</f>
        <v>5.9516470588235296E-2</v>
      </c>
      <c r="N138" s="5">
        <f>IF(ISBLANK($B138),_xlfn.XLOOKUP($A138,'2. TEUs &amp; Activities - EF'!$A$9:$A$190,'2. TEUs &amp; Activities - EF'!$M$9:$M$190),_xlfn.XLOOKUP($B138,'2. TEUs &amp; Activities - EF'!$B$9:$B$190,'2. TEUs &amp; Activities - EF'!$M$9:$M$190))*'3. Pollutant Emissions - EF'!$J138*IF(OR(ISBLANK($E138),$G138="Yes"),1,$E138)*IF($H138="Yes",1,(1-$F138))</f>
        <v>1.6305882352941179E-4</v>
      </c>
      <c r="O138" s="130"/>
    </row>
    <row r="139" spans="1:15" ht="15" x14ac:dyDescent="0.25">
      <c r="A139" s="5" t="s">
        <v>1313</v>
      </c>
      <c r="B139" s="7"/>
      <c r="C139" s="13" t="s">
        <v>49</v>
      </c>
      <c r="D139" s="19" t="str">
        <f>IFERROR(IF(C139="No CAS","",INDEX('DEQ Pollutant List'!$B$7:$B$611,MATCH('3. Pollutant Emissions - EF'!C139,'DEQ Pollutant List'!$A$7:$A$611,0))),"")</f>
        <v>Naphthalene</v>
      </c>
      <c r="E139" s="100">
        <v>0</v>
      </c>
      <c r="F139" s="36">
        <v>0</v>
      </c>
      <c r="G139" s="100" t="s">
        <v>1415</v>
      </c>
      <c r="H139" s="36" t="s">
        <v>1415</v>
      </c>
      <c r="I139" s="34">
        <v>2.9999999999999997E-4</v>
      </c>
      <c r="J139" s="11">
        <f t="shared" si="2"/>
        <v>2.9999999999999997E-4</v>
      </c>
      <c r="K139" s="6" t="s">
        <v>1416</v>
      </c>
      <c r="L139" s="20" t="s">
        <v>1422</v>
      </c>
      <c r="M139" s="7">
        <f>IF(ISBLANK($B139),_xlfn.XLOOKUP($A139,'2. TEUs &amp; Activities - EF'!$A$9:$A$190,'2. TEUs &amp; Activities - EF'!$J$9:$J$190),_xlfn.XLOOKUP($B139,'2. TEUs &amp; Activities - EF'!$B$9:$B$190,'2. TEUs &amp; Activities - EF'!$J$9:$J$190))*'3. Pollutant Emissions - EF'!$I139*IF(OR(ISBLANK($E139),$G139="Yes"),1,$E139)*IF($H139="Yes",1,(1-$F139))</f>
        <v>1.0821176470588235E-2</v>
      </c>
      <c r="N139" s="5">
        <f>IF(ISBLANK($B139),_xlfn.XLOOKUP($A139,'2. TEUs &amp; Activities - EF'!$A$9:$A$190,'2. TEUs &amp; Activities - EF'!$M$9:$M$190),_xlfn.XLOOKUP($B139,'2. TEUs &amp; Activities - EF'!$B$9:$B$190,'2. TEUs &amp; Activities - EF'!$M$9:$M$190))*'3. Pollutant Emissions - EF'!$J139*IF(OR(ISBLANK($E139),$G139="Yes"),1,$E139)*IF($H139="Yes",1,(1-$F139))</f>
        <v>2.9647058823529411E-5</v>
      </c>
      <c r="O139" s="130"/>
    </row>
    <row r="140" spans="1:15" ht="15" x14ac:dyDescent="0.25">
      <c r="A140" s="5" t="s">
        <v>1313</v>
      </c>
      <c r="B140" s="7"/>
      <c r="C140" s="13" t="s">
        <v>66</v>
      </c>
      <c r="D140" s="19" t="str">
        <f>IFERROR(IF(C140="No CAS","",INDEX('DEQ Pollutant List'!$B$7:$B$611,MATCH('3. Pollutant Emissions - EF'!C140,'DEQ Pollutant List'!$A$7:$A$611,0))),"")</f>
        <v>Nickel and compounds</v>
      </c>
      <c r="E140" s="100">
        <v>0</v>
      </c>
      <c r="F140" s="36">
        <v>0</v>
      </c>
      <c r="G140" s="100" t="s">
        <v>1415</v>
      </c>
      <c r="H140" s="36" t="s">
        <v>1415</v>
      </c>
      <c r="I140" s="34">
        <v>2.0999999999999999E-3</v>
      </c>
      <c r="J140" s="11">
        <f t="shared" si="2"/>
        <v>2.0999999999999999E-3</v>
      </c>
      <c r="K140" s="6" t="s">
        <v>1416</v>
      </c>
      <c r="L140" s="20" t="s">
        <v>1422</v>
      </c>
      <c r="M140" s="7">
        <f>IF(ISBLANK($B140),_xlfn.XLOOKUP($A140,'2. TEUs &amp; Activities - EF'!$A$9:$A$190,'2. TEUs &amp; Activities - EF'!$J$9:$J$190),_xlfn.XLOOKUP($B140,'2. TEUs &amp; Activities - EF'!$B$9:$B$190,'2. TEUs &amp; Activities - EF'!$J$9:$J$190))*'3. Pollutant Emissions - EF'!$I140*IF(OR(ISBLANK($E140),$G140="Yes"),1,$E140)*IF($H140="Yes",1,(1-$F140))</f>
        <v>7.5748235294117644E-2</v>
      </c>
      <c r="N140" s="5">
        <f>IF(ISBLANK($B140),_xlfn.XLOOKUP($A140,'2. TEUs &amp; Activities - EF'!$A$9:$A$190,'2. TEUs &amp; Activities - EF'!$M$9:$M$190),_xlfn.XLOOKUP($B140,'2. TEUs &amp; Activities - EF'!$B$9:$B$190,'2. TEUs &amp; Activities - EF'!$M$9:$M$190))*'3. Pollutant Emissions - EF'!$J140*IF(OR(ISBLANK($E140),$G140="Yes"),1,$E140)*IF($H140="Yes",1,(1-$F140))</f>
        <v>2.0752941176470588E-4</v>
      </c>
      <c r="O140" s="130"/>
    </row>
    <row r="141" spans="1:15" ht="15" x14ac:dyDescent="0.25">
      <c r="A141" s="5" t="s">
        <v>1313</v>
      </c>
      <c r="B141" s="7"/>
      <c r="C141" s="13">
        <v>401</v>
      </c>
      <c r="D141" s="19" t="str">
        <f>IFERROR(IF(C141="No CAS","",INDEX('DEQ Pollutant List'!$B$7:$B$611,MATCH('3. Pollutant Emissions - EF'!C141,'DEQ Pollutant List'!$A$7:$A$611,0))),"")</f>
        <v>Polycyclic aromatic hydrocarbons (PAHs)</v>
      </c>
      <c r="E141" s="100">
        <v>0</v>
      </c>
      <c r="F141" s="36">
        <v>0</v>
      </c>
      <c r="G141" s="100" t="s">
        <v>1415</v>
      </c>
      <c r="H141" s="36" t="s">
        <v>1415</v>
      </c>
      <c r="I141" s="34">
        <v>1E-4</v>
      </c>
      <c r="J141" s="11">
        <f t="shared" si="2"/>
        <v>1E-4</v>
      </c>
      <c r="K141" s="6" t="s">
        <v>1416</v>
      </c>
      <c r="L141" s="20" t="s">
        <v>1422</v>
      </c>
      <c r="M141" s="7">
        <f>IF(ISBLANK($B141),_xlfn.XLOOKUP($A141,'2. TEUs &amp; Activities - EF'!$A$9:$A$190,'2. TEUs &amp; Activities - EF'!$J$9:$J$190),_xlfn.XLOOKUP($B141,'2. TEUs &amp; Activities - EF'!$B$9:$B$190,'2. TEUs &amp; Activities - EF'!$J$9:$J$190))*'3. Pollutant Emissions - EF'!$I141*IF(OR(ISBLANK($E141),$G141="Yes"),1,$E141)*IF($H141="Yes",1,(1-$F141))</f>
        <v>3.607058823529412E-3</v>
      </c>
      <c r="N141" s="5">
        <f>IF(ISBLANK($B141),_xlfn.XLOOKUP($A141,'2. TEUs &amp; Activities - EF'!$A$9:$A$190,'2. TEUs &amp; Activities - EF'!$M$9:$M$190),_xlfn.XLOOKUP($B141,'2. TEUs &amp; Activities - EF'!$B$9:$B$190,'2. TEUs &amp; Activities - EF'!$M$9:$M$190))*'3. Pollutant Emissions - EF'!$J141*IF(OR(ISBLANK($E141),$G141="Yes"),1,$E141)*IF($H141="Yes",1,(1-$F141))</f>
        <v>9.8823529411764724E-6</v>
      </c>
      <c r="O141" s="130"/>
    </row>
    <row r="142" spans="1:15" ht="15" x14ac:dyDescent="0.25">
      <c r="A142" s="5" t="s">
        <v>1313</v>
      </c>
      <c r="B142" s="7"/>
      <c r="C142" s="13" t="s">
        <v>67</v>
      </c>
      <c r="D142" s="19" t="str">
        <f>IFERROR(IF(C142="No CAS","",INDEX('DEQ Pollutant List'!$B$7:$B$611,MATCH('3. Pollutant Emissions - EF'!C142,'DEQ Pollutant List'!$A$7:$A$611,0))),"")</f>
        <v>Selenium and compounds</v>
      </c>
      <c r="E142" s="100">
        <v>0</v>
      </c>
      <c r="F142" s="36">
        <v>0</v>
      </c>
      <c r="G142" s="100" t="s">
        <v>1415</v>
      </c>
      <c r="H142" s="36" t="s">
        <v>1415</v>
      </c>
      <c r="I142" s="34">
        <v>2.4000000000000001E-5</v>
      </c>
      <c r="J142" s="11">
        <f t="shared" si="2"/>
        <v>2.4000000000000001E-5</v>
      </c>
      <c r="K142" s="6" t="s">
        <v>1416</v>
      </c>
      <c r="L142" s="20" t="s">
        <v>1422</v>
      </c>
      <c r="M142" s="7">
        <f>IF(ISBLANK($B142),_xlfn.XLOOKUP($A142,'2. TEUs &amp; Activities - EF'!$A$9:$A$190,'2. TEUs &amp; Activities - EF'!$J$9:$J$190),_xlfn.XLOOKUP($B142,'2. TEUs &amp; Activities - EF'!$B$9:$B$190,'2. TEUs &amp; Activities - EF'!$J$9:$J$190))*'3. Pollutant Emissions - EF'!$I142*IF(OR(ISBLANK($E142),$G142="Yes"),1,$E142)*IF($H142="Yes",1,(1-$F142))</f>
        <v>8.6569411764705884E-4</v>
      </c>
      <c r="N142" s="5">
        <f>IF(ISBLANK($B142),_xlfn.XLOOKUP($A142,'2. TEUs &amp; Activities - EF'!$A$9:$A$190,'2. TEUs &amp; Activities - EF'!$M$9:$M$190),_xlfn.XLOOKUP($B142,'2. TEUs &amp; Activities - EF'!$B$9:$B$190,'2. TEUs &amp; Activities - EF'!$M$9:$M$190))*'3. Pollutant Emissions - EF'!$J142*IF(OR(ISBLANK($E142),$G142="Yes"),1,$E142)*IF($H142="Yes",1,(1-$F142))</f>
        <v>2.371764705882353E-6</v>
      </c>
      <c r="O142" s="130"/>
    </row>
    <row r="143" spans="1:15" ht="15" x14ac:dyDescent="0.25">
      <c r="A143" s="5" t="s">
        <v>1313</v>
      </c>
      <c r="B143" s="7"/>
      <c r="C143" s="13" t="s">
        <v>68</v>
      </c>
      <c r="D143" s="19" t="str">
        <f>IFERROR(IF(C143="No CAS","",INDEX('DEQ Pollutant List'!$B$7:$B$611,MATCH('3. Pollutant Emissions - EF'!C143,'DEQ Pollutant List'!$A$7:$A$611,0))),"")</f>
        <v>Toluene</v>
      </c>
      <c r="E143" s="100">
        <v>0</v>
      </c>
      <c r="F143" s="36">
        <v>0</v>
      </c>
      <c r="G143" s="100" t="s">
        <v>1415</v>
      </c>
      <c r="H143" s="36" t="s">
        <v>1415</v>
      </c>
      <c r="I143" s="34">
        <v>3.6600000000000001E-2</v>
      </c>
      <c r="J143" s="11">
        <f t="shared" si="2"/>
        <v>3.6600000000000001E-2</v>
      </c>
      <c r="K143" s="6" t="s">
        <v>1416</v>
      </c>
      <c r="L143" s="20" t="s">
        <v>1422</v>
      </c>
      <c r="M143" s="7">
        <f>IF(ISBLANK($B143),_xlfn.XLOOKUP($A143,'2. TEUs &amp; Activities - EF'!$A$9:$A$190,'2. TEUs &amp; Activities - EF'!$J$9:$J$190),_xlfn.XLOOKUP($B143,'2. TEUs &amp; Activities - EF'!$B$9:$B$190,'2. TEUs &amp; Activities - EF'!$J$9:$J$190))*'3. Pollutant Emissions - EF'!$I143*IF(OR(ISBLANK($E143),$G143="Yes"),1,$E143)*IF($H143="Yes",1,(1-$F143))</f>
        <v>1.3201835294117648</v>
      </c>
      <c r="N143" s="5">
        <f>IF(ISBLANK($B143),_xlfn.XLOOKUP($A143,'2. TEUs &amp; Activities - EF'!$A$9:$A$190,'2. TEUs &amp; Activities - EF'!$M$9:$M$190),_xlfn.XLOOKUP($B143,'2. TEUs &amp; Activities - EF'!$B$9:$B$190,'2. TEUs &amp; Activities - EF'!$M$9:$M$190))*'3. Pollutant Emissions - EF'!$J143*IF(OR(ISBLANK($E143),$G143="Yes"),1,$E143)*IF($H143="Yes",1,(1-$F143))</f>
        <v>3.6169411764705884E-3</v>
      </c>
      <c r="O143" s="130"/>
    </row>
    <row r="144" spans="1:15" ht="15" x14ac:dyDescent="0.25">
      <c r="A144" s="5" t="s">
        <v>1313</v>
      </c>
      <c r="B144" s="7"/>
      <c r="C144" s="13" t="s">
        <v>69</v>
      </c>
      <c r="D144" s="19" t="str">
        <f>IFERROR(IF(C144="No CAS","",INDEX('DEQ Pollutant List'!$B$7:$B$611,MATCH('3. Pollutant Emissions - EF'!C144,'DEQ Pollutant List'!$A$7:$A$611,0))),"")</f>
        <v>Vanadium (fume or dust)</v>
      </c>
      <c r="E144" s="100">
        <v>0</v>
      </c>
      <c r="F144" s="36">
        <v>0</v>
      </c>
      <c r="G144" s="100" t="s">
        <v>1415</v>
      </c>
      <c r="H144" s="36" t="s">
        <v>1415</v>
      </c>
      <c r="I144" s="34">
        <v>2.3E-3</v>
      </c>
      <c r="J144" s="11">
        <f t="shared" si="2"/>
        <v>2.3E-3</v>
      </c>
      <c r="K144" s="6" t="s">
        <v>1416</v>
      </c>
      <c r="L144" s="20" t="s">
        <v>1422</v>
      </c>
      <c r="M144" s="7">
        <f>IF(ISBLANK($B144),_xlfn.XLOOKUP($A144,'2. TEUs &amp; Activities - EF'!$A$9:$A$190,'2. TEUs &amp; Activities - EF'!$J$9:$J$190),_xlfn.XLOOKUP($B144,'2. TEUs &amp; Activities - EF'!$B$9:$B$190,'2. TEUs &amp; Activities - EF'!$J$9:$J$190))*'3. Pollutant Emissions - EF'!$I144*IF(OR(ISBLANK($E144),$G144="Yes"),1,$E144)*IF($H144="Yes",1,(1-$F144))</f>
        <v>8.2962352941176473E-2</v>
      </c>
      <c r="N144" s="5">
        <f>IF(ISBLANK($B144),_xlfn.XLOOKUP($A144,'2. TEUs &amp; Activities - EF'!$A$9:$A$190,'2. TEUs &amp; Activities - EF'!$M$9:$M$190),_xlfn.XLOOKUP($B144,'2. TEUs &amp; Activities - EF'!$B$9:$B$190,'2. TEUs &amp; Activities - EF'!$M$9:$M$190))*'3. Pollutant Emissions - EF'!$J144*IF(OR(ISBLANK($E144),$G144="Yes"),1,$E144)*IF($H144="Yes",1,(1-$F144))</f>
        <v>2.2729411764705883E-4</v>
      </c>
      <c r="O144" s="130"/>
    </row>
    <row r="145" spans="1:15" ht="15" x14ac:dyDescent="0.25">
      <c r="A145" s="5" t="s">
        <v>1313</v>
      </c>
      <c r="B145" s="7"/>
      <c r="C145" s="13" t="s">
        <v>70</v>
      </c>
      <c r="D145" s="19" t="str">
        <f>IFERROR(IF(C145="No CAS","",INDEX('DEQ Pollutant List'!$B$7:$B$611,MATCH('3. Pollutant Emissions - EF'!C145,'DEQ Pollutant List'!$A$7:$A$611,0))),"")</f>
        <v>Xylene (mixture), including m-xylene, o-xylene, p-xylene</v>
      </c>
      <c r="E145" s="100">
        <v>0</v>
      </c>
      <c r="F145" s="36">
        <v>0</v>
      </c>
      <c r="G145" s="100" t="s">
        <v>1415</v>
      </c>
      <c r="H145" s="36" t="s">
        <v>1415</v>
      </c>
      <c r="I145" s="34">
        <v>2.7199999999999998E-2</v>
      </c>
      <c r="J145" s="11">
        <f t="shared" si="2"/>
        <v>2.7199999999999998E-2</v>
      </c>
      <c r="K145" s="6" t="s">
        <v>1416</v>
      </c>
      <c r="L145" s="20" t="s">
        <v>1422</v>
      </c>
      <c r="M145" s="7">
        <f>IF(ISBLANK($B145),_xlfn.XLOOKUP($A145,'2. TEUs &amp; Activities - EF'!$A$9:$A$190,'2. TEUs &amp; Activities - EF'!$J$9:$J$190),_xlfn.XLOOKUP($B145,'2. TEUs &amp; Activities - EF'!$B$9:$B$190,'2. TEUs &amp; Activities - EF'!$J$9:$J$190))*'3. Pollutant Emissions - EF'!$I145*IF(OR(ISBLANK($E145),$G145="Yes"),1,$E145)*IF($H145="Yes",1,(1-$F145))</f>
        <v>0.98111999999999999</v>
      </c>
      <c r="N145" s="5">
        <f>IF(ISBLANK($B145),_xlfn.XLOOKUP($A145,'2. TEUs &amp; Activities - EF'!$A$9:$A$190,'2. TEUs &amp; Activities - EF'!$M$9:$M$190),_xlfn.XLOOKUP($B145,'2. TEUs &amp; Activities - EF'!$B$9:$B$190,'2. TEUs &amp; Activities - EF'!$M$9:$M$190))*'3. Pollutant Emissions - EF'!$J145*IF(OR(ISBLANK($E145),$G145="Yes"),1,$E145)*IF($H145="Yes",1,(1-$F145))</f>
        <v>2.6879999999999999E-3</v>
      </c>
      <c r="O145" s="130"/>
    </row>
    <row r="146" spans="1:15" ht="15" x14ac:dyDescent="0.25">
      <c r="A146" s="5" t="s">
        <v>1313</v>
      </c>
      <c r="B146" s="7"/>
      <c r="C146" s="13" t="s">
        <v>71</v>
      </c>
      <c r="D146" s="19" t="str">
        <f>IFERROR(IF(C146="No CAS","",INDEX('DEQ Pollutant List'!$B$7:$B$611,MATCH('3. Pollutant Emissions - EF'!C146,'DEQ Pollutant List'!$A$7:$A$611,0))),"")</f>
        <v>Zinc and compounds</v>
      </c>
      <c r="E146" s="100">
        <v>0</v>
      </c>
      <c r="F146" s="36">
        <v>0</v>
      </c>
      <c r="G146" s="100" t="s">
        <v>1415</v>
      </c>
      <c r="H146" s="36" t="s">
        <v>1415</v>
      </c>
      <c r="I146" s="34">
        <v>2.9000000000000001E-2</v>
      </c>
      <c r="J146" s="11">
        <f t="shared" si="2"/>
        <v>2.9000000000000001E-2</v>
      </c>
      <c r="K146" s="6" t="s">
        <v>1416</v>
      </c>
      <c r="L146" s="20" t="s">
        <v>1422</v>
      </c>
      <c r="M146" s="7">
        <f>IF(ISBLANK($B146),_xlfn.XLOOKUP($A146,'2. TEUs &amp; Activities - EF'!$A$9:$A$190,'2. TEUs &amp; Activities - EF'!$J$9:$J$190),_xlfn.XLOOKUP($B146,'2. TEUs &amp; Activities - EF'!$B$9:$B$190,'2. TEUs &amp; Activities - EF'!$J$9:$J$190))*'3. Pollutant Emissions - EF'!$I146*IF(OR(ISBLANK($E146),$G146="Yes"),1,$E146)*IF($H146="Yes",1,(1-$F146))</f>
        <v>1.0460470588235296</v>
      </c>
      <c r="N146" s="5">
        <f>IF(ISBLANK($B146),_xlfn.XLOOKUP($A146,'2. TEUs &amp; Activities - EF'!$A$9:$A$190,'2. TEUs &amp; Activities - EF'!$M$9:$M$190),_xlfn.XLOOKUP($B146,'2. TEUs &amp; Activities - EF'!$B$9:$B$190,'2. TEUs &amp; Activities - EF'!$M$9:$M$190))*'3. Pollutant Emissions - EF'!$J146*IF(OR(ISBLANK($E146),$G146="Yes"),1,$E146)*IF($H146="Yes",1,(1-$F146))</f>
        <v>2.8658823529411769E-3</v>
      </c>
      <c r="O146" s="130"/>
    </row>
    <row r="147" spans="1:15" ht="15" x14ac:dyDescent="0.25">
      <c r="A147" s="5"/>
      <c r="B147" s="7"/>
      <c r="C147" s="13"/>
      <c r="D147" s="19" t="str">
        <f>IFERROR(IF(C147="No CAS","",INDEX('DEQ Pollutant List'!$B$7:$B$611,MATCH('3. Pollutant Emissions - EF'!C147,'DEQ Pollutant List'!$A$7:$A$611,0))),"")</f>
        <v/>
      </c>
      <c r="E147" s="100"/>
      <c r="F147" s="36"/>
      <c r="G147" s="100"/>
      <c r="H147" s="36"/>
      <c r="I147" s="34"/>
      <c r="J147" s="11"/>
      <c r="K147" s="6"/>
      <c r="L147" s="20"/>
      <c r="M147" s="7">
        <f>IF(ISBLANK($B147),_xlfn.XLOOKUP($A147,'2. TEUs &amp; Activities - EF'!$A$9:$A$190,'2. TEUs &amp; Activities - EF'!$J$9:$J$190),_xlfn.XLOOKUP($B147,'2. TEUs &amp; Activities - EF'!$B$9:$B$190,'2. TEUs &amp; Activities - EF'!$J$9:$J$190))*'3. Pollutant Emissions - EF'!$I147*IF(OR(ISBLANK($E147),$G147="Yes"),1,$E147)*IF($H147="Yes",1,(1-$F147))</f>
        <v>0</v>
      </c>
      <c r="N147" s="5">
        <f>IF(ISBLANK($B147),_xlfn.XLOOKUP($A147,'2. TEUs &amp; Activities - EF'!$A$9:$A$190,'2. TEUs &amp; Activities - EF'!$M$9:$M$190),_xlfn.XLOOKUP($B147,'2. TEUs &amp; Activities - EF'!$B$9:$B$190,'2. TEUs &amp; Activities - EF'!$M$9:$M$190))*'3. Pollutant Emissions - EF'!$J147*IF(OR(ISBLANK($E147),$G147="Yes"),1,$E147)*IF($H147="Yes",1,(1-$F147))</f>
        <v>0</v>
      </c>
      <c r="O147" s="130"/>
    </row>
    <row r="148" spans="1:15" ht="15" x14ac:dyDescent="0.25">
      <c r="A148" s="5" t="s">
        <v>1314</v>
      </c>
      <c r="B148" s="7"/>
      <c r="C148" s="13" t="s">
        <v>50</v>
      </c>
      <c r="D148" s="19" t="str">
        <f>IFERROR(IF(C148="No CAS","",INDEX('DEQ Pollutant List'!$B$7:$B$611,MATCH('3. Pollutant Emissions - EF'!C148,'DEQ Pollutant List'!$A$7:$A$611,0))),"")</f>
        <v>Acetaldehyde</v>
      </c>
      <c r="E148" s="100">
        <v>0</v>
      </c>
      <c r="F148" s="36">
        <v>0</v>
      </c>
      <c r="G148" s="100" t="s">
        <v>1415</v>
      </c>
      <c r="H148" s="36" t="s">
        <v>1415</v>
      </c>
      <c r="I148" s="34">
        <v>4.3E-3</v>
      </c>
      <c r="J148" s="11">
        <f t="shared" si="2"/>
        <v>4.3E-3</v>
      </c>
      <c r="K148" s="6" t="s">
        <v>1416</v>
      </c>
      <c r="L148" s="20" t="s">
        <v>1422</v>
      </c>
      <c r="M148" s="7">
        <f>IF(ISBLANK($B148),_xlfn.XLOOKUP($A148,'2. TEUs &amp; Activities - EF'!$A$9:$A$190,'2. TEUs &amp; Activities - EF'!$J$9:$J$190),_xlfn.XLOOKUP($B148,'2. TEUs &amp; Activities - EF'!$B$9:$B$190,'2. TEUs &amp; Activities - EF'!$J$9:$J$190))*'3. Pollutant Emissions - EF'!$I148*IF(OR(ISBLANK($E148),$G148="Yes"),1,$E148)*IF($H148="Yes",1,(1-$F148))</f>
        <v>0.12334423529411763</v>
      </c>
      <c r="N148" s="5">
        <f>IF(ISBLANK($B148),_xlfn.XLOOKUP($A148,'2. TEUs &amp; Activities - EF'!$A$9:$A$190,'2. TEUs &amp; Activities - EF'!$M$9:$M$190),_xlfn.XLOOKUP($B148,'2. TEUs &amp; Activities - EF'!$B$9:$B$190,'2. TEUs &amp; Activities - EF'!$M$9:$M$190))*'3. Pollutant Emissions - EF'!$J148*IF(OR(ISBLANK($E148),$G148="Yes"),1,$E148)*IF($H148="Yes",1,(1-$F148))</f>
        <v>3.3792941176470582E-4</v>
      </c>
      <c r="O148" s="130"/>
    </row>
    <row r="149" spans="1:15" ht="15" x14ac:dyDescent="0.25">
      <c r="A149" s="5" t="s">
        <v>1314</v>
      </c>
      <c r="B149" s="7"/>
      <c r="C149" s="13" t="s">
        <v>51</v>
      </c>
      <c r="D149" s="19" t="str">
        <f>IFERROR(IF(C149="No CAS","",INDEX('DEQ Pollutant List'!$B$7:$B$611,MATCH('3. Pollutant Emissions - EF'!C149,'DEQ Pollutant List'!$A$7:$A$611,0))),"")</f>
        <v>Acrolein</v>
      </c>
      <c r="E149" s="100">
        <v>0</v>
      </c>
      <c r="F149" s="36">
        <v>0</v>
      </c>
      <c r="G149" s="100" t="s">
        <v>1415</v>
      </c>
      <c r="H149" s="36" t="s">
        <v>1415</v>
      </c>
      <c r="I149" s="34">
        <v>2.7000000000000001E-3</v>
      </c>
      <c r="J149" s="11">
        <f t="shared" si="2"/>
        <v>2.7000000000000001E-3</v>
      </c>
      <c r="K149" s="6" t="s">
        <v>1416</v>
      </c>
      <c r="L149" s="20" t="s">
        <v>1422</v>
      </c>
      <c r="M149" s="7">
        <f>IF(ISBLANK($B149),_xlfn.XLOOKUP($A149,'2. TEUs &amp; Activities - EF'!$A$9:$A$190,'2. TEUs &amp; Activities - EF'!$J$9:$J$190),_xlfn.XLOOKUP($B149,'2. TEUs &amp; Activities - EF'!$B$9:$B$190,'2. TEUs &amp; Activities - EF'!$J$9:$J$190))*'3. Pollutant Emissions - EF'!$I149*IF(OR(ISBLANK($E149),$G149="Yes"),1,$E149)*IF($H149="Yes",1,(1-$F149))</f>
        <v>7.7448705882352933E-2</v>
      </c>
      <c r="N149" s="5">
        <f>IF(ISBLANK($B149),_xlfn.XLOOKUP($A149,'2. TEUs &amp; Activities - EF'!$A$9:$A$190,'2. TEUs &amp; Activities - EF'!$M$9:$M$190),_xlfn.XLOOKUP($B149,'2. TEUs &amp; Activities - EF'!$B$9:$B$190,'2. TEUs &amp; Activities - EF'!$M$9:$M$190))*'3. Pollutant Emissions - EF'!$J149*IF(OR(ISBLANK($E149),$G149="Yes"),1,$E149)*IF($H149="Yes",1,(1-$F149))</f>
        <v>2.1218823529411764E-4</v>
      </c>
      <c r="O149" s="130"/>
    </row>
    <row r="150" spans="1:15" ht="15" x14ac:dyDescent="0.25">
      <c r="A150" s="5" t="s">
        <v>1314</v>
      </c>
      <c r="B150" s="7"/>
      <c r="C150" s="13" t="s">
        <v>52</v>
      </c>
      <c r="D150" s="19" t="str">
        <f>IFERROR(IF(C150="No CAS","",INDEX('DEQ Pollutant List'!$B$7:$B$611,MATCH('3. Pollutant Emissions - EF'!C150,'DEQ Pollutant List'!$A$7:$A$611,0))),"")</f>
        <v>Ammonia</v>
      </c>
      <c r="E150" s="100">
        <v>0</v>
      </c>
      <c r="F150" s="36">
        <v>0</v>
      </c>
      <c r="G150" s="100" t="s">
        <v>1415</v>
      </c>
      <c r="H150" s="36" t="s">
        <v>1415</v>
      </c>
      <c r="I150" s="34">
        <v>3.2</v>
      </c>
      <c r="J150" s="11">
        <f t="shared" si="2"/>
        <v>3.2</v>
      </c>
      <c r="K150" s="6" t="s">
        <v>1416</v>
      </c>
      <c r="L150" s="20" t="s">
        <v>1422</v>
      </c>
      <c r="M150" s="7">
        <f>IF(ISBLANK($B150),_xlfn.XLOOKUP($A150,'2. TEUs &amp; Activities - EF'!$A$9:$A$190,'2. TEUs &amp; Activities - EF'!$J$9:$J$190),_xlfn.XLOOKUP($B150,'2. TEUs &amp; Activities - EF'!$B$9:$B$190,'2. TEUs &amp; Activities - EF'!$J$9:$J$190))*'3. Pollutant Emissions - EF'!$I150*IF(OR(ISBLANK($E150),$G150="Yes"),1,$E150)*IF($H150="Yes",1,(1-$F150))</f>
        <v>91.791058823529397</v>
      </c>
      <c r="N150" s="5">
        <f>IF(ISBLANK($B150),_xlfn.XLOOKUP($A150,'2. TEUs &amp; Activities - EF'!$A$9:$A$190,'2. TEUs &amp; Activities - EF'!$M$9:$M$190),_xlfn.XLOOKUP($B150,'2. TEUs &amp; Activities - EF'!$B$9:$B$190,'2. TEUs &amp; Activities - EF'!$M$9:$M$190))*'3. Pollutant Emissions - EF'!$J150*IF(OR(ISBLANK($E150),$G150="Yes"),1,$E150)*IF($H150="Yes",1,(1-$F150))</f>
        <v>0.25148235294117643</v>
      </c>
      <c r="O150" s="130"/>
    </row>
    <row r="151" spans="1:15" ht="15" x14ac:dyDescent="0.25">
      <c r="A151" s="5" t="s">
        <v>1314</v>
      </c>
      <c r="B151" s="7"/>
      <c r="C151" s="13" t="s">
        <v>53</v>
      </c>
      <c r="D151" s="19" t="str">
        <f>IFERROR(IF(C151="No CAS","",INDEX('DEQ Pollutant List'!$B$7:$B$611,MATCH('3. Pollutant Emissions - EF'!C151,'DEQ Pollutant List'!$A$7:$A$611,0))),"")</f>
        <v>Arsenic and compounds</v>
      </c>
      <c r="E151" s="100">
        <v>0</v>
      </c>
      <c r="F151" s="36">
        <v>0</v>
      </c>
      <c r="G151" s="100" t="s">
        <v>1415</v>
      </c>
      <c r="H151" s="36" t="s">
        <v>1415</v>
      </c>
      <c r="I151" s="34">
        <v>2.0000000000000001E-4</v>
      </c>
      <c r="J151" s="11">
        <f t="shared" si="2"/>
        <v>2.0000000000000001E-4</v>
      </c>
      <c r="K151" s="6" t="s">
        <v>1416</v>
      </c>
      <c r="L151" s="20" t="s">
        <v>1422</v>
      </c>
      <c r="M151" s="7">
        <f>IF(ISBLANK($B151),_xlfn.XLOOKUP($A151,'2. TEUs &amp; Activities - EF'!$A$9:$A$190,'2. TEUs &amp; Activities - EF'!$J$9:$J$190),_xlfn.XLOOKUP($B151,'2. TEUs &amp; Activities - EF'!$B$9:$B$190,'2. TEUs &amp; Activities - EF'!$J$9:$J$190))*'3. Pollutant Emissions - EF'!$I151*IF(OR(ISBLANK($E151),$G151="Yes"),1,$E151)*IF($H151="Yes",1,(1-$F151))</f>
        <v>5.7369411764705879E-3</v>
      </c>
      <c r="N151" s="5">
        <f>IF(ISBLANK($B151),_xlfn.XLOOKUP($A151,'2. TEUs &amp; Activities - EF'!$A$9:$A$190,'2. TEUs &amp; Activities - EF'!$M$9:$M$190),_xlfn.XLOOKUP($B151,'2. TEUs &amp; Activities - EF'!$B$9:$B$190,'2. TEUs &amp; Activities - EF'!$M$9:$M$190))*'3. Pollutant Emissions - EF'!$J151*IF(OR(ISBLANK($E151),$G151="Yes"),1,$E151)*IF($H151="Yes",1,(1-$F151))</f>
        <v>1.571764705882353E-5</v>
      </c>
      <c r="O151" s="130"/>
    </row>
    <row r="152" spans="1:15" ht="15" x14ac:dyDescent="0.25">
      <c r="A152" s="5" t="s">
        <v>1314</v>
      </c>
      <c r="B152" s="7"/>
      <c r="C152" s="13" t="s">
        <v>54</v>
      </c>
      <c r="D152" s="19" t="str">
        <f>IFERROR(IF(C152="No CAS","",INDEX('DEQ Pollutant List'!$B$7:$B$611,MATCH('3. Pollutant Emissions - EF'!C152,'DEQ Pollutant List'!$A$7:$A$611,0))),"")</f>
        <v>Barium and compounds</v>
      </c>
      <c r="E152" s="100">
        <v>0</v>
      </c>
      <c r="F152" s="36">
        <v>0</v>
      </c>
      <c r="G152" s="100" t="s">
        <v>1415</v>
      </c>
      <c r="H152" s="36" t="s">
        <v>1415</v>
      </c>
      <c r="I152" s="34">
        <v>4.4000000000000003E-3</v>
      </c>
      <c r="J152" s="11">
        <f t="shared" si="2"/>
        <v>4.4000000000000003E-3</v>
      </c>
      <c r="K152" s="6" t="s">
        <v>1416</v>
      </c>
      <c r="L152" s="20" t="s">
        <v>1422</v>
      </c>
      <c r="M152" s="7">
        <f>IF(ISBLANK($B152),_xlfn.XLOOKUP($A152,'2. TEUs &amp; Activities - EF'!$A$9:$A$190,'2. TEUs &amp; Activities - EF'!$J$9:$J$190),_xlfn.XLOOKUP($B152,'2. TEUs &amp; Activities - EF'!$B$9:$B$190,'2. TEUs &amp; Activities - EF'!$J$9:$J$190))*'3. Pollutant Emissions - EF'!$I152*IF(OR(ISBLANK($E152),$G152="Yes"),1,$E152)*IF($H152="Yes",1,(1-$F152))</f>
        <v>0.12621270588235292</v>
      </c>
      <c r="N152" s="5">
        <f>IF(ISBLANK($B152),_xlfn.XLOOKUP($A152,'2. TEUs &amp; Activities - EF'!$A$9:$A$190,'2. TEUs &amp; Activities - EF'!$M$9:$M$190),_xlfn.XLOOKUP($B152,'2. TEUs &amp; Activities - EF'!$B$9:$B$190,'2. TEUs &amp; Activities - EF'!$M$9:$M$190))*'3. Pollutant Emissions - EF'!$J152*IF(OR(ISBLANK($E152),$G152="Yes"),1,$E152)*IF($H152="Yes",1,(1-$F152))</f>
        <v>3.4578823529411761E-4</v>
      </c>
      <c r="O152" s="130"/>
    </row>
    <row r="153" spans="1:15" ht="15" x14ac:dyDescent="0.25">
      <c r="A153" s="5" t="s">
        <v>1314</v>
      </c>
      <c r="B153" s="7"/>
      <c r="C153" s="13" t="s">
        <v>46</v>
      </c>
      <c r="D153" s="19" t="str">
        <f>IFERROR(IF(C153="No CAS","",INDEX('DEQ Pollutant List'!$B$7:$B$611,MATCH('3. Pollutant Emissions - EF'!C153,'DEQ Pollutant List'!$A$7:$A$611,0))),"")</f>
        <v>Benzene</v>
      </c>
      <c r="E153" s="100">
        <v>0</v>
      </c>
      <c r="F153" s="36">
        <v>0</v>
      </c>
      <c r="G153" s="100" t="s">
        <v>1415</v>
      </c>
      <c r="H153" s="36" t="s">
        <v>1415</v>
      </c>
      <c r="I153" s="34">
        <v>8.0000000000000002E-3</v>
      </c>
      <c r="J153" s="11">
        <f t="shared" si="2"/>
        <v>8.0000000000000002E-3</v>
      </c>
      <c r="K153" s="6" t="s">
        <v>1416</v>
      </c>
      <c r="L153" s="20" t="s">
        <v>1422</v>
      </c>
      <c r="M153" s="7">
        <f>IF(ISBLANK($B153),_xlfn.XLOOKUP($A153,'2. TEUs &amp; Activities - EF'!$A$9:$A$190,'2. TEUs &amp; Activities - EF'!$J$9:$J$190),_xlfn.XLOOKUP($B153,'2. TEUs &amp; Activities - EF'!$B$9:$B$190,'2. TEUs &amp; Activities - EF'!$J$9:$J$190))*'3. Pollutant Emissions - EF'!$I153*IF(OR(ISBLANK($E153),$G153="Yes"),1,$E153)*IF($H153="Yes",1,(1-$F153))</f>
        <v>0.22947764705882351</v>
      </c>
      <c r="N153" s="5">
        <f>IF(ISBLANK($B153),_xlfn.XLOOKUP($A153,'2. TEUs &amp; Activities - EF'!$A$9:$A$190,'2. TEUs &amp; Activities - EF'!$M$9:$M$190),_xlfn.XLOOKUP($B153,'2. TEUs &amp; Activities - EF'!$B$9:$B$190,'2. TEUs &amp; Activities - EF'!$M$9:$M$190))*'3. Pollutant Emissions - EF'!$J153*IF(OR(ISBLANK($E153),$G153="Yes"),1,$E153)*IF($H153="Yes",1,(1-$F153))</f>
        <v>6.2870588235294116E-4</v>
      </c>
      <c r="O153" s="130"/>
    </row>
    <row r="154" spans="1:15" ht="15" x14ac:dyDescent="0.25">
      <c r="A154" s="5" t="s">
        <v>1314</v>
      </c>
      <c r="B154" s="7"/>
      <c r="C154" s="13" t="s">
        <v>55</v>
      </c>
      <c r="D154" s="19" t="str">
        <f>IFERROR(IF(C154="No CAS","",INDEX('DEQ Pollutant List'!$B$7:$B$611,MATCH('3. Pollutant Emissions - EF'!C154,'DEQ Pollutant List'!$A$7:$A$611,0))),"")</f>
        <v>Beryllium and compounds</v>
      </c>
      <c r="E154" s="100">
        <v>0</v>
      </c>
      <c r="F154" s="36">
        <v>0</v>
      </c>
      <c r="G154" s="100" t="s">
        <v>1415</v>
      </c>
      <c r="H154" s="36" t="s">
        <v>1415</v>
      </c>
      <c r="I154" s="34">
        <v>1.2E-5</v>
      </c>
      <c r="J154" s="11">
        <f t="shared" si="2"/>
        <v>1.2E-5</v>
      </c>
      <c r="K154" s="6" t="s">
        <v>1416</v>
      </c>
      <c r="L154" s="20" t="s">
        <v>1422</v>
      </c>
      <c r="M154" s="7">
        <f>IF(ISBLANK($B154),_xlfn.XLOOKUP($A154,'2. TEUs &amp; Activities - EF'!$A$9:$A$190,'2. TEUs &amp; Activities - EF'!$J$9:$J$190),_xlfn.XLOOKUP($B154,'2. TEUs &amp; Activities - EF'!$B$9:$B$190,'2. TEUs &amp; Activities - EF'!$J$9:$J$190))*'3. Pollutant Emissions - EF'!$I154*IF(OR(ISBLANK($E154),$G154="Yes"),1,$E154)*IF($H154="Yes",1,(1-$F154))</f>
        <v>3.4421647058823526E-4</v>
      </c>
      <c r="N154" s="5">
        <f>IF(ISBLANK($B154),_xlfn.XLOOKUP($A154,'2. TEUs &amp; Activities - EF'!$A$9:$A$190,'2. TEUs &amp; Activities - EF'!$M$9:$M$190),_xlfn.XLOOKUP($B154,'2. TEUs &amp; Activities - EF'!$B$9:$B$190,'2. TEUs &amp; Activities - EF'!$M$9:$M$190))*'3. Pollutant Emissions - EF'!$J154*IF(OR(ISBLANK($E154),$G154="Yes"),1,$E154)*IF($H154="Yes",1,(1-$F154))</f>
        <v>9.4305882352941173E-7</v>
      </c>
      <c r="O154" s="130"/>
    </row>
    <row r="155" spans="1:15" ht="15" x14ac:dyDescent="0.25">
      <c r="A155" s="5" t="s">
        <v>1314</v>
      </c>
      <c r="B155" s="7"/>
      <c r="C155" s="13" t="s">
        <v>56</v>
      </c>
      <c r="D155" s="19" t="str">
        <f>IFERROR(IF(C155="No CAS","",INDEX('DEQ Pollutant List'!$B$7:$B$611,MATCH('3. Pollutant Emissions - EF'!C155,'DEQ Pollutant List'!$A$7:$A$611,0))),"")</f>
        <v>Cadmium and compounds</v>
      </c>
      <c r="E155" s="100">
        <v>0</v>
      </c>
      <c r="F155" s="36">
        <v>0</v>
      </c>
      <c r="G155" s="100" t="s">
        <v>1415</v>
      </c>
      <c r="H155" s="36" t="s">
        <v>1415</v>
      </c>
      <c r="I155" s="34">
        <v>1.1000000000000001E-3</v>
      </c>
      <c r="J155" s="11">
        <f t="shared" si="2"/>
        <v>1.1000000000000001E-3</v>
      </c>
      <c r="K155" s="6" t="s">
        <v>1416</v>
      </c>
      <c r="L155" s="20" t="s">
        <v>1422</v>
      </c>
      <c r="M155" s="7">
        <f>IF(ISBLANK($B155),_xlfn.XLOOKUP($A155,'2. TEUs &amp; Activities - EF'!$A$9:$A$190,'2. TEUs &amp; Activities - EF'!$J$9:$J$190),_xlfn.XLOOKUP($B155,'2. TEUs &amp; Activities - EF'!$B$9:$B$190,'2. TEUs &amp; Activities - EF'!$J$9:$J$190))*'3. Pollutant Emissions - EF'!$I155*IF(OR(ISBLANK($E155),$G155="Yes"),1,$E155)*IF($H155="Yes",1,(1-$F155))</f>
        <v>3.155317647058823E-2</v>
      </c>
      <c r="N155" s="5">
        <f>IF(ISBLANK($B155),_xlfn.XLOOKUP($A155,'2. TEUs &amp; Activities - EF'!$A$9:$A$190,'2. TEUs &amp; Activities - EF'!$M$9:$M$190),_xlfn.XLOOKUP($B155,'2. TEUs &amp; Activities - EF'!$B$9:$B$190,'2. TEUs &amp; Activities - EF'!$M$9:$M$190))*'3. Pollutant Emissions - EF'!$J155*IF(OR(ISBLANK($E155),$G155="Yes"),1,$E155)*IF($H155="Yes",1,(1-$F155))</f>
        <v>8.6447058823529402E-5</v>
      </c>
      <c r="O155" s="130"/>
    </row>
    <row r="156" spans="1:15" ht="15" x14ac:dyDescent="0.25">
      <c r="A156" s="5" t="s">
        <v>1314</v>
      </c>
      <c r="B156" s="7"/>
      <c r="C156" s="13" t="s">
        <v>57</v>
      </c>
      <c r="D156" s="19" t="str">
        <f>IFERROR(IF(C156="No CAS","",INDEX('DEQ Pollutant List'!$B$7:$B$611,MATCH('3. Pollutant Emissions - EF'!C156,'DEQ Pollutant List'!$A$7:$A$611,0))),"")</f>
        <v>Chromium VI, chromate and dichromate particulate</v>
      </c>
      <c r="E156" s="100">
        <v>0</v>
      </c>
      <c r="F156" s="36">
        <v>0</v>
      </c>
      <c r="G156" s="100" t="s">
        <v>1415</v>
      </c>
      <c r="H156" s="36" t="s">
        <v>1415</v>
      </c>
      <c r="I156" s="34">
        <v>1.4E-3</v>
      </c>
      <c r="J156" s="11">
        <f t="shared" si="2"/>
        <v>1.4E-3</v>
      </c>
      <c r="K156" s="6" t="s">
        <v>1416</v>
      </c>
      <c r="L156" s="20" t="s">
        <v>1422</v>
      </c>
      <c r="M156" s="7">
        <f>IF(ISBLANK($B156),_xlfn.XLOOKUP($A156,'2. TEUs &amp; Activities - EF'!$A$9:$A$190,'2. TEUs &amp; Activities - EF'!$J$9:$J$190),_xlfn.XLOOKUP($B156,'2. TEUs &amp; Activities - EF'!$B$9:$B$190,'2. TEUs &amp; Activities - EF'!$J$9:$J$190))*'3. Pollutant Emissions - EF'!$I156*IF(OR(ISBLANK($E156),$G156="Yes"),1,$E156)*IF($H156="Yes",1,(1-$F156))</f>
        <v>4.0158588235294113E-2</v>
      </c>
      <c r="N156" s="5">
        <f>IF(ISBLANK($B156),_xlfn.XLOOKUP($A156,'2. TEUs &amp; Activities - EF'!$A$9:$A$190,'2. TEUs &amp; Activities - EF'!$M$9:$M$190),_xlfn.XLOOKUP($B156,'2. TEUs &amp; Activities - EF'!$B$9:$B$190,'2. TEUs &amp; Activities - EF'!$M$9:$M$190))*'3. Pollutant Emissions - EF'!$J156*IF(OR(ISBLANK($E156),$G156="Yes"),1,$E156)*IF($H156="Yes",1,(1-$F156))</f>
        <v>1.100235294117647E-4</v>
      </c>
      <c r="O156" s="130"/>
    </row>
    <row r="157" spans="1:15" ht="15" x14ac:dyDescent="0.25">
      <c r="A157" s="5" t="s">
        <v>1314</v>
      </c>
      <c r="B157" s="7"/>
      <c r="C157" s="13" t="s">
        <v>58</v>
      </c>
      <c r="D157" s="19" t="str">
        <f>IFERROR(IF(C157="No CAS","",INDEX('DEQ Pollutant List'!$B$7:$B$611,MATCH('3. Pollutant Emissions - EF'!C157,'DEQ Pollutant List'!$A$7:$A$611,0))),"")</f>
        <v>Cobalt and compounds</v>
      </c>
      <c r="E157" s="100">
        <v>0</v>
      </c>
      <c r="F157" s="36">
        <v>0</v>
      </c>
      <c r="G157" s="100" t="s">
        <v>1415</v>
      </c>
      <c r="H157" s="36" t="s">
        <v>1415</v>
      </c>
      <c r="I157" s="34">
        <v>8.3999999999999995E-5</v>
      </c>
      <c r="J157" s="11">
        <f t="shared" si="2"/>
        <v>8.3999999999999995E-5</v>
      </c>
      <c r="K157" s="6" t="s">
        <v>1416</v>
      </c>
      <c r="L157" s="20" t="s">
        <v>1422</v>
      </c>
      <c r="M157" s="7">
        <f>IF(ISBLANK($B157),_xlfn.XLOOKUP($A157,'2. TEUs &amp; Activities - EF'!$A$9:$A$190,'2. TEUs &amp; Activities - EF'!$J$9:$J$190),_xlfn.XLOOKUP($B157,'2. TEUs &amp; Activities - EF'!$B$9:$B$190,'2. TEUs &amp; Activities - EF'!$J$9:$J$190))*'3. Pollutant Emissions - EF'!$I157*IF(OR(ISBLANK($E157),$G157="Yes"),1,$E157)*IF($H157="Yes",1,(1-$F157))</f>
        <v>2.4095152941176466E-3</v>
      </c>
      <c r="N157" s="5">
        <f>IF(ISBLANK($B157),_xlfn.XLOOKUP($A157,'2. TEUs &amp; Activities - EF'!$A$9:$A$190,'2. TEUs &amp; Activities - EF'!$M$9:$M$190),_xlfn.XLOOKUP($B157,'2. TEUs &amp; Activities - EF'!$B$9:$B$190,'2. TEUs &amp; Activities - EF'!$M$9:$M$190))*'3. Pollutant Emissions - EF'!$J157*IF(OR(ISBLANK($E157),$G157="Yes"),1,$E157)*IF($H157="Yes",1,(1-$F157))</f>
        <v>6.6014117647058816E-6</v>
      </c>
      <c r="O157" s="130"/>
    </row>
    <row r="158" spans="1:15" ht="15" x14ac:dyDescent="0.25">
      <c r="A158" s="5" t="s">
        <v>1314</v>
      </c>
      <c r="B158" s="7"/>
      <c r="C158" s="13" t="s">
        <v>59</v>
      </c>
      <c r="D158" s="19" t="str">
        <f>IFERROR(IF(C158="No CAS","",INDEX('DEQ Pollutant List'!$B$7:$B$611,MATCH('3. Pollutant Emissions - EF'!C158,'DEQ Pollutant List'!$A$7:$A$611,0))),"")</f>
        <v>Copper and compounds</v>
      </c>
      <c r="E158" s="100">
        <v>0</v>
      </c>
      <c r="F158" s="36">
        <v>0</v>
      </c>
      <c r="G158" s="100" t="s">
        <v>1415</v>
      </c>
      <c r="H158" s="36" t="s">
        <v>1415</v>
      </c>
      <c r="I158" s="34">
        <v>8.4999999999999995E-4</v>
      </c>
      <c r="J158" s="11">
        <f t="shared" si="2"/>
        <v>8.4999999999999995E-4</v>
      </c>
      <c r="K158" s="6" t="s">
        <v>1416</v>
      </c>
      <c r="L158" s="20" t="s">
        <v>1422</v>
      </c>
      <c r="M158" s="7">
        <f>IF(ISBLANK($B158),_xlfn.XLOOKUP($A158,'2. TEUs &amp; Activities - EF'!$A$9:$A$190,'2. TEUs &amp; Activities - EF'!$J$9:$J$190),_xlfn.XLOOKUP($B158,'2. TEUs &amp; Activities - EF'!$B$9:$B$190,'2. TEUs &amp; Activities - EF'!$J$9:$J$190))*'3. Pollutant Emissions - EF'!$I158*IF(OR(ISBLANK($E158),$G158="Yes"),1,$E158)*IF($H158="Yes",1,(1-$F158))</f>
        <v>2.4381999999999994E-2</v>
      </c>
      <c r="N158" s="5">
        <f>IF(ISBLANK($B158),_xlfn.XLOOKUP($A158,'2. TEUs &amp; Activities - EF'!$A$9:$A$190,'2. TEUs &amp; Activities - EF'!$M$9:$M$190),_xlfn.XLOOKUP($B158,'2. TEUs &amp; Activities - EF'!$B$9:$B$190,'2. TEUs &amp; Activities - EF'!$M$9:$M$190))*'3. Pollutant Emissions - EF'!$J158*IF(OR(ISBLANK($E158),$G158="Yes"),1,$E158)*IF($H158="Yes",1,(1-$F158))</f>
        <v>6.6799999999999984E-5</v>
      </c>
      <c r="O158" s="130"/>
    </row>
    <row r="159" spans="1:15" ht="15" x14ac:dyDescent="0.25">
      <c r="A159" s="5" t="s">
        <v>1314</v>
      </c>
      <c r="B159" s="7"/>
      <c r="C159" s="13" t="s">
        <v>60</v>
      </c>
      <c r="D159" s="19" t="str">
        <f>IFERROR(IF(C159="No CAS","",INDEX('DEQ Pollutant List'!$B$7:$B$611,MATCH('3. Pollutant Emissions - EF'!C159,'DEQ Pollutant List'!$A$7:$A$611,0))),"")</f>
        <v>Ethyl benzene</v>
      </c>
      <c r="E159" s="100">
        <v>0</v>
      </c>
      <c r="F159" s="36">
        <v>0</v>
      </c>
      <c r="G159" s="100" t="s">
        <v>1415</v>
      </c>
      <c r="H159" s="36" t="s">
        <v>1415</v>
      </c>
      <c r="I159" s="34">
        <v>9.4999999999999998E-3</v>
      </c>
      <c r="J159" s="11">
        <f t="shared" si="2"/>
        <v>9.4999999999999998E-3</v>
      </c>
      <c r="K159" s="6" t="s">
        <v>1416</v>
      </c>
      <c r="L159" s="20" t="s">
        <v>1422</v>
      </c>
      <c r="M159" s="7">
        <f>IF(ISBLANK($B159),_xlfn.XLOOKUP($A159,'2. TEUs &amp; Activities - EF'!$A$9:$A$190,'2. TEUs &amp; Activities - EF'!$J$9:$J$190),_xlfn.XLOOKUP($B159,'2. TEUs &amp; Activities - EF'!$B$9:$B$190,'2. TEUs &amp; Activities - EF'!$J$9:$J$190))*'3. Pollutant Emissions - EF'!$I159*IF(OR(ISBLANK($E159),$G159="Yes"),1,$E159)*IF($H159="Yes",1,(1-$F159))</f>
        <v>0.27250470588235287</v>
      </c>
      <c r="N159" s="5">
        <f>IF(ISBLANK($B159),_xlfn.XLOOKUP($A159,'2. TEUs &amp; Activities - EF'!$A$9:$A$190,'2. TEUs &amp; Activities - EF'!$M$9:$M$190),_xlfn.XLOOKUP($B159,'2. TEUs &amp; Activities - EF'!$B$9:$B$190,'2. TEUs &amp; Activities - EF'!$M$9:$M$190))*'3. Pollutant Emissions - EF'!$J159*IF(OR(ISBLANK($E159),$G159="Yes"),1,$E159)*IF($H159="Yes",1,(1-$F159))</f>
        <v>7.4658823529411759E-4</v>
      </c>
      <c r="O159" s="130"/>
    </row>
    <row r="160" spans="1:15" ht="15" x14ac:dyDescent="0.25">
      <c r="A160" s="5" t="s">
        <v>1314</v>
      </c>
      <c r="B160" s="7"/>
      <c r="C160" s="13" t="s">
        <v>47</v>
      </c>
      <c r="D160" s="19" t="str">
        <f>IFERROR(IF(C160="No CAS","",INDEX('DEQ Pollutant List'!$B$7:$B$611,MATCH('3. Pollutant Emissions - EF'!C160,'DEQ Pollutant List'!$A$7:$A$611,0))),"")</f>
        <v>Formaldehyde</v>
      </c>
      <c r="E160" s="100">
        <v>0</v>
      </c>
      <c r="F160" s="36">
        <v>0</v>
      </c>
      <c r="G160" s="100" t="s">
        <v>1415</v>
      </c>
      <c r="H160" s="36" t="s">
        <v>1415</v>
      </c>
      <c r="I160" s="34">
        <v>1.7000000000000001E-2</v>
      </c>
      <c r="J160" s="11">
        <f t="shared" si="2"/>
        <v>1.7000000000000001E-2</v>
      </c>
      <c r="K160" s="6" t="s">
        <v>1416</v>
      </c>
      <c r="L160" s="20" t="s">
        <v>1422</v>
      </c>
      <c r="M160" s="7">
        <f>IF(ISBLANK($B160),_xlfn.XLOOKUP($A160,'2. TEUs &amp; Activities - EF'!$A$9:$A$190,'2. TEUs &amp; Activities - EF'!$J$9:$J$190),_xlfn.XLOOKUP($B160,'2. TEUs &amp; Activities - EF'!$B$9:$B$190,'2. TEUs &amp; Activities - EF'!$J$9:$J$190))*'3. Pollutant Emissions - EF'!$I160*IF(OR(ISBLANK($E160),$G160="Yes"),1,$E160)*IF($H160="Yes",1,(1-$F160))</f>
        <v>0.48763999999999996</v>
      </c>
      <c r="N160" s="5">
        <f>IF(ISBLANK($B160),_xlfn.XLOOKUP($A160,'2. TEUs &amp; Activities - EF'!$A$9:$A$190,'2. TEUs &amp; Activities - EF'!$M$9:$M$190),_xlfn.XLOOKUP($B160,'2. TEUs &amp; Activities - EF'!$B$9:$B$190,'2. TEUs &amp; Activities - EF'!$M$9:$M$190))*'3. Pollutant Emissions - EF'!$J160*IF(OR(ISBLANK($E160),$G160="Yes"),1,$E160)*IF($H160="Yes",1,(1-$F160))</f>
        <v>1.3359999999999999E-3</v>
      </c>
      <c r="O160" s="130"/>
    </row>
    <row r="161" spans="1:15" ht="15" x14ac:dyDescent="0.25">
      <c r="A161" s="5" t="s">
        <v>1314</v>
      </c>
      <c r="B161" s="7"/>
      <c r="C161" s="13" t="s">
        <v>61</v>
      </c>
      <c r="D161" s="19" t="str">
        <f>IFERROR(IF(C161="No CAS","",INDEX('DEQ Pollutant List'!$B$7:$B$611,MATCH('3. Pollutant Emissions - EF'!C161,'DEQ Pollutant List'!$A$7:$A$611,0))),"")</f>
        <v>Hexane</v>
      </c>
      <c r="E161" s="100">
        <v>0</v>
      </c>
      <c r="F161" s="36">
        <v>0</v>
      </c>
      <c r="G161" s="100" t="s">
        <v>1415</v>
      </c>
      <c r="H161" s="36" t="s">
        <v>1415</v>
      </c>
      <c r="I161" s="34">
        <v>6.3E-3</v>
      </c>
      <c r="J161" s="11">
        <f t="shared" si="2"/>
        <v>6.3E-3</v>
      </c>
      <c r="K161" s="6" t="s">
        <v>1416</v>
      </c>
      <c r="L161" s="20" t="s">
        <v>1422</v>
      </c>
      <c r="M161" s="7">
        <f>IF(ISBLANK($B161),_xlfn.XLOOKUP($A161,'2. TEUs &amp; Activities - EF'!$A$9:$A$190,'2. TEUs &amp; Activities - EF'!$J$9:$J$190),_xlfn.XLOOKUP($B161,'2. TEUs &amp; Activities - EF'!$B$9:$B$190,'2. TEUs &amp; Activities - EF'!$J$9:$J$190))*'3. Pollutant Emissions - EF'!$I161*IF(OR(ISBLANK($E161),$G161="Yes"),1,$E161)*IF($H161="Yes",1,(1-$F161))</f>
        <v>0.18071364705882351</v>
      </c>
      <c r="N161" s="5">
        <f>IF(ISBLANK($B161),_xlfn.XLOOKUP($A161,'2. TEUs &amp; Activities - EF'!$A$9:$A$190,'2. TEUs &amp; Activities - EF'!$M$9:$M$190),_xlfn.XLOOKUP($B161,'2. TEUs &amp; Activities - EF'!$B$9:$B$190,'2. TEUs &amp; Activities - EF'!$M$9:$M$190))*'3. Pollutant Emissions - EF'!$J161*IF(OR(ISBLANK($E161),$G161="Yes"),1,$E161)*IF($H161="Yes",1,(1-$F161))</f>
        <v>4.9510588235294117E-4</v>
      </c>
      <c r="O161" s="130"/>
    </row>
    <row r="162" spans="1:15" ht="15" x14ac:dyDescent="0.25">
      <c r="A162" s="5" t="s">
        <v>1314</v>
      </c>
      <c r="B162" s="7"/>
      <c r="C162" s="13" t="s">
        <v>62</v>
      </c>
      <c r="D162" s="19" t="str">
        <f>IFERROR(IF(C162="No CAS","",INDEX('DEQ Pollutant List'!$B$7:$B$611,MATCH('3. Pollutant Emissions - EF'!C162,'DEQ Pollutant List'!$A$7:$A$611,0))),"")</f>
        <v>Lead and compounds</v>
      </c>
      <c r="E162" s="100">
        <v>0</v>
      </c>
      <c r="F162" s="36">
        <v>0</v>
      </c>
      <c r="G162" s="100" t="s">
        <v>1415</v>
      </c>
      <c r="H162" s="36" t="s">
        <v>1415</v>
      </c>
      <c r="I162" s="34">
        <v>5.0000000000000001E-4</v>
      </c>
      <c r="J162" s="11">
        <f t="shared" si="2"/>
        <v>5.0000000000000001E-4</v>
      </c>
      <c r="K162" s="6" t="s">
        <v>1416</v>
      </c>
      <c r="L162" s="20" t="s">
        <v>1422</v>
      </c>
      <c r="M162" s="7">
        <f>IF(ISBLANK($B162),_xlfn.XLOOKUP($A162,'2. TEUs &amp; Activities - EF'!$A$9:$A$190,'2. TEUs &amp; Activities - EF'!$J$9:$J$190),_xlfn.XLOOKUP($B162,'2. TEUs &amp; Activities - EF'!$B$9:$B$190,'2. TEUs &amp; Activities - EF'!$J$9:$J$190))*'3. Pollutant Emissions - EF'!$I162*IF(OR(ISBLANK($E162),$G162="Yes"),1,$E162)*IF($H162="Yes",1,(1-$F162))</f>
        <v>1.4342352941176469E-2</v>
      </c>
      <c r="N162" s="5">
        <f>IF(ISBLANK($B162),_xlfn.XLOOKUP($A162,'2. TEUs &amp; Activities - EF'!$A$9:$A$190,'2. TEUs &amp; Activities - EF'!$M$9:$M$190),_xlfn.XLOOKUP($B162,'2. TEUs &amp; Activities - EF'!$B$9:$B$190,'2. TEUs &amp; Activities - EF'!$M$9:$M$190))*'3. Pollutant Emissions - EF'!$J162*IF(OR(ISBLANK($E162),$G162="Yes"),1,$E162)*IF($H162="Yes",1,(1-$F162))</f>
        <v>3.9294117647058823E-5</v>
      </c>
      <c r="O162" s="130"/>
    </row>
    <row r="163" spans="1:15" ht="15" x14ac:dyDescent="0.25">
      <c r="A163" s="5" t="s">
        <v>1314</v>
      </c>
      <c r="B163" s="7"/>
      <c r="C163" s="13" t="s">
        <v>63</v>
      </c>
      <c r="D163" s="19" t="str">
        <f>IFERROR(IF(C163="No CAS","",INDEX('DEQ Pollutant List'!$B$7:$B$611,MATCH('3. Pollutant Emissions - EF'!C163,'DEQ Pollutant List'!$A$7:$A$611,0))),"")</f>
        <v>Manganese and compounds</v>
      </c>
      <c r="E163" s="100">
        <v>0</v>
      </c>
      <c r="F163" s="36">
        <v>0</v>
      </c>
      <c r="G163" s="100" t="s">
        <v>1415</v>
      </c>
      <c r="H163" s="36" t="s">
        <v>1415</v>
      </c>
      <c r="I163" s="34">
        <v>3.8000000000000002E-4</v>
      </c>
      <c r="J163" s="11">
        <f t="shared" si="2"/>
        <v>3.8000000000000002E-4</v>
      </c>
      <c r="K163" s="6" t="s">
        <v>1416</v>
      </c>
      <c r="L163" s="20" t="s">
        <v>1422</v>
      </c>
      <c r="M163" s="7">
        <f>IF(ISBLANK($B163),_xlfn.XLOOKUP($A163,'2. TEUs &amp; Activities - EF'!$A$9:$A$190,'2. TEUs &amp; Activities - EF'!$J$9:$J$190),_xlfn.XLOOKUP($B163,'2. TEUs &amp; Activities - EF'!$B$9:$B$190,'2. TEUs &amp; Activities - EF'!$J$9:$J$190))*'3. Pollutant Emissions - EF'!$I163*IF(OR(ISBLANK($E163),$G163="Yes"),1,$E163)*IF($H163="Yes",1,(1-$F163))</f>
        <v>1.0900188235294116E-2</v>
      </c>
      <c r="N163" s="5">
        <f>IF(ISBLANK($B163),_xlfn.XLOOKUP($A163,'2. TEUs &amp; Activities - EF'!$A$9:$A$190,'2. TEUs &amp; Activities - EF'!$M$9:$M$190),_xlfn.XLOOKUP($B163,'2. TEUs &amp; Activities - EF'!$B$9:$B$190,'2. TEUs &amp; Activities - EF'!$M$9:$M$190))*'3. Pollutant Emissions - EF'!$J163*IF(OR(ISBLANK($E163),$G163="Yes"),1,$E163)*IF($H163="Yes",1,(1-$F163))</f>
        <v>2.9863529411764704E-5</v>
      </c>
      <c r="O163" s="130"/>
    </row>
    <row r="164" spans="1:15" ht="15" x14ac:dyDescent="0.25">
      <c r="A164" s="5" t="s">
        <v>1314</v>
      </c>
      <c r="B164" s="7"/>
      <c r="C164" s="13" t="s">
        <v>64</v>
      </c>
      <c r="D164" s="19" t="str">
        <f>IFERROR(IF(C164="No CAS","",INDEX('DEQ Pollutant List'!$B$7:$B$611,MATCH('3. Pollutant Emissions - EF'!C164,'DEQ Pollutant List'!$A$7:$A$611,0))),"")</f>
        <v>Mercury and compounds</v>
      </c>
      <c r="E164" s="100">
        <v>0</v>
      </c>
      <c r="F164" s="36">
        <v>0</v>
      </c>
      <c r="G164" s="100" t="s">
        <v>1415</v>
      </c>
      <c r="H164" s="36" t="s">
        <v>1415</v>
      </c>
      <c r="I164" s="34">
        <v>2.5999999999999998E-4</v>
      </c>
      <c r="J164" s="11">
        <f t="shared" si="2"/>
        <v>2.5999999999999998E-4</v>
      </c>
      <c r="K164" s="6" t="s">
        <v>1416</v>
      </c>
      <c r="L164" s="20" t="s">
        <v>1422</v>
      </c>
      <c r="M164" s="7">
        <f>IF(ISBLANK($B164),_xlfn.XLOOKUP($A164,'2. TEUs &amp; Activities - EF'!$A$9:$A$190,'2. TEUs &amp; Activities - EF'!$J$9:$J$190),_xlfn.XLOOKUP($B164,'2. TEUs &amp; Activities - EF'!$B$9:$B$190,'2. TEUs &amp; Activities - EF'!$J$9:$J$190))*'3. Pollutant Emissions - EF'!$I164*IF(OR(ISBLANK($E164),$G164="Yes"),1,$E164)*IF($H164="Yes",1,(1-$F164))</f>
        <v>7.4580235294117629E-3</v>
      </c>
      <c r="N164" s="5">
        <f>IF(ISBLANK($B164),_xlfn.XLOOKUP($A164,'2. TEUs &amp; Activities - EF'!$A$9:$A$190,'2. TEUs &amp; Activities - EF'!$M$9:$M$190),_xlfn.XLOOKUP($B164,'2. TEUs &amp; Activities - EF'!$B$9:$B$190,'2. TEUs &amp; Activities - EF'!$M$9:$M$190))*'3. Pollutant Emissions - EF'!$J164*IF(OR(ISBLANK($E164),$G164="Yes"),1,$E164)*IF($H164="Yes",1,(1-$F164))</f>
        <v>2.0432941176470584E-5</v>
      </c>
      <c r="O164" s="130"/>
    </row>
    <row r="165" spans="1:15" ht="15" x14ac:dyDescent="0.25">
      <c r="A165" s="5" t="s">
        <v>1314</v>
      </c>
      <c r="B165" s="7"/>
      <c r="C165" s="13" t="s">
        <v>65</v>
      </c>
      <c r="D165" s="19" t="str">
        <f>IFERROR(IF(C165="No CAS","",INDEX('DEQ Pollutant List'!$B$7:$B$611,MATCH('3. Pollutant Emissions - EF'!C165,'DEQ Pollutant List'!$A$7:$A$611,0))),"")</f>
        <v>Molybdenum trioxide</v>
      </c>
      <c r="E165" s="100">
        <v>0</v>
      </c>
      <c r="F165" s="36">
        <v>0</v>
      </c>
      <c r="G165" s="100" t="s">
        <v>1415</v>
      </c>
      <c r="H165" s="36" t="s">
        <v>1415</v>
      </c>
      <c r="I165" s="34">
        <v>1.65E-3</v>
      </c>
      <c r="J165" s="11">
        <f t="shared" si="2"/>
        <v>1.65E-3</v>
      </c>
      <c r="K165" s="6" t="s">
        <v>1416</v>
      </c>
      <c r="L165" s="20" t="s">
        <v>1422</v>
      </c>
      <c r="M165" s="7">
        <f>IF(ISBLANK($B165),_xlfn.XLOOKUP($A165,'2. TEUs &amp; Activities - EF'!$A$9:$A$190,'2. TEUs &amp; Activities - EF'!$J$9:$J$190),_xlfn.XLOOKUP($B165,'2. TEUs &amp; Activities - EF'!$B$9:$B$190,'2. TEUs &amp; Activities - EF'!$J$9:$J$190))*'3. Pollutant Emissions - EF'!$I165*IF(OR(ISBLANK($E165),$G165="Yes"),1,$E165)*IF($H165="Yes",1,(1-$F165))</f>
        <v>4.7329764705882342E-2</v>
      </c>
      <c r="N165" s="5">
        <f>IF(ISBLANK($B165),_xlfn.XLOOKUP($A165,'2. TEUs &amp; Activities - EF'!$A$9:$A$190,'2. TEUs &amp; Activities - EF'!$M$9:$M$190),_xlfn.XLOOKUP($B165,'2. TEUs &amp; Activities - EF'!$B$9:$B$190,'2. TEUs &amp; Activities - EF'!$M$9:$M$190))*'3. Pollutant Emissions - EF'!$J165*IF(OR(ISBLANK($E165),$G165="Yes"),1,$E165)*IF($H165="Yes",1,(1-$F165))</f>
        <v>1.296705882352941E-4</v>
      </c>
      <c r="O165" s="130"/>
    </row>
    <row r="166" spans="1:15" ht="15" x14ac:dyDescent="0.25">
      <c r="A166" s="5" t="s">
        <v>1314</v>
      </c>
      <c r="B166" s="7"/>
      <c r="C166" s="13" t="s">
        <v>49</v>
      </c>
      <c r="D166" s="19" t="str">
        <f>IFERROR(IF(C166="No CAS","",INDEX('DEQ Pollutant List'!$B$7:$B$611,MATCH('3. Pollutant Emissions - EF'!C166,'DEQ Pollutant List'!$A$7:$A$611,0))),"")</f>
        <v>Naphthalene</v>
      </c>
      <c r="E166" s="100">
        <v>0</v>
      </c>
      <c r="F166" s="36">
        <v>0</v>
      </c>
      <c r="G166" s="100" t="s">
        <v>1415</v>
      </c>
      <c r="H166" s="36" t="s">
        <v>1415</v>
      </c>
      <c r="I166" s="34">
        <v>2.9999999999999997E-4</v>
      </c>
      <c r="J166" s="11">
        <f t="shared" si="2"/>
        <v>2.9999999999999997E-4</v>
      </c>
      <c r="K166" s="6" t="s">
        <v>1416</v>
      </c>
      <c r="L166" s="20" t="s">
        <v>1422</v>
      </c>
      <c r="M166" s="7">
        <f>IF(ISBLANK($B166),_xlfn.XLOOKUP($A166,'2. TEUs &amp; Activities - EF'!$A$9:$A$190,'2. TEUs &amp; Activities - EF'!$J$9:$J$190),_xlfn.XLOOKUP($B166,'2. TEUs &amp; Activities - EF'!$B$9:$B$190,'2. TEUs &amp; Activities - EF'!$J$9:$J$190))*'3. Pollutant Emissions - EF'!$I166*IF(OR(ISBLANK($E166),$G166="Yes"),1,$E166)*IF($H166="Yes",1,(1-$F166))</f>
        <v>8.6054117647058805E-3</v>
      </c>
      <c r="N166" s="5">
        <f>IF(ISBLANK($B166),_xlfn.XLOOKUP($A166,'2. TEUs &amp; Activities - EF'!$A$9:$A$190,'2. TEUs &amp; Activities - EF'!$M$9:$M$190),_xlfn.XLOOKUP($B166,'2. TEUs &amp; Activities - EF'!$B$9:$B$190,'2. TEUs &amp; Activities - EF'!$M$9:$M$190))*'3. Pollutant Emissions - EF'!$J166*IF(OR(ISBLANK($E166),$G166="Yes"),1,$E166)*IF($H166="Yes",1,(1-$F166))</f>
        <v>2.357647058823529E-5</v>
      </c>
      <c r="O166" s="130"/>
    </row>
    <row r="167" spans="1:15" ht="15" x14ac:dyDescent="0.25">
      <c r="A167" s="5" t="s">
        <v>1314</v>
      </c>
      <c r="B167" s="7"/>
      <c r="C167" s="13" t="s">
        <v>66</v>
      </c>
      <c r="D167" s="19" t="str">
        <f>IFERROR(IF(C167="No CAS","",INDEX('DEQ Pollutant List'!$B$7:$B$611,MATCH('3. Pollutant Emissions - EF'!C167,'DEQ Pollutant List'!$A$7:$A$611,0))),"")</f>
        <v>Nickel and compounds</v>
      </c>
      <c r="E167" s="100">
        <v>0</v>
      </c>
      <c r="F167" s="36">
        <v>0</v>
      </c>
      <c r="G167" s="100" t="s">
        <v>1415</v>
      </c>
      <c r="H167" s="36" t="s">
        <v>1415</v>
      </c>
      <c r="I167" s="34">
        <v>2.0999999999999999E-3</v>
      </c>
      <c r="J167" s="11">
        <f t="shared" si="2"/>
        <v>2.0999999999999999E-3</v>
      </c>
      <c r="K167" s="6" t="s">
        <v>1416</v>
      </c>
      <c r="L167" s="20" t="s">
        <v>1422</v>
      </c>
      <c r="M167" s="7">
        <f>IF(ISBLANK($B167),_xlfn.XLOOKUP($A167,'2. TEUs &amp; Activities - EF'!$A$9:$A$190,'2. TEUs &amp; Activities - EF'!$J$9:$J$190),_xlfn.XLOOKUP($B167,'2. TEUs &amp; Activities - EF'!$B$9:$B$190,'2. TEUs &amp; Activities - EF'!$J$9:$J$190))*'3. Pollutant Emissions - EF'!$I167*IF(OR(ISBLANK($E167),$G167="Yes"),1,$E167)*IF($H167="Yes",1,(1-$F167))</f>
        <v>6.0237882352941162E-2</v>
      </c>
      <c r="N167" s="5">
        <f>IF(ISBLANK($B167),_xlfn.XLOOKUP($A167,'2. TEUs &amp; Activities - EF'!$A$9:$A$190,'2. TEUs &amp; Activities - EF'!$M$9:$M$190),_xlfn.XLOOKUP($B167,'2. TEUs &amp; Activities - EF'!$B$9:$B$190,'2. TEUs &amp; Activities - EF'!$M$9:$M$190))*'3. Pollutant Emissions - EF'!$J167*IF(OR(ISBLANK($E167),$G167="Yes"),1,$E167)*IF($H167="Yes",1,(1-$F167))</f>
        <v>1.6503529411764702E-4</v>
      </c>
      <c r="O167" s="130"/>
    </row>
    <row r="168" spans="1:15" ht="15" x14ac:dyDescent="0.25">
      <c r="A168" s="5" t="s">
        <v>1314</v>
      </c>
      <c r="B168" s="7"/>
      <c r="C168" s="13">
        <v>401</v>
      </c>
      <c r="D168" s="19" t="str">
        <f>IFERROR(IF(C168="No CAS","",INDEX('DEQ Pollutant List'!$B$7:$B$611,MATCH('3. Pollutant Emissions - EF'!C168,'DEQ Pollutant List'!$A$7:$A$611,0))),"")</f>
        <v>Polycyclic aromatic hydrocarbons (PAHs)</v>
      </c>
      <c r="E168" s="100">
        <v>0</v>
      </c>
      <c r="F168" s="36">
        <v>0</v>
      </c>
      <c r="G168" s="100" t="s">
        <v>1415</v>
      </c>
      <c r="H168" s="36" t="s">
        <v>1415</v>
      </c>
      <c r="I168" s="34">
        <v>1E-4</v>
      </c>
      <c r="J168" s="11">
        <f t="shared" si="2"/>
        <v>1E-4</v>
      </c>
      <c r="K168" s="6" t="s">
        <v>1416</v>
      </c>
      <c r="L168" s="20" t="s">
        <v>1422</v>
      </c>
      <c r="M168" s="7">
        <f>IF(ISBLANK($B168),_xlfn.XLOOKUP($A168,'2. TEUs &amp; Activities - EF'!$A$9:$A$190,'2. TEUs &amp; Activities - EF'!$J$9:$J$190),_xlfn.XLOOKUP($B168,'2. TEUs &amp; Activities - EF'!$B$9:$B$190,'2. TEUs &amp; Activities - EF'!$J$9:$J$190))*'3. Pollutant Emissions - EF'!$I168*IF(OR(ISBLANK($E168),$G168="Yes"),1,$E168)*IF($H168="Yes",1,(1-$F168))</f>
        <v>2.8684705882352939E-3</v>
      </c>
      <c r="N168" s="5">
        <f>IF(ISBLANK($B168),_xlfn.XLOOKUP($A168,'2. TEUs &amp; Activities - EF'!$A$9:$A$190,'2. TEUs &amp; Activities - EF'!$M$9:$M$190),_xlfn.XLOOKUP($B168,'2. TEUs &amp; Activities - EF'!$B$9:$B$190,'2. TEUs &amp; Activities - EF'!$M$9:$M$190))*'3. Pollutant Emissions - EF'!$J168*IF(OR(ISBLANK($E168),$G168="Yes"),1,$E168)*IF($H168="Yes",1,(1-$F168))</f>
        <v>7.8588235294117649E-6</v>
      </c>
      <c r="O168" s="130"/>
    </row>
    <row r="169" spans="1:15" ht="15" x14ac:dyDescent="0.25">
      <c r="A169" s="5" t="s">
        <v>1314</v>
      </c>
      <c r="B169" s="7"/>
      <c r="C169" s="13" t="s">
        <v>67</v>
      </c>
      <c r="D169" s="19" t="str">
        <f>IFERROR(IF(C169="No CAS","",INDEX('DEQ Pollutant List'!$B$7:$B$611,MATCH('3. Pollutant Emissions - EF'!C169,'DEQ Pollutant List'!$A$7:$A$611,0))),"")</f>
        <v>Selenium and compounds</v>
      </c>
      <c r="E169" s="100">
        <v>0</v>
      </c>
      <c r="F169" s="36">
        <v>0</v>
      </c>
      <c r="G169" s="100" t="s">
        <v>1415</v>
      </c>
      <c r="H169" s="36" t="s">
        <v>1415</v>
      </c>
      <c r="I169" s="34">
        <v>2.4000000000000001E-5</v>
      </c>
      <c r="J169" s="11">
        <f t="shared" si="2"/>
        <v>2.4000000000000001E-5</v>
      </c>
      <c r="K169" s="6" t="s">
        <v>1416</v>
      </c>
      <c r="L169" s="20" t="s">
        <v>1422</v>
      </c>
      <c r="M169" s="7">
        <f>IF(ISBLANK($B169),_xlfn.XLOOKUP($A169,'2. TEUs &amp; Activities - EF'!$A$9:$A$190,'2. TEUs &amp; Activities - EF'!$J$9:$J$190),_xlfn.XLOOKUP($B169,'2. TEUs &amp; Activities - EF'!$B$9:$B$190,'2. TEUs &amp; Activities - EF'!$J$9:$J$190))*'3. Pollutant Emissions - EF'!$I169*IF(OR(ISBLANK($E169),$G169="Yes"),1,$E169)*IF($H169="Yes",1,(1-$F169))</f>
        <v>6.8843294117647052E-4</v>
      </c>
      <c r="N169" s="5">
        <f>IF(ISBLANK($B169),_xlfn.XLOOKUP($A169,'2. TEUs &amp; Activities - EF'!$A$9:$A$190,'2. TEUs &amp; Activities - EF'!$M$9:$M$190),_xlfn.XLOOKUP($B169,'2. TEUs &amp; Activities - EF'!$B$9:$B$190,'2. TEUs &amp; Activities - EF'!$M$9:$M$190))*'3. Pollutant Emissions - EF'!$J169*IF(OR(ISBLANK($E169),$G169="Yes"),1,$E169)*IF($H169="Yes",1,(1-$F169))</f>
        <v>1.8861176470588235E-6</v>
      </c>
      <c r="O169" s="130"/>
    </row>
    <row r="170" spans="1:15" ht="15" x14ac:dyDescent="0.25">
      <c r="A170" s="5" t="s">
        <v>1314</v>
      </c>
      <c r="B170" s="7"/>
      <c r="C170" s="13" t="s">
        <v>68</v>
      </c>
      <c r="D170" s="19" t="str">
        <f>IFERROR(IF(C170="No CAS","",INDEX('DEQ Pollutant List'!$B$7:$B$611,MATCH('3. Pollutant Emissions - EF'!C170,'DEQ Pollutant List'!$A$7:$A$611,0))),"")</f>
        <v>Toluene</v>
      </c>
      <c r="E170" s="100">
        <v>0</v>
      </c>
      <c r="F170" s="36">
        <v>0</v>
      </c>
      <c r="G170" s="100" t="s">
        <v>1415</v>
      </c>
      <c r="H170" s="36" t="s">
        <v>1415</v>
      </c>
      <c r="I170" s="34">
        <v>3.6600000000000001E-2</v>
      </c>
      <c r="J170" s="11">
        <f t="shared" si="2"/>
        <v>3.6600000000000001E-2</v>
      </c>
      <c r="K170" s="6" t="s">
        <v>1416</v>
      </c>
      <c r="L170" s="20" t="s">
        <v>1422</v>
      </c>
      <c r="M170" s="7">
        <f>IF(ISBLANK($B170),_xlfn.XLOOKUP($A170,'2. TEUs &amp; Activities - EF'!$A$9:$A$190,'2. TEUs &amp; Activities - EF'!$J$9:$J$190),_xlfn.XLOOKUP($B170,'2. TEUs &amp; Activities - EF'!$B$9:$B$190,'2. TEUs &amp; Activities - EF'!$J$9:$J$190))*'3. Pollutant Emissions - EF'!$I170*IF(OR(ISBLANK($E170),$G170="Yes"),1,$E170)*IF($H170="Yes",1,(1-$F170))</f>
        <v>1.0498602352941175</v>
      </c>
      <c r="N170" s="5">
        <f>IF(ISBLANK($B170),_xlfn.XLOOKUP($A170,'2. TEUs &amp; Activities - EF'!$A$9:$A$190,'2. TEUs &amp; Activities - EF'!$M$9:$M$190),_xlfn.XLOOKUP($B170,'2. TEUs &amp; Activities - EF'!$B$9:$B$190,'2. TEUs &amp; Activities - EF'!$M$9:$M$190))*'3. Pollutant Emissions - EF'!$J170*IF(OR(ISBLANK($E170),$G170="Yes"),1,$E170)*IF($H170="Yes",1,(1-$F170))</f>
        <v>2.8763294117647056E-3</v>
      </c>
      <c r="O170" s="130"/>
    </row>
    <row r="171" spans="1:15" ht="15" x14ac:dyDescent="0.25">
      <c r="A171" s="5" t="s">
        <v>1314</v>
      </c>
      <c r="B171" s="7"/>
      <c r="C171" s="13" t="s">
        <v>69</v>
      </c>
      <c r="D171" s="19" t="str">
        <f>IFERROR(IF(C171="No CAS","",INDEX('DEQ Pollutant List'!$B$7:$B$611,MATCH('3. Pollutant Emissions - EF'!C171,'DEQ Pollutant List'!$A$7:$A$611,0))),"")</f>
        <v>Vanadium (fume or dust)</v>
      </c>
      <c r="E171" s="100">
        <v>0</v>
      </c>
      <c r="F171" s="36">
        <v>0</v>
      </c>
      <c r="G171" s="100" t="s">
        <v>1415</v>
      </c>
      <c r="H171" s="36" t="s">
        <v>1415</v>
      </c>
      <c r="I171" s="34">
        <v>2.3E-3</v>
      </c>
      <c r="J171" s="11">
        <f t="shared" si="2"/>
        <v>2.3E-3</v>
      </c>
      <c r="K171" s="6" t="s">
        <v>1416</v>
      </c>
      <c r="L171" s="20" t="s">
        <v>1422</v>
      </c>
      <c r="M171" s="7">
        <f>IF(ISBLANK($B171),_xlfn.XLOOKUP($A171,'2. TEUs &amp; Activities - EF'!$A$9:$A$190,'2. TEUs &amp; Activities - EF'!$J$9:$J$190),_xlfn.XLOOKUP($B171,'2. TEUs &amp; Activities - EF'!$B$9:$B$190,'2. TEUs &amp; Activities - EF'!$J$9:$J$190))*'3. Pollutant Emissions - EF'!$I171*IF(OR(ISBLANK($E171),$G171="Yes"),1,$E171)*IF($H171="Yes",1,(1-$F171))</f>
        <v>6.5974823529411752E-2</v>
      </c>
      <c r="N171" s="5">
        <f>IF(ISBLANK($B171),_xlfn.XLOOKUP($A171,'2. TEUs &amp; Activities - EF'!$A$9:$A$190,'2. TEUs &amp; Activities - EF'!$M$9:$M$190),_xlfn.XLOOKUP($B171,'2. TEUs &amp; Activities - EF'!$B$9:$B$190,'2. TEUs &amp; Activities - EF'!$M$9:$M$190))*'3. Pollutant Emissions - EF'!$J171*IF(OR(ISBLANK($E171),$G171="Yes"),1,$E171)*IF($H171="Yes",1,(1-$F171))</f>
        <v>1.8075294117647056E-4</v>
      </c>
      <c r="O171" s="130"/>
    </row>
    <row r="172" spans="1:15" ht="15" x14ac:dyDescent="0.25">
      <c r="A172" s="5" t="s">
        <v>1314</v>
      </c>
      <c r="B172" s="7"/>
      <c r="C172" s="13" t="s">
        <v>70</v>
      </c>
      <c r="D172" s="19" t="str">
        <f>IFERROR(IF(C172="No CAS","",INDEX('DEQ Pollutant List'!$B$7:$B$611,MATCH('3. Pollutant Emissions - EF'!C172,'DEQ Pollutant List'!$A$7:$A$611,0))),"")</f>
        <v>Xylene (mixture), including m-xylene, o-xylene, p-xylene</v>
      </c>
      <c r="E172" s="100">
        <v>0</v>
      </c>
      <c r="F172" s="36">
        <v>0</v>
      </c>
      <c r="G172" s="100" t="s">
        <v>1415</v>
      </c>
      <c r="H172" s="36" t="s">
        <v>1415</v>
      </c>
      <c r="I172" s="34">
        <v>2.7199999999999998E-2</v>
      </c>
      <c r="J172" s="11">
        <f t="shared" si="2"/>
        <v>2.7199999999999998E-2</v>
      </c>
      <c r="K172" s="6" t="s">
        <v>1416</v>
      </c>
      <c r="L172" s="20" t="s">
        <v>1422</v>
      </c>
      <c r="M172" s="7">
        <f>IF(ISBLANK($B172),_xlfn.XLOOKUP($A172,'2. TEUs &amp; Activities - EF'!$A$9:$A$190,'2. TEUs &amp; Activities - EF'!$J$9:$J$190),_xlfn.XLOOKUP($B172,'2. TEUs &amp; Activities - EF'!$B$9:$B$190,'2. TEUs &amp; Activities - EF'!$J$9:$J$190))*'3. Pollutant Emissions - EF'!$I172*IF(OR(ISBLANK($E172),$G172="Yes"),1,$E172)*IF($H172="Yes",1,(1-$F172))</f>
        <v>0.78022399999999981</v>
      </c>
      <c r="N172" s="5">
        <f>IF(ISBLANK($B172),_xlfn.XLOOKUP($A172,'2. TEUs &amp; Activities - EF'!$A$9:$A$190,'2. TEUs &amp; Activities - EF'!$M$9:$M$190),_xlfn.XLOOKUP($B172,'2. TEUs &amp; Activities - EF'!$B$9:$B$190,'2. TEUs &amp; Activities - EF'!$M$9:$M$190))*'3. Pollutant Emissions - EF'!$J172*IF(OR(ISBLANK($E172),$G172="Yes"),1,$E172)*IF($H172="Yes",1,(1-$F172))</f>
        <v>2.1375999999999995E-3</v>
      </c>
      <c r="O172" s="130"/>
    </row>
    <row r="173" spans="1:15" ht="15" x14ac:dyDescent="0.25">
      <c r="A173" s="5" t="s">
        <v>1314</v>
      </c>
      <c r="B173" s="7"/>
      <c r="C173" s="13" t="s">
        <v>71</v>
      </c>
      <c r="D173" s="19" t="str">
        <f>IFERROR(IF(C173="No CAS","",INDEX('DEQ Pollutant List'!$B$7:$B$611,MATCH('3. Pollutant Emissions - EF'!C173,'DEQ Pollutant List'!$A$7:$A$611,0))),"")</f>
        <v>Zinc and compounds</v>
      </c>
      <c r="E173" s="100">
        <v>0</v>
      </c>
      <c r="F173" s="36">
        <v>0</v>
      </c>
      <c r="G173" s="100" t="s">
        <v>1415</v>
      </c>
      <c r="H173" s="36" t="s">
        <v>1415</v>
      </c>
      <c r="I173" s="34">
        <v>2.9000000000000001E-2</v>
      </c>
      <c r="J173" s="11">
        <f t="shared" si="2"/>
        <v>2.9000000000000001E-2</v>
      </c>
      <c r="K173" s="6" t="s">
        <v>1416</v>
      </c>
      <c r="L173" s="20" t="s">
        <v>1422</v>
      </c>
      <c r="M173" s="7">
        <f>IF(ISBLANK($B173),_xlfn.XLOOKUP($A173,'2. TEUs &amp; Activities - EF'!$A$9:$A$190,'2. TEUs &amp; Activities - EF'!$J$9:$J$190),_xlfn.XLOOKUP($B173,'2. TEUs &amp; Activities - EF'!$B$9:$B$190,'2. TEUs &amp; Activities - EF'!$J$9:$J$190))*'3. Pollutant Emissions - EF'!$I173*IF(OR(ISBLANK($E173),$G173="Yes"),1,$E173)*IF($H173="Yes",1,(1-$F173))</f>
        <v>0.8318564705882352</v>
      </c>
      <c r="N173" s="5">
        <f>IF(ISBLANK($B173),_xlfn.XLOOKUP($A173,'2. TEUs &amp; Activities - EF'!$A$9:$A$190,'2. TEUs &amp; Activities - EF'!$M$9:$M$190),_xlfn.XLOOKUP($B173,'2. TEUs &amp; Activities - EF'!$B$9:$B$190,'2. TEUs &amp; Activities - EF'!$M$9:$M$190))*'3. Pollutant Emissions - EF'!$J173*IF(OR(ISBLANK($E173),$G173="Yes"),1,$E173)*IF($H173="Yes",1,(1-$F173))</f>
        <v>2.2790588235294118E-3</v>
      </c>
      <c r="O173" s="130"/>
    </row>
    <row r="174" spans="1:15" ht="15" x14ac:dyDescent="0.25">
      <c r="A174" s="5"/>
      <c r="B174" s="7"/>
      <c r="C174" s="13"/>
      <c r="D174" s="19" t="str">
        <f>IFERROR(IF(C174="No CAS","",INDEX('DEQ Pollutant List'!$B$7:$B$611,MATCH('3. Pollutant Emissions - EF'!C174,'DEQ Pollutant List'!$A$7:$A$611,0))),"")</f>
        <v/>
      </c>
      <c r="E174" s="100"/>
      <c r="F174" s="36"/>
      <c r="G174" s="100"/>
      <c r="H174" s="36"/>
      <c r="I174" s="34"/>
      <c r="J174" s="11"/>
      <c r="K174" s="6"/>
      <c r="L174" s="20"/>
      <c r="M174" s="7">
        <f>IF(ISBLANK($B174),_xlfn.XLOOKUP($A174,'2. TEUs &amp; Activities - EF'!$A$9:$A$190,'2. TEUs &amp; Activities - EF'!$J$9:$J$190),_xlfn.XLOOKUP($B174,'2. TEUs &amp; Activities - EF'!$B$9:$B$190,'2. TEUs &amp; Activities - EF'!$J$9:$J$190))*'3. Pollutant Emissions - EF'!$I174*IF(OR(ISBLANK($E174),$G174="Yes"),1,$E174)*IF($H174="Yes",1,(1-$F174))</f>
        <v>0</v>
      </c>
      <c r="N174" s="5">
        <f>IF(ISBLANK($B174),_xlfn.XLOOKUP($A174,'2. TEUs &amp; Activities - EF'!$A$9:$A$190,'2. TEUs &amp; Activities - EF'!$M$9:$M$190),_xlfn.XLOOKUP($B174,'2. TEUs &amp; Activities - EF'!$B$9:$B$190,'2. TEUs &amp; Activities - EF'!$M$9:$M$190))*'3. Pollutant Emissions - EF'!$J174*IF(OR(ISBLANK($E174),$G174="Yes"),1,$E174)*IF($H174="Yes",1,(1-$F174))</f>
        <v>0</v>
      </c>
      <c r="O174" s="130"/>
    </row>
    <row r="175" spans="1:15" ht="15" x14ac:dyDescent="0.25">
      <c r="A175" s="5" t="s">
        <v>1315</v>
      </c>
      <c r="B175" s="7"/>
      <c r="C175" s="13" t="s">
        <v>50</v>
      </c>
      <c r="D175" s="19" t="str">
        <f>IFERROR(IF(C175="No CAS","",INDEX('DEQ Pollutant List'!$B$7:$B$611,MATCH('3. Pollutant Emissions - EF'!C175,'DEQ Pollutant List'!$A$7:$A$611,0))),"")</f>
        <v>Acetaldehyde</v>
      </c>
      <c r="E175" s="100">
        <v>0</v>
      </c>
      <c r="F175" s="36">
        <v>0</v>
      </c>
      <c r="G175" s="100" t="s">
        <v>1415</v>
      </c>
      <c r="H175" s="36" t="s">
        <v>1415</v>
      </c>
      <c r="I175" s="34">
        <v>4.3E-3</v>
      </c>
      <c r="J175" s="11">
        <f t="shared" si="2"/>
        <v>4.3E-3</v>
      </c>
      <c r="K175" s="6" t="s">
        <v>1416</v>
      </c>
      <c r="L175" s="20" t="s">
        <v>1422</v>
      </c>
      <c r="M175" s="7">
        <f>IF(ISBLANK($B175),_xlfn.XLOOKUP($A175,'2. TEUs &amp; Activities - EF'!$A$9:$A$190,'2. TEUs &amp; Activities - EF'!$J$9:$J$190),_xlfn.XLOOKUP($B175,'2. TEUs &amp; Activities - EF'!$B$9:$B$190,'2. TEUs &amp; Activities - EF'!$J$9:$J$190))*'3. Pollutant Emissions - EF'!$I175*IF(OR(ISBLANK($E175),$G175="Yes"),1,$E175)*IF($H175="Yes",1,(1-$F175))</f>
        <v>0.31020705882352939</v>
      </c>
      <c r="N175" s="5">
        <f>IF(ISBLANK($B175),_xlfn.XLOOKUP($A175,'2. TEUs &amp; Activities - EF'!$A$9:$A$190,'2. TEUs &amp; Activities - EF'!$M$9:$M$190),_xlfn.XLOOKUP($B175,'2. TEUs &amp; Activities - EF'!$B$9:$B$190,'2. TEUs &amp; Activities - EF'!$M$9:$M$190))*'3. Pollutant Emissions - EF'!$J175*IF(OR(ISBLANK($E175),$G175="Yes"),1,$E175)*IF($H175="Yes",1,(1-$F175))</f>
        <v>8.4988235294117655E-4</v>
      </c>
      <c r="O175" s="130"/>
    </row>
    <row r="176" spans="1:15" ht="15" x14ac:dyDescent="0.25">
      <c r="A176" s="5" t="s">
        <v>1315</v>
      </c>
      <c r="B176" s="7"/>
      <c r="C176" s="13" t="s">
        <v>51</v>
      </c>
      <c r="D176" s="19" t="str">
        <f>IFERROR(IF(C176="No CAS","",INDEX('DEQ Pollutant List'!$B$7:$B$611,MATCH('3. Pollutant Emissions - EF'!C176,'DEQ Pollutant List'!$A$7:$A$611,0))),"")</f>
        <v>Acrolein</v>
      </c>
      <c r="E176" s="100">
        <v>0</v>
      </c>
      <c r="F176" s="36">
        <v>0</v>
      </c>
      <c r="G176" s="100" t="s">
        <v>1415</v>
      </c>
      <c r="H176" s="36" t="s">
        <v>1415</v>
      </c>
      <c r="I176" s="34">
        <v>2.7000000000000001E-3</v>
      </c>
      <c r="J176" s="11">
        <f t="shared" si="2"/>
        <v>2.7000000000000001E-3</v>
      </c>
      <c r="K176" s="6" t="s">
        <v>1416</v>
      </c>
      <c r="L176" s="20" t="s">
        <v>1422</v>
      </c>
      <c r="M176" s="7">
        <f>IF(ISBLANK($B176),_xlfn.XLOOKUP($A176,'2. TEUs &amp; Activities - EF'!$A$9:$A$190,'2. TEUs &amp; Activities - EF'!$J$9:$J$190),_xlfn.XLOOKUP($B176,'2. TEUs &amp; Activities - EF'!$B$9:$B$190,'2. TEUs &amp; Activities - EF'!$J$9:$J$190))*'3. Pollutant Emissions - EF'!$I176*IF(OR(ISBLANK($E176),$G176="Yes"),1,$E176)*IF($H176="Yes",1,(1-$F176))</f>
        <v>0.19478117647058824</v>
      </c>
      <c r="N176" s="5">
        <f>IF(ISBLANK($B176),_xlfn.XLOOKUP($A176,'2. TEUs &amp; Activities - EF'!$A$9:$A$190,'2. TEUs &amp; Activities - EF'!$M$9:$M$190),_xlfn.XLOOKUP($B176,'2. TEUs &amp; Activities - EF'!$B$9:$B$190,'2. TEUs &amp; Activities - EF'!$M$9:$M$190))*'3. Pollutant Emissions - EF'!$J176*IF(OR(ISBLANK($E176),$G176="Yes"),1,$E176)*IF($H176="Yes",1,(1-$F176))</f>
        <v>5.3364705882352943E-4</v>
      </c>
      <c r="O176" s="130"/>
    </row>
    <row r="177" spans="1:15" ht="15" x14ac:dyDescent="0.25">
      <c r="A177" s="5" t="s">
        <v>1315</v>
      </c>
      <c r="B177" s="7"/>
      <c r="C177" s="13" t="s">
        <v>52</v>
      </c>
      <c r="D177" s="19" t="str">
        <f>IFERROR(IF(C177="No CAS","",INDEX('DEQ Pollutant List'!$B$7:$B$611,MATCH('3. Pollutant Emissions - EF'!C177,'DEQ Pollutant List'!$A$7:$A$611,0))),"")</f>
        <v>Ammonia</v>
      </c>
      <c r="E177" s="100">
        <v>0</v>
      </c>
      <c r="F177" s="36">
        <v>0</v>
      </c>
      <c r="G177" s="100" t="s">
        <v>1415</v>
      </c>
      <c r="H177" s="36" t="s">
        <v>1415</v>
      </c>
      <c r="I177" s="34">
        <v>3.2</v>
      </c>
      <c r="J177" s="11">
        <f t="shared" si="2"/>
        <v>3.2</v>
      </c>
      <c r="K177" s="6" t="s">
        <v>1416</v>
      </c>
      <c r="L177" s="20" t="s">
        <v>1422</v>
      </c>
      <c r="M177" s="7">
        <f>IF(ISBLANK($B177),_xlfn.XLOOKUP($A177,'2. TEUs &amp; Activities - EF'!$A$9:$A$190,'2. TEUs &amp; Activities - EF'!$J$9:$J$190),_xlfn.XLOOKUP($B177,'2. TEUs &amp; Activities - EF'!$B$9:$B$190,'2. TEUs &amp; Activities - EF'!$J$9:$J$190))*'3. Pollutant Emissions - EF'!$I177*IF(OR(ISBLANK($E177),$G177="Yes"),1,$E177)*IF($H177="Yes",1,(1-$F177))</f>
        <v>230.85176470588237</v>
      </c>
      <c r="N177" s="5">
        <f>IF(ISBLANK($B177),_xlfn.XLOOKUP($A177,'2. TEUs &amp; Activities - EF'!$A$9:$A$190,'2. TEUs &amp; Activities - EF'!$M$9:$M$190),_xlfn.XLOOKUP($B177,'2. TEUs &amp; Activities - EF'!$B$9:$B$190,'2. TEUs &amp; Activities - EF'!$M$9:$M$190))*'3. Pollutant Emissions - EF'!$J177*IF(OR(ISBLANK($E177),$G177="Yes"),1,$E177)*IF($H177="Yes",1,(1-$F177))</f>
        <v>0.63247058823529423</v>
      </c>
      <c r="O177" s="130"/>
    </row>
    <row r="178" spans="1:15" ht="15" x14ac:dyDescent="0.25">
      <c r="A178" s="5" t="s">
        <v>1315</v>
      </c>
      <c r="B178" s="7"/>
      <c r="C178" s="13" t="s">
        <v>53</v>
      </c>
      <c r="D178" s="19" t="str">
        <f>IFERROR(IF(C178="No CAS","",INDEX('DEQ Pollutant List'!$B$7:$B$611,MATCH('3. Pollutant Emissions - EF'!C178,'DEQ Pollutant List'!$A$7:$A$611,0))),"")</f>
        <v>Arsenic and compounds</v>
      </c>
      <c r="E178" s="100">
        <v>0</v>
      </c>
      <c r="F178" s="36">
        <v>0</v>
      </c>
      <c r="G178" s="100" t="s">
        <v>1415</v>
      </c>
      <c r="H178" s="36" t="s">
        <v>1415</v>
      </c>
      <c r="I178" s="34">
        <v>2.0000000000000001E-4</v>
      </c>
      <c r="J178" s="11">
        <f t="shared" si="2"/>
        <v>2.0000000000000001E-4</v>
      </c>
      <c r="K178" s="6" t="s">
        <v>1416</v>
      </c>
      <c r="L178" s="20" t="s">
        <v>1422</v>
      </c>
      <c r="M178" s="7">
        <f>IF(ISBLANK($B178),_xlfn.XLOOKUP($A178,'2. TEUs &amp; Activities - EF'!$A$9:$A$190,'2. TEUs &amp; Activities - EF'!$J$9:$J$190),_xlfn.XLOOKUP($B178,'2. TEUs &amp; Activities - EF'!$B$9:$B$190,'2. TEUs &amp; Activities - EF'!$J$9:$J$190))*'3. Pollutant Emissions - EF'!$I178*IF(OR(ISBLANK($E178),$G178="Yes"),1,$E178)*IF($H178="Yes",1,(1-$F178))</f>
        <v>1.4428235294117648E-2</v>
      </c>
      <c r="N178" s="5">
        <f>IF(ISBLANK($B178),_xlfn.XLOOKUP($A178,'2. TEUs &amp; Activities - EF'!$A$9:$A$190,'2. TEUs &amp; Activities - EF'!$M$9:$M$190),_xlfn.XLOOKUP($B178,'2. TEUs &amp; Activities - EF'!$B$9:$B$190,'2. TEUs &amp; Activities - EF'!$M$9:$M$190))*'3. Pollutant Emissions - EF'!$J178*IF(OR(ISBLANK($E178),$G178="Yes"),1,$E178)*IF($H178="Yes",1,(1-$F178))</f>
        <v>3.952941176470589E-5</v>
      </c>
      <c r="O178" s="130"/>
    </row>
    <row r="179" spans="1:15" ht="15" x14ac:dyDescent="0.25">
      <c r="A179" s="5" t="s">
        <v>1315</v>
      </c>
      <c r="B179" s="7"/>
      <c r="C179" s="13" t="s">
        <v>54</v>
      </c>
      <c r="D179" s="19" t="str">
        <f>IFERROR(IF(C179="No CAS","",INDEX('DEQ Pollutant List'!$B$7:$B$611,MATCH('3. Pollutant Emissions - EF'!C179,'DEQ Pollutant List'!$A$7:$A$611,0))),"")</f>
        <v>Barium and compounds</v>
      </c>
      <c r="E179" s="100">
        <v>0</v>
      </c>
      <c r="F179" s="36">
        <v>0</v>
      </c>
      <c r="G179" s="100" t="s">
        <v>1415</v>
      </c>
      <c r="H179" s="36" t="s">
        <v>1415</v>
      </c>
      <c r="I179" s="34">
        <v>4.4000000000000003E-3</v>
      </c>
      <c r="J179" s="11">
        <f t="shared" si="2"/>
        <v>4.4000000000000003E-3</v>
      </c>
      <c r="K179" s="6" t="s">
        <v>1416</v>
      </c>
      <c r="L179" s="20" t="s">
        <v>1422</v>
      </c>
      <c r="M179" s="7">
        <f>IF(ISBLANK($B179),_xlfn.XLOOKUP($A179,'2. TEUs &amp; Activities - EF'!$A$9:$A$190,'2. TEUs &amp; Activities - EF'!$J$9:$J$190),_xlfn.XLOOKUP($B179,'2. TEUs &amp; Activities - EF'!$B$9:$B$190,'2. TEUs &amp; Activities - EF'!$J$9:$J$190))*'3. Pollutant Emissions - EF'!$I179*IF(OR(ISBLANK($E179),$G179="Yes"),1,$E179)*IF($H179="Yes",1,(1-$F179))</f>
        <v>0.31742117647058826</v>
      </c>
      <c r="N179" s="5">
        <f>IF(ISBLANK($B179),_xlfn.XLOOKUP($A179,'2. TEUs &amp; Activities - EF'!$A$9:$A$190,'2. TEUs &amp; Activities - EF'!$M$9:$M$190),_xlfn.XLOOKUP($B179,'2. TEUs &amp; Activities - EF'!$B$9:$B$190,'2. TEUs &amp; Activities - EF'!$M$9:$M$190))*'3. Pollutant Emissions - EF'!$J179*IF(OR(ISBLANK($E179),$G179="Yes"),1,$E179)*IF($H179="Yes",1,(1-$F179))</f>
        <v>8.6964705882352957E-4</v>
      </c>
      <c r="O179" s="130"/>
    </row>
    <row r="180" spans="1:15" ht="15" x14ac:dyDescent="0.25">
      <c r="A180" s="5" t="s">
        <v>1315</v>
      </c>
      <c r="B180" s="7"/>
      <c r="C180" s="13" t="s">
        <v>46</v>
      </c>
      <c r="D180" s="19" t="str">
        <f>IFERROR(IF(C180="No CAS","",INDEX('DEQ Pollutant List'!$B$7:$B$611,MATCH('3. Pollutant Emissions - EF'!C180,'DEQ Pollutant List'!$A$7:$A$611,0))),"")</f>
        <v>Benzene</v>
      </c>
      <c r="E180" s="100">
        <v>0</v>
      </c>
      <c r="F180" s="36">
        <v>0</v>
      </c>
      <c r="G180" s="100" t="s">
        <v>1415</v>
      </c>
      <c r="H180" s="36" t="s">
        <v>1415</v>
      </c>
      <c r="I180" s="34">
        <v>8.0000000000000002E-3</v>
      </c>
      <c r="J180" s="11">
        <f t="shared" si="2"/>
        <v>8.0000000000000002E-3</v>
      </c>
      <c r="K180" s="6" t="s">
        <v>1416</v>
      </c>
      <c r="L180" s="20" t="s">
        <v>1422</v>
      </c>
      <c r="M180" s="7">
        <f>IF(ISBLANK($B180),_xlfn.XLOOKUP($A180,'2. TEUs &amp; Activities - EF'!$A$9:$A$190,'2. TEUs &amp; Activities - EF'!$J$9:$J$190),_xlfn.XLOOKUP($B180,'2. TEUs &amp; Activities - EF'!$B$9:$B$190,'2. TEUs &amp; Activities - EF'!$J$9:$J$190))*'3. Pollutant Emissions - EF'!$I180*IF(OR(ISBLANK($E180),$G180="Yes"),1,$E180)*IF($H180="Yes",1,(1-$F180))</f>
        <v>0.57712941176470589</v>
      </c>
      <c r="N180" s="5">
        <f>IF(ISBLANK($B180),_xlfn.XLOOKUP($A180,'2. TEUs &amp; Activities - EF'!$A$9:$A$190,'2. TEUs &amp; Activities - EF'!$M$9:$M$190),_xlfn.XLOOKUP($B180,'2. TEUs &amp; Activities - EF'!$B$9:$B$190,'2. TEUs &amp; Activities - EF'!$M$9:$M$190))*'3. Pollutant Emissions - EF'!$J180*IF(OR(ISBLANK($E180),$G180="Yes"),1,$E180)*IF($H180="Yes",1,(1-$F180))</f>
        <v>1.5811764705882354E-3</v>
      </c>
      <c r="O180" s="130"/>
    </row>
    <row r="181" spans="1:15" ht="15" x14ac:dyDescent="0.25">
      <c r="A181" s="5" t="s">
        <v>1315</v>
      </c>
      <c r="B181" s="7"/>
      <c r="C181" s="13" t="s">
        <v>55</v>
      </c>
      <c r="D181" s="19" t="str">
        <f>IFERROR(IF(C181="No CAS","",INDEX('DEQ Pollutant List'!$B$7:$B$611,MATCH('3. Pollutant Emissions - EF'!C181,'DEQ Pollutant List'!$A$7:$A$611,0))),"")</f>
        <v>Beryllium and compounds</v>
      </c>
      <c r="E181" s="100">
        <v>0</v>
      </c>
      <c r="F181" s="36">
        <v>0</v>
      </c>
      <c r="G181" s="100" t="s">
        <v>1415</v>
      </c>
      <c r="H181" s="36" t="s">
        <v>1415</v>
      </c>
      <c r="I181" s="34">
        <v>1.2E-5</v>
      </c>
      <c r="J181" s="11">
        <f t="shared" si="2"/>
        <v>1.2E-5</v>
      </c>
      <c r="K181" s="6" t="s">
        <v>1416</v>
      </c>
      <c r="L181" s="20" t="s">
        <v>1422</v>
      </c>
      <c r="M181" s="7">
        <f>IF(ISBLANK($B181),_xlfn.XLOOKUP($A181,'2. TEUs &amp; Activities - EF'!$A$9:$A$190,'2. TEUs &amp; Activities - EF'!$J$9:$J$190),_xlfn.XLOOKUP($B181,'2. TEUs &amp; Activities - EF'!$B$9:$B$190,'2. TEUs &amp; Activities - EF'!$J$9:$J$190))*'3. Pollutant Emissions - EF'!$I181*IF(OR(ISBLANK($E181),$G181="Yes"),1,$E181)*IF($H181="Yes",1,(1-$F181))</f>
        <v>8.6569411764705884E-4</v>
      </c>
      <c r="N181" s="5">
        <f>IF(ISBLANK($B181),_xlfn.XLOOKUP($A181,'2. TEUs &amp; Activities - EF'!$A$9:$A$190,'2. TEUs &amp; Activities - EF'!$M$9:$M$190),_xlfn.XLOOKUP($B181,'2. TEUs &amp; Activities - EF'!$B$9:$B$190,'2. TEUs &amp; Activities - EF'!$M$9:$M$190))*'3. Pollutant Emissions - EF'!$J181*IF(OR(ISBLANK($E181),$G181="Yes"),1,$E181)*IF($H181="Yes",1,(1-$F181))</f>
        <v>2.371764705882353E-6</v>
      </c>
      <c r="O181" s="130"/>
    </row>
    <row r="182" spans="1:15" ht="15" x14ac:dyDescent="0.25">
      <c r="A182" s="5" t="s">
        <v>1315</v>
      </c>
      <c r="B182" s="7"/>
      <c r="C182" s="13" t="s">
        <v>56</v>
      </c>
      <c r="D182" s="19" t="str">
        <f>IFERROR(IF(C182="No CAS","",INDEX('DEQ Pollutant List'!$B$7:$B$611,MATCH('3. Pollutant Emissions - EF'!C182,'DEQ Pollutant List'!$A$7:$A$611,0))),"")</f>
        <v>Cadmium and compounds</v>
      </c>
      <c r="E182" s="100">
        <v>0</v>
      </c>
      <c r="F182" s="36">
        <v>0</v>
      </c>
      <c r="G182" s="100" t="s">
        <v>1415</v>
      </c>
      <c r="H182" s="36" t="s">
        <v>1415</v>
      </c>
      <c r="I182" s="34">
        <v>1.1000000000000001E-3</v>
      </c>
      <c r="J182" s="11">
        <f t="shared" si="2"/>
        <v>1.1000000000000001E-3</v>
      </c>
      <c r="K182" s="6" t="s">
        <v>1416</v>
      </c>
      <c r="L182" s="20" t="s">
        <v>1422</v>
      </c>
      <c r="M182" s="7">
        <f>IF(ISBLANK($B182),_xlfn.XLOOKUP($A182,'2. TEUs &amp; Activities - EF'!$A$9:$A$190,'2. TEUs &amp; Activities - EF'!$J$9:$J$190),_xlfn.XLOOKUP($B182,'2. TEUs &amp; Activities - EF'!$B$9:$B$190,'2. TEUs &amp; Activities - EF'!$J$9:$J$190))*'3. Pollutant Emissions - EF'!$I182*IF(OR(ISBLANK($E182),$G182="Yes"),1,$E182)*IF($H182="Yes",1,(1-$F182))</f>
        <v>7.9355294117647066E-2</v>
      </c>
      <c r="N182" s="5">
        <f>IF(ISBLANK($B182),_xlfn.XLOOKUP($A182,'2. TEUs &amp; Activities - EF'!$A$9:$A$190,'2. TEUs &amp; Activities - EF'!$M$9:$M$190),_xlfn.XLOOKUP($B182,'2. TEUs &amp; Activities - EF'!$B$9:$B$190,'2. TEUs &amp; Activities - EF'!$M$9:$M$190))*'3. Pollutant Emissions - EF'!$J182*IF(OR(ISBLANK($E182),$G182="Yes"),1,$E182)*IF($H182="Yes",1,(1-$F182))</f>
        <v>2.1741176470588239E-4</v>
      </c>
      <c r="O182" s="130"/>
    </row>
    <row r="183" spans="1:15" ht="15" x14ac:dyDescent="0.25">
      <c r="A183" s="5" t="s">
        <v>1315</v>
      </c>
      <c r="B183" s="7"/>
      <c r="C183" s="13" t="s">
        <v>57</v>
      </c>
      <c r="D183" s="19" t="str">
        <f>IFERROR(IF(C183="No CAS","",INDEX('DEQ Pollutant List'!$B$7:$B$611,MATCH('3. Pollutant Emissions - EF'!C183,'DEQ Pollutant List'!$A$7:$A$611,0))),"")</f>
        <v>Chromium VI, chromate and dichromate particulate</v>
      </c>
      <c r="E183" s="100">
        <v>0</v>
      </c>
      <c r="F183" s="36">
        <v>0</v>
      </c>
      <c r="G183" s="100" t="s">
        <v>1415</v>
      </c>
      <c r="H183" s="36" t="s">
        <v>1415</v>
      </c>
      <c r="I183" s="34">
        <v>1.4E-3</v>
      </c>
      <c r="J183" s="11">
        <f t="shared" si="2"/>
        <v>1.4E-3</v>
      </c>
      <c r="K183" s="6" t="s">
        <v>1416</v>
      </c>
      <c r="L183" s="20" t="s">
        <v>1422</v>
      </c>
      <c r="M183" s="7">
        <f>IF(ISBLANK($B183),_xlfn.XLOOKUP($A183,'2. TEUs &amp; Activities - EF'!$A$9:$A$190,'2. TEUs &amp; Activities - EF'!$J$9:$J$190),_xlfn.XLOOKUP($B183,'2. TEUs &amp; Activities - EF'!$B$9:$B$190,'2. TEUs &amp; Activities - EF'!$J$9:$J$190))*'3. Pollutant Emissions - EF'!$I183*IF(OR(ISBLANK($E183),$G183="Yes"),1,$E183)*IF($H183="Yes",1,(1-$F183))</f>
        <v>0.10099764705882353</v>
      </c>
      <c r="N183" s="5">
        <f>IF(ISBLANK($B183),_xlfn.XLOOKUP($A183,'2. TEUs &amp; Activities - EF'!$A$9:$A$190,'2. TEUs &amp; Activities - EF'!$M$9:$M$190),_xlfn.XLOOKUP($B183,'2. TEUs &amp; Activities - EF'!$B$9:$B$190,'2. TEUs &amp; Activities - EF'!$M$9:$M$190))*'3. Pollutant Emissions - EF'!$J183*IF(OR(ISBLANK($E183),$G183="Yes"),1,$E183)*IF($H183="Yes",1,(1-$F183))</f>
        <v>2.7670588235294117E-4</v>
      </c>
      <c r="O183" s="130"/>
    </row>
    <row r="184" spans="1:15" ht="15" x14ac:dyDescent="0.25">
      <c r="A184" s="5" t="s">
        <v>1315</v>
      </c>
      <c r="B184" s="7"/>
      <c r="C184" s="13" t="s">
        <v>58</v>
      </c>
      <c r="D184" s="19" t="str">
        <f>IFERROR(IF(C184="No CAS","",INDEX('DEQ Pollutant List'!$B$7:$B$611,MATCH('3. Pollutant Emissions - EF'!C184,'DEQ Pollutant List'!$A$7:$A$611,0))),"")</f>
        <v>Cobalt and compounds</v>
      </c>
      <c r="E184" s="100">
        <v>0</v>
      </c>
      <c r="F184" s="36">
        <v>0</v>
      </c>
      <c r="G184" s="100" t="s">
        <v>1415</v>
      </c>
      <c r="H184" s="36" t="s">
        <v>1415</v>
      </c>
      <c r="I184" s="34">
        <v>8.3999999999999995E-5</v>
      </c>
      <c r="J184" s="11">
        <f t="shared" si="2"/>
        <v>8.3999999999999995E-5</v>
      </c>
      <c r="K184" s="6" t="s">
        <v>1416</v>
      </c>
      <c r="L184" s="20" t="s">
        <v>1422</v>
      </c>
      <c r="M184" s="7">
        <f>IF(ISBLANK($B184),_xlfn.XLOOKUP($A184,'2. TEUs &amp; Activities - EF'!$A$9:$A$190,'2. TEUs &amp; Activities - EF'!$J$9:$J$190),_xlfn.XLOOKUP($B184,'2. TEUs &amp; Activities - EF'!$B$9:$B$190,'2. TEUs &amp; Activities - EF'!$J$9:$J$190))*'3. Pollutant Emissions - EF'!$I184*IF(OR(ISBLANK($E184),$G184="Yes"),1,$E184)*IF($H184="Yes",1,(1-$F184))</f>
        <v>6.0598588235294118E-3</v>
      </c>
      <c r="N184" s="5">
        <f>IF(ISBLANK($B184),_xlfn.XLOOKUP($A184,'2. TEUs &amp; Activities - EF'!$A$9:$A$190,'2. TEUs &amp; Activities - EF'!$M$9:$M$190),_xlfn.XLOOKUP($B184,'2. TEUs &amp; Activities - EF'!$B$9:$B$190,'2. TEUs &amp; Activities - EF'!$M$9:$M$190))*'3. Pollutant Emissions - EF'!$J184*IF(OR(ISBLANK($E184),$G184="Yes"),1,$E184)*IF($H184="Yes",1,(1-$F184))</f>
        <v>1.6602352941176472E-5</v>
      </c>
      <c r="O184" s="130"/>
    </row>
    <row r="185" spans="1:15" ht="15" x14ac:dyDescent="0.25">
      <c r="A185" s="5" t="s">
        <v>1315</v>
      </c>
      <c r="B185" s="7"/>
      <c r="C185" s="13" t="s">
        <v>59</v>
      </c>
      <c r="D185" s="19" t="str">
        <f>IFERROR(IF(C185="No CAS","",INDEX('DEQ Pollutant List'!$B$7:$B$611,MATCH('3. Pollutant Emissions - EF'!C185,'DEQ Pollutant List'!$A$7:$A$611,0))),"")</f>
        <v>Copper and compounds</v>
      </c>
      <c r="E185" s="100">
        <v>0</v>
      </c>
      <c r="F185" s="36">
        <v>0</v>
      </c>
      <c r="G185" s="100" t="s">
        <v>1415</v>
      </c>
      <c r="H185" s="36" t="s">
        <v>1415</v>
      </c>
      <c r="I185" s="34">
        <v>8.4999999999999995E-4</v>
      </c>
      <c r="J185" s="11">
        <f t="shared" si="2"/>
        <v>8.4999999999999995E-4</v>
      </c>
      <c r="K185" s="6" t="s">
        <v>1416</v>
      </c>
      <c r="L185" s="20" t="s">
        <v>1422</v>
      </c>
      <c r="M185" s="7">
        <f>IF(ISBLANK($B185),_xlfn.XLOOKUP($A185,'2. TEUs &amp; Activities - EF'!$A$9:$A$190,'2. TEUs &amp; Activities - EF'!$J$9:$J$190),_xlfn.XLOOKUP($B185,'2. TEUs &amp; Activities - EF'!$B$9:$B$190,'2. TEUs &amp; Activities - EF'!$J$9:$J$190))*'3. Pollutant Emissions - EF'!$I185*IF(OR(ISBLANK($E185),$G185="Yes"),1,$E185)*IF($H185="Yes",1,(1-$F185))</f>
        <v>6.132E-2</v>
      </c>
      <c r="N185" s="5">
        <f>IF(ISBLANK($B185),_xlfn.XLOOKUP($A185,'2. TEUs &amp; Activities - EF'!$A$9:$A$190,'2. TEUs &amp; Activities - EF'!$M$9:$M$190),_xlfn.XLOOKUP($B185,'2. TEUs &amp; Activities - EF'!$B$9:$B$190,'2. TEUs &amp; Activities - EF'!$M$9:$M$190))*'3. Pollutant Emissions - EF'!$J185*IF(OR(ISBLANK($E185),$G185="Yes"),1,$E185)*IF($H185="Yes",1,(1-$F185))</f>
        <v>1.6799999999999999E-4</v>
      </c>
      <c r="O185" s="130"/>
    </row>
    <row r="186" spans="1:15" ht="15" x14ac:dyDescent="0.25">
      <c r="A186" s="5" t="s">
        <v>1315</v>
      </c>
      <c r="B186" s="7"/>
      <c r="C186" s="13" t="s">
        <v>60</v>
      </c>
      <c r="D186" s="19" t="str">
        <f>IFERROR(IF(C186="No CAS","",INDEX('DEQ Pollutant List'!$B$7:$B$611,MATCH('3. Pollutant Emissions - EF'!C186,'DEQ Pollutant List'!$A$7:$A$611,0))),"")</f>
        <v>Ethyl benzene</v>
      </c>
      <c r="E186" s="100">
        <v>0</v>
      </c>
      <c r="F186" s="36">
        <v>0</v>
      </c>
      <c r="G186" s="100" t="s">
        <v>1415</v>
      </c>
      <c r="H186" s="36" t="s">
        <v>1415</v>
      </c>
      <c r="I186" s="34">
        <v>9.4999999999999998E-3</v>
      </c>
      <c r="J186" s="11">
        <f t="shared" si="2"/>
        <v>9.4999999999999998E-3</v>
      </c>
      <c r="K186" s="6" t="s">
        <v>1416</v>
      </c>
      <c r="L186" s="20" t="s">
        <v>1422</v>
      </c>
      <c r="M186" s="7">
        <f>IF(ISBLANK($B186),_xlfn.XLOOKUP($A186,'2. TEUs &amp; Activities - EF'!$A$9:$A$190,'2. TEUs &amp; Activities - EF'!$J$9:$J$190),_xlfn.XLOOKUP($B186,'2. TEUs &amp; Activities - EF'!$B$9:$B$190,'2. TEUs &amp; Activities - EF'!$J$9:$J$190))*'3. Pollutant Emissions - EF'!$I186*IF(OR(ISBLANK($E186),$G186="Yes"),1,$E186)*IF($H186="Yes",1,(1-$F186))</f>
        <v>0.68534117647058823</v>
      </c>
      <c r="N186" s="5">
        <f>IF(ISBLANK($B186),_xlfn.XLOOKUP($A186,'2. TEUs &amp; Activities - EF'!$A$9:$A$190,'2. TEUs &amp; Activities - EF'!$M$9:$M$190),_xlfn.XLOOKUP($B186,'2. TEUs &amp; Activities - EF'!$B$9:$B$190,'2. TEUs &amp; Activities - EF'!$M$9:$M$190))*'3. Pollutant Emissions - EF'!$J186*IF(OR(ISBLANK($E186),$G186="Yes"),1,$E186)*IF($H186="Yes",1,(1-$F186))</f>
        <v>1.8776470588235295E-3</v>
      </c>
      <c r="O186" s="130"/>
    </row>
    <row r="187" spans="1:15" ht="15" x14ac:dyDescent="0.25">
      <c r="A187" s="5" t="s">
        <v>1315</v>
      </c>
      <c r="B187" s="7"/>
      <c r="C187" s="13" t="s">
        <v>47</v>
      </c>
      <c r="D187" s="19" t="str">
        <f>IFERROR(IF(C187="No CAS","",INDEX('DEQ Pollutant List'!$B$7:$B$611,MATCH('3. Pollutant Emissions - EF'!C187,'DEQ Pollutant List'!$A$7:$A$611,0))),"")</f>
        <v>Formaldehyde</v>
      </c>
      <c r="E187" s="100">
        <v>0</v>
      </c>
      <c r="F187" s="36">
        <v>0</v>
      </c>
      <c r="G187" s="100" t="s">
        <v>1415</v>
      </c>
      <c r="H187" s="36" t="s">
        <v>1415</v>
      </c>
      <c r="I187" s="34">
        <v>1.7000000000000001E-2</v>
      </c>
      <c r="J187" s="11">
        <f t="shared" si="2"/>
        <v>1.7000000000000001E-2</v>
      </c>
      <c r="K187" s="6" t="s">
        <v>1416</v>
      </c>
      <c r="L187" s="20" t="s">
        <v>1422</v>
      </c>
      <c r="M187" s="7">
        <f>IF(ISBLANK($B187),_xlfn.XLOOKUP($A187,'2. TEUs &amp; Activities - EF'!$A$9:$A$190,'2. TEUs &amp; Activities - EF'!$J$9:$J$190),_xlfn.XLOOKUP($B187,'2. TEUs &amp; Activities - EF'!$B$9:$B$190,'2. TEUs &amp; Activities - EF'!$J$9:$J$190))*'3. Pollutant Emissions - EF'!$I187*IF(OR(ISBLANK($E187),$G187="Yes"),1,$E187)*IF($H187="Yes",1,(1-$F187))</f>
        <v>1.2264000000000002</v>
      </c>
      <c r="N187" s="5">
        <f>IF(ISBLANK($B187),_xlfn.XLOOKUP($A187,'2. TEUs &amp; Activities - EF'!$A$9:$A$190,'2. TEUs &amp; Activities - EF'!$M$9:$M$190),_xlfn.XLOOKUP($B187,'2. TEUs &amp; Activities - EF'!$B$9:$B$190,'2. TEUs &amp; Activities - EF'!$M$9:$M$190))*'3. Pollutant Emissions - EF'!$J187*IF(OR(ISBLANK($E187),$G187="Yes"),1,$E187)*IF($H187="Yes",1,(1-$F187))</f>
        <v>3.3600000000000006E-3</v>
      </c>
      <c r="O187" s="130"/>
    </row>
    <row r="188" spans="1:15" ht="15" x14ac:dyDescent="0.25">
      <c r="A188" s="5" t="s">
        <v>1315</v>
      </c>
      <c r="B188" s="7"/>
      <c r="C188" s="13" t="s">
        <v>61</v>
      </c>
      <c r="D188" s="19" t="str">
        <f>IFERROR(IF(C188="No CAS","",INDEX('DEQ Pollutant List'!$B$7:$B$611,MATCH('3. Pollutant Emissions - EF'!C188,'DEQ Pollutant List'!$A$7:$A$611,0))),"")</f>
        <v>Hexane</v>
      </c>
      <c r="E188" s="100">
        <v>0</v>
      </c>
      <c r="F188" s="36">
        <v>0</v>
      </c>
      <c r="G188" s="100" t="s">
        <v>1415</v>
      </c>
      <c r="H188" s="36" t="s">
        <v>1415</v>
      </c>
      <c r="I188" s="34">
        <v>6.3E-3</v>
      </c>
      <c r="J188" s="11">
        <f t="shared" si="2"/>
        <v>6.3E-3</v>
      </c>
      <c r="K188" s="6" t="s">
        <v>1416</v>
      </c>
      <c r="L188" s="20" t="s">
        <v>1422</v>
      </c>
      <c r="M188" s="7">
        <f>IF(ISBLANK($B188),_xlfn.XLOOKUP($A188,'2. TEUs &amp; Activities - EF'!$A$9:$A$190,'2. TEUs &amp; Activities - EF'!$J$9:$J$190),_xlfn.XLOOKUP($B188,'2. TEUs &amp; Activities - EF'!$B$9:$B$190,'2. TEUs &amp; Activities - EF'!$J$9:$J$190))*'3. Pollutant Emissions - EF'!$I188*IF(OR(ISBLANK($E188),$G188="Yes"),1,$E188)*IF($H188="Yes",1,(1-$F188))</f>
        <v>0.45448941176470586</v>
      </c>
      <c r="N188" s="5">
        <f>IF(ISBLANK($B188),_xlfn.XLOOKUP($A188,'2. TEUs &amp; Activities - EF'!$A$9:$A$190,'2. TEUs &amp; Activities - EF'!$M$9:$M$190),_xlfn.XLOOKUP($B188,'2. TEUs &amp; Activities - EF'!$B$9:$B$190,'2. TEUs &amp; Activities - EF'!$M$9:$M$190))*'3. Pollutant Emissions - EF'!$J188*IF(OR(ISBLANK($E188),$G188="Yes"),1,$E188)*IF($H188="Yes",1,(1-$F188))</f>
        <v>1.2451764705882354E-3</v>
      </c>
      <c r="O188" s="130"/>
    </row>
    <row r="189" spans="1:15" ht="15" x14ac:dyDescent="0.25">
      <c r="A189" s="5" t="s">
        <v>1315</v>
      </c>
      <c r="B189" s="7"/>
      <c r="C189" s="13" t="s">
        <v>62</v>
      </c>
      <c r="D189" s="19" t="str">
        <f>IFERROR(IF(C189="No CAS","",INDEX('DEQ Pollutant List'!$B$7:$B$611,MATCH('3. Pollutant Emissions - EF'!C189,'DEQ Pollutant List'!$A$7:$A$611,0))),"")</f>
        <v>Lead and compounds</v>
      </c>
      <c r="E189" s="100">
        <v>0</v>
      </c>
      <c r="F189" s="36">
        <v>0</v>
      </c>
      <c r="G189" s="100" t="s">
        <v>1415</v>
      </c>
      <c r="H189" s="36" t="s">
        <v>1415</v>
      </c>
      <c r="I189" s="34">
        <v>5.0000000000000001E-4</v>
      </c>
      <c r="J189" s="11">
        <f t="shared" si="2"/>
        <v>5.0000000000000001E-4</v>
      </c>
      <c r="K189" s="6" t="s">
        <v>1416</v>
      </c>
      <c r="L189" s="20" t="s">
        <v>1422</v>
      </c>
      <c r="M189" s="7">
        <f>IF(ISBLANK($B189),_xlfn.XLOOKUP($A189,'2. TEUs &amp; Activities - EF'!$A$9:$A$190,'2. TEUs &amp; Activities - EF'!$J$9:$J$190),_xlfn.XLOOKUP($B189,'2. TEUs &amp; Activities - EF'!$B$9:$B$190,'2. TEUs &amp; Activities - EF'!$J$9:$J$190))*'3. Pollutant Emissions - EF'!$I189*IF(OR(ISBLANK($E189),$G189="Yes"),1,$E189)*IF($H189="Yes",1,(1-$F189))</f>
        <v>3.6070588235294118E-2</v>
      </c>
      <c r="N189" s="5">
        <f>IF(ISBLANK($B189),_xlfn.XLOOKUP($A189,'2. TEUs &amp; Activities - EF'!$A$9:$A$190,'2. TEUs &amp; Activities - EF'!$M$9:$M$190),_xlfn.XLOOKUP($B189,'2. TEUs &amp; Activities - EF'!$B$9:$B$190,'2. TEUs &amp; Activities - EF'!$M$9:$M$190))*'3. Pollutant Emissions - EF'!$J189*IF(OR(ISBLANK($E189),$G189="Yes"),1,$E189)*IF($H189="Yes",1,(1-$F189))</f>
        <v>9.8823529411764711E-5</v>
      </c>
      <c r="O189" s="130"/>
    </row>
    <row r="190" spans="1:15" ht="15" x14ac:dyDescent="0.25">
      <c r="A190" s="5" t="s">
        <v>1315</v>
      </c>
      <c r="B190" s="7"/>
      <c r="C190" s="13" t="s">
        <v>63</v>
      </c>
      <c r="D190" s="19" t="str">
        <f>IFERROR(IF(C190="No CAS","",INDEX('DEQ Pollutant List'!$B$7:$B$611,MATCH('3. Pollutant Emissions - EF'!C190,'DEQ Pollutant List'!$A$7:$A$611,0))),"")</f>
        <v>Manganese and compounds</v>
      </c>
      <c r="E190" s="100">
        <v>0</v>
      </c>
      <c r="F190" s="36">
        <v>0</v>
      </c>
      <c r="G190" s="100" t="s">
        <v>1415</v>
      </c>
      <c r="H190" s="36" t="s">
        <v>1415</v>
      </c>
      <c r="I190" s="34">
        <v>3.8000000000000002E-4</v>
      </c>
      <c r="J190" s="11">
        <f t="shared" si="2"/>
        <v>3.8000000000000002E-4</v>
      </c>
      <c r="K190" s="6" t="s">
        <v>1416</v>
      </c>
      <c r="L190" s="20" t="s">
        <v>1422</v>
      </c>
      <c r="M190" s="7">
        <f>IF(ISBLANK($B190),_xlfn.XLOOKUP($A190,'2. TEUs &amp; Activities - EF'!$A$9:$A$190,'2. TEUs &amp; Activities - EF'!$J$9:$J$190),_xlfn.XLOOKUP($B190,'2. TEUs &amp; Activities - EF'!$B$9:$B$190,'2. TEUs &amp; Activities - EF'!$J$9:$J$190))*'3. Pollutant Emissions - EF'!$I190*IF(OR(ISBLANK($E190),$G190="Yes"),1,$E190)*IF($H190="Yes",1,(1-$F190))</f>
        <v>2.7413647058823532E-2</v>
      </c>
      <c r="N190" s="5">
        <f>IF(ISBLANK($B190),_xlfn.XLOOKUP($A190,'2. TEUs &amp; Activities - EF'!$A$9:$A$190,'2. TEUs &amp; Activities - EF'!$M$9:$M$190),_xlfn.XLOOKUP($B190,'2. TEUs &amp; Activities - EF'!$B$9:$B$190,'2. TEUs &amp; Activities - EF'!$M$9:$M$190))*'3. Pollutant Emissions - EF'!$J190*IF(OR(ISBLANK($E190),$G190="Yes"),1,$E190)*IF($H190="Yes",1,(1-$F190))</f>
        <v>7.510588235294118E-5</v>
      </c>
      <c r="O190" s="130"/>
    </row>
    <row r="191" spans="1:15" ht="15" x14ac:dyDescent="0.25">
      <c r="A191" s="5" t="s">
        <v>1315</v>
      </c>
      <c r="B191" s="7"/>
      <c r="C191" s="13" t="s">
        <v>64</v>
      </c>
      <c r="D191" s="19" t="str">
        <f>IFERROR(IF(C191="No CAS","",INDEX('DEQ Pollutant List'!$B$7:$B$611,MATCH('3. Pollutant Emissions - EF'!C191,'DEQ Pollutant List'!$A$7:$A$611,0))),"")</f>
        <v>Mercury and compounds</v>
      </c>
      <c r="E191" s="100">
        <v>0</v>
      </c>
      <c r="F191" s="36">
        <v>0</v>
      </c>
      <c r="G191" s="100" t="s">
        <v>1415</v>
      </c>
      <c r="H191" s="36" t="s">
        <v>1415</v>
      </c>
      <c r="I191" s="34">
        <v>2.5999999999999998E-4</v>
      </c>
      <c r="J191" s="11">
        <f t="shared" si="2"/>
        <v>2.5999999999999998E-4</v>
      </c>
      <c r="K191" s="6" t="s">
        <v>1416</v>
      </c>
      <c r="L191" s="20" t="s">
        <v>1422</v>
      </c>
      <c r="M191" s="7">
        <f>IF(ISBLANK($B191),_xlfn.XLOOKUP($A191,'2. TEUs &amp; Activities - EF'!$A$9:$A$190,'2. TEUs &amp; Activities - EF'!$J$9:$J$190),_xlfn.XLOOKUP($B191,'2. TEUs &amp; Activities - EF'!$B$9:$B$190,'2. TEUs &amp; Activities - EF'!$J$9:$J$190))*'3. Pollutant Emissions - EF'!$I191*IF(OR(ISBLANK($E191),$G191="Yes"),1,$E191)*IF($H191="Yes",1,(1-$F191))</f>
        <v>1.8756705882352939E-2</v>
      </c>
      <c r="N191" s="5">
        <f>IF(ISBLANK($B191),_xlfn.XLOOKUP($A191,'2. TEUs &amp; Activities - EF'!$A$9:$A$190,'2. TEUs &amp; Activities - EF'!$M$9:$M$190),_xlfn.XLOOKUP($B191,'2. TEUs &amp; Activities - EF'!$B$9:$B$190,'2. TEUs &amp; Activities - EF'!$M$9:$M$190))*'3. Pollutant Emissions - EF'!$J191*IF(OR(ISBLANK($E191),$G191="Yes"),1,$E191)*IF($H191="Yes",1,(1-$F191))</f>
        <v>5.1388235294117649E-5</v>
      </c>
      <c r="O191" s="130"/>
    </row>
    <row r="192" spans="1:15" ht="15" x14ac:dyDescent="0.25">
      <c r="A192" s="5" t="s">
        <v>1315</v>
      </c>
      <c r="B192" s="7"/>
      <c r="C192" s="13" t="s">
        <v>65</v>
      </c>
      <c r="D192" s="19" t="str">
        <f>IFERROR(IF(C192="No CAS","",INDEX('DEQ Pollutant List'!$B$7:$B$611,MATCH('3. Pollutant Emissions - EF'!C192,'DEQ Pollutant List'!$A$7:$A$611,0))),"")</f>
        <v>Molybdenum trioxide</v>
      </c>
      <c r="E192" s="100">
        <v>0</v>
      </c>
      <c r="F192" s="36">
        <v>0</v>
      </c>
      <c r="G192" s="100" t="s">
        <v>1415</v>
      </c>
      <c r="H192" s="36" t="s">
        <v>1415</v>
      </c>
      <c r="I192" s="34">
        <v>1.65E-3</v>
      </c>
      <c r="J192" s="11">
        <f t="shared" si="2"/>
        <v>1.65E-3</v>
      </c>
      <c r="K192" s="6" t="s">
        <v>1416</v>
      </c>
      <c r="L192" s="20" t="s">
        <v>1422</v>
      </c>
      <c r="M192" s="7">
        <f>IF(ISBLANK($B192),_xlfn.XLOOKUP($A192,'2. TEUs &amp; Activities - EF'!$A$9:$A$190,'2. TEUs &amp; Activities - EF'!$J$9:$J$190),_xlfn.XLOOKUP($B192,'2. TEUs &amp; Activities - EF'!$B$9:$B$190,'2. TEUs &amp; Activities - EF'!$J$9:$J$190))*'3. Pollutant Emissions - EF'!$I192*IF(OR(ISBLANK($E192),$G192="Yes"),1,$E192)*IF($H192="Yes",1,(1-$F192))</f>
        <v>0.11903294117647059</v>
      </c>
      <c r="N192" s="5">
        <f>IF(ISBLANK($B192),_xlfn.XLOOKUP($A192,'2. TEUs &amp; Activities - EF'!$A$9:$A$190,'2. TEUs &amp; Activities - EF'!$M$9:$M$190),_xlfn.XLOOKUP($B192,'2. TEUs &amp; Activities - EF'!$B$9:$B$190,'2. TEUs &amp; Activities - EF'!$M$9:$M$190))*'3. Pollutant Emissions - EF'!$J192*IF(OR(ISBLANK($E192),$G192="Yes"),1,$E192)*IF($H192="Yes",1,(1-$F192))</f>
        <v>3.2611764705882358E-4</v>
      </c>
      <c r="O192" s="130"/>
    </row>
    <row r="193" spans="1:15" ht="15" x14ac:dyDescent="0.25">
      <c r="A193" s="5" t="s">
        <v>1315</v>
      </c>
      <c r="B193" s="7"/>
      <c r="C193" s="13" t="s">
        <v>49</v>
      </c>
      <c r="D193" s="19" t="str">
        <f>IFERROR(IF(C193="No CAS","",INDEX('DEQ Pollutant List'!$B$7:$B$611,MATCH('3. Pollutant Emissions - EF'!C193,'DEQ Pollutant List'!$A$7:$A$611,0))),"")</f>
        <v>Naphthalene</v>
      </c>
      <c r="E193" s="100">
        <v>0</v>
      </c>
      <c r="F193" s="36">
        <v>0</v>
      </c>
      <c r="G193" s="100" t="s">
        <v>1415</v>
      </c>
      <c r="H193" s="36" t="s">
        <v>1415</v>
      </c>
      <c r="I193" s="34">
        <v>2.9999999999999997E-4</v>
      </c>
      <c r="J193" s="11">
        <f t="shared" si="2"/>
        <v>2.9999999999999997E-4</v>
      </c>
      <c r="K193" s="6" t="s">
        <v>1416</v>
      </c>
      <c r="L193" s="20" t="s">
        <v>1422</v>
      </c>
      <c r="M193" s="7">
        <f>IF(ISBLANK($B193),_xlfn.XLOOKUP($A193,'2. TEUs &amp; Activities - EF'!$A$9:$A$190,'2. TEUs &amp; Activities - EF'!$J$9:$J$190),_xlfn.XLOOKUP($B193,'2. TEUs &amp; Activities - EF'!$B$9:$B$190,'2. TEUs &amp; Activities - EF'!$J$9:$J$190))*'3. Pollutant Emissions - EF'!$I193*IF(OR(ISBLANK($E193),$G193="Yes"),1,$E193)*IF($H193="Yes",1,(1-$F193))</f>
        <v>2.164235294117647E-2</v>
      </c>
      <c r="N193" s="5">
        <f>IF(ISBLANK($B193),_xlfn.XLOOKUP($A193,'2. TEUs &amp; Activities - EF'!$A$9:$A$190,'2. TEUs &amp; Activities - EF'!$M$9:$M$190),_xlfn.XLOOKUP($B193,'2. TEUs &amp; Activities - EF'!$B$9:$B$190,'2. TEUs &amp; Activities - EF'!$M$9:$M$190))*'3. Pollutant Emissions - EF'!$J193*IF(OR(ISBLANK($E193),$G193="Yes"),1,$E193)*IF($H193="Yes",1,(1-$F193))</f>
        <v>5.9294117647058821E-5</v>
      </c>
      <c r="O193" s="130"/>
    </row>
    <row r="194" spans="1:15" ht="15" x14ac:dyDescent="0.25">
      <c r="A194" s="5" t="s">
        <v>1315</v>
      </c>
      <c r="B194" s="7"/>
      <c r="C194" s="13" t="s">
        <v>66</v>
      </c>
      <c r="D194" s="19" t="str">
        <f>IFERROR(IF(C194="No CAS","",INDEX('DEQ Pollutant List'!$B$7:$B$611,MATCH('3. Pollutant Emissions - EF'!C194,'DEQ Pollutant List'!$A$7:$A$611,0))),"")</f>
        <v>Nickel and compounds</v>
      </c>
      <c r="E194" s="100">
        <v>0</v>
      </c>
      <c r="F194" s="36">
        <v>0</v>
      </c>
      <c r="G194" s="100" t="s">
        <v>1415</v>
      </c>
      <c r="H194" s="36" t="s">
        <v>1415</v>
      </c>
      <c r="I194" s="34">
        <v>2.0999999999999999E-3</v>
      </c>
      <c r="J194" s="11">
        <f t="shared" si="2"/>
        <v>2.0999999999999999E-3</v>
      </c>
      <c r="K194" s="6" t="s">
        <v>1416</v>
      </c>
      <c r="L194" s="20" t="s">
        <v>1422</v>
      </c>
      <c r="M194" s="7">
        <f>IF(ISBLANK($B194),_xlfn.XLOOKUP($A194,'2. TEUs &amp; Activities - EF'!$A$9:$A$190,'2. TEUs &amp; Activities - EF'!$J$9:$J$190),_xlfn.XLOOKUP($B194,'2. TEUs &amp; Activities - EF'!$B$9:$B$190,'2. TEUs &amp; Activities - EF'!$J$9:$J$190))*'3. Pollutant Emissions - EF'!$I194*IF(OR(ISBLANK($E194),$G194="Yes"),1,$E194)*IF($H194="Yes",1,(1-$F194))</f>
        <v>0.15149647058823529</v>
      </c>
      <c r="N194" s="5">
        <f>IF(ISBLANK($B194),_xlfn.XLOOKUP($A194,'2. TEUs &amp; Activities - EF'!$A$9:$A$190,'2. TEUs &amp; Activities - EF'!$M$9:$M$190),_xlfn.XLOOKUP($B194,'2. TEUs &amp; Activities - EF'!$B$9:$B$190,'2. TEUs &amp; Activities - EF'!$M$9:$M$190))*'3. Pollutant Emissions - EF'!$J194*IF(OR(ISBLANK($E194),$G194="Yes"),1,$E194)*IF($H194="Yes",1,(1-$F194))</f>
        <v>4.1505882352941176E-4</v>
      </c>
      <c r="O194" s="130"/>
    </row>
    <row r="195" spans="1:15" ht="15" x14ac:dyDescent="0.25">
      <c r="A195" s="5" t="s">
        <v>1315</v>
      </c>
      <c r="B195" s="7"/>
      <c r="C195" s="13">
        <v>401</v>
      </c>
      <c r="D195" s="19" t="str">
        <f>IFERROR(IF(C195="No CAS","",INDEX('DEQ Pollutant List'!$B$7:$B$611,MATCH('3. Pollutant Emissions - EF'!C195,'DEQ Pollutant List'!$A$7:$A$611,0))),"")</f>
        <v>Polycyclic aromatic hydrocarbons (PAHs)</v>
      </c>
      <c r="E195" s="100">
        <v>0</v>
      </c>
      <c r="F195" s="36">
        <v>0</v>
      </c>
      <c r="G195" s="100" t="s">
        <v>1415</v>
      </c>
      <c r="H195" s="36" t="s">
        <v>1415</v>
      </c>
      <c r="I195" s="34">
        <v>1E-4</v>
      </c>
      <c r="J195" s="11">
        <f t="shared" si="2"/>
        <v>1E-4</v>
      </c>
      <c r="K195" s="6" t="s">
        <v>1416</v>
      </c>
      <c r="L195" s="20" t="s">
        <v>1422</v>
      </c>
      <c r="M195" s="7">
        <f>IF(ISBLANK($B195),_xlfn.XLOOKUP($A195,'2. TEUs &amp; Activities - EF'!$A$9:$A$190,'2. TEUs &amp; Activities - EF'!$J$9:$J$190),_xlfn.XLOOKUP($B195,'2. TEUs &amp; Activities - EF'!$B$9:$B$190,'2. TEUs &amp; Activities - EF'!$J$9:$J$190))*'3. Pollutant Emissions - EF'!$I195*IF(OR(ISBLANK($E195),$G195="Yes"),1,$E195)*IF($H195="Yes",1,(1-$F195))</f>
        <v>7.214117647058824E-3</v>
      </c>
      <c r="N195" s="5">
        <f>IF(ISBLANK($B195),_xlfn.XLOOKUP($A195,'2. TEUs &amp; Activities - EF'!$A$9:$A$190,'2. TEUs &amp; Activities - EF'!$M$9:$M$190),_xlfn.XLOOKUP($B195,'2. TEUs &amp; Activities - EF'!$B$9:$B$190,'2. TEUs &amp; Activities - EF'!$M$9:$M$190))*'3. Pollutant Emissions - EF'!$J195*IF(OR(ISBLANK($E195),$G195="Yes"),1,$E195)*IF($H195="Yes",1,(1-$F195))</f>
        <v>1.9764705882352945E-5</v>
      </c>
      <c r="O195" s="130"/>
    </row>
    <row r="196" spans="1:15" ht="15" x14ac:dyDescent="0.25">
      <c r="A196" s="5" t="s">
        <v>1315</v>
      </c>
      <c r="B196" s="7"/>
      <c r="C196" s="13" t="s">
        <v>67</v>
      </c>
      <c r="D196" s="19" t="str">
        <f>IFERROR(IF(C196="No CAS","",INDEX('DEQ Pollutant List'!$B$7:$B$611,MATCH('3. Pollutant Emissions - EF'!C196,'DEQ Pollutant List'!$A$7:$A$611,0))),"")</f>
        <v>Selenium and compounds</v>
      </c>
      <c r="E196" s="100">
        <v>0</v>
      </c>
      <c r="F196" s="36">
        <v>0</v>
      </c>
      <c r="G196" s="100" t="s">
        <v>1415</v>
      </c>
      <c r="H196" s="36" t="s">
        <v>1415</v>
      </c>
      <c r="I196" s="34">
        <v>2.4000000000000001E-5</v>
      </c>
      <c r="J196" s="11">
        <f t="shared" si="2"/>
        <v>2.4000000000000001E-5</v>
      </c>
      <c r="K196" s="6" t="s">
        <v>1416</v>
      </c>
      <c r="L196" s="20" t="s">
        <v>1422</v>
      </c>
      <c r="M196" s="7">
        <f>IF(ISBLANK($B196),_xlfn.XLOOKUP($A196,'2. TEUs &amp; Activities - EF'!$A$9:$A$190,'2. TEUs &amp; Activities - EF'!$J$9:$J$190),_xlfn.XLOOKUP($B196,'2. TEUs &amp; Activities - EF'!$B$9:$B$190,'2. TEUs &amp; Activities - EF'!$J$9:$J$190))*'3. Pollutant Emissions - EF'!$I196*IF(OR(ISBLANK($E196),$G196="Yes"),1,$E196)*IF($H196="Yes",1,(1-$F196))</f>
        <v>1.7313882352941177E-3</v>
      </c>
      <c r="N196" s="5">
        <f>IF(ISBLANK($B196),_xlfn.XLOOKUP($A196,'2. TEUs &amp; Activities - EF'!$A$9:$A$190,'2. TEUs &amp; Activities - EF'!$M$9:$M$190),_xlfn.XLOOKUP($B196,'2. TEUs &amp; Activities - EF'!$B$9:$B$190,'2. TEUs &amp; Activities - EF'!$M$9:$M$190))*'3. Pollutant Emissions - EF'!$J196*IF(OR(ISBLANK($E196),$G196="Yes"),1,$E196)*IF($H196="Yes",1,(1-$F196))</f>
        <v>4.7435294117647061E-6</v>
      </c>
      <c r="O196" s="130"/>
    </row>
    <row r="197" spans="1:15" ht="15" x14ac:dyDescent="0.25">
      <c r="A197" s="5" t="s">
        <v>1315</v>
      </c>
      <c r="B197" s="7"/>
      <c r="C197" s="13" t="s">
        <v>68</v>
      </c>
      <c r="D197" s="19" t="str">
        <f>IFERROR(IF(C197="No CAS","",INDEX('DEQ Pollutant List'!$B$7:$B$611,MATCH('3. Pollutant Emissions - EF'!C197,'DEQ Pollutant List'!$A$7:$A$611,0))),"")</f>
        <v>Toluene</v>
      </c>
      <c r="E197" s="100">
        <v>0</v>
      </c>
      <c r="F197" s="36">
        <v>0</v>
      </c>
      <c r="G197" s="100" t="s">
        <v>1415</v>
      </c>
      <c r="H197" s="36" t="s">
        <v>1415</v>
      </c>
      <c r="I197" s="34">
        <v>3.6600000000000001E-2</v>
      </c>
      <c r="J197" s="11">
        <f t="shared" si="2"/>
        <v>3.6600000000000001E-2</v>
      </c>
      <c r="K197" s="6" t="s">
        <v>1416</v>
      </c>
      <c r="L197" s="20" t="s">
        <v>1422</v>
      </c>
      <c r="M197" s="7">
        <f>IF(ISBLANK($B197),_xlfn.XLOOKUP($A197,'2. TEUs &amp; Activities - EF'!$A$9:$A$190,'2. TEUs &amp; Activities - EF'!$J$9:$J$190),_xlfn.XLOOKUP($B197,'2. TEUs &amp; Activities - EF'!$B$9:$B$190,'2. TEUs &amp; Activities - EF'!$J$9:$J$190))*'3. Pollutant Emissions - EF'!$I197*IF(OR(ISBLANK($E197),$G197="Yes"),1,$E197)*IF($H197="Yes",1,(1-$F197))</f>
        <v>2.6403670588235295</v>
      </c>
      <c r="N197" s="5">
        <f>IF(ISBLANK($B197),_xlfn.XLOOKUP($A197,'2. TEUs &amp; Activities - EF'!$A$9:$A$190,'2. TEUs &amp; Activities - EF'!$M$9:$M$190),_xlfn.XLOOKUP($B197,'2. TEUs &amp; Activities - EF'!$B$9:$B$190,'2. TEUs &amp; Activities - EF'!$M$9:$M$190))*'3. Pollutant Emissions - EF'!$J197*IF(OR(ISBLANK($E197),$G197="Yes"),1,$E197)*IF($H197="Yes",1,(1-$F197))</f>
        <v>7.2338823529411768E-3</v>
      </c>
      <c r="O197" s="130"/>
    </row>
    <row r="198" spans="1:15" ht="15" x14ac:dyDescent="0.25">
      <c r="A198" s="5" t="s">
        <v>1315</v>
      </c>
      <c r="B198" s="7"/>
      <c r="C198" s="13" t="s">
        <v>69</v>
      </c>
      <c r="D198" s="19" t="str">
        <f>IFERROR(IF(C198="No CAS","",INDEX('DEQ Pollutant List'!$B$7:$B$611,MATCH('3. Pollutant Emissions - EF'!C198,'DEQ Pollutant List'!$A$7:$A$611,0))),"")</f>
        <v>Vanadium (fume or dust)</v>
      </c>
      <c r="E198" s="100">
        <v>0</v>
      </c>
      <c r="F198" s="36">
        <v>0</v>
      </c>
      <c r="G198" s="100" t="s">
        <v>1415</v>
      </c>
      <c r="H198" s="36" t="s">
        <v>1415</v>
      </c>
      <c r="I198" s="34">
        <v>2.3E-3</v>
      </c>
      <c r="J198" s="11">
        <f t="shared" si="2"/>
        <v>2.3E-3</v>
      </c>
      <c r="K198" s="6" t="s">
        <v>1416</v>
      </c>
      <c r="L198" s="20" t="s">
        <v>1422</v>
      </c>
      <c r="M198" s="7">
        <f>IF(ISBLANK($B198),_xlfn.XLOOKUP($A198,'2. TEUs &amp; Activities - EF'!$A$9:$A$190,'2. TEUs &amp; Activities - EF'!$J$9:$J$190),_xlfn.XLOOKUP($B198,'2. TEUs &amp; Activities - EF'!$B$9:$B$190,'2. TEUs &amp; Activities - EF'!$J$9:$J$190))*'3. Pollutant Emissions - EF'!$I198*IF(OR(ISBLANK($E198),$G198="Yes"),1,$E198)*IF($H198="Yes",1,(1-$F198))</f>
        <v>0.16592470588235295</v>
      </c>
      <c r="N198" s="5">
        <f>IF(ISBLANK($B198),_xlfn.XLOOKUP($A198,'2. TEUs &amp; Activities - EF'!$A$9:$A$190,'2. TEUs &amp; Activities - EF'!$M$9:$M$190),_xlfn.XLOOKUP($B198,'2. TEUs &amp; Activities - EF'!$B$9:$B$190,'2. TEUs &amp; Activities - EF'!$M$9:$M$190))*'3. Pollutant Emissions - EF'!$J198*IF(OR(ISBLANK($E198),$G198="Yes"),1,$E198)*IF($H198="Yes",1,(1-$F198))</f>
        <v>4.5458823529411765E-4</v>
      </c>
      <c r="O198" s="130"/>
    </row>
    <row r="199" spans="1:15" ht="15" x14ac:dyDescent="0.25">
      <c r="A199" s="5" t="s">
        <v>1315</v>
      </c>
      <c r="B199" s="7"/>
      <c r="C199" s="13" t="s">
        <v>70</v>
      </c>
      <c r="D199" s="19" t="str">
        <f>IFERROR(IF(C199="No CAS","",INDEX('DEQ Pollutant List'!$B$7:$B$611,MATCH('3. Pollutant Emissions - EF'!C199,'DEQ Pollutant List'!$A$7:$A$611,0))),"")</f>
        <v>Xylene (mixture), including m-xylene, o-xylene, p-xylene</v>
      </c>
      <c r="E199" s="100">
        <v>0</v>
      </c>
      <c r="F199" s="36">
        <v>0</v>
      </c>
      <c r="G199" s="100" t="s">
        <v>1415</v>
      </c>
      <c r="H199" s="36" t="s">
        <v>1415</v>
      </c>
      <c r="I199" s="34">
        <v>2.7199999999999998E-2</v>
      </c>
      <c r="J199" s="11">
        <f t="shared" si="2"/>
        <v>2.7199999999999998E-2</v>
      </c>
      <c r="K199" s="6" t="s">
        <v>1416</v>
      </c>
      <c r="L199" s="20" t="s">
        <v>1422</v>
      </c>
      <c r="M199" s="7">
        <f>IF(ISBLANK($B199),_xlfn.XLOOKUP($A199,'2. TEUs &amp; Activities - EF'!$A$9:$A$190,'2. TEUs &amp; Activities - EF'!$J$9:$J$190),_xlfn.XLOOKUP($B199,'2. TEUs &amp; Activities - EF'!$B$9:$B$190,'2. TEUs &amp; Activities - EF'!$J$9:$J$190))*'3. Pollutant Emissions - EF'!$I199*IF(OR(ISBLANK($E199),$G199="Yes"),1,$E199)*IF($H199="Yes",1,(1-$F199))</f>
        <v>1.96224</v>
      </c>
      <c r="N199" s="5">
        <f>IF(ISBLANK($B199),_xlfn.XLOOKUP($A199,'2. TEUs &amp; Activities - EF'!$A$9:$A$190,'2. TEUs &amp; Activities - EF'!$M$9:$M$190),_xlfn.XLOOKUP($B199,'2. TEUs &amp; Activities - EF'!$B$9:$B$190,'2. TEUs &amp; Activities - EF'!$M$9:$M$190))*'3. Pollutant Emissions - EF'!$J199*IF(OR(ISBLANK($E199),$G199="Yes"),1,$E199)*IF($H199="Yes",1,(1-$F199))</f>
        <v>5.3759999999999997E-3</v>
      </c>
      <c r="O199" s="130"/>
    </row>
    <row r="200" spans="1:15" ht="15" x14ac:dyDescent="0.25">
      <c r="A200" s="5" t="s">
        <v>1315</v>
      </c>
      <c r="B200" s="7"/>
      <c r="C200" s="13" t="s">
        <v>71</v>
      </c>
      <c r="D200" s="19" t="str">
        <f>IFERROR(IF(C200="No CAS","",INDEX('DEQ Pollutant List'!$B$7:$B$611,MATCH('3. Pollutant Emissions - EF'!C200,'DEQ Pollutant List'!$A$7:$A$611,0))),"")</f>
        <v>Zinc and compounds</v>
      </c>
      <c r="E200" s="100">
        <v>0</v>
      </c>
      <c r="F200" s="36">
        <v>0</v>
      </c>
      <c r="G200" s="100" t="s">
        <v>1415</v>
      </c>
      <c r="H200" s="36" t="s">
        <v>1415</v>
      </c>
      <c r="I200" s="34">
        <v>2.9000000000000001E-2</v>
      </c>
      <c r="J200" s="11">
        <f t="shared" si="2"/>
        <v>2.9000000000000001E-2</v>
      </c>
      <c r="K200" s="6" t="s">
        <v>1416</v>
      </c>
      <c r="L200" s="20" t="s">
        <v>1422</v>
      </c>
      <c r="M200" s="7">
        <f>IF(ISBLANK($B200),_xlfn.XLOOKUP($A200,'2. TEUs &amp; Activities - EF'!$A$9:$A$190,'2. TEUs &amp; Activities - EF'!$J$9:$J$190),_xlfn.XLOOKUP($B200,'2. TEUs &amp; Activities - EF'!$B$9:$B$190,'2. TEUs &amp; Activities - EF'!$J$9:$J$190))*'3. Pollutant Emissions - EF'!$I200*IF(OR(ISBLANK($E200),$G200="Yes"),1,$E200)*IF($H200="Yes",1,(1-$F200))</f>
        <v>2.0920941176470591</v>
      </c>
      <c r="N200" s="5">
        <f>IF(ISBLANK($B200),_xlfn.XLOOKUP($A200,'2. TEUs &amp; Activities - EF'!$A$9:$A$190,'2. TEUs &amp; Activities - EF'!$M$9:$M$190),_xlfn.XLOOKUP($B200,'2. TEUs &amp; Activities - EF'!$B$9:$B$190,'2. TEUs &amp; Activities - EF'!$M$9:$M$190))*'3. Pollutant Emissions - EF'!$J200*IF(OR(ISBLANK($E200),$G200="Yes"),1,$E200)*IF($H200="Yes",1,(1-$F200))</f>
        <v>5.7317647058823537E-3</v>
      </c>
      <c r="O200" s="130"/>
    </row>
    <row r="201" spans="1:15" ht="15" x14ac:dyDescent="0.25">
      <c r="A201" s="5"/>
      <c r="B201" s="7"/>
      <c r="C201" s="13"/>
      <c r="D201" s="19" t="str">
        <f>IFERROR(IF(C201="No CAS","",INDEX('DEQ Pollutant List'!$B$7:$B$611,MATCH('3. Pollutant Emissions - EF'!C201,'DEQ Pollutant List'!$A$7:$A$611,0))),"")</f>
        <v/>
      </c>
      <c r="E201" s="100"/>
      <c r="F201" s="36"/>
      <c r="G201" s="100"/>
      <c r="H201" s="36"/>
      <c r="I201" s="34"/>
      <c r="J201" s="11"/>
      <c r="K201" s="6"/>
      <c r="L201" s="20"/>
      <c r="M201" s="7">
        <f>IF(ISBLANK($B201),_xlfn.XLOOKUP($A201,'2. TEUs &amp; Activities - EF'!$A$9:$A$190,'2. TEUs &amp; Activities - EF'!$J$9:$J$190),_xlfn.XLOOKUP($B201,'2. TEUs &amp; Activities - EF'!$B$9:$B$190,'2. TEUs &amp; Activities - EF'!$J$9:$J$190))*'3. Pollutant Emissions - EF'!$I201*IF(OR(ISBLANK($E201),$G201="Yes"),1,$E201)*IF($H201="Yes",1,(1-$F201))</f>
        <v>0</v>
      </c>
      <c r="N201" s="5">
        <f>IF(ISBLANK($B201),_xlfn.XLOOKUP($A201,'2. TEUs &amp; Activities - EF'!$A$9:$A$190,'2. TEUs &amp; Activities - EF'!$M$9:$M$190),_xlfn.XLOOKUP($B201,'2. TEUs &amp; Activities - EF'!$B$9:$B$190,'2. TEUs &amp; Activities - EF'!$M$9:$M$190))*'3. Pollutant Emissions - EF'!$J201*IF(OR(ISBLANK($E201),$G201="Yes"),1,$E201)*IF($H201="Yes",1,(1-$F201))</f>
        <v>0</v>
      </c>
      <c r="O201" s="130"/>
    </row>
    <row r="202" spans="1:15" ht="15" x14ac:dyDescent="0.25">
      <c r="A202" s="5" t="s">
        <v>1316</v>
      </c>
      <c r="B202" s="7"/>
      <c r="C202" s="13" t="s">
        <v>50</v>
      </c>
      <c r="D202" s="19" t="str">
        <f>IFERROR(IF(C202="No CAS","",INDEX('DEQ Pollutant List'!$B$7:$B$611,MATCH('3. Pollutant Emissions - EF'!C202,'DEQ Pollutant List'!$A$7:$A$611,0))),"")</f>
        <v>Acetaldehyde</v>
      </c>
      <c r="E202" s="100">
        <v>0</v>
      </c>
      <c r="F202" s="36">
        <v>0</v>
      </c>
      <c r="G202" s="100" t="s">
        <v>1415</v>
      </c>
      <c r="H202" s="36" t="s">
        <v>1415</v>
      </c>
      <c r="I202" s="34">
        <v>4.3E-3</v>
      </c>
      <c r="J202" s="11">
        <f t="shared" ref="J202:J227" si="3">I202</f>
        <v>4.3E-3</v>
      </c>
      <c r="K202" s="6" t="s">
        <v>1416</v>
      </c>
      <c r="L202" s="20" t="s">
        <v>1422</v>
      </c>
      <c r="M202" s="7">
        <f>IF(ISBLANK($B202),_xlfn.XLOOKUP($A202,'2. TEUs &amp; Activities - EF'!$A$9:$A$190,'2. TEUs &amp; Activities - EF'!$J$9:$J$190),_xlfn.XLOOKUP($B202,'2. TEUs &amp; Activities - EF'!$B$9:$B$190,'2. TEUs &amp; Activities - EF'!$J$9:$J$190))*'3. Pollutant Emissions - EF'!$I202*IF(OR(ISBLANK($E202),$G202="Yes"),1,$E202)*IF($H202="Yes",1,(1-$F202))</f>
        <v>0.31020705882352939</v>
      </c>
      <c r="N202" s="5">
        <f>IF(ISBLANK($B202),_xlfn.XLOOKUP($A202,'2. TEUs &amp; Activities - EF'!$A$9:$A$190,'2. TEUs &amp; Activities - EF'!$M$9:$M$190),_xlfn.XLOOKUP($B202,'2. TEUs &amp; Activities - EF'!$B$9:$B$190,'2. TEUs &amp; Activities - EF'!$M$9:$M$190))*'3. Pollutant Emissions - EF'!$J202*IF(OR(ISBLANK($E202),$G202="Yes"),1,$E202)*IF($H202="Yes",1,(1-$F202))</f>
        <v>8.4988235294117655E-4</v>
      </c>
      <c r="O202" s="130"/>
    </row>
    <row r="203" spans="1:15" ht="15" x14ac:dyDescent="0.25">
      <c r="A203" s="5" t="s">
        <v>1316</v>
      </c>
      <c r="B203" s="7"/>
      <c r="C203" s="13" t="s">
        <v>51</v>
      </c>
      <c r="D203" s="19" t="str">
        <f>IFERROR(IF(C203="No CAS","",INDEX('DEQ Pollutant List'!$B$7:$B$611,MATCH('3. Pollutant Emissions - EF'!C203,'DEQ Pollutant List'!$A$7:$A$611,0))),"")</f>
        <v>Acrolein</v>
      </c>
      <c r="E203" s="100">
        <v>0</v>
      </c>
      <c r="F203" s="36">
        <v>0</v>
      </c>
      <c r="G203" s="100" t="s">
        <v>1415</v>
      </c>
      <c r="H203" s="36" t="s">
        <v>1415</v>
      </c>
      <c r="I203" s="34">
        <v>2.7000000000000001E-3</v>
      </c>
      <c r="J203" s="11">
        <f t="shared" si="3"/>
        <v>2.7000000000000001E-3</v>
      </c>
      <c r="K203" s="6" t="s">
        <v>1416</v>
      </c>
      <c r="L203" s="20" t="s">
        <v>1422</v>
      </c>
      <c r="M203" s="7">
        <f>IF(ISBLANK($B203),_xlfn.XLOOKUP($A203,'2. TEUs &amp; Activities - EF'!$A$9:$A$190,'2. TEUs &amp; Activities - EF'!$J$9:$J$190),_xlfn.XLOOKUP($B203,'2. TEUs &amp; Activities - EF'!$B$9:$B$190,'2. TEUs &amp; Activities - EF'!$J$9:$J$190))*'3. Pollutant Emissions - EF'!$I203*IF(OR(ISBLANK($E203),$G203="Yes"),1,$E203)*IF($H203="Yes",1,(1-$F203))</f>
        <v>0.19478117647058824</v>
      </c>
      <c r="N203" s="5">
        <f>IF(ISBLANK($B203),_xlfn.XLOOKUP($A203,'2. TEUs &amp; Activities - EF'!$A$9:$A$190,'2. TEUs &amp; Activities - EF'!$M$9:$M$190),_xlfn.XLOOKUP($B203,'2. TEUs &amp; Activities - EF'!$B$9:$B$190,'2. TEUs &amp; Activities - EF'!$M$9:$M$190))*'3. Pollutant Emissions - EF'!$J203*IF(OR(ISBLANK($E203),$G203="Yes"),1,$E203)*IF($H203="Yes",1,(1-$F203))</f>
        <v>5.3364705882352943E-4</v>
      </c>
      <c r="O203" s="130"/>
    </row>
    <row r="204" spans="1:15" ht="15" x14ac:dyDescent="0.25">
      <c r="A204" s="5" t="s">
        <v>1316</v>
      </c>
      <c r="B204" s="7"/>
      <c r="C204" s="13" t="s">
        <v>52</v>
      </c>
      <c r="D204" s="19" t="str">
        <f>IFERROR(IF(C204="No CAS","",INDEX('DEQ Pollutant List'!$B$7:$B$611,MATCH('3. Pollutant Emissions - EF'!C204,'DEQ Pollutant List'!$A$7:$A$611,0))),"")</f>
        <v>Ammonia</v>
      </c>
      <c r="E204" s="100">
        <v>0</v>
      </c>
      <c r="F204" s="36">
        <v>0</v>
      </c>
      <c r="G204" s="100" t="s">
        <v>1415</v>
      </c>
      <c r="H204" s="36" t="s">
        <v>1415</v>
      </c>
      <c r="I204" s="34">
        <v>3.2</v>
      </c>
      <c r="J204" s="11">
        <f t="shared" si="3"/>
        <v>3.2</v>
      </c>
      <c r="K204" s="6" t="s">
        <v>1416</v>
      </c>
      <c r="L204" s="20" t="s">
        <v>1422</v>
      </c>
      <c r="M204" s="7">
        <f>IF(ISBLANK($B204),_xlfn.XLOOKUP($A204,'2. TEUs &amp; Activities - EF'!$A$9:$A$190,'2. TEUs &amp; Activities - EF'!$J$9:$J$190),_xlfn.XLOOKUP($B204,'2. TEUs &amp; Activities - EF'!$B$9:$B$190,'2. TEUs &amp; Activities - EF'!$J$9:$J$190))*'3. Pollutant Emissions - EF'!$I204*IF(OR(ISBLANK($E204),$G204="Yes"),1,$E204)*IF($H204="Yes",1,(1-$F204))</f>
        <v>230.85176470588237</v>
      </c>
      <c r="N204" s="5">
        <f>IF(ISBLANK($B204),_xlfn.XLOOKUP($A204,'2. TEUs &amp; Activities - EF'!$A$9:$A$190,'2. TEUs &amp; Activities - EF'!$M$9:$M$190),_xlfn.XLOOKUP($B204,'2. TEUs &amp; Activities - EF'!$B$9:$B$190,'2. TEUs &amp; Activities - EF'!$M$9:$M$190))*'3. Pollutant Emissions - EF'!$J204*IF(OR(ISBLANK($E204),$G204="Yes"),1,$E204)*IF($H204="Yes",1,(1-$F204))</f>
        <v>0.63247058823529423</v>
      </c>
      <c r="O204" s="130"/>
    </row>
    <row r="205" spans="1:15" ht="15" x14ac:dyDescent="0.25">
      <c r="A205" s="5" t="s">
        <v>1316</v>
      </c>
      <c r="B205" s="7"/>
      <c r="C205" s="13" t="s">
        <v>53</v>
      </c>
      <c r="D205" s="19" t="str">
        <f>IFERROR(IF(C205="No CAS","",INDEX('DEQ Pollutant List'!$B$7:$B$611,MATCH('3. Pollutant Emissions - EF'!C205,'DEQ Pollutant List'!$A$7:$A$611,0))),"")</f>
        <v>Arsenic and compounds</v>
      </c>
      <c r="E205" s="100">
        <v>0</v>
      </c>
      <c r="F205" s="36">
        <v>0</v>
      </c>
      <c r="G205" s="100" t="s">
        <v>1415</v>
      </c>
      <c r="H205" s="36" t="s">
        <v>1415</v>
      </c>
      <c r="I205" s="34">
        <v>2.0000000000000001E-4</v>
      </c>
      <c r="J205" s="11">
        <f t="shared" si="3"/>
        <v>2.0000000000000001E-4</v>
      </c>
      <c r="K205" s="6" t="s">
        <v>1416</v>
      </c>
      <c r="L205" s="20" t="s">
        <v>1422</v>
      </c>
      <c r="M205" s="7">
        <f>IF(ISBLANK($B205),_xlfn.XLOOKUP($A205,'2. TEUs &amp; Activities - EF'!$A$9:$A$190,'2. TEUs &amp; Activities - EF'!$J$9:$J$190),_xlfn.XLOOKUP($B205,'2. TEUs &amp; Activities - EF'!$B$9:$B$190,'2. TEUs &amp; Activities - EF'!$J$9:$J$190))*'3. Pollutant Emissions - EF'!$I205*IF(OR(ISBLANK($E205),$G205="Yes"),1,$E205)*IF($H205="Yes",1,(1-$F205))</f>
        <v>1.4428235294117648E-2</v>
      </c>
      <c r="N205" s="5">
        <f>IF(ISBLANK($B205),_xlfn.XLOOKUP($A205,'2. TEUs &amp; Activities - EF'!$A$9:$A$190,'2. TEUs &amp; Activities - EF'!$M$9:$M$190),_xlfn.XLOOKUP($B205,'2. TEUs &amp; Activities - EF'!$B$9:$B$190,'2. TEUs &amp; Activities - EF'!$M$9:$M$190))*'3. Pollutant Emissions - EF'!$J205*IF(OR(ISBLANK($E205),$G205="Yes"),1,$E205)*IF($H205="Yes",1,(1-$F205))</f>
        <v>3.952941176470589E-5</v>
      </c>
      <c r="O205" s="130"/>
    </row>
    <row r="206" spans="1:15" ht="15" x14ac:dyDescent="0.25">
      <c r="A206" s="5" t="s">
        <v>1316</v>
      </c>
      <c r="B206" s="7"/>
      <c r="C206" s="13" t="s">
        <v>54</v>
      </c>
      <c r="D206" s="19" t="str">
        <f>IFERROR(IF(C206="No CAS","",INDEX('DEQ Pollutant List'!$B$7:$B$611,MATCH('3. Pollutant Emissions - EF'!C206,'DEQ Pollutant List'!$A$7:$A$611,0))),"")</f>
        <v>Barium and compounds</v>
      </c>
      <c r="E206" s="100">
        <v>0</v>
      </c>
      <c r="F206" s="36">
        <v>0</v>
      </c>
      <c r="G206" s="100" t="s">
        <v>1415</v>
      </c>
      <c r="H206" s="36" t="s">
        <v>1415</v>
      </c>
      <c r="I206" s="34">
        <v>4.4000000000000003E-3</v>
      </c>
      <c r="J206" s="11">
        <f t="shared" si="3"/>
        <v>4.4000000000000003E-3</v>
      </c>
      <c r="K206" s="6" t="s">
        <v>1416</v>
      </c>
      <c r="L206" s="20" t="s">
        <v>1422</v>
      </c>
      <c r="M206" s="7">
        <f>IF(ISBLANK($B206),_xlfn.XLOOKUP($A206,'2. TEUs &amp; Activities - EF'!$A$9:$A$190,'2. TEUs &amp; Activities - EF'!$J$9:$J$190),_xlfn.XLOOKUP($B206,'2. TEUs &amp; Activities - EF'!$B$9:$B$190,'2. TEUs &amp; Activities - EF'!$J$9:$J$190))*'3. Pollutant Emissions - EF'!$I206*IF(OR(ISBLANK($E206),$G206="Yes"),1,$E206)*IF($H206="Yes",1,(1-$F206))</f>
        <v>0.31742117647058826</v>
      </c>
      <c r="N206" s="5">
        <f>IF(ISBLANK($B206),_xlfn.XLOOKUP($A206,'2. TEUs &amp; Activities - EF'!$A$9:$A$190,'2. TEUs &amp; Activities - EF'!$M$9:$M$190),_xlfn.XLOOKUP($B206,'2. TEUs &amp; Activities - EF'!$B$9:$B$190,'2. TEUs &amp; Activities - EF'!$M$9:$M$190))*'3. Pollutant Emissions - EF'!$J206*IF(OR(ISBLANK($E206),$G206="Yes"),1,$E206)*IF($H206="Yes",1,(1-$F206))</f>
        <v>8.6964705882352957E-4</v>
      </c>
      <c r="O206" s="130"/>
    </row>
    <row r="207" spans="1:15" ht="15" x14ac:dyDescent="0.25">
      <c r="A207" s="5" t="s">
        <v>1316</v>
      </c>
      <c r="B207" s="7"/>
      <c r="C207" s="13" t="s">
        <v>46</v>
      </c>
      <c r="D207" s="19" t="str">
        <f>IFERROR(IF(C207="No CAS","",INDEX('DEQ Pollutant List'!$B$7:$B$611,MATCH('3. Pollutant Emissions - EF'!C207,'DEQ Pollutant List'!$A$7:$A$611,0))),"")</f>
        <v>Benzene</v>
      </c>
      <c r="E207" s="100">
        <v>0</v>
      </c>
      <c r="F207" s="36">
        <v>0</v>
      </c>
      <c r="G207" s="100" t="s">
        <v>1415</v>
      </c>
      <c r="H207" s="36" t="s">
        <v>1415</v>
      </c>
      <c r="I207" s="34">
        <v>8.0000000000000002E-3</v>
      </c>
      <c r="J207" s="11">
        <f t="shared" si="3"/>
        <v>8.0000000000000002E-3</v>
      </c>
      <c r="K207" s="6" t="s">
        <v>1416</v>
      </c>
      <c r="L207" s="20" t="s">
        <v>1422</v>
      </c>
      <c r="M207" s="7">
        <f>IF(ISBLANK($B207),_xlfn.XLOOKUP($A207,'2. TEUs &amp; Activities - EF'!$A$9:$A$190,'2. TEUs &amp; Activities - EF'!$J$9:$J$190),_xlfn.XLOOKUP($B207,'2. TEUs &amp; Activities - EF'!$B$9:$B$190,'2. TEUs &amp; Activities - EF'!$J$9:$J$190))*'3. Pollutant Emissions - EF'!$I207*IF(OR(ISBLANK($E207),$G207="Yes"),1,$E207)*IF($H207="Yes",1,(1-$F207))</f>
        <v>0.57712941176470589</v>
      </c>
      <c r="N207" s="5">
        <f>IF(ISBLANK($B207),_xlfn.XLOOKUP($A207,'2. TEUs &amp; Activities - EF'!$A$9:$A$190,'2. TEUs &amp; Activities - EF'!$M$9:$M$190),_xlfn.XLOOKUP($B207,'2. TEUs &amp; Activities - EF'!$B$9:$B$190,'2. TEUs &amp; Activities - EF'!$M$9:$M$190))*'3. Pollutant Emissions - EF'!$J207*IF(OR(ISBLANK($E207),$G207="Yes"),1,$E207)*IF($H207="Yes",1,(1-$F207))</f>
        <v>1.5811764705882354E-3</v>
      </c>
      <c r="O207" s="130"/>
    </row>
    <row r="208" spans="1:15" ht="15" x14ac:dyDescent="0.25">
      <c r="A208" s="5" t="s">
        <v>1316</v>
      </c>
      <c r="B208" s="7"/>
      <c r="C208" s="13" t="s">
        <v>55</v>
      </c>
      <c r="D208" s="19" t="str">
        <f>IFERROR(IF(C208="No CAS","",INDEX('DEQ Pollutant List'!$B$7:$B$611,MATCH('3. Pollutant Emissions - EF'!C208,'DEQ Pollutant List'!$A$7:$A$611,0))),"")</f>
        <v>Beryllium and compounds</v>
      </c>
      <c r="E208" s="100">
        <v>0</v>
      </c>
      <c r="F208" s="36">
        <v>0</v>
      </c>
      <c r="G208" s="100" t="s">
        <v>1415</v>
      </c>
      <c r="H208" s="36" t="s">
        <v>1415</v>
      </c>
      <c r="I208" s="34">
        <v>1.2E-5</v>
      </c>
      <c r="J208" s="11">
        <f t="shared" si="3"/>
        <v>1.2E-5</v>
      </c>
      <c r="K208" s="6" t="s">
        <v>1416</v>
      </c>
      <c r="L208" s="20" t="s">
        <v>1422</v>
      </c>
      <c r="M208" s="7">
        <f>IF(ISBLANK($B208),_xlfn.XLOOKUP($A208,'2. TEUs &amp; Activities - EF'!$A$9:$A$190,'2. TEUs &amp; Activities - EF'!$J$9:$J$190),_xlfn.XLOOKUP($B208,'2. TEUs &amp; Activities - EF'!$B$9:$B$190,'2. TEUs &amp; Activities - EF'!$J$9:$J$190))*'3. Pollutant Emissions - EF'!$I208*IF(OR(ISBLANK($E208),$G208="Yes"),1,$E208)*IF($H208="Yes",1,(1-$F208))</f>
        <v>8.6569411764705884E-4</v>
      </c>
      <c r="N208" s="5">
        <f>IF(ISBLANK($B208),_xlfn.XLOOKUP($A208,'2. TEUs &amp; Activities - EF'!$A$9:$A$190,'2. TEUs &amp; Activities - EF'!$M$9:$M$190),_xlfn.XLOOKUP($B208,'2. TEUs &amp; Activities - EF'!$B$9:$B$190,'2. TEUs &amp; Activities - EF'!$M$9:$M$190))*'3. Pollutant Emissions - EF'!$J208*IF(OR(ISBLANK($E208),$G208="Yes"),1,$E208)*IF($H208="Yes",1,(1-$F208))</f>
        <v>2.371764705882353E-6</v>
      </c>
      <c r="O208" s="130"/>
    </row>
    <row r="209" spans="1:15" ht="15" x14ac:dyDescent="0.25">
      <c r="A209" s="5" t="s">
        <v>1316</v>
      </c>
      <c r="B209" s="7"/>
      <c r="C209" s="13" t="s">
        <v>56</v>
      </c>
      <c r="D209" s="19" t="str">
        <f>IFERROR(IF(C209="No CAS","",INDEX('DEQ Pollutant List'!$B$7:$B$611,MATCH('3. Pollutant Emissions - EF'!C209,'DEQ Pollutant List'!$A$7:$A$611,0))),"")</f>
        <v>Cadmium and compounds</v>
      </c>
      <c r="E209" s="100">
        <v>0</v>
      </c>
      <c r="F209" s="36">
        <v>0</v>
      </c>
      <c r="G209" s="100" t="s">
        <v>1415</v>
      </c>
      <c r="H209" s="36" t="s">
        <v>1415</v>
      </c>
      <c r="I209" s="34">
        <v>1.1000000000000001E-3</v>
      </c>
      <c r="J209" s="11">
        <f t="shared" si="3"/>
        <v>1.1000000000000001E-3</v>
      </c>
      <c r="K209" s="6" t="s">
        <v>1416</v>
      </c>
      <c r="L209" s="20" t="s">
        <v>1422</v>
      </c>
      <c r="M209" s="7">
        <f>IF(ISBLANK($B209),_xlfn.XLOOKUP($A209,'2. TEUs &amp; Activities - EF'!$A$9:$A$190,'2. TEUs &amp; Activities - EF'!$J$9:$J$190),_xlfn.XLOOKUP($B209,'2. TEUs &amp; Activities - EF'!$B$9:$B$190,'2. TEUs &amp; Activities - EF'!$J$9:$J$190))*'3. Pollutant Emissions - EF'!$I209*IF(OR(ISBLANK($E209),$G209="Yes"),1,$E209)*IF($H209="Yes",1,(1-$F209))</f>
        <v>7.9355294117647066E-2</v>
      </c>
      <c r="N209" s="5">
        <f>IF(ISBLANK($B209),_xlfn.XLOOKUP($A209,'2. TEUs &amp; Activities - EF'!$A$9:$A$190,'2. TEUs &amp; Activities - EF'!$M$9:$M$190),_xlfn.XLOOKUP($B209,'2. TEUs &amp; Activities - EF'!$B$9:$B$190,'2. TEUs &amp; Activities - EF'!$M$9:$M$190))*'3. Pollutant Emissions - EF'!$J209*IF(OR(ISBLANK($E209),$G209="Yes"),1,$E209)*IF($H209="Yes",1,(1-$F209))</f>
        <v>2.1741176470588239E-4</v>
      </c>
      <c r="O209" s="130"/>
    </row>
    <row r="210" spans="1:15" ht="15" x14ac:dyDescent="0.25">
      <c r="A210" s="5" t="s">
        <v>1316</v>
      </c>
      <c r="B210" s="7"/>
      <c r="C210" s="13" t="s">
        <v>57</v>
      </c>
      <c r="D210" s="19" t="str">
        <f>IFERROR(IF(C210="No CAS","",INDEX('DEQ Pollutant List'!$B$7:$B$611,MATCH('3. Pollutant Emissions - EF'!C210,'DEQ Pollutant List'!$A$7:$A$611,0))),"")</f>
        <v>Chromium VI, chromate and dichromate particulate</v>
      </c>
      <c r="E210" s="100">
        <v>0</v>
      </c>
      <c r="F210" s="36">
        <v>0</v>
      </c>
      <c r="G210" s="100" t="s">
        <v>1415</v>
      </c>
      <c r="H210" s="36" t="s">
        <v>1415</v>
      </c>
      <c r="I210" s="34">
        <v>1.4E-3</v>
      </c>
      <c r="J210" s="11">
        <f t="shared" si="3"/>
        <v>1.4E-3</v>
      </c>
      <c r="K210" s="6" t="s">
        <v>1416</v>
      </c>
      <c r="L210" s="20" t="s">
        <v>1422</v>
      </c>
      <c r="M210" s="7">
        <f>IF(ISBLANK($B210),_xlfn.XLOOKUP($A210,'2. TEUs &amp; Activities - EF'!$A$9:$A$190,'2. TEUs &amp; Activities - EF'!$J$9:$J$190),_xlfn.XLOOKUP($B210,'2. TEUs &amp; Activities - EF'!$B$9:$B$190,'2. TEUs &amp; Activities - EF'!$J$9:$J$190))*'3. Pollutant Emissions - EF'!$I210*IF(OR(ISBLANK($E210),$G210="Yes"),1,$E210)*IF($H210="Yes",1,(1-$F210))</f>
        <v>0.10099764705882353</v>
      </c>
      <c r="N210" s="5">
        <f>IF(ISBLANK($B210),_xlfn.XLOOKUP($A210,'2. TEUs &amp; Activities - EF'!$A$9:$A$190,'2. TEUs &amp; Activities - EF'!$M$9:$M$190),_xlfn.XLOOKUP($B210,'2. TEUs &amp; Activities - EF'!$B$9:$B$190,'2. TEUs &amp; Activities - EF'!$M$9:$M$190))*'3. Pollutant Emissions - EF'!$J210*IF(OR(ISBLANK($E210),$G210="Yes"),1,$E210)*IF($H210="Yes",1,(1-$F210))</f>
        <v>2.7670588235294117E-4</v>
      </c>
      <c r="O210" s="130"/>
    </row>
    <row r="211" spans="1:15" ht="15" x14ac:dyDescent="0.25">
      <c r="A211" s="5" t="s">
        <v>1316</v>
      </c>
      <c r="B211" s="7"/>
      <c r="C211" s="13" t="s">
        <v>58</v>
      </c>
      <c r="D211" s="19" t="str">
        <f>IFERROR(IF(C211="No CAS","",INDEX('DEQ Pollutant List'!$B$7:$B$611,MATCH('3. Pollutant Emissions - EF'!C211,'DEQ Pollutant List'!$A$7:$A$611,0))),"")</f>
        <v>Cobalt and compounds</v>
      </c>
      <c r="E211" s="100">
        <v>0</v>
      </c>
      <c r="F211" s="36">
        <v>0</v>
      </c>
      <c r="G211" s="100" t="s">
        <v>1415</v>
      </c>
      <c r="H211" s="36" t="s">
        <v>1415</v>
      </c>
      <c r="I211" s="34">
        <v>8.3999999999999995E-5</v>
      </c>
      <c r="J211" s="11">
        <f t="shared" si="3"/>
        <v>8.3999999999999995E-5</v>
      </c>
      <c r="K211" s="6" t="s">
        <v>1416</v>
      </c>
      <c r="L211" s="20" t="s">
        <v>1422</v>
      </c>
      <c r="M211" s="7">
        <f>IF(ISBLANK($B211),_xlfn.XLOOKUP($A211,'2. TEUs &amp; Activities - EF'!$A$9:$A$190,'2. TEUs &amp; Activities - EF'!$J$9:$J$190),_xlfn.XLOOKUP($B211,'2. TEUs &amp; Activities - EF'!$B$9:$B$190,'2. TEUs &amp; Activities - EF'!$J$9:$J$190))*'3. Pollutant Emissions - EF'!$I211*IF(OR(ISBLANK($E211),$G211="Yes"),1,$E211)*IF($H211="Yes",1,(1-$F211))</f>
        <v>6.0598588235294118E-3</v>
      </c>
      <c r="N211" s="5">
        <f>IF(ISBLANK($B211),_xlfn.XLOOKUP($A211,'2. TEUs &amp; Activities - EF'!$A$9:$A$190,'2. TEUs &amp; Activities - EF'!$M$9:$M$190),_xlfn.XLOOKUP($B211,'2. TEUs &amp; Activities - EF'!$B$9:$B$190,'2. TEUs &amp; Activities - EF'!$M$9:$M$190))*'3. Pollutant Emissions - EF'!$J211*IF(OR(ISBLANK($E211),$G211="Yes"),1,$E211)*IF($H211="Yes",1,(1-$F211))</f>
        <v>1.6602352941176472E-5</v>
      </c>
      <c r="O211" s="130"/>
    </row>
    <row r="212" spans="1:15" ht="15" x14ac:dyDescent="0.25">
      <c r="A212" s="5" t="s">
        <v>1316</v>
      </c>
      <c r="B212" s="7"/>
      <c r="C212" s="13" t="s">
        <v>59</v>
      </c>
      <c r="D212" s="19" t="str">
        <f>IFERROR(IF(C212="No CAS","",INDEX('DEQ Pollutant List'!$B$7:$B$611,MATCH('3. Pollutant Emissions - EF'!C212,'DEQ Pollutant List'!$A$7:$A$611,0))),"")</f>
        <v>Copper and compounds</v>
      </c>
      <c r="E212" s="100">
        <v>0</v>
      </c>
      <c r="F212" s="36">
        <v>0</v>
      </c>
      <c r="G212" s="100" t="s">
        <v>1415</v>
      </c>
      <c r="H212" s="36" t="s">
        <v>1415</v>
      </c>
      <c r="I212" s="34">
        <v>8.4999999999999995E-4</v>
      </c>
      <c r="J212" s="11">
        <f t="shared" si="3"/>
        <v>8.4999999999999995E-4</v>
      </c>
      <c r="K212" s="6" t="s">
        <v>1416</v>
      </c>
      <c r="L212" s="20" t="s">
        <v>1422</v>
      </c>
      <c r="M212" s="7">
        <f>IF(ISBLANK($B212),_xlfn.XLOOKUP($A212,'2. TEUs &amp; Activities - EF'!$A$9:$A$190,'2. TEUs &amp; Activities - EF'!$J$9:$J$190),_xlfn.XLOOKUP($B212,'2. TEUs &amp; Activities - EF'!$B$9:$B$190,'2. TEUs &amp; Activities - EF'!$J$9:$J$190))*'3. Pollutant Emissions - EF'!$I212*IF(OR(ISBLANK($E212),$G212="Yes"),1,$E212)*IF($H212="Yes",1,(1-$F212))</f>
        <v>6.132E-2</v>
      </c>
      <c r="N212" s="5">
        <f>IF(ISBLANK($B212),_xlfn.XLOOKUP($A212,'2. TEUs &amp; Activities - EF'!$A$9:$A$190,'2. TEUs &amp; Activities - EF'!$M$9:$M$190),_xlfn.XLOOKUP($B212,'2. TEUs &amp; Activities - EF'!$B$9:$B$190,'2. TEUs &amp; Activities - EF'!$M$9:$M$190))*'3. Pollutant Emissions - EF'!$J212*IF(OR(ISBLANK($E212),$G212="Yes"),1,$E212)*IF($H212="Yes",1,(1-$F212))</f>
        <v>1.6799999999999999E-4</v>
      </c>
      <c r="O212" s="130"/>
    </row>
    <row r="213" spans="1:15" ht="15" x14ac:dyDescent="0.25">
      <c r="A213" s="5" t="s">
        <v>1316</v>
      </c>
      <c r="B213" s="7"/>
      <c r="C213" s="13" t="s">
        <v>60</v>
      </c>
      <c r="D213" s="19" t="str">
        <f>IFERROR(IF(C213="No CAS","",INDEX('DEQ Pollutant List'!$B$7:$B$611,MATCH('3. Pollutant Emissions - EF'!C213,'DEQ Pollutant List'!$A$7:$A$611,0))),"")</f>
        <v>Ethyl benzene</v>
      </c>
      <c r="E213" s="100">
        <v>0</v>
      </c>
      <c r="F213" s="36">
        <v>0</v>
      </c>
      <c r="G213" s="100" t="s">
        <v>1415</v>
      </c>
      <c r="H213" s="36" t="s">
        <v>1415</v>
      </c>
      <c r="I213" s="34">
        <v>9.4999999999999998E-3</v>
      </c>
      <c r="J213" s="11">
        <f t="shared" si="3"/>
        <v>9.4999999999999998E-3</v>
      </c>
      <c r="K213" s="6" t="s">
        <v>1416</v>
      </c>
      <c r="L213" s="20" t="s">
        <v>1422</v>
      </c>
      <c r="M213" s="7">
        <f>IF(ISBLANK($B213),_xlfn.XLOOKUP($A213,'2. TEUs &amp; Activities - EF'!$A$9:$A$190,'2. TEUs &amp; Activities - EF'!$J$9:$J$190),_xlfn.XLOOKUP($B213,'2. TEUs &amp; Activities - EF'!$B$9:$B$190,'2. TEUs &amp; Activities - EF'!$J$9:$J$190))*'3. Pollutant Emissions - EF'!$I213*IF(OR(ISBLANK($E213),$G213="Yes"),1,$E213)*IF($H213="Yes",1,(1-$F213))</f>
        <v>0.68534117647058823</v>
      </c>
      <c r="N213" s="5">
        <f>IF(ISBLANK($B213),_xlfn.XLOOKUP($A213,'2. TEUs &amp; Activities - EF'!$A$9:$A$190,'2. TEUs &amp; Activities - EF'!$M$9:$M$190),_xlfn.XLOOKUP($B213,'2. TEUs &amp; Activities - EF'!$B$9:$B$190,'2. TEUs &amp; Activities - EF'!$M$9:$M$190))*'3. Pollutant Emissions - EF'!$J213*IF(OR(ISBLANK($E213),$G213="Yes"),1,$E213)*IF($H213="Yes",1,(1-$F213))</f>
        <v>1.8776470588235295E-3</v>
      </c>
      <c r="O213" s="130"/>
    </row>
    <row r="214" spans="1:15" ht="15" x14ac:dyDescent="0.25">
      <c r="A214" s="5" t="s">
        <v>1316</v>
      </c>
      <c r="B214" s="7"/>
      <c r="C214" s="13" t="s">
        <v>47</v>
      </c>
      <c r="D214" s="19" t="str">
        <f>IFERROR(IF(C214="No CAS","",INDEX('DEQ Pollutant List'!$B$7:$B$611,MATCH('3. Pollutant Emissions - EF'!C214,'DEQ Pollutant List'!$A$7:$A$611,0))),"")</f>
        <v>Formaldehyde</v>
      </c>
      <c r="E214" s="100">
        <v>0</v>
      </c>
      <c r="F214" s="36">
        <v>0</v>
      </c>
      <c r="G214" s="100" t="s">
        <v>1415</v>
      </c>
      <c r="H214" s="36" t="s">
        <v>1415</v>
      </c>
      <c r="I214" s="34">
        <v>1.7000000000000001E-2</v>
      </c>
      <c r="J214" s="11">
        <f t="shared" si="3"/>
        <v>1.7000000000000001E-2</v>
      </c>
      <c r="K214" s="6" t="s">
        <v>1416</v>
      </c>
      <c r="L214" s="20" t="s">
        <v>1422</v>
      </c>
      <c r="M214" s="7">
        <f>IF(ISBLANK($B214),_xlfn.XLOOKUP($A214,'2. TEUs &amp; Activities - EF'!$A$9:$A$190,'2. TEUs &amp; Activities - EF'!$J$9:$J$190),_xlfn.XLOOKUP($B214,'2. TEUs &amp; Activities - EF'!$B$9:$B$190,'2. TEUs &amp; Activities - EF'!$J$9:$J$190))*'3. Pollutant Emissions - EF'!$I214*IF(OR(ISBLANK($E214),$G214="Yes"),1,$E214)*IF($H214="Yes",1,(1-$F214))</f>
        <v>1.2264000000000002</v>
      </c>
      <c r="N214" s="5">
        <f>IF(ISBLANK($B214),_xlfn.XLOOKUP($A214,'2. TEUs &amp; Activities - EF'!$A$9:$A$190,'2. TEUs &amp; Activities - EF'!$M$9:$M$190),_xlfn.XLOOKUP($B214,'2. TEUs &amp; Activities - EF'!$B$9:$B$190,'2. TEUs &amp; Activities - EF'!$M$9:$M$190))*'3. Pollutant Emissions - EF'!$J214*IF(OR(ISBLANK($E214),$G214="Yes"),1,$E214)*IF($H214="Yes",1,(1-$F214))</f>
        <v>3.3600000000000006E-3</v>
      </c>
      <c r="O214" s="130"/>
    </row>
    <row r="215" spans="1:15" ht="15" x14ac:dyDescent="0.25">
      <c r="A215" s="5" t="s">
        <v>1316</v>
      </c>
      <c r="B215" s="7"/>
      <c r="C215" s="13" t="s">
        <v>61</v>
      </c>
      <c r="D215" s="19" t="str">
        <f>IFERROR(IF(C215="No CAS","",INDEX('DEQ Pollutant List'!$B$7:$B$611,MATCH('3. Pollutant Emissions - EF'!C215,'DEQ Pollutant List'!$A$7:$A$611,0))),"")</f>
        <v>Hexane</v>
      </c>
      <c r="E215" s="100">
        <v>0</v>
      </c>
      <c r="F215" s="36">
        <v>0</v>
      </c>
      <c r="G215" s="100" t="s">
        <v>1415</v>
      </c>
      <c r="H215" s="36" t="s">
        <v>1415</v>
      </c>
      <c r="I215" s="34">
        <v>6.3E-3</v>
      </c>
      <c r="J215" s="11">
        <f t="shared" si="3"/>
        <v>6.3E-3</v>
      </c>
      <c r="K215" s="6" t="s">
        <v>1416</v>
      </c>
      <c r="L215" s="20" t="s">
        <v>1422</v>
      </c>
      <c r="M215" s="7">
        <f>IF(ISBLANK($B215),_xlfn.XLOOKUP($A215,'2. TEUs &amp; Activities - EF'!$A$9:$A$190,'2. TEUs &amp; Activities - EF'!$J$9:$J$190),_xlfn.XLOOKUP($B215,'2. TEUs &amp; Activities - EF'!$B$9:$B$190,'2. TEUs &amp; Activities - EF'!$J$9:$J$190))*'3. Pollutant Emissions - EF'!$I215*IF(OR(ISBLANK($E215),$G215="Yes"),1,$E215)*IF($H215="Yes",1,(1-$F215))</f>
        <v>0.45448941176470586</v>
      </c>
      <c r="N215" s="5">
        <f>IF(ISBLANK($B215),_xlfn.XLOOKUP($A215,'2. TEUs &amp; Activities - EF'!$A$9:$A$190,'2. TEUs &amp; Activities - EF'!$M$9:$M$190),_xlfn.XLOOKUP($B215,'2. TEUs &amp; Activities - EF'!$B$9:$B$190,'2. TEUs &amp; Activities - EF'!$M$9:$M$190))*'3. Pollutant Emissions - EF'!$J215*IF(OR(ISBLANK($E215),$G215="Yes"),1,$E215)*IF($H215="Yes",1,(1-$F215))</f>
        <v>1.2451764705882354E-3</v>
      </c>
      <c r="O215" s="130"/>
    </row>
    <row r="216" spans="1:15" ht="15" x14ac:dyDescent="0.25">
      <c r="A216" s="5" t="s">
        <v>1316</v>
      </c>
      <c r="B216" s="7"/>
      <c r="C216" s="13" t="s">
        <v>62</v>
      </c>
      <c r="D216" s="19" t="str">
        <f>IFERROR(IF(C216="No CAS","",INDEX('DEQ Pollutant List'!$B$7:$B$611,MATCH('3. Pollutant Emissions - EF'!C216,'DEQ Pollutant List'!$A$7:$A$611,0))),"")</f>
        <v>Lead and compounds</v>
      </c>
      <c r="E216" s="100">
        <v>0</v>
      </c>
      <c r="F216" s="36">
        <v>0</v>
      </c>
      <c r="G216" s="100" t="s">
        <v>1415</v>
      </c>
      <c r="H216" s="36" t="s">
        <v>1415</v>
      </c>
      <c r="I216" s="34">
        <v>5.0000000000000001E-4</v>
      </c>
      <c r="J216" s="11">
        <f t="shared" si="3"/>
        <v>5.0000000000000001E-4</v>
      </c>
      <c r="K216" s="6" t="s">
        <v>1416</v>
      </c>
      <c r="L216" s="20" t="s">
        <v>1422</v>
      </c>
      <c r="M216" s="7">
        <f>IF(ISBLANK($B216),_xlfn.XLOOKUP($A216,'2. TEUs &amp; Activities - EF'!$A$9:$A$190,'2. TEUs &amp; Activities - EF'!$J$9:$J$190),_xlfn.XLOOKUP($B216,'2. TEUs &amp; Activities - EF'!$B$9:$B$190,'2. TEUs &amp; Activities - EF'!$J$9:$J$190))*'3. Pollutant Emissions - EF'!$I216*IF(OR(ISBLANK($E216),$G216="Yes"),1,$E216)*IF($H216="Yes",1,(1-$F216))</f>
        <v>3.6070588235294118E-2</v>
      </c>
      <c r="N216" s="5">
        <f>IF(ISBLANK($B216),_xlfn.XLOOKUP($A216,'2. TEUs &amp; Activities - EF'!$A$9:$A$190,'2. TEUs &amp; Activities - EF'!$M$9:$M$190),_xlfn.XLOOKUP($B216,'2. TEUs &amp; Activities - EF'!$B$9:$B$190,'2. TEUs &amp; Activities - EF'!$M$9:$M$190))*'3. Pollutant Emissions - EF'!$J216*IF(OR(ISBLANK($E216),$G216="Yes"),1,$E216)*IF($H216="Yes",1,(1-$F216))</f>
        <v>9.8823529411764711E-5</v>
      </c>
      <c r="O216" s="130"/>
    </row>
    <row r="217" spans="1:15" ht="15" x14ac:dyDescent="0.25">
      <c r="A217" s="5" t="s">
        <v>1316</v>
      </c>
      <c r="B217" s="7"/>
      <c r="C217" s="13" t="s">
        <v>63</v>
      </c>
      <c r="D217" s="19" t="str">
        <f>IFERROR(IF(C217="No CAS","",INDEX('DEQ Pollutant List'!$B$7:$B$611,MATCH('3. Pollutant Emissions - EF'!C217,'DEQ Pollutant List'!$A$7:$A$611,0))),"")</f>
        <v>Manganese and compounds</v>
      </c>
      <c r="E217" s="100">
        <v>0</v>
      </c>
      <c r="F217" s="36">
        <v>0</v>
      </c>
      <c r="G217" s="100" t="s">
        <v>1415</v>
      </c>
      <c r="H217" s="36" t="s">
        <v>1415</v>
      </c>
      <c r="I217" s="34">
        <v>3.8000000000000002E-4</v>
      </c>
      <c r="J217" s="11">
        <f t="shared" si="3"/>
        <v>3.8000000000000002E-4</v>
      </c>
      <c r="K217" s="6" t="s">
        <v>1416</v>
      </c>
      <c r="L217" s="20" t="s">
        <v>1422</v>
      </c>
      <c r="M217" s="7">
        <f>IF(ISBLANK($B217),_xlfn.XLOOKUP($A217,'2. TEUs &amp; Activities - EF'!$A$9:$A$190,'2. TEUs &amp; Activities - EF'!$J$9:$J$190),_xlfn.XLOOKUP($B217,'2. TEUs &amp; Activities - EF'!$B$9:$B$190,'2. TEUs &amp; Activities - EF'!$J$9:$J$190))*'3. Pollutant Emissions - EF'!$I217*IF(OR(ISBLANK($E217),$G217="Yes"),1,$E217)*IF($H217="Yes",1,(1-$F217))</f>
        <v>2.7413647058823532E-2</v>
      </c>
      <c r="N217" s="5">
        <f>IF(ISBLANK($B217),_xlfn.XLOOKUP($A217,'2. TEUs &amp; Activities - EF'!$A$9:$A$190,'2. TEUs &amp; Activities - EF'!$M$9:$M$190),_xlfn.XLOOKUP($B217,'2. TEUs &amp; Activities - EF'!$B$9:$B$190,'2. TEUs &amp; Activities - EF'!$M$9:$M$190))*'3. Pollutant Emissions - EF'!$J217*IF(OR(ISBLANK($E217),$G217="Yes"),1,$E217)*IF($H217="Yes",1,(1-$F217))</f>
        <v>7.510588235294118E-5</v>
      </c>
      <c r="O217" s="130"/>
    </row>
    <row r="218" spans="1:15" ht="15" x14ac:dyDescent="0.25">
      <c r="A218" s="5" t="s">
        <v>1316</v>
      </c>
      <c r="B218" s="7"/>
      <c r="C218" s="13" t="s">
        <v>64</v>
      </c>
      <c r="D218" s="19" t="str">
        <f>IFERROR(IF(C218="No CAS","",INDEX('DEQ Pollutant List'!$B$7:$B$611,MATCH('3. Pollutant Emissions - EF'!C218,'DEQ Pollutant List'!$A$7:$A$611,0))),"")</f>
        <v>Mercury and compounds</v>
      </c>
      <c r="E218" s="100">
        <v>0</v>
      </c>
      <c r="F218" s="36">
        <v>0</v>
      </c>
      <c r="G218" s="100" t="s">
        <v>1415</v>
      </c>
      <c r="H218" s="36" t="s">
        <v>1415</v>
      </c>
      <c r="I218" s="34">
        <v>2.5999999999999998E-4</v>
      </c>
      <c r="J218" s="11">
        <f t="shared" si="3"/>
        <v>2.5999999999999998E-4</v>
      </c>
      <c r="K218" s="6" t="s">
        <v>1416</v>
      </c>
      <c r="L218" s="20" t="s">
        <v>1422</v>
      </c>
      <c r="M218" s="7">
        <f>IF(ISBLANK($B218),_xlfn.XLOOKUP($A218,'2. TEUs &amp; Activities - EF'!$A$9:$A$190,'2. TEUs &amp; Activities - EF'!$J$9:$J$190),_xlfn.XLOOKUP($B218,'2. TEUs &amp; Activities - EF'!$B$9:$B$190,'2. TEUs &amp; Activities - EF'!$J$9:$J$190))*'3. Pollutant Emissions - EF'!$I218*IF(OR(ISBLANK($E218),$G218="Yes"),1,$E218)*IF($H218="Yes",1,(1-$F218))</f>
        <v>1.8756705882352939E-2</v>
      </c>
      <c r="N218" s="5">
        <f>IF(ISBLANK($B218),_xlfn.XLOOKUP($A218,'2. TEUs &amp; Activities - EF'!$A$9:$A$190,'2. TEUs &amp; Activities - EF'!$M$9:$M$190),_xlfn.XLOOKUP($B218,'2. TEUs &amp; Activities - EF'!$B$9:$B$190,'2. TEUs &amp; Activities - EF'!$M$9:$M$190))*'3. Pollutant Emissions - EF'!$J218*IF(OR(ISBLANK($E218),$G218="Yes"),1,$E218)*IF($H218="Yes",1,(1-$F218))</f>
        <v>5.1388235294117649E-5</v>
      </c>
      <c r="O218" s="130"/>
    </row>
    <row r="219" spans="1:15" ht="15" x14ac:dyDescent="0.25">
      <c r="A219" s="5" t="s">
        <v>1316</v>
      </c>
      <c r="B219" s="7"/>
      <c r="C219" s="13" t="s">
        <v>65</v>
      </c>
      <c r="D219" s="19" t="str">
        <f>IFERROR(IF(C219="No CAS","",INDEX('DEQ Pollutant List'!$B$7:$B$611,MATCH('3. Pollutant Emissions - EF'!C219,'DEQ Pollutant List'!$A$7:$A$611,0))),"")</f>
        <v>Molybdenum trioxide</v>
      </c>
      <c r="E219" s="100">
        <v>0</v>
      </c>
      <c r="F219" s="36">
        <v>0</v>
      </c>
      <c r="G219" s="100" t="s">
        <v>1415</v>
      </c>
      <c r="H219" s="36" t="s">
        <v>1415</v>
      </c>
      <c r="I219" s="34">
        <v>1.65E-3</v>
      </c>
      <c r="J219" s="11">
        <f t="shared" si="3"/>
        <v>1.65E-3</v>
      </c>
      <c r="K219" s="6" t="s">
        <v>1416</v>
      </c>
      <c r="L219" s="20" t="s">
        <v>1422</v>
      </c>
      <c r="M219" s="7">
        <f>IF(ISBLANK($B219),_xlfn.XLOOKUP($A219,'2. TEUs &amp; Activities - EF'!$A$9:$A$190,'2. TEUs &amp; Activities - EF'!$J$9:$J$190),_xlfn.XLOOKUP($B219,'2. TEUs &amp; Activities - EF'!$B$9:$B$190,'2. TEUs &amp; Activities - EF'!$J$9:$J$190))*'3. Pollutant Emissions - EF'!$I219*IF(OR(ISBLANK($E219),$G219="Yes"),1,$E219)*IF($H219="Yes",1,(1-$F219))</f>
        <v>0.11903294117647059</v>
      </c>
      <c r="N219" s="5">
        <f>IF(ISBLANK($B219),_xlfn.XLOOKUP($A219,'2. TEUs &amp; Activities - EF'!$A$9:$A$190,'2. TEUs &amp; Activities - EF'!$M$9:$M$190),_xlfn.XLOOKUP($B219,'2. TEUs &amp; Activities - EF'!$B$9:$B$190,'2. TEUs &amp; Activities - EF'!$M$9:$M$190))*'3. Pollutant Emissions - EF'!$J219*IF(OR(ISBLANK($E219),$G219="Yes"),1,$E219)*IF($H219="Yes",1,(1-$F219))</f>
        <v>3.2611764705882358E-4</v>
      </c>
      <c r="O219" s="130"/>
    </row>
    <row r="220" spans="1:15" ht="15" x14ac:dyDescent="0.25">
      <c r="A220" s="5" t="s">
        <v>1316</v>
      </c>
      <c r="B220" s="7"/>
      <c r="C220" s="13" t="s">
        <v>49</v>
      </c>
      <c r="D220" s="19" t="str">
        <f>IFERROR(IF(C220="No CAS","",INDEX('DEQ Pollutant List'!$B$7:$B$611,MATCH('3. Pollutant Emissions - EF'!C220,'DEQ Pollutant List'!$A$7:$A$611,0))),"")</f>
        <v>Naphthalene</v>
      </c>
      <c r="E220" s="100">
        <v>0</v>
      </c>
      <c r="F220" s="36">
        <v>0</v>
      </c>
      <c r="G220" s="100" t="s">
        <v>1415</v>
      </c>
      <c r="H220" s="36" t="s">
        <v>1415</v>
      </c>
      <c r="I220" s="34">
        <v>2.9999999999999997E-4</v>
      </c>
      <c r="J220" s="11">
        <f t="shared" si="3"/>
        <v>2.9999999999999997E-4</v>
      </c>
      <c r="K220" s="6" t="s">
        <v>1416</v>
      </c>
      <c r="L220" s="20" t="s">
        <v>1422</v>
      </c>
      <c r="M220" s="7">
        <f>IF(ISBLANK($B220),_xlfn.XLOOKUP($A220,'2. TEUs &amp; Activities - EF'!$A$9:$A$190,'2. TEUs &amp; Activities - EF'!$J$9:$J$190),_xlfn.XLOOKUP($B220,'2. TEUs &amp; Activities - EF'!$B$9:$B$190,'2. TEUs &amp; Activities - EF'!$J$9:$J$190))*'3. Pollutant Emissions - EF'!$I220*IF(OR(ISBLANK($E220),$G220="Yes"),1,$E220)*IF($H220="Yes",1,(1-$F220))</f>
        <v>2.164235294117647E-2</v>
      </c>
      <c r="N220" s="5">
        <f>IF(ISBLANK($B220),_xlfn.XLOOKUP($A220,'2. TEUs &amp; Activities - EF'!$A$9:$A$190,'2. TEUs &amp; Activities - EF'!$M$9:$M$190),_xlfn.XLOOKUP($B220,'2. TEUs &amp; Activities - EF'!$B$9:$B$190,'2. TEUs &amp; Activities - EF'!$M$9:$M$190))*'3. Pollutant Emissions - EF'!$J220*IF(OR(ISBLANK($E220),$G220="Yes"),1,$E220)*IF($H220="Yes",1,(1-$F220))</f>
        <v>5.9294117647058821E-5</v>
      </c>
      <c r="O220" s="130"/>
    </row>
    <row r="221" spans="1:15" ht="15" x14ac:dyDescent="0.25">
      <c r="A221" s="5" t="s">
        <v>1316</v>
      </c>
      <c r="B221" s="7"/>
      <c r="C221" s="13" t="s">
        <v>66</v>
      </c>
      <c r="D221" s="19" t="str">
        <f>IFERROR(IF(C221="No CAS","",INDEX('DEQ Pollutant List'!$B$7:$B$611,MATCH('3. Pollutant Emissions - EF'!C221,'DEQ Pollutant List'!$A$7:$A$611,0))),"")</f>
        <v>Nickel and compounds</v>
      </c>
      <c r="E221" s="100">
        <v>0</v>
      </c>
      <c r="F221" s="36">
        <v>0</v>
      </c>
      <c r="G221" s="100" t="s">
        <v>1415</v>
      </c>
      <c r="H221" s="36" t="s">
        <v>1415</v>
      </c>
      <c r="I221" s="34">
        <v>2.0999999999999999E-3</v>
      </c>
      <c r="J221" s="11">
        <f t="shared" si="3"/>
        <v>2.0999999999999999E-3</v>
      </c>
      <c r="K221" s="6" t="s">
        <v>1416</v>
      </c>
      <c r="L221" s="20" t="s">
        <v>1422</v>
      </c>
      <c r="M221" s="7">
        <f>IF(ISBLANK($B221),_xlfn.XLOOKUP($A221,'2. TEUs &amp; Activities - EF'!$A$9:$A$190,'2. TEUs &amp; Activities - EF'!$J$9:$J$190),_xlfn.XLOOKUP($B221,'2. TEUs &amp; Activities - EF'!$B$9:$B$190,'2. TEUs &amp; Activities - EF'!$J$9:$J$190))*'3. Pollutant Emissions - EF'!$I221*IF(OR(ISBLANK($E221),$G221="Yes"),1,$E221)*IF($H221="Yes",1,(1-$F221))</f>
        <v>0.15149647058823529</v>
      </c>
      <c r="N221" s="5">
        <f>IF(ISBLANK($B221),_xlfn.XLOOKUP($A221,'2. TEUs &amp; Activities - EF'!$A$9:$A$190,'2. TEUs &amp; Activities - EF'!$M$9:$M$190),_xlfn.XLOOKUP($B221,'2. TEUs &amp; Activities - EF'!$B$9:$B$190,'2. TEUs &amp; Activities - EF'!$M$9:$M$190))*'3. Pollutant Emissions - EF'!$J221*IF(OR(ISBLANK($E221),$G221="Yes"),1,$E221)*IF($H221="Yes",1,(1-$F221))</f>
        <v>4.1505882352941176E-4</v>
      </c>
      <c r="O221" s="130"/>
    </row>
    <row r="222" spans="1:15" ht="15" x14ac:dyDescent="0.25">
      <c r="A222" s="5" t="s">
        <v>1316</v>
      </c>
      <c r="B222" s="7"/>
      <c r="C222" s="13">
        <v>401</v>
      </c>
      <c r="D222" s="19" t="str">
        <f>IFERROR(IF(C222="No CAS","",INDEX('DEQ Pollutant List'!$B$7:$B$611,MATCH('3. Pollutant Emissions - EF'!C222,'DEQ Pollutant List'!$A$7:$A$611,0))),"")</f>
        <v>Polycyclic aromatic hydrocarbons (PAHs)</v>
      </c>
      <c r="E222" s="100">
        <v>0</v>
      </c>
      <c r="F222" s="36">
        <v>0</v>
      </c>
      <c r="G222" s="100" t="s">
        <v>1415</v>
      </c>
      <c r="H222" s="36" t="s">
        <v>1415</v>
      </c>
      <c r="I222" s="34">
        <v>1E-4</v>
      </c>
      <c r="J222" s="11">
        <f t="shared" si="3"/>
        <v>1E-4</v>
      </c>
      <c r="K222" s="6" t="s">
        <v>1416</v>
      </c>
      <c r="L222" s="20" t="s">
        <v>1422</v>
      </c>
      <c r="M222" s="7">
        <f>IF(ISBLANK($B222),_xlfn.XLOOKUP($A222,'2. TEUs &amp; Activities - EF'!$A$9:$A$190,'2. TEUs &amp; Activities - EF'!$J$9:$J$190),_xlfn.XLOOKUP($B222,'2. TEUs &amp; Activities - EF'!$B$9:$B$190,'2. TEUs &amp; Activities - EF'!$J$9:$J$190))*'3. Pollutant Emissions - EF'!$I222*IF(OR(ISBLANK($E222),$G222="Yes"),1,$E222)*IF($H222="Yes",1,(1-$F222))</f>
        <v>7.214117647058824E-3</v>
      </c>
      <c r="N222" s="5">
        <f>IF(ISBLANK($B222),_xlfn.XLOOKUP($A222,'2. TEUs &amp; Activities - EF'!$A$9:$A$190,'2. TEUs &amp; Activities - EF'!$M$9:$M$190),_xlfn.XLOOKUP($B222,'2. TEUs &amp; Activities - EF'!$B$9:$B$190,'2. TEUs &amp; Activities - EF'!$M$9:$M$190))*'3. Pollutant Emissions - EF'!$J222*IF(OR(ISBLANK($E222),$G222="Yes"),1,$E222)*IF($H222="Yes",1,(1-$F222))</f>
        <v>1.9764705882352945E-5</v>
      </c>
      <c r="O222" s="130"/>
    </row>
    <row r="223" spans="1:15" ht="15" x14ac:dyDescent="0.25">
      <c r="A223" s="5" t="s">
        <v>1316</v>
      </c>
      <c r="B223" s="7"/>
      <c r="C223" s="13" t="s">
        <v>67</v>
      </c>
      <c r="D223" s="19" t="str">
        <f>IFERROR(IF(C223="No CAS","",INDEX('DEQ Pollutant List'!$B$7:$B$611,MATCH('3. Pollutant Emissions - EF'!C223,'DEQ Pollutant List'!$A$7:$A$611,0))),"")</f>
        <v>Selenium and compounds</v>
      </c>
      <c r="E223" s="100">
        <v>0</v>
      </c>
      <c r="F223" s="36">
        <v>0</v>
      </c>
      <c r="G223" s="100" t="s">
        <v>1415</v>
      </c>
      <c r="H223" s="36" t="s">
        <v>1415</v>
      </c>
      <c r="I223" s="34">
        <v>2.4000000000000001E-5</v>
      </c>
      <c r="J223" s="11">
        <f t="shared" si="3"/>
        <v>2.4000000000000001E-5</v>
      </c>
      <c r="K223" s="6" t="s">
        <v>1416</v>
      </c>
      <c r="L223" s="20" t="s">
        <v>1422</v>
      </c>
      <c r="M223" s="7">
        <f>IF(ISBLANK($B223),_xlfn.XLOOKUP($A223,'2. TEUs &amp; Activities - EF'!$A$9:$A$190,'2. TEUs &amp; Activities - EF'!$J$9:$J$190),_xlfn.XLOOKUP($B223,'2. TEUs &amp; Activities - EF'!$B$9:$B$190,'2. TEUs &amp; Activities - EF'!$J$9:$J$190))*'3. Pollutant Emissions - EF'!$I223*IF(OR(ISBLANK($E223),$G223="Yes"),1,$E223)*IF($H223="Yes",1,(1-$F223))</f>
        <v>1.7313882352941177E-3</v>
      </c>
      <c r="N223" s="5">
        <f>IF(ISBLANK($B223),_xlfn.XLOOKUP($A223,'2. TEUs &amp; Activities - EF'!$A$9:$A$190,'2. TEUs &amp; Activities - EF'!$M$9:$M$190),_xlfn.XLOOKUP($B223,'2. TEUs &amp; Activities - EF'!$B$9:$B$190,'2. TEUs &amp; Activities - EF'!$M$9:$M$190))*'3. Pollutant Emissions - EF'!$J223*IF(OR(ISBLANK($E223),$G223="Yes"),1,$E223)*IF($H223="Yes",1,(1-$F223))</f>
        <v>4.7435294117647061E-6</v>
      </c>
      <c r="O223" s="130"/>
    </row>
    <row r="224" spans="1:15" ht="15" x14ac:dyDescent="0.25">
      <c r="A224" s="5" t="s">
        <v>1316</v>
      </c>
      <c r="B224" s="7"/>
      <c r="C224" s="13" t="s">
        <v>68</v>
      </c>
      <c r="D224" s="19" t="str">
        <f>IFERROR(IF(C224="No CAS","",INDEX('DEQ Pollutant List'!$B$7:$B$611,MATCH('3. Pollutant Emissions - EF'!C224,'DEQ Pollutant List'!$A$7:$A$611,0))),"")</f>
        <v>Toluene</v>
      </c>
      <c r="E224" s="100">
        <v>0</v>
      </c>
      <c r="F224" s="36">
        <v>0</v>
      </c>
      <c r="G224" s="100" t="s">
        <v>1415</v>
      </c>
      <c r="H224" s="36" t="s">
        <v>1415</v>
      </c>
      <c r="I224" s="34">
        <v>3.6600000000000001E-2</v>
      </c>
      <c r="J224" s="11">
        <f t="shared" si="3"/>
        <v>3.6600000000000001E-2</v>
      </c>
      <c r="K224" s="6" t="s">
        <v>1416</v>
      </c>
      <c r="L224" s="20" t="s">
        <v>1422</v>
      </c>
      <c r="M224" s="7">
        <f>IF(ISBLANK($B224),_xlfn.XLOOKUP($A224,'2. TEUs &amp; Activities - EF'!$A$9:$A$190,'2. TEUs &amp; Activities - EF'!$J$9:$J$190),_xlfn.XLOOKUP($B224,'2. TEUs &amp; Activities - EF'!$B$9:$B$190,'2. TEUs &amp; Activities - EF'!$J$9:$J$190))*'3. Pollutant Emissions - EF'!$I224*IF(OR(ISBLANK($E224),$G224="Yes"),1,$E224)*IF($H224="Yes",1,(1-$F224))</f>
        <v>2.6403670588235295</v>
      </c>
      <c r="N224" s="5">
        <f>IF(ISBLANK($B224),_xlfn.XLOOKUP($A224,'2. TEUs &amp; Activities - EF'!$A$9:$A$190,'2. TEUs &amp; Activities - EF'!$M$9:$M$190),_xlfn.XLOOKUP($B224,'2. TEUs &amp; Activities - EF'!$B$9:$B$190,'2. TEUs &amp; Activities - EF'!$M$9:$M$190))*'3. Pollutant Emissions - EF'!$J224*IF(OR(ISBLANK($E224),$G224="Yes"),1,$E224)*IF($H224="Yes",1,(1-$F224))</f>
        <v>7.2338823529411768E-3</v>
      </c>
      <c r="O224" s="130"/>
    </row>
    <row r="225" spans="1:15" ht="15" x14ac:dyDescent="0.25">
      <c r="A225" s="5" t="s">
        <v>1316</v>
      </c>
      <c r="B225" s="7"/>
      <c r="C225" s="13" t="s">
        <v>69</v>
      </c>
      <c r="D225" s="19" t="str">
        <f>IFERROR(IF(C225="No CAS","",INDEX('DEQ Pollutant List'!$B$7:$B$611,MATCH('3. Pollutant Emissions - EF'!C225,'DEQ Pollutant List'!$A$7:$A$611,0))),"")</f>
        <v>Vanadium (fume or dust)</v>
      </c>
      <c r="E225" s="100">
        <v>0</v>
      </c>
      <c r="F225" s="36">
        <v>0</v>
      </c>
      <c r="G225" s="100" t="s">
        <v>1415</v>
      </c>
      <c r="H225" s="36" t="s">
        <v>1415</v>
      </c>
      <c r="I225" s="34">
        <v>2.3E-3</v>
      </c>
      <c r="J225" s="11">
        <f t="shared" si="3"/>
        <v>2.3E-3</v>
      </c>
      <c r="K225" s="6" t="s">
        <v>1416</v>
      </c>
      <c r="L225" s="20" t="s">
        <v>1422</v>
      </c>
      <c r="M225" s="7">
        <f>IF(ISBLANK($B225),_xlfn.XLOOKUP($A225,'2. TEUs &amp; Activities - EF'!$A$9:$A$190,'2. TEUs &amp; Activities - EF'!$J$9:$J$190),_xlfn.XLOOKUP($B225,'2. TEUs &amp; Activities - EF'!$B$9:$B$190,'2. TEUs &amp; Activities - EF'!$J$9:$J$190))*'3. Pollutant Emissions - EF'!$I225*IF(OR(ISBLANK($E225),$G225="Yes"),1,$E225)*IF($H225="Yes",1,(1-$F225))</f>
        <v>0.16592470588235295</v>
      </c>
      <c r="N225" s="5">
        <f>IF(ISBLANK($B225),_xlfn.XLOOKUP($A225,'2. TEUs &amp; Activities - EF'!$A$9:$A$190,'2. TEUs &amp; Activities - EF'!$M$9:$M$190),_xlfn.XLOOKUP($B225,'2. TEUs &amp; Activities - EF'!$B$9:$B$190,'2. TEUs &amp; Activities - EF'!$M$9:$M$190))*'3. Pollutant Emissions - EF'!$J225*IF(OR(ISBLANK($E225),$G225="Yes"),1,$E225)*IF($H225="Yes",1,(1-$F225))</f>
        <v>4.5458823529411765E-4</v>
      </c>
      <c r="O225" s="130"/>
    </row>
    <row r="226" spans="1:15" ht="15" x14ac:dyDescent="0.25">
      <c r="A226" s="5" t="s">
        <v>1316</v>
      </c>
      <c r="B226" s="7"/>
      <c r="C226" s="13" t="s">
        <v>70</v>
      </c>
      <c r="D226" s="19" t="str">
        <f>IFERROR(IF(C226="No CAS","",INDEX('DEQ Pollutant List'!$B$7:$B$611,MATCH('3. Pollutant Emissions - EF'!C226,'DEQ Pollutant List'!$A$7:$A$611,0))),"")</f>
        <v>Xylene (mixture), including m-xylene, o-xylene, p-xylene</v>
      </c>
      <c r="E226" s="100">
        <v>0</v>
      </c>
      <c r="F226" s="36">
        <v>0</v>
      </c>
      <c r="G226" s="100" t="s">
        <v>1415</v>
      </c>
      <c r="H226" s="36" t="s">
        <v>1415</v>
      </c>
      <c r="I226" s="34">
        <v>2.7199999999999998E-2</v>
      </c>
      <c r="J226" s="11">
        <f t="shared" si="3"/>
        <v>2.7199999999999998E-2</v>
      </c>
      <c r="K226" s="6" t="s">
        <v>1416</v>
      </c>
      <c r="L226" s="20" t="s">
        <v>1422</v>
      </c>
      <c r="M226" s="7">
        <f>IF(ISBLANK($B226),_xlfn.XLOOKUP($A226,'2. TEUs &amp; Activities - EF'!$A$9:$A$190,'2. TEUs &amp; Activities - EF'!$J$9:$J$190),_xlfn.XLOOKUP($B226,'2. TEUs &amp; Activities - EF'!$B$9:$B$190,'2. TEUs &amp; Activities - EF'!$J$9:$J$190))*'3. Pollutant Emissions - EF'!$I226*IF(OR(ISBLANK($E226),$G226="Yes"),1,$E226)*IF($H226="Yes",1,(1-$F226))</f>
        <v>1.96224</v>
      </c>
      <c r="N226" s="5">
        <f>IF(ISBLANK($B226),_xlfn.XLOOKUP($A226,'2. TEUs &amp; Activities - EF'!$A$9:$A$190,'2. TEUs &amp; Activities - EF'!$M$9:$M$190),_xlfn.XLOOKUP($B226,'2. TEUs &amp; Activities - EF'!$B$9:$B$190,'2. TEUs &amp; Activities - EF'!$M$9:$M$190))*'3. Pollutant Emissions - EF'!$J226*IF(OR(ISBLANK($E226),$G226="Yes"),1,$E226)*IF($H226="Yes",1,(1-$F226))</f>
        <v>5.3759999999999997E-3</v>
      </c>
      <c r="O226" s="130"/>
    </row>
    <row r="227" spans="1:15" ht="15" x14ac:dyDescent="0.25">
      <c r="A227" s="5" t="s">
        <v>1316</v>
      </c>
      <c r="B227" s="7"/>
      <c r="C227" s="13" t="s">
        <v>71</v>
      </c>
      <c r="D227" s="19" t="str">
        <f>IFERROR(IF(C227="No CAS","",INDEX('DEQ Pollutant List'!$B$7:$B$611,MATCH('3. Pollutant Emissions - EF'!C227,'DEQ Pollutant List'!$A$7:$A$611,0))),"")</f>
        <v>Zinc and compounds</v>
      </c>
      <c r="E227" s="100">
        <v>0</v>
      </c>
      <c r="F227" s="36">
        <v>0</v>
      </c>
      <c r="G227" s="100" t="s">
        <v>1415</v>
      </c>
      <c r="H227" s="36" t="s">
        <v>1415</v>
      </c>
      <c r="I227" s="34">
        <v>2.9000000000000001E-2</v>
      </c>
      <c r="J227" s="11">
        <f t="shared" si="3"/>
        <v>2.9000000000000001E-2</v>
      </c>
      <c r="K227" s="6" t="s">
        <v>1416</v>
      </c>
      <c r="L227" s="20" t="s">
        <v>1422</v>
      </c>
      <c r="M227" s="7">
        <f>IF(ISBLANK($B227),_xlfn.XLOOKUP($A227,'2. TEUs &amp; Activities - EF'!$A$9:$A$190,'2. TEUs &amp; Activities - EF'!$J$9:$J$190),_xlfn.XLOOKUP($B227,'2. TEUs &amp; Activities - EF'!$B$9:$B$190,'2. TEUs &amp; Activities - EF'!$J$9:$J$190))*'3. Pollutant Emissions - EF'!$I227*IF(OR(ISBLANK($E227),$G227="Yes"),1,$E227)*IF($H227="Yes",1,(1-$F227))</f>
        <v>2.0920941176470591</v>
      </c>
      <c r="N227" s="5">
        <f>IF(ISBLANK($B227),_xlfn.XLOOKUP($A227,'2. TEUs &amp; Activities - EF'!$A$9:$A$190,'2. TEUs &amp; Activities - EF'!$M$9:$M$190),_xlfn.XLOOKUP($B227,'2. TEUs &amp; Activities - EF'!$B$9:$B$190,'2. TEUs &amp; Activities - EF'!$M$9:$M$190))*'3. Pollutant Emissions - EF'!$J227*IF(OR(ISBLANK($E227),$G227="Yes"),1,$E227)*IF($H227="Yes",1,(1-$F227))</f>
        <v>5.7317647058823537E-3</v>
      </c>
      <c r="O227" s="130"/>
    </row>
    <row r="228" spans="1:15" ht="15" x14ac:dyDescent="0.25">
      <c r="A228" s="5"/>
      <c r="B228" s="7"/>
      <c r="C228" s="13"/>
      <c r="D228" s="19" t="str">
        <f>IFERROR(IF(C228="No CAS","",INDEX('DEQ Pollutant List'!$B$7:$B$611,MATCH('3. Pollutant Emissions - EF'!C228,'DEQ Pollutant List'!$A$7:$A$611,0))),"")</f>
        <v/>
      </c>
      <c r="E228" s="100"/>
      <c r="F228" s="36"/>
      <c r="G228" s="100"/>
      <c r="H228" s="36"/>
      <c r="I228" s="34"/>
      <c r="J228" s="11"/>
      <c r="K228" s="6"/>
      <c r="L228" s="20"/>
      <c r="M228" s="7">
        <f>IF(ISBLANK($B228),_xlfn.XLOOKUP($A228,'2. TEUs &amp; Activities - EF'!$A$9:$A$190,'2. TEUs &amp; Activities - EF'!$J$9:$J$190),_xlfn.XLOOKUP($B228,'2. TEUs &amp; Activities - EF'!$B$9:$B$190,'2. TEUs &amp; Activities - EF'!$J$9:$J$190))*'3. Pollutant Emissions - EF'!$I228*IF(OR(ISBLANK($E228),$G228="Yes"),1,$E228)*IF($H228="Yes",1,(1-$F228))</f>
        <v>0</v>
      </c>
      <c r="N228" s="5">
        <f>IF(ISBLANK($B228),_xlfn.XLOOKUP($A228,'2. TEUs &amp; Activities - EF'!$A$9:$A$190,'2. TEUs &amp; Activities - EF'!$M$9:$M$190),_xlfn.XLOOKUP($B228,'2. TEUs &amp; Activities - EF'!$B$9:$B$190,'2. TEUs &amp; Activities - EF'!$M$9:$M$190))*'3. Pollutant Emissions - EF'!$J228*IF(OR(ISBLANK($E228),$G228="Yes"),1,$E228)*IF($H228="Yes",1,(1-$F228))</f>
        <v>0</v>
      </c>
      <c r="O228" s="130"/>
    </row>
    <row r="229" spans="1:15" ht="15" x14ac:dyDescent="0.25">
      <c r="A229" s="5" t="s">
        <v>1317</v>
      </c>
      <c r="B229" s="7"/>
      <c r="C229" s="13" t="s">
        <v>50</v>
      </c>
      <c r="D229" s="19" t="str">
        <f>IFERROR(IF(C229="No CAS","",INDEX('DEQ Pollutant List'!$B$7:$B$611,MATCH('3. Pollutant Emissions - EF'!C229,'DEQ Pollutant List'!$A$7:$A$611,0))),"")</f>
        <v>Acetaldehyde</v>
      </c>
      <c r="E229" s="100">
        <v>0</v>
      </c>
      <c r="F229" s="36">
        <v>0</v>
      </c>
      <c r="G229" s="100" t="s">
        <v>1415</v>
      </c>
      <c r="H229" s="36" t="s">
        <v>1415</v>
      </c>
      <c r="I229" s="34">
        <v>4.3E-3</v>
      </c>
      <c r="J229" s="11">
        <f t="shared" ref="J229:J254" si="4">I229</f>
        <v>4.3E-3</v>
      </c>
      <c r="K229" s="6" t="s">
        <v>1416</v>
      </c>
      <c r="L229" s="20" t="s">
        <v>1422</v>
      </c>
      <c r="M229" s="7">
        <f>IF(ISBLANK($B229),_xlfn.XLOOKUP($A229,'2. TEUs &amp; Activities - EF'!$A$9:$A$190,'2. TEUs &amp; Activities - EF'!$J$9:$J$190),_xlfn.XLOOKUP($B229,'2. TEUs &amp; Activities - EF'!$B$9:$B$190,'2. TEUs &amp; Activities - EF'!$J$9:$J$190))*'3. Pollutant Emissions - EF'!$I229*IF(OR(ISBLANK($E229),$G229="Yes"),1,$E229)*IF($H229="Yes",1,(1-$F229))</f>
        <v>0.1292529411764706</v>
      </c>
      <c r="N229" s="5">
        <f>IF(ISBLANK($B229),_xlfn.XLOOKUP($A229,'2. TEUs &amp; Activities - EF'!$A$9:$A$190,'2. TEUs &amp; Activities - EF'!$M$9:$M$190),_xlfn.XLOOKUP($B229,'2. TEUs &amp; Activities - EF'!$B$9:$B$190,'2. TEUs &amp; Activities - EF'!$M$9:$M$190))*'3. Pollutant Emissions - EF'!$J229*IF(OR(ISBLANK($E229),$G229="Yes"),1,$E229)*IF($H229="Yes",1,(1-$F229))</f>
        <v>3.541176470588235E-4</v>
      </c>
      <c r="O229" s="130"/>
    </row>
    <row r="230" spans="1:15" ht="15" x14ac:dyDescent="0.25">
      <c r="A230" s="5" t="s">
        <v>1317</v>
      </c>
      <c r="B230" s="7"/>
      <c r="C230" s="13" t="s">
        <v>51</v>
      </c>
      <c r="D230" s="19" t="str">
        <f>IFERROR(IF(C230="No CAS","",INDEX('DEQ Pollutant List'!$B$7:$B$611,MATCH('3. Pollutant Emissions - EF'!C230,'DEQ Pollutant List'!$A$7:$A$611,0))),"")</f>
        <v>Acrolein</v>
      </c>
      <c r="E230" s="100">
        <v>0</v>
      </c>
      <c r="F230" s="36">
        <v>0</v>
      </c>
      <c r="G230" s="100" t="s">
        <v>1415</v>
      </c>
      <c r="H230" s="36" t="s">
        <v>1415</v>
      </c>
      <c r="I230" s="34">
        <v>2.7000000000000001E-3</v>
      </c>
      <c r="J230" s="11">
        <f t="shared" si="4"/>
        <v>2.7000000000000001E-3</v>
      </c>
      <c r="K230" s="6" t="s">
        <v>1416</v>
      </c>
      <c r="L230" s="20" t="s">
        <v>1422</v>
      </c>
      <c r="M230" s="7">
        <f>IF(ISBLANK($B230),_xlfn.XLOOKUP($A230,'2. TEUs &amp; Activities - EF'!$A$9:$A$190,'2. TEUs &amp; Activities - EF'!$J$9:$J$190),_xlfn.XLOOKUP($B230,'2. TEUs &amp; Activities - EF'!$B$9:$B$190,'2. TEUs &amp; Activities - EF'!$J$9:$J$190))*'3. Pollutant Emissions - EF'!$I230*IF(OR(ISBLANK($E230),$G230="Yes"),1,$E230)*IF($H230="Yes",1,(1-$F230))</f>
        <v>8.1158823529411769E-2</v>
      </c>
      <c r="N230" s="5">
        <f>IF(ISBLANK($B230),_xlfn.XLOOKUP($A230,'2. TEUs &amp; Activities - EF'!$A$9:$A$190,'2. TEUs &amp; Activities - EF'!$M$9:$M$190),_xlfn.XLOOKUP($B230,'2. TEUs &amp; Activities - EF'!$B$9:$B$190,'2. TEUs &amp; Activities - EF'!$M$9:$M$190))*'3. Pollutant Emissions - EF'!$J230*IF(OR(ISBLANK($E230),$G230="Yes"),1,$E230)*IF($H230="Yes",1,(1-$F230))</f>
        <v>2.223529411764706E-4</v>
      </c>
      <c r="O230" s="130"/>
    </row>
    <row r="231" spans="1:15" ht="15" x14ac:dyDescent="0.25">
      <c r="A231" s="5" t="s">
        <v>1317</v>
      </c>
      <c r="B231" s="7"/>
      <c r="C231" s="13" t="s">
        <v>52</v>
      </c>
      <c r="D231" s="19" t="str">
        <f>IFERROR(IF(C231="No CAS","",INDEX('DEQ Pollutant List'!$B$7:$B$611,MATCH('3. Pollutant Emissions - EF'!C231,'DEQ Pollutant List'!$A$7:$A$611,0))),"")</f>
        <v>Ammonia</v>
      </c>
      <c r="E231" s="100">
        <v>0</v>
      </c>
      <c r="F231" s="36">
        <v>0</v>
      </c>
      <c r="G231" s="100" t="s">
        <v>1415</v>
      </c>
      <c r="H231" s="36" t="s">
        <v>1415</v>
      </c>
      <c r="I231" s="34">
        <v>3.2</v>
      </c>
      <c r="J231" s="11">
        <f t="shared" si="4"/>
        <v>3.2</v>
      </c>
      <c r="K231" s="6" t="s">
        <v>1416</v>
      </c>
      <c r="L231" s="20" t="s">
        <v>1422</v>
      </c>
      <c r="M231" s="7">
        <f>IF(ISBLANK($B231),_xlfn.XLOOKUP($A231,'2. TEUs &amp; Activities - EF'!$A$9:$A$190,'2. TEUs &amp; Activities - EF'!$J$9:$J$190),_xlfn.XLOOKUP($B231,'2. TEUs &amp; Activities - EF'!$B$9:$B$190,'2. TEUs &amp; Activities - EF'!$J$9:$J$190))*'3. Pollutant Emissions - EF'!$I231*IF(OR(ISBLANK($E231),$G231="Yes"),1,$E231)*IF($H231="Yes",1,(1-$F231))</f>
        <v>96.188235294117646</v>
      </c>
      <c r="N231" s="5">
        <f>IF(ISBLANK($B231),_xlfn.XLOOKUP($A231,'2. TEUs &amp; Activities - EF'!$A$9:$A$190,'2. TEUs &amp; Activities - EF'!$M$9:$M$190),_xlfn.XLOOKUP($B231,'2. TEUs &amp; Activities - EF'!$B$9:$B$190,'2. TEUs &amp; Activities - EF'!$M$9:$M$190))*'3. Pollutant Emissions - EF'!$J231*IF(OR(ISBLANK($E231),$G231="Yes"),1,$E231)*IF($H231="Yes",1,(1-$F231))</f>
        <v>0.2635294117647059</v>
      </c>
      <c r="O231" s="130"/>
    </row>
    <row r="232" spans="1:15" ht="15" x14ac:dyDescent="0.25">
      <c r="A232" s="5" t="s">
        <v>1317</v>
      </c>
      <c r="B232" s="7"/>
      <c r="C232" s="13" t="s">
        <v>53</v>
      </c>
      <c r="D232" s="19" t="str">
        <f>IFERROR(IF(C232="No CAS","",INDEX('DEQ Pollutant List'!$B$7:$B$611,MATCH('3. Pollutant Emissions - EF'!C232,'DEQ Pollutant List'!$A$7:$A$611,0))),"")</f>
        <v>Arsenic and compounds</v>
      </c>
      <c r="E232" s="100">
        <v>0</v>
      </c>
      <c r="F232" s="36">
        <v>0</v>
      </c>
      <c r="G232" s="100" t="s">
        <v>1415</v>
      </c>
      <c r="H232" s="36" t="s">
        <v>1415</v>
      </c>
      <c r="I232" s="34">
        <v>2.0000000000000001E-4</v>
      </c>
      <c r="J232" s="11">
        <f t="shared" si="4"/>
        <v>2.0000000000000001E-4</v>
      </c>
      <c r="K232" s="6" t="s">
        <v>1416</v>
      </c>
      <c r="L232" s="20" t="s">
        <v>1422</v>
      </c>
      <c r="M232" s="7">
        <f>IF(ISBLANK($B232),_xlfn.XLOOKUP($A232,'2. TEUs &amp; Activities - EF'!$A$9:$A$190,'2. TEUs &amp; Activities - EF'!$J$9:$J$190),_xlfn.XLOOKUP($B232,'2. TEUs &amp; Activities - EF'!$B$9:$B$190,'2. TEUs &amp; Activities - EF'!$J$9:$J$190))*'3. Pollutant Emissions - EF'!$I232*IF(OR(ISBLANK($E232),$G232="Yes"),1,$E232)*IF($H232="Yes",1,(1-$F232))</f>
        <v>6.0117647058823536E-3</v>
      </c>
      <c r="N232" s="5">
        <f>IF(ISBLANK($B232),_xlfn.XLOOKUP($A232,'2. TEUs &amp; Activities - EF'!$A$9:$A$190,'2. TEUs &amp; Activities - EF'!$M$9:$M$190),_xlfn.XLOOKUP($B232,'2. TEUs &amp; Activities - EF'!$B$9:$B$190,'2. TEUs &amp; Activities - EF'!$M$9:$M$190))*'3. Pollutant Emissions - EF'!$J232*IF(OR(ISBLANK($E232),$G232="Yes"),1,$E232)*IF($H232="Yes",1,(1-$F232))</f>
        <v>1.647058823529412E-5</v>
      </c>
      <c r="O232" s="130"/>
    </row>
    <row r="233" spans="1:15" ht="15" x14ac:dyDescent="0.25">
      <c r="A233" s="5" t="s">
        <v>1317</v>
      </c>
      <c r="B233" s="7"/>
      <c r="C233" s="13" t="s">
        <v>54</v>
      </c>
      <c r="D233" s="19" t="str">
        <f>IFERROR(IF(C233="No CAS","",INDEX('DEQ Pollutant List'!$B$7:$B$611,MATCH('3. Pollutant Emissions - EF'!C233,'DEQ Pollutant List'!$A$7:$A$611,0))),"")</f>
        <v>Barium and compounds</v>
      </c>
      <c r="E233" s="100">
        <v>0</v>
      </c>
      <c r="F233" s="36">
        <v>0</v>
      </c>
      <c r="G233" s="100" t="s">
        <v>1415</v>
      </c>
      <c r="H233" s="36" t="s">
        <v>1415</v>
      </c>
      <c r="I233" s="34">
        <v>4.4000000000000003E-3</v>
      </c>
      <c r="J233" s="11">
        <f t="shared" si="4"/>
        <v>4.4000000000000003E-3</v>
      </c>
      <c r="K233" s="6" t="s">
        <v>1416</v>
      </c>
      <c r="L233" s="20" t="s">
        <v>1422</v>
      </c>
      <c r="M233" s="7">
        <f>IF(ISBLANK($B233),_xlfn.XLOOKUP($A233,'2. TEUs &amp; Activities - EF'!$A$9:$A$190,'2. TEUs &amp; Activities - EF'!$J$9:$J$190),_xlfn.XLOOKUP($B233,'2. TEUs &amp; Activities - EF'!$B$9:$B$190,'2. TEUs &amp; Activities - EF'!$J$9:$J$190))*'3. Pollutant Emissions - EF'!$I233*IF(OR(ISBLANK($E233),$G233="Yes"),1,$E233)*IF($H233="Yes",1,(1-$F233))</f>
        <v>0.13225882352941176</v>
      </c>
      <c r="N233" s="5">
        <f>IF(ISBLANK($B233),_xlfn.XLOOKUP($A233,'2. TEUs &amp; Activities - EF'!$A$9:$A$190,'2. TEUs &amp; Activities - EF'!$M$9:$M$190),_xlfn.XLOOKUP($B233,'2. TEUs &amp; Activities - EF'!$B$9:$B$190,'2. TEUs &amp; Activities - EF'!$M$9:$M$190))*'3. Pollutant Emissions - EF'!$J233*IF(OR(ISBLANK($E233),$G233="Yes"),1,$E233)*IF($H233="Yes",1,(1-$F233))</f>
        <v>3.6235294117647061E-4</v>
      </c>
      <c r="O233" s="130"/>
    </row>
    <row r="234" spans="1:15" ht="15" x14ac:dyDescent="0.25">
      <c r="A234" s="5" t="s">
        <v>1317</v>
      </c>
      <c r="B234" s="7"/>
      <c r="C234" s="13" t="s">
        <v>46</v>
      </c>
      <c r="D234" s="19" t="str">
        <f>IFERROR(IF(C234="No CAS","",INDEX('DEQ Pollutant List'!$B$7:$B$611,MATCH('3. Pollutant Emissions - EF'!C234,'DEQ Pollutant List'!$A$7:$A$611,0))),"")</f>
        <v>Benzene</v>
      </c>
      <c r="E234" s="100">
        <v>0</v>
      </c>
      <c r="F234" s="36">
        <v>0</v>
      </c>
      <c r="G234" s="100" t="s">
        <v>1415</v>
      </c>
      <c r="H234" s="36" t="s">
        <v>1415</v>
      </c>
      <c r="I234" s="34">
        <v>8.0000000000000002E-3</v>
      </c>
      <c r="J234" s="11">
        <f t="shared" si="4"/>
        <v>8.0000000000000002E-3</v>
      </c>
      <c r="K234" s="6" t="s">
        <v>1416</v>
      </c>
      <c r="L234" s="20" t="s">
        <v>1422</v>
      </c>
      <c r="M234" s="7">
        <f>IF(ISBLANK($B234),_xlfn.XLOOKUP($A234,'2. TEUs &amp; Activities - EF'!$A$9:$A$190,'2. TEUs &amp; Activities - EF'!$J$9:$J$190),_xlfn.XLOOKUP($B234,'2. TEUs &amp; Activities - EF'!$B$9:$B$190,'2. TEUs &amp; Activities - EF'!$J$9:$J$190))*'3. Pollutant Emissions - EF'!$I234*IF(OR(ISBLANK($E234),$G234="Yes"),1,$E234)*IF($H234="Yes",1,(1-$F234))</f>
        <v>0.24047058823529413</v>
      </c>
      <c r="N234" s="5">
        <f>IF(ISBLANK($B234),_xlfn.XLOOKUP($A234,'2. TEUs &amp; Activities - EF'!$A$9:$A$190,'2. TEUs &amp; Activities - EF'!$M$9:$M$190),_xlfn.XLOOKUP($B234,'2. TEUs &amp; Activities - EF'!$B$9:$B$190,'2. TEUs &amp; Activities - EF'!$M$9:$M$190))*'3. Pollutant Emissions - EF'!$J234*IF(OR(ISBLANK($E234),$G234="Yes"),1,$E234)*IF($H234="Yes",1,(1-$F234))</f>
        <v>6.5882352941176476E-4</v>
      </c>
      <c r="O234" s="130"/>
    </row>
    <row r="235" spans="1:15" ht="15" x14ac:dyDescent="0.25">
      <c r="A235" s="5" t="s">
        <v>1317</v>
      </c>
      <c r="B235" s="7"/>
      <c r="C235" s="13" t="s">
        <v>55</v>
      </c>
      <c r="D235" s="19" t="str">
        <f>IFERROR(IF(C235="No CAS","",INDEX('DEQ Pollutant List'!$B$7:$B$611,MATCH('3. Pollutant Emissions - EF'!C235,'DEQ Pollutant List'!$A$7:$A$611,0))),"")</f>
        <v>Beryllium and compounds</v>
      </c>
      <c r="E235" s="100">
        <v>0</v>
      </c>
      <c r="F235" s="36">
        <v>0</v>
      </c>
      <c r="G235" s="100" t="s">
        <v>1415</v>
      </c>
      <c r="H235" s="36" t="s">
        <v>1415</v>
      </c>
      <c r="I235" s="34">
        <v>1.2E-5</v>
      </c>
      <c r="J235" s="11">
        <f t="shared" si="4"/>
        <v>1.2E-5</v>
      </c>
      <c r="K235" s="6" t="s">
        <v>1416</v>
      </c>
      <c r="L235" s="20" t="s">
        <v>1422</v>
      </c>
      <c r="M235" s="7">
        <f>IF(ISBLANK($B235),_xlfn.XLOOKUP($A235,'2. TEUs &amp; Activities - EF'!$A$9:$A$190,'2. TEUs &amp; Activities - EF'!$J$9:$J$190),_xlfn.XLOOKUP($B235,'2. TEUs &amp; Activities - EF'!$B$9:$B$190,'2. TEUs &amp; Activities - EF'!$J$9:$J$190))*'3. Pollutant Emissions - EF'!$I235*IF(OR(ISBLANK($E235),$G235="Yes"),1,$E235)*IF($H235="Yes",1,(1-$F235))</f>
        <v>3.6070588235294121E-4</v>
      </c>
      <c r="N235" s="5">
        <f>IF(ISBLANK($B235),_xlfn.XLOOKUP($A235,'2. TEUs &amp; Activities - EF'!$A$9:$A$190,'2. TEUs &amp; Activities - EF'!$M$9:$M$190),_xlfn.XLOOKUP($B235,'2. TEUs &amp; Activities - EF'!$B$9:$B$190,'2. TEUs &amp; Activities - EF'!$M$9:$M$190))*'3. Pollutant Emissions - EF'!$J235*IF(OR(ISBLANK($E235),$G235="Yes"),1,$E235)*IF($H235="Yes",1,(1-$F235))</f>
        <v>9.8823529411764699E-7</v>
      </c>
      <c r="O235" s="130"/>
    </row>
    <row r="236" spans="1:15" ht="15" x14ac:dyDescent="0.25">
      <c r="A236" s="5" t="s">
        <v>1317</v>
      </c>
      <c r="B236" s="7"/>
      <c r="C236" s="13" t="s">
        <v>56</v>
      </c>
      <c r="D236" s="19" t="str">
        <f>IFERROR(IF(C236="No CAS","",INDEX('DEQ Pollutant List'!$B$7:$B$611,MATCH('3. Pollutant Emissions - EF'!C236,'DEQ Pollutant List'!$A$7:$A$611,0))),"")</f>
        <v>Cadmium and compounds</v>
      </c>
      <c r="E236" s="100">
        <v>0</v>
      </c>
      <c r="F236" s="36">
        <v>0</v>
      </c>
      <c r="G236" s="100" t="s">
        <v>1415</v>
      </c>
      <c r="H236" s="36" t="s">
        <v>1415</v>
      </c>
      <c r="I236" s="34">
        <v>1.1000000000000001E-3</v>
      </c>
      <c r="J236" s="11">
        <f t="shared" si="4"/>
        <v>1.1000000000000001E-3</v>
      </c>
      <c r="K236" s="6" t="s">
        <v>1416</v>
      </c>
      <c r="L236" s="20" t="s">
        <v>1422</v>
      </c>
      <c r="M236" s="7">
        <f>IF(ISBLANK($B236),_xlfn.XLOOKUP($A236,'2. TEUs &amp; Activities - EF'!$A$9:$A$190,'2. TEUs &amp; Activities - EF'!$J$9:$J$190),_xlfn.XLOOKUP($B236,'2. TEUs &amp; Activities - EF'!$B$9:$B$190,'2. TEUs &amp; Activities - EF'!$J$9:$J$190))*'3. Pollutant Emissions - EF'!$I236*IF(OR(ISBLANK($E236),$G236="Yes"),1,$E236)*IF($H236="Yes",1,(1-$F236))</f>
        <v>3.3064705882352941E-2</v>
      </c>
      <c r="N236" s="5">
        <f>IF(ISBLANK($B236),_xlfn.XLOOKUP($A236,'2. TEUs &amp; Activities - EF'!$A$9:$A$190,'2. TEUs &amp; Activities - EF'!$M$9:$M$190),_xlfn.XLOOKUP($B236,'2. TEUs &amp; Activities - EF'!$B$9:$B$190,'2. TEUs &amp; Activities - EF'!$M$9:$M$190))*'3. Pollutant Emissions - EF'!$J236*IF(OR(ISBLANK($E236),$G236="Yes"),1,$E236)*IF($H236="Yes",1,(1-$F236))</f>
        <v>9.0588235294117653E-5</v>
      </c>
      <c r="O236" s="130"/>
    </row>
    <row r="237" spans="1:15" ht="15" x14ac:dyDescent="0.25">
      <c r="A237" s="5" t="s">
        <v>1317</v>
      </c>
      <c r="B237" s="7"/>
      <c r="C237" s="13" t="s">
        <v>57</v>
      </c>
      <c r="D237" s="19" t="str">
        <f>IFERROR(IF(C237="No CAS","",INDEX('DEQ Pollutant List'!$B$7:$B$611,MATCH('3. Pollutant Emissions - EF'!C237,'DEQ Pollutant List'!$A$7:$A$611,0))),"")</f>
        <v>Chromium VI, chromate and dichromate particulate</v>
      </c>
      <c r="E237" s="100">
        <v>0</v>
      </c>
      <c r="F237" s="36">
        <v>0</v>
      </c>
      <c r="G237" s="100" t="s">
        <v>1415</v>
      </c>
      <c r="H237" s="36" t="s">
        <v>1415</v>
      </c>
      <c r="I237" s="34">
        <v>1.4E-3</v>
      </c>
      <c r="J237" s="11">
        <f t="shared" si="4"/>
        <v>1.4E-3</v>
      </c>
      <c r="K237" s="6" t="s">
        <v>1416</v>
      </c>
      <c r="L237" s="20" t="s">
        <v>1422</v>
      </c>
      <c r="M237" s="7">
        <f>IF(ISBLANK($B237),_xlfn.XLOOKUP($A237,'2. TEUs &amp; Activities - EF'!$A$9:$A$190,'2. TEUs &amp; Activities - EF'!$J$9:$J$190),_xlfn.XLOOKUP($B237,'2. TEUs &amp; Activities - EF'!$B$9:$B$190,'2. TEUs &amp; Activities - EF'!$J$9:$J$190))*'3. Pollutant Emissions - EF'!$I237*IF(OR(ISBLANK($E237),$G237="Yes"),1,$E237)*IF($H237="Yes",1,(1-$F237))</f>
        <v>4.2082352941176467E-2</v>
      </c>
      <c r="N237" s="5">
        <f>IF(ISBLANK($B237),_xlfn.XLOOKUP($A237,'2. TEUs &amp; Activities - EF'!$A$9:$A$190,'2. TEUs &amp; Activities - EF'!$M$9:$M$190),_xlfn.XLOOKUP($B237,'2. TEUs &amp; Activities - EF'!$B$9:$B$190,'2. TEUs &amp; Activities - EF'!$M$9:$M$190))*'3. Pollutant Emissions - EF'!$J237*IF(OR(ISBLANK($E237),$G237="Yes"),1,$E237)*IF($H237="Yes",1,(1-$F237))</f>
        <v>1.1529411764705883E-4</v>
      </c>
      <c r="O237" s="130"/>
    </row>
    <row r="238" spans="1:15" ht="15" x14ac:dyDescent="0.25">
      <c r="A238" s="5" t="s">
        <v>1317</v>
      </c>
      <c r="B238" s="7"/>
      <c r="C238" s="13" t="s">
        <v>58</v>
      </c>
      <c r="D238" s="19" t="str">
        <f>IFERROR(IF(C238="No CAS","",INDEX('DEQ Pollutant List'!$B$7:$B$611,MATCH('3. Pollutant Emissions - EF'!C238,'DEQ Pollutant List'!$A$7:$A$611,0))),"")</f>
        <v>Cobalt and compounds</v>
      </c>
      <c r="E238" s="100">
        <v>0</v>
      </c>
      <c r="F238" s="36">
        <v>0</v>
      </c>
      <c r="G238" s="100" t="s">
        <v>1415</v>
      </c>
      <c r="H238" s="36" t="s">
        <v>1415</v>
      </c>
      <c r="I238" s="34">
        <v>8.3999999999999995E-5</v>
      </c>
      <c r="J238" s="11">
        <f t="shared" si="4"/>
        <v>8.3999999999999995E-5</v>
      </c>
      <c r="K238" s="6" t="s">
        <v>1416</v>
      </c>
      <c r="L238" s="20" t="s">
        <v>1422</v>
      </c>
      <c r="M238" s="7">
        <f>IF(ISBLANK($B238),_xlfn.XLOOKUP($A238,'2. TEUs &amp; Activities - EF'!$A$9:$A$190,'2. TEUs &amp; Activities - EF'!$J$9:$J$190),_xlfn.XLOOKUP($B238,'2. TEUs &amp; Activities - EF'!$B$9:$B$190,'2. TEUs &amp; Activities - EF'!$J$9:$J$190))*'3. Pollutant Emissions - EF'!$I238*IF(OR(ISBLANK($E238),$G238="Yes"),1,$E238)*IF($H238="Yes",1,(1-$F238))</f>
        <v>2.5249411764705879E-3</v>
      </c>
      <c r="N238" s="5">
        <f>IF(ISBLANK($B238),_xlfn.XLOOKUP($A238,'2. TEUs &amp; Activities - EF'!$A$9:$A$190,'2. TEUs &amp; Activities - EF'!$M$9:$M$190),_xlfn.XLOOKUP($B238,'2. TEUs &amp; Activities - EF'!$B$9:$B$190,'2. TEUs &amp; Activities - EF'!$M$9:$M$190))*'3. Pollutant Emissions - EF'!$J238*IF(OR(ISBLANK($E238),$G238="Yes"),1,$E238)*IF($H238="Yes",1,(1-$F238))</f>
        <v>6.9176470588235293E-6</v>
      </c>
      <c r="O238" s="130"/>
    </row>
    <row r="239" spans="1:15" ht="15" x14ac:dyDescent="0.25">
      <c r="A239" s="5" t="s">
        <v>1317</v>
      </c>
      <c r="B239" s="7"/>
      <c r="C239" s="13" t="s">
        <v>59</v>
      </c>
      <c r="D239" s="19" t="str">
        <f>IFERROR(IF(C239="No CAS","",INDEX('DEQ Pollutant List'!$B$7:$B$611,MATCH('3. Pollutant Emissions - EF'!C239,'DEQ Pollutant List'!$A$7:$A$611,0))),"")</f>
        <v>Copper and compounds</v>
      </c>
      <c r="E239" s="100">
        <v>0</v>
      </c>
      <c r="F239" s="36">
        <v>0</v>
      </c>
      <c r="G239" s="100" t="s">
        <v>1415</v>
      </c>
      <c r="H239" s="36" t="s">
        <v>1415</v>
      </c>
      <c r="I239" s="34">
        <v>8.4999999999999995E-4</v>
      </c>
      <c r="J239" s="11">
        <f t="shared" si="4"/>
        <v>8.4999999999999995E-4</v>
      </c>
      <c r="K239" s="6" t="s">
        <v>1416</v>
      </c>
      <c r="L239" s="20" t="s">
        <v>1422</v>
      </c>
      <c r="M239" s="7">
        <f>IF(ISBLANK($B239),_xlfn.XLOOKUP($A239,'2. TEUs &amp; Activities - EF'!$A$9:$A$190,'2. TEUs &amp; Activities - EF'!$J$9:$J$190),_xlfn.XLOOKUP($B239,'2. TEUs &amp; Activities - EF'!$B$9:$B$190,'2. TEUs &amp; Activities - EF'!$J$9:$J$190))*'3. Pollutant Emissions - EF'!$I239*IF(OR(ISBLANK($E239),$G239="Yes"),1,$E239)*IF($H239="Yes",1,(1-$F239))</f>
        <v>2.555E-2</v>
      </c>
      <c r="N239" s="5">
        <f>IF(ISBLANK($B239),_xlfn.XLOOKUP($A239,'2. TEUs &amp; Activities - EF'!$A$9:$A$190,'2. TEUs &amp; Activities - EF'!$M$9:$M$190),_xlfn.XLOOKUP($B239,'2. TEUs &amp; Activities - EF'!$B$9:$B$190,'2. TEUs &amp; Activities - EF'!$M$9:$M$190))*'3. Pollutant Emissions - EF'!$J239*IF(OR(ISBLANK($E239),$G239="Yes"),1,$E239)*IF($H239="Yes",1,(1-$F239))</f>
        <v>6.9999999999999994E-5</v>
      </c>
      <c r="O239" s="130"/>
    </row>
    <row r="240" spans="1:15" ht="15" x14ac:dyDescent="0.25">
      <c r="A240" s="5" t="s">
        <v>1317</v>
      </c>
      <c r="B240" s="7"/>
      <c r="C240" s="13" t="s">
        <v>60</v>
      </c>
      <c r="D240" s="19" t="str">
        <f>IFERROR(IF(C240="No CAS","",INDEX('DEQ Pollutant List'!$B$7:$B$611,MATCH('3. Pollutant Emissions - EF'!C240,'DEQ Pollutant List'!$A$7:$A$611,0))),"")</f>
        <v>Ethyl benzene</v>
      </c>
      <c r="E240" s="100">
        <v>0</v>
      </c>
      <c r="F240" s="36">
        <v>0</v>
      </c>
      <c r="G240" s="100" t="s">
        <v>1415</v>
      </c>
      <c r="H240" s="36" t="s">
        <v>1415</v>
      </c>
      <c r="I240" s="34">
        <v>9.4999999999999998E-3</v>
      </c>
      <c r="J240" s="11">
        <f t="shared" si="4"/>
        <v>9.4999999999999998E-3</v>
      </c>
      <c r="K240" s="6" t="s">
        <v>1416</v>
      </c>
      <c r="L240" s="20" t="s">
        <v>1422</v>
      </c>
      <c r="M240" s="7">
        <f>IF(ISBLANK($B240),_xlfn.XLOOKUP($A240,'2. TEUs &amp; Activities - EF'!$A$9:$A$190,'2. TEUs &amp; Activities - EF'!$J$9:$J$190),_xlfn.XLOOKUP($B240,'2. TEUs &amp; Activities - EF'!$B$9:$B$190,'2. TEUs &amp; Activities - EF'!$J$9:$J$190))*'3. Pollutant Emissions - EF'!$I240*IF(OR(ISBLANK($E240),$G240="Yes"),1,$E240)*IF($H240="Yes",1,(1-$F240))</f>
        <v>0.28555882352941175</v>
      </c>
      <c r="N240" s="5">
        <f>IF(ISBLANK($B240),_xlfn.XLOOKUP($A240,'2. TEUs &amp; Activities - EF'!$A$9:$A$190,'2. TEUs &amp; Activities - EF'!$M$9:$M$190),_xlfn.XLOOKUP($B240,'2. TEUs &amp; Activities - EF'!$B$9:$B$190,'2. TEUs &amp; Activities - EF'!$M$9:$M$190))*'3. Pollutant Emissions - EF'!$J240*IF(OR(ISBLANK($E240),$G240="Yes"),1,$E240)*IF($H240="Yes",1,(1-$F240))</f>
        <v>7.8235294117647057E-4</v>
      </c>
      <c r="O240" s="130"/>
    </row>
    <row r="241" spans="1:15" ht="15" x14ac:dyDescent="0.25">
      <c r="A241" s="5" t="s">
        <v>1317</v>
      </c>
      <c r="B241" s="7"/>
      <c r="C241" s="13" t="s">
        <v>47</v>
      </c>
      <c r="D241" s="19" t="str">
        <f>IFERROR(IF(C241="No CAS","",INDEX('DEQ Pollutant List'!$B$7:$B$611,MATCH('3. Pollutant Emissions - EF'!C241,'DEQ Pollutant List'!$A$7:$A$611,0))),"")</f>
        <v>Formaldehyde</v>
      </c>
      <c r="E241" s="100">
        <v>0</v>
      </c>
      <c r="F241" s="36">
        <v>0</v>
      </c>
      <c r="G241" s="100" t="s">
        <v>1415</v>
      </c>
      <c r="H241" s="36" t="s">
        <v>1415</v>
      </c>
      <c r="I241" s="34">
        <v>1.7000000000000001E-2</v>
      </c>
      <c r="J241" s="11">
        <f t="shared" si="4"/>
        <v>1.7000000000000001E-2</v>
      </c>
      <c r="K241" s="6" t="s">
        <v>1416</v>
      </c>
      <c r="L241" s="20" t="s">
        <v>1422</v>
      </c>
      <c r="M241" s="7">
        <f>IF(ISBLANK($B241),_xlfn.XLOOKUP($A241,'2. TEUs &amp; Activities - EF'!$A$9:$A$190,'2. TEUs &amp; Activities - EF'!$J$9:$J$190),_xlfn.XLOOKUP($B241,'2. TEUs &amp; Activities - EF'!$B$9:$B$190,'2. TEUs &amp; Activities - EF'!$J$9:$J$190))*'3. Pollutant Emissions - EF'!$I241*IF(OR(ISBLANK($E241),$G241="Yes"),1,$E241)*IF($H241="Yes",1,(1-$F241))</f>
        <v>0.51100000000000001</v>
      </c>
      <c r="N241" s="5">
        <f>IF(ISBLANK($B241),_xlfn.XLOOKUP($A241,'2. TEUs &amp; Activities - EF'!$A$9:$A$190,'2. TEUs &amp; Activities - EF'!$M$9:$M$190),_xlfn.XLOOKUP($B241,'2. TEUs &amp; Activities - EF'!$B$9:$B$190,'2. TEUs &amp; Activities - EF'!$M$9:$M$190))*'3. Pollutant Emissions - EF'!$J241*IF(OR(ISBLANK($E241),$G241="Yes"),1,$E241)*IF($H241="Yes",1,(1-$F241))</f>
        <v>1.4E-3</v>
      </c>
      <c r="O241" s="130"/>
    </row>
    <row r="242" spans="1:15" ht="15" x14ac:dyDescent="0.25">
      <c r="A242" s="5" t="s">
        <v>1317</v>
      </c>
      <c r="B242" s="7"/>
      <c r="C242" s="13" t="s">
        <v>61</v>
      </c>
      <c r="D242" s="19" t="str">
        <f>IFERROR(IF(C242="No CAS","",INDEX('DEQ Pollutant List'!$B$7:$B$611,MATCH('3. Pollutant Emissions - EF'!C242,'DEQ Pollutant List'!$A$7:$A$611,0))),"")</f>
        <v>Hexane</v>
      </c>
      <c r="E242" s="100">
        <v>0</v>
      </c>
      <c r="F242" s="36">
        <v>0</v>
      </c>
      <c r="G242" s="100" t="s">
        <v>1415</v>
      </c>
      <c r="H242" s="36" t="s">
        <v>1415</v>
      </c>
      <c r="I242" s="34">
        <v>6.3E-3</v>
      </c>
      <c r="J242" s="11">
        <f t="shared" si="4"/>
        <v>6.3E-3</v>
      </c>
      <c r="K242" s="6" t="s">
        <v>1416</v>
      </c>
      <c r="L242" s="20" t="s">
        <v>1422</v>
      </c>
      <c r="M242" s="7">
        <f>IF(ISBLANK($B242),_xlfn.XLOOKUP($A242,'2. TEUs &amp; Activities - EF'!$A$9:$A$190,'2. TEUs &amp; Activities - EF'!$J$9:$J$190),_xlfn.XLOOKUP($B242,'2. TEUs &amp; Activities - EF'!$B$9:$B$190,'2. TEUs &amp; Activities - EF'!$J$9:$J$190))*'3. Pollutant Emissions - EF'!$I242*IF(OR(ISBLANK($E242),$G242="Yes"),1,$E242)*IF($H242="Yes",1,(1-$F242))</f>
        <v>0.18937058823529412</v>
      </c>
      <c r="N242" s="5">
        <f>IF(ISBLANK($B242),_xlfn.XLOOKUP($A242,'2. TEUs &amp; Activities - EF'!$A$9:$A$190,'2. TEUs &amp; Activities - EF'!$M$9:$M$190),_xlfn.XLOOKUP($B242,'2. TEUs &amp; Activities - EF'!$B$9:$B$190,'2. TEUs &amp; Activities - EF'!$M$9:$M$190))*'3. Pollutant Emissions - EF'!$J242*IF(OR(ISBLANK($E242),$G242="Yes"),1,$E242)*IF($H242="Yes",1,(1-$F242))</f>
        <v>5.1882352941176471E-4</v>
      </c>
      <c r="O242" s="130"/>
    </row>
    <row r="243" spans="1:15" ht="15" x14ac:dyDescent="0.25">
      <c r="A243" s="5" t="s">
        <v>1317</v>
      </c>
      <c r="B243" s="7"/>
      <c r="C243" s="13" t="s">
        <v>62</v>
      </c>
      <c r="D243" s="19" t="str">
        <f>IFERROR(IF(C243="No CAS","",INDEX('DEQ Pollutant List'!$B$7:$B$611,MATCH('3. Pollutant Emissions - EF'!C243,'DEQ Pollutant List'!$A$7:$A$611,0))),"")</f>
        <v>Lead and compounds</v>
      </c>
      <c r="E243" s="100">
        <v>0</v>
      </c>
      <c r="F243" s="36">
        <v>0</v>
      </c>
      <c r="G243" s="100" t="s">
        <v>1415</v>
      </c>
      <c r="H243" s="36" t="s">
        <v>1415</v>
      </c>
      <c r="I243" s="34">
        <v>5.0000000000000001E-4</v>
      </c>
      <c r="J243" s="11">
        <f t="shared" si="4"/>
        <v>5.0000000000000001E-4</v>
      </c>
      <c r="K243" s="6" t="s">
        <v>1416</v>
      </c>
      <c r="L243" s="20" t="s">
        <v>1422</v>
      </c>
      <c r="M243" s="7">
        <f>IF(ISBLANK($B243),_xlfn.XLOOKUP($A243,'2. TEUs &amp; Activities - EF'!$A$9:$A$190,'2. TEUs &amp; Activities - EF'!$J$9:$J$190),_xlfn.XLOOKUP($B243,'2. TEUs &amp; Activities - EF'!$B$9:$B$190,'2. TEUs &amp; Activities - EF'!$J$9:$J$190))*'3. Pollutant Emissions - EF'!$I243*IF(OR(ISBLANK($E243),$G243="Yes"),1,$E243)*IF($H243="Yes",1,(1-$F243))</f>
        <v>1.5029411764705883E-2</v>
      </c>
      <c r="N243" s="5">
        <f>IF(ISBLANK($B243),_xlfn.XLOOKUP($A243,'2. TEUs &amp; Activities - EF'!$A$9:$A$190,'2. TEUs &amp; Activities - EF'!$M$9:$M$190),_xlfn.XLOOKUP($B243,'2. TEUs &amp; Activities - EF'!$B$9:$B$190,'2. TEUs &amp; Activities - EF'!$M$9:$M$190))*'3. Pollutant Emissions - EF'!$J243*IF(OR(ISBLANK($E243),$G243="Yes"),1,$E243)*IF($H243="Yes",1,(1-$F243))</f>
        <v>4.1176470588235297E-5</v>
      </c>
      <c r="O243" s="130"/>
    </row>
    <row r="244" spans="1:15" ht="15" x14ac:dyDescent="0.25">
      <c r="A244" s="5" t="s">
        <v>1317</v>
      </c>
      <c r="B244" s="7"/>
      <c r="C244" s="13" t="s">
        <v>63</v>
      </c>
      <c r="D244" s="19" t="str">
        <f>IFERROR(IF(C244="No CAS","",INDEX('DEQ Pollutant List'!$B$7:$B$611,MATCH('3. Pollutant Emissions - EF'!C244,'DEQ Pollutant List'!$A$7:$A$611,0))),"")</f>
        <v>Manganese and compounds</v>
      </c>
      <c r="E244" s="100">
        <v>0</v>
      </c>
      <c r="F244" s="36">
        <v>0</v>
      </c>
      <c r="G244" s="100" t="s">
        <v>1415</v>
      </c>
      <c r="H244" s="36" t="s">
        <v>1415</v>
      </c>
      <c r="I244" s="34">
        <v>3.8000000000000002E-4</v>
      </c>
      <c r="J244" s="11">
        <f t="shared" si="4"/>
        <v>3.8000000000000002E-4</v>
      </c>
      <c r="K244" s="6" t="s">
        <v>1416</v>
      </c>
      <c r="L244" s="20" t="s">
        <v>1422</v>
      </c>
      <c r="M244" s="7">
        <f>IF(ISBLANK($B244),_xlfn.XLOOKUP($A244,'2. TEUs &amp; Activities - EF'!$A$9:$A$190,'2. TEUs &amp; Activities - EF'!$J$9:$J$190),_xlfn.XLOOKUP($B244,'2. TEUs &amp; Activities - EF'!$B$9:$B$190,'2. TEUs &amp; Activities - EF'!$J$9:$J$190))*'3. Pollutant Emissions - EF'!$I244*IF(OR(ISBLANK($E244),$G244="Yes"),1,$E244)*IF($H244="Yes",1,(1-$F244))</f>
        <v>1.142235294117647E-2</v>
      </c>
      <c r="N244" s="5">
        <f>IF(ISBLANK($B244),_xlfn.XLOOKUP($A244,'2. TEUs &amp; Activities - EF'!$A$9:$A$190,'2. TEUs &amp; Activities - EF'!$M$9:$M$190),_xlfn.XLOOKUP($B244,'2. TEUs &amp; Activities - EF'!$B$9:$B$190,'2. TEUs &amp; Activities - EF'!$M$9:$M$190))*'3. Pollutant Emissions - EF'!$J244*IF(OR(ISBLANK($E244),$G244="Yes"),1,$E244)*IF($H244="Yes",1,(1-$F244))</f>
        <v>3.1294117647058825E-5</v>
      </c>
      <c r="O244" s="130"/>
    </row>
    <row r="245" spans="1:15" ht="15" x14ac:dyDescent="0.25">
      <c r="A245" s="5" t="s">
        <v>1317</v>
      </c>
      <c r="B245" s="7"/>
      <c r="C245" s="13" t="s">
        <v>64</v>
      </c>
      <c r="D245" s="19" t="str">
        <f>IFERROR(IF(C245="No CAS","",INDEX('DEQ Pollutant List'!$B$7:$B$611,MATCH('3. Pollutant Emissions - EF'!C245,'DEQ Pollutant List'!$A$7:$A$611,0))),"")</f>
        <v>Mercury and compounds</v>
      </c>
      <c r="E245" s="100">
        <v>0</v>
      </c>
      <c r="F245" s="36">
        <v>0</v>
      </c>
      <c r="G245" s="100" t="s">
        <v>1415</v>
      </c>
      <c r="H245" s="36" t="s">
        <v>1415</v>
      </c>
      <c r="I245" s="34">
        <v>2.5999999999999998E-4</v>
      </c>
      <c r="J245" s="11">
        <f t="shared" si="4"/>
        <v>2.5999999999999998E-4</v>
      </c>
      <c r="K245" s="6" t="s">
        <v>1416</v>
      </c>
      <c r="L245" s="20" t="s">
        <v>1422</v>
      </c>
      <c r="M245" s="7">
        <f>IF(ISBLANK($B245),_xlfn.XLOOKUP($A245,'2. TEUs &amp; Activities - EF'!$A$9:$A$190,'2. TEUs &amp; Activities - EF'!$J$9:$J$190),_xlfn.XLOOKUP($B245,'2. TEUs &amp; Activities - EF'!$B$9:$B$190,'2. TEUs &amp; Activities - EF'!$J$9:$J$190))*'3. Pollutant Emissions - EF'!$I245*IF(OR(ISBLANK($E245),$G245="Yes"),1,$E245)*IF($H245="Yes",1,(1-$F245))</f>
        <v>7.8152941176470574E-3</v>
      </c>
      <c r="N245" s="5">
        <f>IF(ISBLANK($B245),_xlfn.XLOOKUP($A245,'2. TEUs &amp; Activities - EF'!$A$9:$A$190,'2. TEUs &amp; Activities - EF'!$M$9:$M$190),_xlfn.XLOOKUP($B245,'2. TEUs &amp; Activities - EF'!$B$9:$B$190,'2. TEUs &amp; Activities - EF'!$M$9:$M$190))*'3. Pollutant Emissions - EF'!$J245*IF(OR(ISBLANK($E245),$G245="Yes"),1,$E245)*IF($H245="Yes",1,(1-$F245))</f>
        <v>2.1411764705882352E-5</v>
      </c>
      <c r="O245" s="130"/>
    </row>
    <row r="246" spans="1:15" ht="15" x14ac:dyDescent="0.25">
      <c r="A246" s="5" t="s">
        <v>1317</v>
      </c>
      <c r="B246" s="7"/>
      <c r="C246" s="13" t="s">
        <v>65</v>
      </c>
      <c r="D246" s="19" t="str">
        <f>IFERROR(IF(C246="No CAS","",INDEX('DEQ Pollutant List'!$B$7:$B$611,MATCH('3. Pollutant Emissions - EF'!C246,'DEQ Pollutant List'!$A$7:$A$611,0))),"")</f>
        <v>Molybdenum trioxide</v>
      </c>
      <c r="E246" s="100">
        <v>0</v>
      </c>
      <c r="F246" s="36">
        <v>0</v>
      </c>
      <c r="G246" s="100" t="s">
        <v>1415</v>
      </c>
      <c r="H246" s="36" t="s">
        <v>1415</v>
      </c>
      <c r="I246" s="34">
        <v>1.65E-3</v>
      </c>
      <c r="J246" s="11">
        <f t="shared" si="4"/>
        <v>1.65E-3</v>
      </c>
      <c r="K246" s="6" t="s">
        <v>1416</v>
      </c>
      <c r="L246" s="20" t="s">
        <v>1422</v>
      </c>
      <c r="M246" s="7">
        <f>IF(ISBLANK($B246),_xlfn.XLOOKUP($A246,'2. TEUs &amp; Activities - EF'!$A$9:$A$190,'2. TEUs &amp; Activities - EF'!$J$9:$J$190),_xlfn.XLOOKUP($B246,'2. TEUs &amp; Activities - EF'!$B$9:$B$190,'2. TEUs &amp; Activities - EF'!$J$9:$J$190))*'3. Pollutant Emissions - EF'!$I246*IF(OR(ISBLANK($E246),$G246="Yes"),1,$E246)*IF($H246="Yes",1,(1-$F246))</f>
        <v>4.9597058823529411E-2</v>
      </c>
      <c r="N246" s="5">
        <f>IF(ISBLANK($B246),_xlfn.XLOOKUP($A246,'2. TEUs &amp; Activities - EF'!$A$9:$A$190,'2. TEUs &amp; Activities - EF'!$M$9:$M$190),_xlfn.XLOOKUP($B246,'2. TEUs &amp; Activities - EF'!$B$9:$B$190,'2. TEUs &amp; Activities - EF'!$M$9:$M$190))*'3. Pollutant Emissions - EF'!$J246*IF(OR(ISBLANK($E246),$G246="Yes"),1,$E246)*IF($H246="Yes",1,(1-$F246))</f>
        <v>1.3588235294117646E-4</v>
      </c>
      <c r="O246" s="130"/>
    </row>
    <row r="247" spans="1:15" ht="15" x14ac:dyDescent="0.25">
      <c r="A247" s="5" t="s">
        <v>1317</v>
      </c>
      <c r="B247" s="7"/>
      <c r="C247" s="13" t="s">
        <v>49</v>
      </c>
      <c r="D247" s="19" t="str">
        <f>IFERROR(IF(C247="No CAS","",INDEX('DEQ Pollutant List'!$B$7:$B$611,MATCH('3. Pollutant Emissions - EF'!C247,'DEQ Pollutant List'!$A$7:$A$611,0))),"")</f>
        <v>Naphthalene</v>
      </c>
      <c r="E247" s="100">
        <v>0</v>
      </c>
      <c r="F247" s="36">
        <v>0</v>
      </c>
      <c r="G247" s="100" t="s">
        <v>1415</v>
      </c>
      <c r="H247" s="36" t="s">
        <v>1415</v>
      </c>
      <c r="I247" s="34">
        <v>2.9999999999999997E-4</v>
      </c>
      <c r="J247" s="11">
        <f t="shared" si="4"/>
        <v>2.9999999999999997E-4</v>
      </c>
      <c r="K247" s="6" t="s">
        <v>1416</v>
      </c>
      <c r="L247" s="20" t="s">
        <v>1422</v>
      </c>
      <c r="M247" s="7">
        <f>IF(ISBLANK($B247),_xlfn.XLOOKUP($A247,'2. TEUs &amp; Activities - EF'!$A$9:$A$190,'2. TEUs &amp; Activities - EF'!$J$9:$J$190),_xlfn.XLOOKUP($B247,'2. TEUs &amp; Activities - EF'!$B$9:$B$190,'2. TEUs &amp; Activities - EF'!$J$9:$J$190))*'3. Pollutant Emissions - EF'!$I247*IF(OR(ISBLANK($E247),$G247="Yes"),1,$E247)*IF($H247="Yes",1,(1-$F247))</f>
        <v>9.0176470588235278E-3</v>
      </c>
      <c r="N247" s="5">
        <f>IF(ISBLANK($B247),_xlfn.XLOOKUP($A247,'2. TEUs &amp; Activities - EF'!$A$9:$A$190,'2. TEUs &amp; Activities - EF'!$M$9:$M$190),_xlfn.XLOOKUP($B247,'2. TEUs &amp; Activities - EF'!$B$9:$B$190,'2. TEUs &amp; Activities - EF'!$M$9:$M$190))*'3. Pollutant Emissions - EF'!$J247*IF(OR(ISBLANK($E247),$G247="Yes"),1,$E247)*IF($H247="Yes",1,(1-$F247))</f>
        <v>2.4705882352941174E-5</v>
      </c>
      <c r="O247" s="130"/>
    </row>
    <row r="248" spans="1:15" ht="15" x14ac:dyDescent="0.25">
      <c r="A248" s="5" t="s">
        <v>1317</v>
      </c>
      <c r="B248" s="7"/>
      <c r="C248" s="13" t="s">
        <v>66</v>
      </c>
      <c r="D248" s="19" t="str">
        <f>IFERROR(IF(C248="No CAS","",INDEX('DEQ Pollutant List'!$B$7:$B$611,MATCH('3. Pollutant Emissions - EF'!C248,'DEQ Pollutant List'!$A$7:$A$611,0))),"")</f>
        <v>Nickel and compounds</v>
      </c>
      <c r="E248" s="100">
        <v>0</v>
      </c>
      <c r="F248" s="36">
        <v>0</v>
      </c>
      <c r="G248" s="100" t="s">
        <v>1415</v>
      </c>
      <c r="H248" s="36" t="s">
        <v>1415</v>
      </c>
      <c r="I248" s="34">
        <v>2.0999999999999999E-3</v>
      </c>
      <c r="J248" s="11">
        <f t="shared" si="4"/>
        <v>2.0999999999999999E-3</v>
      </c>
      <c r="K248" s="6" t="s">
        <v>1416</v>
      </c>
      <c r="L248" s="20" t="s">
        <v>1422</v>
      </c>
      <c r="M248" s="7">
        <f>IF(ISBLANK($B248),_xlfn.XLOOKUP($A248,'2. TEUs &amp; Activities - EF'!$A$9:$A$190,'2. TEUs &amp; Activities - EF'!$J$9:$J$190),_xlfn.XLOOKUP($B248,'2. TEUs &amp; Activities - EF'!$B$9:$B$190,'2. TEUs &amp; Activities - EF'!$J$9:$J$190))*'3. Pollutant Emissions - EF'!$I248*IF(OR(ISBLANK($E248),$G248="Yes"),1,$E248)*IF($H248="Yes",1,(1-$F248))</f>
        <v>6.3123529411764703E-2</v>
      </c>
      <c r="N248" s="5">
        <f>IF(ISBLANK($B248),_xlfn.XLOOKUP($A248,'2. TEUs &amp; Activities - EF'!$A$9:$A$190,'2. TEUs &amp; Activities - EF'!$M$9:$M$190),_xlfn.XLOOKUP($B248,'2. TEUs &amp; Activities - EF'!$B$9:$B$190,'2. TEUs &amp; Activities - EF'!$M$9:$M$190))*'3. Pollutant Emissions - EF'!$J248*IF(OR(ISBLANK($E248),$G248="Yes"),1,$E248)*IF($H248="Yes",1,(1-$F248))</f>
        <v>1.7294117647058822E-4</v>
      </c>
      <c r="O248" s="130"/>
    </row>
    <row r="249" spans="1:15" ht="15" x14ac:dyDescent="0.25">
      <c r="A249" s="5" t="s">
        <v>1317</v>
      </c>
      <c r="B249" s="7"/>
      <c r="C249" s="13">
        <v>401</v>
      </c>
      <c r="D249" s="19" t="str">
        <f>IFERROR(IF(C249="No CAS","",INDEX('DEQ Pollutant List'!$B$7:$B$611,MATCH('3. Pollutant Emissions - EF'!C249,'DEQ Pollutant List'!$A$7:$A$611,0))),"")</f>
        <v>Polycyclic aromatic hydrocarbons (PAHs)</v>
      </c>
      <c r="E249" s="100">
        <v>0</v>
      </c>
      <c r="F249" s="36">
        <v>0</v>
      </c>
      <c r="G249" s="100" t="s">
        <v>1415</v>
      </c>
      <c r="H249" s="36" t="s">
        <v>1415</v>
      </c>
      <c r="I249" s="34">
        <v>1E-4</v>
      </c>
      <c r="J249" s="11">
        <f t="shared" si="4"/>
        <v>1E-4</v>
      </c>
      <c r="K249" s="6" t="s">
        <v>1416</v>
      </c>
      <c r="L249" s="20" t="s">
        <v>1422</v>
      </c>
      <c r="M249" s="7">
        <f>IF(ISBLANK($B249),_xlfn.XLOOKUP($A249,'2. TEUs &amp; Activities - EF'!$A$9:$A$190,'2. TEUs &amp; Activities - EF'!$J$9:$J$190),_xlfn.XLOOKUP($B249,'2. TEUs &amp; Activities - EF'!$B$9:$B$190,'2. TEUs &amp; Activities - EF'!$J$9:$J$190))*'3. Pollutant Emissions - EF'!$I249*IF(OR(ISBLANK($E249),$G249="Yes"),1,$E249)*IF($H249="Yes",1,(1-$F249))</f>
        <v>3.0058823529411768E-3</v>
      </c>
      <c r="N249" s="5">
        <f>IF(ISBLANK($B249),_xlfn.XLOOKUP($A249,'2. TEUs &amp; Activities - EF'!$A$9:$A$190,'2. TEUs &amp; Activities - EF'!$M$9:$M$190),_xlfn.XLOOKUP($B249,'2. TEUs &amp; Activities - EF'!$B$9:$B$190,'2. TEUs &amp; Activities - EF'!$M$9:$M$190))*'3. Pollutant Emissions - EF'!$J249*IF(OR(ISBLANK($E249),$G249="Yes"),1,$E249)*IF($H249="Yes",1,(1-$F249))</f>
        <v>8.2352941176470598E-6</v>
      </c>
      <c r="O249" s="130"/>
    </row>
    <row r="250" spans="1:15" ht="15" x14ac:dyDescent="0.25">
      <c r="A250" s="5" t="s">
        <v>1317</v>
      </c>
      <c r="B250" s="7"/>
      <c r="C250" s="13" t="s">
        <v>67</v>
      </c>
      <c r="D250" s="19" t="str">
        <f>IFERROR(IF(C250="No CAS","",INDEX('DEQ Pollutant List'!$B$7:$B$611,MATCH('3. Pollutant Emissions - EF'!C250,'DEQ Pollutant List'!$A$7:$A$611,0))),"")</f>
        <v>Selenium and compounds</v>
      </c>
      <c r="E250" s="100">
        <v>0</v>
      </c>
      <c r="F250" s="36">
        <v>0</v>
      </c>
      <c r="G250" s="100" t="s">
        <v>1415</v>
      </c>
      <c r="H250" s="36" t="s">
        <v>1415</v>
      </c>
      <c r="I250" s="34">
        <v>2.4000000000000001E-5</v>
      </c>
      <c r="J250" s="11">
        <f t="shared" si="4"/>
        <v>2.4000000000000001E-5</v>
      </c>
      <c r="K250" s="6" t="s">
        <v>1416</v>
      </c>
      <c r="L250" s="20" t="s">
        <v>1422</v>
      </c>
      <c r="M250" s="7">
        <f>IF(ISBLANK($B250),_xlfn.XLOOKUP($A250,'2. TEUs &amp; Activities - EF'!$A$9:$A$190,'2. TEUs &amp; Activities - EF'!$J$9:$J$190),_xlfn.XLOOKUP($B250,'2. TEUs &amp; Activities - EF'!$B$9:$B$190,'2. TEUs &amp; Activities - EF'!$J$9:$J$190))*'3. Pollutant Emissions - EF'!$I250*IF(OR(ISBLANK($E250),$G250="Yes"),1,$E250)*IF($H250="Yes",1,(1-$F250))</f>
        <v>7.2141176470588242E-4</v>
      </c>
      <c r="N250" s="5">
        <f>IF(ISBLANK($B250),_xlfn.XLOOKUP($A250,'2. TEUs &amp; Activities - EF'!$A$9:$A$190,'2. TEUs &amp; Activities - EF'!$M$9:$M$190),_xlfn.XLOOKUP($B250,'2. TEUs &amp; Activities - EF'!$B$9:$B$190,'2. TEUs &amp; Activities - EF'!$M$9:$M$190))*'3. Pollutant Emissions - EF'!$J250*IF(OR(ISBLANK($E250),$G250="Yes"),1,$E250)*IF($H250="Yes",1,(1-$F250))</f>
        <v>1.976470588235294E-6</v>
      </c>
      <c r="O250" s="130"/>
    </row>
    <row r="251" spans="1:15" ht="15" x14ac:dyDescent="0.25">
      <c r="A251" s="5" t="s">
        <v>1317</v>
      </c>
      <c r="B251" s="7"/>
      <c r="C251" s="13" t="s">
        <v>68</v>
      </c>
      <c r="D251" s="19" t="str">
        <f>IFERROR(IF(C251="No CAS","",INDEX('DEQ Pollutant List'!$B$7:$B$611,MATCH('3. Pollutant Emissions - EF'!C251,'DEQ Pollutant List'!$A$7:$A$611,0))),"")</f>
        <v>Toluene</v>
      </c>
      <c r="E251" s="100">
        <v>0</v>
      </c>
      <c r="F251" s="36">
        <v>0</v>
      </c>
      <c r="G251" s="100" t="s">
        <v>1415</v>
      </c>
      <c r="H251" s="36" t="s">
        <v>1415</v>
      </c>
      <c r="I251" s="34">
        <v>3.6600000000000001E-2</v>
      </c>
      <c r="J251" s="11">
        <f t="shared" si="4"/>
        <v>3.6600000000000001E-2</v>
      </c>
      <c r="K251" s="6" t="s">
        <v>1416</v>
      </c>
      <c r="L251" s="20" t="s">
        <v>1422</v>
      </c>
      <c r="M251" s="7">
        <f>IF(ISBLANK($B251),_xlfn.XLOOKUP($A251,'2. TEUs &amp; Activities - EF'!$A$9:$A$190,'2. TEUs &amp; Activities - EF'!$J$9:$J$190),_xlfn.XLOOKUP($B251,'2. TEUs &amp; Activities - EF'!$B$9:$B$190,'2. TEUs &amp; Activities - EF'!$J$9:$J$190))*'3. Pollutant Emissions - EF'!$I251*IF(OR(ISBLANK($E251),$G251="Yes"),1,$E251)*IF($H251="Yes",1,(1-$F251))</f>
        <v>1.1001529411764706</v>
      </c>
      <c r="N251" s="5">
        <f>IF(ISBLANK($B251),_xlfn.XLOOKUP($A251,'2. TEUs &amp; Activities - EF'!$A$9:$A$190,'2. TEUs &amp; Activities - EF'!$M$9:$M$190),_xlfn.XLOOKUP($B251,'2. TEUs &amp; Activities - EF'!$B$9:$B$190,'2. TEUs &amp; Activities - EF'!$M$9:$M$190))*'3. Pollutant Emissions - EF'!$J251*IF(OR(ISBLANK($E251),$G251="Yes"),1,$E251)*IF($H251="Yes",1,(1-$F251))</f>
        <v>3.0141176470588234E-3</v>
      </c>
      <c r="O251" s="130"/>
    </row>
    <row r="252" spans="1:15" ht="15" x14ac:dyDescent="0.25">
      <c r="A252" s="5" t="s">
        <v>1317</v>
      </c>
      <c r="B252" s="7"/>
      <c r="C252" s="13" t="s">
        <v>69</v>
      </c>
      <c r="D252" s="19" t="str">
        <f>IFERROR(IF(C252="No CAS","",INDEX('DEQ Pollutant List'!$B$7:$B$611,MATCH('3. Pollutant Emissions - EF'!C252,'DEQ Pollutant List'!$A$7:$A$611,0))),"")</f>
        <v>Vanadium (fume or dust)</v>
      </c>
      <c r="E252" s="100">
        <v>0</v>
      </c>
      <c r="F252" s="36">
        <v>0</v>
      </c>
      <c r="G252" s="100" t="s">
        <v>1415</v>
      </c>
      <c r="H252" s="36" t="s">
        <v>1415</v>
      </c>
      <c r="I252" s="34">
        <v>2.3E-3</v>
      </c>
      <c r="J252" s="11">
        <f t="shared" si="4"/>
        <v>2.3E-3</v>
      </c>
      <c r="K252" s="6" t="s">
        <v>1416</v>
      </c>
      <c r="L252" s="20" t="s">
        <v>1422</v>
      </c>
      <c r="M252" s="7">
        <f>IF(ISBLANK($B252),_xlfn.XLOOKUP($A252,'2. TEUs &amp; Activities - EF'!$A$9:$A$190,'2. TEUs &amp; Activities - EF'!$J$9:$J$190),_xlfn.XLOOKUP($B252,'2. TEUs &amp; Activities - EF'!$B$9:$B$190,'2. TEUs &amp; Activities - EF'!$J$9:$J$190))*'3. Pollutant Emissions - EF'!$I252*IF(OR(ISBLANK($E252),$G252="Yes"),1,$E252)*IF($H252="Yes",1,(1-$F252))</f>
        <v>6.9135294117647059E-2</v>
      </c>
      <c r="N252" s="5">
        <f>IF(ISBLANK($B252),_xlfn.XLOOKUP($A252,'2. TEUs &amp; Activities - EF'!$A$9:$A$190,'2. TEUs &amp; Activities - EF'!$M$9:$M$190),_xlfn.XLOOKUP($B252,'2. TEUs &amp; Activities - EF'!$B$9:$B$190,'2. TEUs &amp; Activities - EF'!$M$9:$M$190))*'3. Pollutant Emissions - EF'!$J252*IF(OR(ISBLANK($E252),$G252="Yes"),1,$E252)*IF($H252="Yes",1,(1-$F252))</f>
        <v>1.8941176470588234E-4</v>
      </c>
      <c r="O252" s="130"/>
    </row>
    <row r="253" spans="1:15" ht="15" x14ac:dyDescent="0.25">
      <c r="A253" s="5" t="s">
        <v>1317</v>
      </c>
      <c r="B253" s="7"/>
      <c r="C253" s="13" t="s">
        <v>70</v>
      </c>
      <c r="D253" s="19" t="str">
        <f>IFERROR(IF(C253="No CAS","",INDEX('DEQ Pollutant List'!$B$7:$B$611,MATCH('3. Pollutant Emissions - EF'!C253,'DEQ Pollutant List'!$A$7:$A$611,0))),"")</f>
        <v>Xylene (mixture), including m-xylene, o-xylene, p-xylene</v>
      </c>
      <c r="E253" s="100">
        <v>0</v>
      </c>
      <c r="F253" s="36">
        <v>0</v>
      </c>
      <c r="G253" s="100" t="s">
        <v>1415</v>
      </c>
      <c r="H253" s="36" t="s">
        <v>1415</v>
      </c>
      <c r="I253" s="34">
        <v>2.7199999999999998E-2</v>
      </c>
      <c r="J253" s="11">
        <f t="shared" si="4"/>
        <v>2.7199999999999998E-2</v>
      </c>
      <c r="K253" s="6" t="s">
        <v>1416</v>
      </c>
      <c r="L253" s="20" t="s">
        <v>1422</v>
      </c>
      <c r="M253" s="7">
        <f>IF(ISBLANK($B253),_xlfn.XLOOKUP($A253,'2. TEUs &amp; Activities - EF'!$A$9:$A$190,'2. TEUs &amp; Activities - EF'!$J$9:$J$190),_xlfn.XLOOKUP($B253,'2. TEUs &amp; Activities - EF'!$B$9:$B$190,'2. TEUs &amp; Activities - EF'!$J$9:$J$190))*'3. Pollutant Emissions - EF'!$I253*IF(OR(ISBLANK($E253),$G253="Yes"),1,$E253)*IF($H253="Yes",1,(1-$F253))</f>
        <v>0.81759999999999999</v>
      </c>
      <c r="N253" s="5">
        <f>IF(ISBLANK($B253),_xlfn.XLOOKUP($A253,'2. TEUs &amp; Activities - EF'!$A$9:$A$190,'2. TEUs &amp; Activities - EF'!$M$9:$M$190),_xlfn.XLOOKUP($B253,'2. TEUs &amp; Activities - EF'!$B$9:$B$190,'2. TEUs &amp; Activities - EF'!$M$9:$M$190))*'3. Pollutant Emissions - EF'!$J253*IF(OR(ISBLANK($E253),$G253="Yes"),1,$E253)*IF($H253="Yes",1,(1-$F253))</f>
        <v>2.2399999999999998E-3</v>
      </c>
      <c r="O253" s="130"/>
    </row>
    <row r="254" spans="1:15" ht="15" x14ac:dyDescent="0.25">
      <c r="A254" s="5" t="s">
        <v>1317</v>
      </c>
      <c r="B254" s="7"/>
      <c r="C254" s="13" t="s">
        <v>71</v>
      </c>
      <c r="D254" s="19" t="str">
        <f>IFERROR(IF(C254="No CAS","",INDEX('DEQ Pollutant List'!$B$7:$B$611,MATCH('3. Pollutant Emissions - EF'!C254,'DEQ Pollutant List'!$A$7:$A$611,0))),"")</f>
        <v>Zinc and compounds</v>
      </c>
      <c r="E254" s="100">
        <v>0</v>
      </c>
      <c r="F254" s="36">
        <v>0</v>
      </c>
      <c r="G254" s="100" t="s">
        <v>1415</v>
      </c>
      <c r="H254" s="36" t="s">
        <v>1415</v>
      </c>
      <c r="I254" s="34">
        <v>2.9000000000000001E-2</v>
      </c>
      <c r="J254" s="11">
        <f t="shared" si="4"/>
        <v>2.9000000000000001E-2</v>
      </c>
      <c r="K254" s="6" t="s">
        <v>1416</v>
      </c>
      <c r="L254" s="20" t="s">
        <v>1422</v>
      </c>
      <c r="M254" s="7">
        <f>IF(ISBLANK($B254),_xlfn.XLOOKUP($A254,'2. TEUs &amp; Activities - EF'!$A$9:$A$190,'2. TEUs &amp; Activities - EF'!$J$9:$J$190),_xlfn.XLOOKUP($B254,'2. TEUs &amp; Activities - EF'!$B$9:$B$190,'2. TEUs &amp; Activities - EF'!$J$9:$J$190))*'3. Pollutant Emissions - EF'!$I254*IF(OR(ISBLANK($E254),$G254="Yes"),1,$E254)*IF($H254="Yes",1,(1-$F254))</f>
        <v>0.87170588235294122</v>
      </c>
      <c r="N254" s="5">
        <f>IF(ISBLANK($B254),_xlfn.XLOOKUP($A254,'2. TEUs &amp; Activities - EF'!$A$9:$A$190,'2. TEUs &amp; Activities - EF'!$M$9:$M$190),_xlfn.XLOOKUP($B254,'2. TEUs &amp; Activities - EF'!$B$9:$B$190,'2. TEUs &amp; Activities - EF'!$M$9:$M$190))*'3. Pollutant Emissions - EF'!$J254*IF(OR(ISBLANK($E254),$G254="Yes"),1,$E254)*IF($H254="Yes",1,(1-$F254))</f>
        <v>2.3882352941176472E-3</v>
      </c>
      <c r="O254" s="130"/>
    </row>
    <row r="255" spans="1:15" ht="15" x14ac:dyDescent="0.25">
      <c r="A255" s="5"/>
      <c r="B255" s="7"/>
      <c r="C255" s="13"/>
      <c r="D255" s="19" t="str">
        <f>IFERROR(IF(C255="No CAS","",INDEX('DEQ Pollutant List'!$B$7:$B$611,MATCH('3. Pollutant Emissions - EF'!C255,'DEQ Pollutant List'!$A$7:$A$611,0))),"")</f>
        <v/>
      </c>
      <c r="E255" s="100"/>
      <c r="F255" s="36"/>
      <c r="G255" s="100"/>
      <c r="H255" s="36"/>
      <c r="I255" s="34"/>
      <c r="J255" s="11"/>
      <c r="K255" s="6"/>
      <c r="L255" s="20"/>
      <c r="M255" s="7">
        <f>IF(ISBLANK($B255),_xlfn.XLOOKUP($A255,'2. TEUs &amp; Activities - EF'!$A$9:$A$190,'2. TEUs &amp; Activities - EF'!$J$9:$J$190),_xlfn.XLOOKUP($B255,'2. TEUs &amp; Activities - EF'!$B$9:$B$190,'2. TEUs &amp; Activities - EF'!$J$9:$J$190))*'3. Pollutant Emissions - EF'!$I255*IF(OR(ISBLANK($E255),$G255="Yes"),1,$E255)*IF($H255="Yes",1,(1-$F255))</f>
        <v>0</v>
      </c>
      <c r="N255" s="5">
        <f>IF(ISBLANK($B255),_xlfn.XLOOKUP($A255,'2. TEUs &amp; Activities - EF'!$A$9:$A$190,'2. TEUs &amp; Activities - EF'!$M$9:$M$190),_xlfn.XLOOKUP($B255,'2. TEUs &amp; Activities - EF'!$B$9:$B$190,'2. TEUs &amp; Activities - EF'!$M$9:$M$190))*'3. Pollutant Emissions - EF'!$J255*IF(OR(ISBLANK($E255),$G255="Yes"),1,$E255)*IF($H255="Yes",1,(1-$F255))</f>
        <v>0</v>
      </c>
      <c r="O255" s="130"/>
    </row>
    <row r="256" spans="1:15" ht="15" x14ac:dyDescent="0.25">
      <c r="A256" s="5" t="s">
        <v>1318</v>
      </c>
      <c r="B256" s="7"/>
      <c r="C256" s="13" t="s">
        <v>50</v>
      </c>
      <c r="D256" s="19" t="str">
        <f>IFERROR(IF(C256="No CAS","",INDEX('DEQ Pollutant List'!$B$7:$B$611,MATCH('3. Pollutant Emissions - EF'!C256,'DEQ Pollutant List'!$A$7:$A$611,0))),"")</f>
        <v>Acetaldehyde</v>
      </c>
      <c r="E256" s="100">
        <v>0</v>
      </c>
      <c r="F256" s="36">
        <v>0</v>
      </c>
      <c r="G256" s="100" t="s">
        <v>1415</v>
      </c>
      <c r="H256" s="36" t="s">
        <v>1415</v>
      </c>
      <c r="I256" s="34">
        <v>4.3E-3</v>
      </c>
      <c r="J256" s="11">
        <f t="shared" ref="J256:J281" si="5">I256</f>
        <v>4.3E-3</v>
      </c>
      <c r="K256" s="6" t="s">
        <v>1416</v>
      </c>
      <c r="L256" s="20" t="s">
        <v>1422</v>
      </c>
      <c r="M256" s="7">
        <f>IF(ISBLANK($B256),_xlfn.XLOOKUP($A256,'2. TEUs &amp; Activities - EF'!$A$9:$A$190,'2. TEUs &amp; Activities - EF'!$J$9:$J$190),_xlfn.XLOOKUP($B256,'2. TEUs &amp; Activities - EF'!$B$9:$B$190,'2. TEUs &amp; Activities - EF'!$J$9:$J$190))*'3. Pollutant Emissions - EF'!$I256*IF(OR(ISBLANK($E256),$G256="Yes"),1,$E256)*IF($H256="Yes",1,(1-$F256))</f>
        <v>1.8464705882352942E-2</v>
      </c>
      <c r="N256" s="5">
        <f>IF(ISBLANK($B256),_xlfn.XLOOKUP($A256,'2. TEUs &amp; Activities - EF'!$A$9:$A$190,'2. TEUs &amp; Activities - EF'!$M$9:$M$190),_xlfn.XLOOKUP($B256,'2. TEUs &amp; Activities - EF'!$B$9:$B$190,'2. TEUs &amp; Activities - EF'!$M$9:$M$190))*'3. Pollutant Emissions - EF'!$J256*IF(OR(ISBLANK($E256),$G256="Yes"),1,$E256)*IF($H256="Yes",1,(1-$F256))</f>
        <v>5.0588235294117649E-5</v>
      </c>
      <c r="O256" s="130"/>
    </row>
    <row r="257" spans="1:15" ht="15" x14ac:dyDescent="0.25">
      <c r="A257" s="5" t="s">
        <v>1318</v>
      </c>
      <c r="B257" s="7"/>
      <c r="C257" s="13" t="s">
        <v>51</v>
      </c>
      <c r="D257" s="19" t="str">
        <f>IFERROR(IF(C257="No CAS","",INDEX('DEQ Pollutant List'!$B$7:$B$611,MATCH('3. Pollutant Emissions - EF'!C257,'DEQ Pollutant List'!$A$7:$A$611,0))),"")</f>
        <v>Acrolein</v>
      </c>
      <c r="E257" s="100">
        <v>0</v>
      </c>
      <c r="F257" s="36">
        <v>0</v>
      </c>
      <c r="G257" s="100" t="s">
        <v>1415</v>
      </c>
      <c r="H257" s="36" t="s">
        <v>1415</v>
      </c>
      <c r="I257" s="34">
        <v>2.7000000000000001E-3</v>
      </c>
      <c r="J257" s="11">
        <f t="shared" si="5"/>
        <v>2.7000000000000001E-3</v>
      </c>
      <c r="K257" s="6" t="s">
        <v>1416</v>
      </c>
      <c r="L257" s="20" t="s">
        <v>1422</v>
      </c>
      <c r="M257" s="7">
        <f>IF(ISBLANK($B257),_xlfn.XLOOKUP($A257,'2. TEUs &amp; Activities - EF'!$A$9:$A$190,'2. TEUs &amp; Activities - EF'!$J$9:$J$190),_xlfn.XLOOKUP($B257,'2. TEUs &amp; Activities - EF'!$B$9:$B$190,'2. TEUs &amp; Activities - EF'!$J$9:$J$190))*'3. Pollutant Emissions - EF'!$I257*IF(OR(ISBLANK($E257),$G257="Yes"),1,$E257)*IF($H257="Yes",1,(1-$F257))</f>
        <v>1.1594117647058824E-2</v>
      </c>
      <c r="N257" s="5">
        <f>IF(ISBLANK($B257),_xlfn.XLOOKUP($A257,'2. TEUs &amp; Activities - EF'!$A$9:$A$190,'2. TEUs &amp; Activities - EF'!$M$9:$M$190),_xlfn.XLOOKUP($B257,'2. TEUs &amp; Activities - EF'!$B$9:$B$190,'2. TEUs &amp; Activities - EF'!$M$9:$M$190))*'3. Pollutant Emissions - EF'!$J257*IF(OR(ISBLANK($E257),$G257="Yes"),1,$E257)*IF($H257="Yes",1,(1-$F257))</f>
        <v>3.1764705882352945E-5</v>
      </c>
      <c r="O257" s="130"/>
    </row>
    <row r="258" spans="1:15" ht="15" x14ac:dyDescent="0.25">
      <c r="A258" s="5" t="s">
        <v>1318</v>
      </c>
      <c r="B258" s="7"/>
      <c r="C258" s="13" t="s">
        <v>52</v>
      </c>
      <c r="D258" s="19" t="str">
        <f>IFERROR(IF(C258="No CAS","",INDEX('DEQ Pollutant List'!$B$7:$B$611,MATCH('3. Pollutant Emissions - EF'!C258,'DEQ Pollutant List'!$A$7:$A$611,0))),"")</f>
        <v>Ammonia</v>
      </c>
      <c r="E258" s="100">
        <v>0</v>
      </c>
      <c r="F258" s="36">
        <v>0</v>
      </c>
      <c r="G258" s="100" t="s">
        <v>1415</v>
      </c>
      <c r="H258" s="36" t="s">
        <v>1415</v>
      </c>
      <c r="I258" s="34">
        <v>3.2</v>
      </c>
      <c r="J258" s="11">
        <f t="shared" si="5"/>
        <v>3.2</v>
      </c>
      <c r="K258" s="6" t="s">
        <v>1416</v>
      </c>
      <c r="L258" s="20" t="s">
        <v>1422</v>
      </c>
      <c r="M258" s="7">
        <f>IF(ISBLANK($B258),_xlfn.XLOOKUP($A258,'2. TEUs &amp; Activities - EF'!$A$9:$A$190,'2. TEUs &amp; Activities - EF'!$J$9:$J$190),_xlfn.XLOOKUP($B258,'2. TEUs &amp; Activities - EF'!$B$9:$B$190,'2. TEUs &amp; Activities - EF'!$J$9:$J$190))*'3. Pollutant Emissions - EF'!$I258*IF(OR(ISBLANK($E258),$G258="Yes"),1,$E258)*IF($H258="Yes",1,(1-$F258))</f>
        <v>13.741176470588236</v>
      </c>
      <c r="N258" s="5">
        <f>IF(ISBLANK($B258),_xlfn.XLOOKUP($A258,'2. TEUs &amp; Activities - EF'!$A$9:$A$190,'2. TEUs &amp; Activities - EF'!$M$9:$M$190),_xlfn.XLOOKUP($B258,'2. TEUs &amp; Activities - EF'!$B$9:$B$190,'2. TEUs &amp; Activities - EF'!$M$9:$M$190))*'3. Pollutant Emissions - EF'!$J258*IF(OR(ISBLANK($E258),$G258="Yes"),1,$E258)*IF($H258="Yes",1,(1-$F258))</f>
        <v>3.7647058823529415E-2</v>
      </c>
      <c r="O258" s="130"/>
    </row>
    <row r="259" spans="1:15" ht="15" x14ac:dyDescent="0.25">
      <c r="A259" s="5" t="s">
        <v>1318</v>
      </c>
      <c r="B259" s="7"/>
      <c r="C259" s="13" t="s">
        <v>53</v>
      </c>
      <c r="D259" s="19" t="str">
        <f>IFERROR(IF(C259="No CAS","",INDEX('DEQ Pollutant List'!$B$7:$B$611,MATCH('3. Pollutant Emissions - EF'!C259,'DEQ Pollutant List'!$A$7:$A$611,0))),"")</f>
        <v>Arsenic and compounds</v>
      </c>
      <c r="E259" s="100">
        <v>0</v>
      </c>
      <c r="F259" s="36">
        <v>0</v>
      </c>
      <c r="G259" s="100" t="s">
        <v>1415</v>
      </c>
      <c r="H259" s="36" t="s">
        <v>1415</v>
      </c>
      <c r="I259" s="34">
        <v>2.0000000000000001E-4</v>
      </c>
      <c r="J259" s="11">
        <f t="shared" si="5"/>
        <v>2.0000000000000001E-4</v>
      </c>
      <c r="K259" s="6" t="s">
        <v>1416</v>
      </c>
      <c r="L259" s="20" t="s">
        <v>1422</v>
      </c>
      <c r="M259" s="7">
        <f>IF(ISBLANK($B259),_xlfn.XLOOKUP($A259,'2. TEUs &amp; Activities - EF'!$A$9:$A$190,'2. TEUs &amp; Activities - EF'!$J$9:$J$190),_xlfn.XLOOKUP($B259,'2. TEUs &amp; Activities - EF'!$B$9:$B$190,'2. TEUs &amp; Activities - EF'!$J$9:$J$190))*'3. Pollutant Emissions - EF'!$I259*IF(OR(ISBLANK($E259),$G259="Yes"),1,$E259)*IF($H259="Yes",1,(1-$F259))</f>
        <v>8.5882352941176474E-4</v>
      </c>
      <c r="N259" s="5">
        <f>IF(ISBLANK($B259),_xlfn.XLOOKUP($A259,'2. TEUs &amp; Activities - EF'!$A$9:$A$190,'2. TEUs &amp; Activities - EF'!$M$9:$M$190),_xlfn.XLOOKUP($B259,'2. TEUs &amp; Activities - EF'!$B$9:$B$190,'2. TEUs &amp; Activities - EF'!$M$9:$M$190))*'3. Pollutant Emissions - EF'!$J259*IF(OR(ISBLANK($E259),$G259="Yes"),1,$E259)*IF($H259="Yes",1,(1-$F259))</f>
        <v>2.3529411764705885E-6</v>
      </c>
      <c r="O259" s="130"/>
    </row>
    <row r="260" spans="1:15" ht="15" x14ac:dyDescent="0.25">
      <c r="A260" s="5" t="s">
        <v>1318</v>
      </c>
      <c r="B260" s="7"/>
      <c r="C260" s="13" t="s">
        <v>54</v>
      </c>
      <c r="D260" s="19" t="str">
        <f>IFERROR(IF(C260="No CAS","",INDEX('DEQ Pollutant List'!$B$7:$B$611,MATCH('3. Pollutant Emissions - EF'!C260,'DEQ Pollutant List'!$A$7:$A$611,0))),"")</f>
        <v>Barium and compounds</v>
      </c>
      <c r="E260" s="100">
        <v>0</v>
      </c>
      <c r="F260" s="36">
        <v>0</v>
      </c>
      <c r="G260" s="100" t="s">
        <v>1415</v>
      </c>
      <c r="H260" s="36" t="s">
        <v>1415</v>
      </c>
      <c r="I260" s="34">
        <v>4.4000000000000003E-3</v>
      </c>
      <c r="J260" s="11">
        <f t="shared" si="5"/>
        <v>4.4000000000000003E-3</v>
      </c>
      <c r="K260" s="6" t="s">
        <v>1416</v>
      </c>
      <c r="L260" s="20" t="s">
        <v>1422</v>
      </c>
      <c r="M260" s="7">
        <f>IF(ISBLANK($B260),_xlfn.XLOOKUP($A260,'2. TEUs &amp; Activities - EF'!$A$9:$A$190,'2. TEUs &amp; Activities - EF'!$J$9:$J$190),_xlfn.XLOOKUP($B260,'2. TEUs &amp; Activities - EF'!$B$9:$B$190,'2. TEUs &amp; Activities - EF'!$J$9:$J$190))*'3. Pollutant Emissions - EF'!$I260*IF(OR(ISBLANK($E260),$G260="Yes"),1,$E260)*IF($H260="Yes",1,(1-$F260))</f>
        <v>1.8894117647058825E-2</v>
      </c>
      <c r="N260" s="5">
        <f>IF(ISBLANK($B260),_xlfn.XLOOKUP($A260,'2. TEUs &amp; Activities - EF'!$A$9:$A$190,'2. TEUs &amp; Activities - EF'!$M$9:$M$190),_xlfn.XLOOKUP($B260,'2. TEUs &amp; Activities - EF'!$B$9:$B$190,'2. TEUs &amp; Activities - EF'!$M$9:$M$190))*'3. Pollutant Emissions - EF'!$J260*IF(OR(ISBLANK($E260),$G260="Yes"),1,$E260)*IF($H260="Yes",1,(1-$F260))</f>
        <v>5.1764705882352943E-5</v>
      </c>
      <c r="O260" s="130"/>
    </row>
    <row r="261" spans="1:15" ht="15" x14ac:dyDescent="0.25">
      <c r="A261" s="5" t="s">
        <v>1318</v>
      </c>
      <c r="B261" s="7"/>
      <c r="C261" s="13" t="s">
        <v>46</v>
      </c>
      <c r="D261" s="19" t="str">
        <f>IFERROR(IF(C261="No CAS","",INDEX('DEQ Pollutant List'!$B$7:$B$611,MATCH('3. Pollutant Emissions - EF'!C261,'DEQ Pollutant List'!$A$7:$A$611,0))),"")</f>
        <v>Benzene</v>
      </c>
      <c r="E261" s="100">
        <v>0</v>
      </c>
      <c r="F261" s="36">
        <v>0</v>
      </c>
      <c r="G261" s="100" t="s">
        <v>1415</v>
      </c>
      <c r="H261" s="36" t="s">
        <v>1415</v>
      </c>
      <c r="I261" s="34">
        <v>8.0000000000000002E-3</v>
      </c>
      <c r="J261" s="11">
        <f t="shared" si="5"/>
        <v>8.0000000000000002E-3</v>
      </c>
      <c r="K261" s="6" t="s">
        <v>1416</v>
      </c>
      <c r="L261" s="20" t="s">
        <v>1422</v>
      </c>
      <c r="M261" s="7">
        <f>IF(ISBLANK($B261),_xlfn.XLOOKUP($A261,'2. TEUs &amp; Activities - EF'!$A$9:$A$190,'2. TEUs &amp; Activities - EF'!$J$9:$J$190),_xlfn.XLOOKUP($B261,'2. TEUs &amp; Activities - EF'!$B$9:$B$190,'2. TEUs &amp; Activities - EF'!$J$9:$J$190))*'3. Pollutant Emissions - EF'!$I261*IF(OR(ISBLANK($E261),$G261="Yes"),1,$E261)*IF($H261="Yes",1,(1-$F261))</f>
        <v>3.4352941176470586E-2</v>
      </c>
      <c r="N261" s="5">
        <f>IF(ISBLANK($B261),_xlfn.XLOOKUP($A261,'2. TEUs &amp; Activities - EF'!$A$9:$A$190,'2. TEUs &amp; Activities - EF'!$M$9:$M$190),_xlfn.XLOOKUP($B261,'2. TEUs &amp; Activities - EF'!$B$9:$B$190,'2. TEUs &amp; Activities - EF'!$M$9:$M$190))*'3. Pollutant Emissions - EF'!$J261*IF(OR(ISBLANK($E261),$G261="Yes"),1,$E261)*IF($H261="Yes",1,(1-$F261))</f>
        <v>9.4117647058823535E-5</v>
      </c>
      <c r="O261" s="130"/>
    </row>
    <row r="262" spans="1:15" ht="15" x14ac:dyDescent="0.25">
      <c r="A262" s="5" t="s">
        <v>1318</v>
      </c>
      <c r="B262" s="7"/>
      <c r="C262" s="13" t="s">
        <v>55</v>
      </c>
      <c r="D262" s="19" t="str">
        <f>IFERROR(IF(C262="No CAS","",INDEX('DEQ Pollutant List'!$B$7:$B$611,MATCH('3. Pollutant Emissions - EF'!C262,'DEQ Pollutant List'!$A$7:$A$611,0))),"")</f>
        <v>Beryllium and compounds</v>
      </c>
      <c r="E262" s="100">
        <v>0</v>
      </c>
      <c r="F262" s="36">
        <v>0</v>
      </c>
      <c r="G262" s="100" t="s">
        <v>1415</v>
      </c>
      <c r="H262" s="36" t="s">
        <v>1415</v>
      </c>
      <c r="I262" s="34">
        <v>1.2E-5</v>
      </c>
      <c r="J262" s="11">
        <f t="shared" si="5"/>
        <v>1.2E-5</v>
      </c>
      <c r="K262" s="6" t="s">
        <v>1416</v>
      </c>
      <c r="L262" s="20" t="s">
        <v>1422</v>
      </c>
      <c r="M262" s="7">
        <f>IF(ISBLANK($B262),_xlfn.XLOOKUP($A262,'2. TEUs &amp; Activities - EF'!$A$9:$A$190,'2. TEUs &amp; Activities - EF'!$J$9:$J$190),_xlfn.XLOOKUP($B262,'2. TEUs &amp; Activities - EF'!$B$9:$B$190,'2. TEUs &amp; Activities - EF'!$J$9:$J$190))*'3. Pollutant Emissions - EF'!$I262*IF(OR(ISBLANK($E262),$G262="Yes"),1,$E262)*IF($H262="Yes",1,(1-$F262))</f>
        <v>5.1529411764705883E-5</v>
      </c>
      <c r="N262" s="5">
        <f>IF(ISBLANK($B262),_xlfn.XLOOKUP($A262,'2. TEUs &amp; Activities - EF'!$A$9:$A$190,'2. TEUs &amp; Activities - EF'!$M$9:$M$190),_xlfn.XLOOKUP($B262,'2. TEUs &amp; Activities - EF'!$B$9:$B$190,'2. TEUs &amp; Activities - EF'!$M$9:$M$190))*'3. Pollutant Emissions - EF'!$J262*IF(OR(ISBLANK($E262),$G262="Yes"),1,$E262)*IF($H262="Yes",1,(1-$F262))</f>
        <v>1.411764705882353E-7</v>
      </c>
      <c r="O262" s="130"/>
    </row>
    <row r="263" spans="1:15" ht="15" x14ac:dyDescent="0.25">
      <c r="A263" s="5" t="s">
        <v>1318</v>
      </c>
      <c r="B263" s="7"/>
      <c r="C263" s="13" t="s">
        <v>56</v>
      </c>
      <c r="D263" s="19" t="str">
        <f>IFERROR(IF(C263="No CAS","",INDEX('DEQ Pollutant List'!$B$7:$B$611,MATCH('3. Pollutant Emissions - EF'!C263,'DEQ Pollutant List'!$A$7:$A$611,0))),"")</f>
        <v>Cadmium and compounds</v>
      </c>
      <c r="E263" s="100">
        <v>0</v>
      </c>
      <c r="F263" s="36">
        <v>0</v>
      </c>
      <c r="G263" s="100" t="s">
        <v>1415</v>
      </c>
      <c r="H263" s="36" t="s">
        <v>1415</v>
      </c>
      <c r="I263" s="34">
        <v>1.1000000000000001E-3</v>
      </c>
      <c r="J263" s="11">
        <f t="shared" si="5"/>
        <v>1.1000000000000001E-3</v>
      </c>
      <c r="K263" s="6" t="s">
        <v>1416</v>
      </c>
      <c r="L263" s="20" t="s">
        <v>1422</v>
      </c>
      <c r="M263" s="7">
        <f>IF(ISBLANK($B263),_xlfn.XLOOKUP($A263,'2. TEUs &amp; Activities - EF'!$A$9:$A$190,'2. TEUs &amp; Activities - EF'!$J$9:$J$190),_xlfn.XLOOKUP($B263,'2. TEUs &amp; Activities - EF'!$B$9:$B$190,'2. TEUs &amp; Activities - EF'!$J$9:$J$190))*'3. Pollutant Emissions - EF'!$I263*IF(OR(ISBLANK($E263),$G263="Yes"),1,$E263)*IF($H263="Yes",1,(1-$F263))</f>
        <v>4.7235294117647063E-3</v>
      </c>
      <c r="N263" s="5">
        <f>IF(ISBLANK($B263),_xlfn.XLOOKUP($A263,'2. TEUs &amp; Activities - EF'!$A$9:$A$190,'2. TEUs &amp; Activities - EF'!$M$9:$M$190),_xlfn.XLOOKUP($B263,'2. TEUs &amp; Activities - EF'!$B$9:$B$190,'2. TEUs &amp; Activities - EF'!$M$9:$M$190))*'3. Pollutant Emissions - EF'!$J263*IF(OR(ISBLANK($E263),$G263="Yes"),1,$E263)*IF($H263="Yes",1,(1-$F263))</f>
        <v>1.2941176470588236E-5</v>
      </c>
      <c r="O263" s="130"/>
    </row>
    <row r="264" spans="1:15" ht="15" x14ac:dyDescent="0.25">
      <c r="A264" s="5" t="s">
        <v>1318</v>
      </c>
      <c r="B264" s="7"/>
      <c r="C264" s="13" t="s">
        <v>57</v>
      </c>
      <c r="D264" s="19" t="str">
        <f>IFERROR(IF(C264="No CAS","",INDEX('DEQ Pollutant List'!$B$7:$B$611,MATCH('3. Pollutant Emissions - EF'!C264,'DEQ Pollutant List'!$A$7:$A$611,0))),"")</f>
        <v>Chromium VI, chromate and dichromate particulate</v>
      </c>
      <c r="E264" s="100">
        <v>0</v>
      </c>
      <c r="F264" s="36">
        <v>0</v>
      </c>
      <c r="G264" s="100" t="s">
        <v>1415</v>
      </c>
      <c r="H264" s="36" t="s">
        <v>1415</v>
      </c>
      <c r="I264" s="34">
        <v>1.4E-3</v>
      </c>
      <c r="J264" s="11">
        <f t="shared" si="5"/>
        <v>1.4E-3</v>
      </c>
      <c r="K264" s="6" t="s">
        <v>1416</v>
      </c>
      <c r="L264" s="20" t="s">
        <v>1422</v>
      </c>
      <c r="M264" s="7">
        <f>IF(ISBLANK($B264),_xlfn.XLOOKUP($A264,'2. TEUs &amp; Activities - EF'!$A$9:$A$190,'2. TEUs &amp; Activities - EF'!$J$9:$J$190),_xlfn.XLOOKUP($B264,'2. TEUs &amp; Activities - EF'!$B$9:$B$190,'2. TEUs &amp; Activities - EF'!$J$9:$J$190))*'3. Pollutant Emissions - EF'!$I264*IF(OR(ISBLANK($E264),$G264="Yes"),1,$E264)*IF($H264="Yes",1,(1-$F264))</f>
        <v>6.0117647058823527E-3</v>
      </c>
      <c r="N264" s="5">
        <f>IF(ISBLANK($B264),_xlfn.XLOOKUP($A264,'2. TEUs &amp; Activities - EF'!$A$9:$A$190,'2. TEUs &amp; Activities - EF'!$M$9:$M$190),_xlfn.XLOOKUP($B264,'2. TEUs &amp; Activities - EF'!$B$9:$B$190,'2. TEUs &amp; Activities - EF'!$M$9:$M$190))*'3. Pollutant Emissions - EF'!$J264*IF(OR(ISBLANK($E264),$G264="Yes"),1,$E264)*IF($H264="Yes",1,(1-$F264))</f>
        <v>1.6470588235294116E-5</v>
      </c>
      <c r="O264" s="130"/>
    </row>
    <row r="265" spans="1:15" ht="15" x14ac:dyDescent="0.25">
      <c r="A265" s="5" t="s">
        <v>1318</v>
      </c>
      <c r="B265" s="7"/>
      <c r="C265" s="13" t="s">
        <v>58</v>
      </c>
      <c r="D265" s="19" t="str">
        <f>IFERROR(IF(C265="No CAS","",INDEX('DEQ Pollutant List'!$B$7:$B$611,MATCH('3. Pollutant Emissions - EF'!C265,'DEQ Pollutant List'!$A$7:$A$611,0))),"")</f>
        <v>Cobalt and compounds</v>
      </c>
      <c r="E265" s="100">
        <v>0</v>
      </c>
      <c r="F265" s="36">
        <v>0</v>
      </c>
      <c r="G265" s="100" t="s">
        <v>1415</v>
      </c>
      <c r="H265" s="36" t="s">
        <v>1415</v>
      </c>
      <c r="I265" s="34">
        <v>8.3999999999999995E-5</v>
      </c>
      <c r="J265" s="11">
        <f t="shared" si="5"/>
        <v>8.3999999999999995E-5</v>
      </c>
      <c r="K265" s="6" t="s">
        <v>1416</v>
      </c>
      <c r="L265" s="20" t="s">
        <v>1422</v>
      </c>
      <c r="M265" s="7">
        <f>IF(ISBLANK($B265),_xlfn.XLOOKUP($A265,'2. TEUs &amp; Activities - EF'!$A$9:$A$190,'2. TEUs &amp; Activities - EF'!$J$9:$J$190),_xlfn.XLOOKUP($B265,'2. TEUs &amp; Activities - EF'!$B$9:$B$190,'2. TEUs &amp; Activities - EF'!$J$9:$J$190))*'3. Pollutant Emissions - EF'!$I265*IF(OR(ISBLANK($E265),$G265="Yes"),1,$E265)*IF($H265="Yes",1,(1-$F265))</f>
        <v>3.6070588235294116E-4</v>
      </c>
      <c r="N265" s="5">
        <f>IF(ISBLANK($B265),_xlfn.XLOOKUP($A265,'2. TEUs &amp; Activities - EF'!$A$9:$A$190,'2. TEUs &amp; Activities - EF'!$M$9:$M$190),_xlfn.XLOOKUP($B265,'2. TEUs &amp; Activities - EF'!$B$9:$B$190,'2. TEUs &amp; Activities - EF'!$M$9:$M$190))*'3. Pollutant Emissions - EF'!$J265*IF(OR(ISBLANK($E265),$G265="Yes"),1,$E265)*IF($H265="Yes",1,(1-$F265))</f>
        <v>9.8823529411764699E-7</v>
      </c>
      <c r="O265" s="130"/>
    </row>
    <row r="266" spans="1:15" ht="15" x14ac:dyDescent="0.25">
      <c r="A266" s="5" t="s">
        <v>1318</v>
      </c>
      <c r="B266" s="7"/>
      <c r="C266" s="13" t="s">
        <v>59</v>
      </c>
      <c r="D266" s="19" t="str">
        <f>IFERROR(IF(C266="No CAS","",INDEX('DEQ Pollutant List'!$B$7:$B$611,MATCH('3. Pollutant Emissions - EF'!C266,'DEQ Pollutant List'!$A$7:$A$611,0))),"")</f>
        <v>Copper and compounds</v>
      </c>
      <c r="E266" s="100">
        <v>0</v>
      </c>
      <c r="F266" s="36">
        <v>0</v>
      </c>
      <c r="G266" s="100" t="s">
        <v>1415</v>
      </c>
      <c r="H266" s="36" t="s">
        <v>1415</v>
      </c>
      <c r="I266" s="34">
        <v>8.4999999999999995E-4</v>
      </c>
      <c r="J266" s="11">
        <f t="shared" si="5"/>
        <v>8.4999999999999995E-4</v>
      </c>
      <c r="K266" s="6" t="s">
        <v>1416</v>
      </c>
      <c r="L266" s="20" t="s">
        <v>1422</v>
      </c>
      <c r="M266" s="7">
        <f>IF(ISBLANK($B266),_xlfn.XLOOKUP($A266,'2. TEUs &amp; Activities - EF'!$A$9:$A$190,'2. TEUs &amp; Activities - EF'!$J$9:$J$190),_xlfn.XLOOKUP($B266,'2. TEUs &amp; Activities - EF'!$B$9:$B$190,'2. TEUs &amp; Activities - EF'!$J$9:$J$190))*'3. Pollutant Emissions - EF'!$I266*IF(OR(ISBLANK($E266),$G266="Yes"),1,$E266)*IF($H266="Yes",1,(1-$F266))</f>
        <v>3.6499999999999996E-3</v>
      </c>
      <c r="N266" s="5">
        <f>IF(ISBLANK($B266),_xlfn.XLOOKUP($A266,'2. TEUs &amp; Activities - EF'!$A$9:$A$190,'2. TEUs &amp; Activities - EF'!$M$9:$M$190),_xlfn.XLOOKUP($B266,'2. TEUs &amp; Activities - EF'!$B$9:$B$190,'2. TEUs &amp; Activities - EF'!$M$9:$M$190))*'3. Pollutant Emissions - EF'!$J266*IF(OR(ISBLANK($E266),$G266="Yes"),1,$E266)*IF($H266="Yes",1,(1-$F266))</f>
        <v>9.9999999999999991E-6</v>
      </c>
      <c r="O266" s="130"/>
    </row>
    <row r="267" spans="1:15" ht="15" x14ac:dyDescent="0.25">
      <c r="A267" s="5" t="s">
        <v>1318</v>
      </c>
      <c r="B267" s="7"/>
      <c r="C267" s="13" t="s">
        <v>60</v>
      </c>
      <c r="D267" s="19" t="str">
        <f>IFERROR(IF(C267="No CAS","",INDEX('DEQ Pollutant List'!$B$7:$B$611,MATCH('3. Pollutant Emissions - EF'!C267,'DEQ Pollutant List'!$A$7:$A$611,0))),"")</f>
        <v>Ethyl benzene</v>
      </c>
      <c r="E267" s="100">
        <v>0</v>
      </c>
      <c r="F267" s="36">
        <v>0</v>
      </c>
      <c r="G267" s="100" t="s">
        <v>1415</v>
      </c>
      <c r="H267" s="36" t="s">
        <v>1415</v>
      </c>
      <c r="I267" s="34">
        <v>9.4999999999999998E-3</v>
      </c>
      <c r="J267" s="11">
        <f t="shared" si="5"/>
        <v>9.4999999999999998E-3</v>
      </c>
      <c r="K267" s="6" t="s">
        <v>1416</v>
      </c>
      <c r="L267" s="20" t="s">
        <v>1422</v>
      </c>
      <c r="M267" s="7">
        <f>IF(ISBLANK($B267),_xlfn.XLOOKUP($A267,'2. TEUs &amp; Activities - EF'!$A$9:$A$190,'2. TEUs &amp; Activities - EF'!$J$9:$J$190),_xlfn.XLOOKUP($B267,'2. TEUs &amp; Activities - EF'!$B$9:$B$190,'2. TEUs &amp; Activities - EF'!$J$9:$J$190))*'3. Pollutant Emissions - EF'!$I267*IF(OR(ISBLANK($E267),$G267="Yes"),1,$E267)*IF($H267="Yes",1,(1-$F267))</f>
        <v>4.0794117647058821E-2</v>
      </c>
      <c r="N267" s="5">
        <f>IF(ISBLANK($B267),_xlfn.XLOOKUP($A267,'2. TEUs &amp; Activities - EF'!$A$9:$A$190,'2. TEUs &amp; Activities - EF'!$M$9:$M$190),_xlfn.XLOOKUP($B267,'2. TEUs &amp; Activities - EF'!$B$9:$B$190,'2. TEUs &amp; Activities - EF'!$M$9:$M$190))*'3. Pollutant Emissions - EF'!$J267*IF(OR(ISBLANK($E267),$G267="Yes"),1,$E267)*IF($H267="Yes",1,(1-$F267))</f>
        <v>1.1176470588235293E-4</v>
      </c>
      <c r="O267" s="130"/>
    </row>
    <row r="268" spans="1:15" ht="15" x14ac:dyDescent="0.25">
      <c r="A268" s="5" t="s">
        <v>1318</v>
      </c>
      <c r="B268" s="7"/>
      <c r="C268" s="13" t="s">
        <v>47</v>
      </c>
      <c r="D268" s="19" t="str">
        <f>IFERROR(IF(C268="No CAS","",INDEX('DEQ Pollutant List'!$B$7:$B$611,MATCH('3. Pollutant Emissions - EF'!C268,'DEQ Pollutant List'!$A$7:$A$611,0))),"")</f>
        <v>Formaldehyde</v>
      </c>
      <c r="E268" s="100">
        <v>0</v>
      </c>
      <c r="F268" s="36">
        <v>0</v>
      </c>
      <c r="G268" s="100" t="s">
        <v>1415</v>
      </c>
      <c r="H268" s="36" t="s">
        <v>1415</v>
      </c>
      <c r="I268" s="34">
        <v>1.7000000000000001E-2</v>
      </c>
      <c r="J268" s="11">
        <f t="shared" si="5"/>
        <v>1.7000000000000001E-2</v>
      </c>
      <c r="K268" s="6" t="s">
        <v>1416</v>
      </c>
      <c r="L268" s="20" t="s">
        <v>1422</v>
      </c>
      <c r="M268" s="7">
        <f>IF(ISBLANK($B268),_xlfn.XLOOKUP($A268,'2. TEUs &amp; Activities - EF'!$A$9:$A$190,'2. TEUs &amp; Activities - EF'!$J$9:$J$190),_xlfn.XLOOKUP($B268,'2. TEUs &amp; Activities - EF'!$B$9:$B$190,'2. TEUs &amp; Activities - EF'!$J$9:$J$190))*'3. Pollutant Emissions - EF'!$I268*IF(OR(ISBLANK($E268),$G268="Yes"),1,$E268)*IF($H268="Yes",1,(1-$F268))</f>
        <v>7.3000000000000009E-2</v>
      </c>
      <c r="N268" s="5">
        <f>IF(ISBLANK($B268),_xlfn.XLOOKUP($A268,'2. TEUs &amp; Activities - EF'!$A$9:$A$190,'2. TEUs &amp; Activities - EF'!$M$9:$M$190),_xlfn.XLOOKUP($B268,'2. TEUs &amp; Activities - EF'!$B$9:$B$190,'2. TEUs &amp; Activities - EF'!$M$9:$M$190))*'3. Pollutant Emissions - EF'!$J268*IF(OR(ISBLANK($E268),$G268="Yes"),1,$E268)*IF($H268="Yes",1,(1-$F268))</f>
        <v>2.0000000000000001E-4</v>
      </c>
      <c r="O268" s="130"/>
    </row>
    <row r="269" spans="1:15" ht="15" x14ac:dyDescent="0.25">
      <c r="A269" s="5" t="s">
        <v>1318</v>
      </c>
      <c r="B269" s="7"/>
      <c r="C269" s="13" t="s">
        <v>61</v>
      </c>
      <c r="D269" s="19" t="str">
        <f>IFERROR(IF(C269="No CAS","",INDEX('DEQ Pollutant List'!$B$7:$B$611,MATCH('3. Pollutant Emissions - EF'!C269,'DEQ Pollutant List'!$A$7:$A$611,0))),"")</f>
        <v>Hexane</v>
      </c>
      <c r="E269" s="100">
        <v>0</v>
      </c>
      <c r="F269" s="36">
        <v>0</v>
      </c>
      <c r="G269" s="100" t="s">
        <v>1415</v>
      </c>
      <c r="H269" s="36" t="s">
        <v>1415</v>
      </c>
      <c r="I269" s="34">
        <v>6.3E-3</v>
      </c>
      <c r="J269" s="11">
        <f t="shared" si="5"/>
        <v>6.3E-3</v>
      </c>
      <c r="K269" s="6" t="s">
        <v>1416</v>
      </c>
      <c r="L269" s="20" t="s">
        <v>1422</v>
      </c>
      <c r="M269" s="7">
        <f>IF(ISBLANK($B269),_xlfn.XLOOKUP($A269,'2. TEUs &amp; Activities - EF'!$A$9:$A$190,'2. TEUs &amp; Activities - EF'!$J$9:$J$190),_xlfn.XLOOKUP($B269,'2. TEUs &amp; Activities - EF'!$B$9:$B$190,'2. TEUs &amp; Activities - EF'!$J$9:$J$190))*'3. Pollutant Emissions - EF'!$I269*IF(OR(ISBLANK($E269),$G269="Yes"),1,$E269)*IF($H269="Yes",1,(1-$F269))</f>
        <v>2.7052941176470589E-2</v>
      </c>
      <c r="N269" s="5">
        <f>IF(ISBLANK($B269),_xlfn.XLOOKUP($A269,'2. TEUs &amp; Activities - EF'!$A$9:$A$190,'2. TEUs &amp; Activities - EF'!$M$9:$M$190),_xlfn.XLOOKUP($B269,'2. TEUs &amp; Activities - EF'!$B$9:$B$190,'2. TEUs &amp; Activities - EF'!$M$9:$M$190))*'3. Pollutant Emissions - EF'!$J269*IF(OR(ISBLANK($E269),$G269="Yes"),1,$E269)*IF($H269="Yes",1,(1-$F269))</f>
        <v>7.4117647058823523E-5</v>
      </c>
      <c r="O269" s="130"/>
    </row>
    <row r="270" spans="1:15" ht="15" x14ac:dyDescent="0.25">
      <c r="A270" s="5" t="s">
        <v>1318</v>
      </c>
      <c r="B270" s="7"/>
      <c r="C270" s="13" t="s">
        <v>62</v>
      </c>
      <c r="D270" s="19" t="str">
        <f>IFERROR(IF(C270="No CAS","",INDEX('DEQ Pollutant List'!$B$7:$B$611,MATCH('3. Pollutant Emissions - EF'!C270,'DEQ Pollutant List'!$A$7:$A$611,0))),"")</f>
        <v>Lead and compounds</v>
      </c>
      <c r="E270" s="100">
        <v>0</v>
      </c>
      <c r="F270" s="36">
        <v>0</v>
      </c>
      <c r="G270" s="100" t="s">
        <v>1415</v>
      </c>
      <c r="H270" s="36" t="s">
        <v>1415</v>
      </c>
      <c r="I270" s="34">
        <v>5.0000000000000001E-4</v>
      </c>
      <c r="J270" s="11">
        <f t="shared" si="5"/>
        <v>5.0000000000000001E-4</v>
      </c>
      <c r="K270" s="6" t="s">
        <v>1416</v>
      </c>
      <c r="L270" s="20" t="s">
        <v>1422</v>
      </c>
      <c r="M270" s="7">
        <f>IF(ISBLANK($B270),_xlfn.XLOOKUP($A270,'2. TEUs &amp; Activities - EF'!$A$9:$A$190,'2. TEUs &amp; Activities - EF'!$J$9:$J$190),_xlfn.XLOOKUP($B270,'2. TEUs &amp; Activities - EF'!$B$9:$B$190,'2. TEUs &amp; Activities - EF'!$J$9:$J$190))*'3. Pollutant Emissions - EF'!$I270*IF(OR(ISBLANK($E270),$G270="Yes"),1,$E270)*IF($H270="Yes",1,(1-$F270))</f>
        <v>2.1470588235294116E-3</v>
      </c>
      <c r="N270" s="5">
        <f>IF(ISBLANK($B270),_xlfn.XLOOKUP($A270,'2. TEUs &amp; Activities - EF'!$A$9:$A$190,'2. TEUs &amp; Activities - EF'!$M$9:$M$190),_xlfn.XLOOKUP($B270,'2. TEUs &amp; Activities - EF'!$B$9:$B$190,'2. TEUs &amp; Activities - EF'!$M$9:$M$190))*'3. Pollutant Emissions - EF'!$J270*IF(OR(ISBLANK($E270),$G270="Yes"),1,$E270)*IF($H270="Yes",1,(1-$F270))</f>
        <v>5.8823529411764709E-6</v>
      </c>
      <c r="O270" s="130"/>
    </row>
    <row r="271" spans="1:15" ht="15" x14ac:dyDescent="0.25">
      <c r="A271" s="5" t="s">
        <v>1318</v>
      </c>
      <c r="B271" s="7"/>
      <c r="C271" s="13" t="s">
        <v>63</v>
      </c>
      <c r="D271" s="19" t="str">
        <f>IFERROR(IF(C271="No CAS","",INDEX('DEQ Pollutant List'!$B$7:$B$611,MATCH('3. Pollutant Emissions - EF'!C271,'DEQ Pollutant List'!$A$7:$A$611,0))),"")</f>
        <v>Manganese and compounds</v>
      </c>
      <c r="E271" s="100">
        <v>0</v>
      </c>
      <c r="F271" s="36">
        <v>0</v>
      </c>
      <c r="G271" s="100" t="s">
        <v>1415</v>
      </c>
      <c r="H271" s="36" t="s">
        <v>1415</v>
      </c>
      <c r="I271" s="34">
        <v>3.8000000000000002E-4</v>
      </c>
      <c r="J271" s="11">
        <f t="shared" si="5"/>
        <v>3.8000000000000002E-4</v>
      </c>
      <c r="K271" s="6" t="s">
        <v>1416</v>
      </c>
      <c r="L271" s="20" t="s">
        <v>1422</v>
      </c>
      <c r="M271" s="7">
        <f>IF(ISBLANK($B271),_xlfn.XLOOKUP($A271,'2. TEUs &amp; Activities - EF'!$A$9:$A$190,'2. TEUs &amp; Activities - EF'!$J$9:$J$190),_xlfn.XLOOKUP($B271,'2. TEUs &amp; Activities - EF'!$B$9:$B$190,'2. TEUs &amp; Activities - EF'!$J$9:$J$190))*'3. Pollutant Emissions - EF'!$I271*IF(OR(ISBLANK($E271),$G271="Yes"),1,$E271)*IF($H271="Yes",1,(1-$F271))</f>
        <v>1.631764705882353E-3</v>
      </c>
      <c r="N271" s="5">
        <f>IF(ISBLANK($B271),_xlfn.XLOOKUP($A271,'2. TEUs &amp; Activities - EF'!$A$9:$A$190,'2. TEUs &amp; Activities - EF'!$M$9:$M$190),_xlfn.XLOOKUP($B271,'2. TEUs &amp; Activities - EF'!$B$9:$B$190,'2. TEUs &amp; Activities - EF'!$M$9:$M$190))*'3. Pollutant Emissions - EF'!$J271*IF(OR(ISBLANK($E271),$G271="Yes"),1,$E271)*IF($H271="Yes",1,(1-$F271))</f>
        <v>4.4705882352941176E-6</v>
      </c>
      <c r="O271" s="130"/>
    </row>
    <row r="272" spans="1:15" ht="15" x14ac:dyDescent="0.25">
      <c r="A272" s="5" t="s">
        <v>1318</v>
      </c>
      <c r="B272" s="7"/>
      <c r="C272" s="13" t="s">
        <v>64</v>
      </c>
      <c r="D272" s="19" t="str">
        <f>IFERROR(IF(C272="No CAS","",INDEX('DEQ Pollutant List'!$B$7:$B$611,MATCH('3. Pollutant Emissions - EF'!C272,'DEQ Pollutant List'!$A$7:$A$611,0))),"")</f>
        <v>Mercury and compounds</v>
      </c>
      <c r="E272" s="100">
        <v>0</v>
      </c>
      <c r="F272" s="36">
        <v>0</v>
      </c>
      <c r="G272" s="100" t="s">
        <v>1415</v>
      </c>
      <c r="H272" s="36" t="s">
        <v>1415</v>
      </c>
      <c r="I272" s="34">
        <v>2.5999999999999998E-4</v>
      </c>
      <c r="J272" s="11">
        <f t="shared" si="5"/>
        <v>2.5999999999999998E-4</v>
      </c>
      <c r="K272" s="6" t="s">
        <v>1416</v>
      </c>
      <c r="L272" s="20" t="s">
        <v>1422</v>
      </c>
      <c r="M272" s="7">
        <f>IF(ISBLANK($B272),_xlfn.XLOOKUP($A272,'2. TEUs &amp; Activities - EF'!$A$9:$A$190,'2. TEUs &amp; Activities - EF'!$J$9:$J$190),_xlfn.XLOOKUP($B272,'2. TEUs &amp; Activities - EF'!$B$9:$B$190,'2. TEUs &amp; Activities - EF'!$J$9:$J$190))*'3. Pollutant Emissions - EF'!$I272*IF(OR(ISBLANK($E272),$G272="Yes"),1,$E272)*IF($H272="Yes",1,(1-$F272))</f>
        <v>1.1164705882352941E-3</v>
      </c>
      <c r="N272" s="5">
        <f>IF(ISBLANK($B272),_xlfn.XLOOKUP($A272,'2. TEUs &amp; Activities - EF'!$A$9:$A$190,'2. TEUs &amp; Activities - EF'!$M$9:$M$190),_xlfn.XLOOKUP($B272,'2. TEUs &amp; Activities - EF'!$B$9:$B$190,'2. TEUs &amp; Activities - EF'!$M$9:$M$190))*'3. Pollutant Emissions - EF'!$J272*IF(OR(ISBLANK($E272),$G272="Yes"),1,$E272)*IF($H272="Yes",1,(1-$F272))</f>
        <v>3.0588235294117643E-6</v>
      </c>
      <c r="O272" s="130"/>
    </row>
    <row r="273" spans="1:15" ht="15" x14ac:dyDescent="0.25">
      <c r="A273" s="5" t="s">
        <v>1318</v>
      </c>
      <c r="B273" s="7"/>
      <c r="C273" s="13" t="s">
        <v>65</v>
      </c>
      <c r="D273" s="19" t="str">
        <f>IFERROR(IF(C273="No CAS","",INDEX('DEQ Pollutant List'!$B$7:$B$611,MATCH('3. Pollutant Emissions - EF'!C273,'DEQ Pollutant List'!$A$7:$A$611,0))),"")</f>
        <v>Molybdenum trioxide</v>
      </c>
      <c r="E273" s="100">
        <v>0</v>
      </c>
      <c r="F273" s="36">
        <v>0</v>
      </c>
      <c r="G273" s="100" t="s">
        <v>1415</v>
      </c>
      <c r="H273" s="36" t="s">
        <v>1415</v>
      </c>
      <c r="I273" s="34">
        <v>1.65E-3</v>
      </c>
      <c r="J273" s="11">
        <f t="shared" si="5"/>
        <v>1.65E-3</v>
      </c>
      <c r="K273" s="6" t="s">
        <v>1416</v>
      </c>
      <c r="L273" s="20" t="s">
        <v>1422</v>
      </c>
      <c r="M273" s="7">
        <f>IF(ISBLANK($B273),_xlfn.XLOOKUP($A273,'2. TEUs &amp; Activities - EF'!$A$9:$A$190,'2. TEUs &amp; Activities - EF'!$J$9:$J$190),_xlfn.XLOOKUP($B273,'2. TEUs &amp; Activities - EF'!$B$9:$B$190,'2. TEUs &amp; Activities - EF'!$J$9:$J$190))*'3. Pollutant Emissions - EF'!$I273*IF(OR(ISBLANK($E273),$G273="Yes"),1,$E273)*IF($H273="Yes",1,(1-$F273))</f>
        <v>7.0852941176470586E-3</v>
      </c>
      <c r="N273" s="5">
        <f>IF(ISBLANK($B273),_xlfn.XLOOKUP($A273,'2. TEUs &amp; Activities - EF'!$A$9:$A$190,'2. TEUs &amp; Activities - EF'!$M$9:$M$190),_xlfn.XLOOKUP($B273,'2. TEUs &amp; Activities - EF'!$B$9:$B$190,'2. TEUs &amp; Activities - EF'!$M$9:$M$190))*'3. Pollutant Emissions - EF'!$J273*IF(OR(ISBLANK($E273),$G273="Yes"),1,$E273)*IF($H273="Yes",1,(1-$F273))</f>
        <v>1.9411764705882351E-5</v>
      </c>
      <c r="O273" s="130"/>
    </row>
    <row r="274" spans="1:15" ht="15" x14ac:dyDescent="0.25">
      <c r="A274" s="5" t="s">
        <v>1318</v>
      </c>
      <c r="B274" s="7"/>
      <c r="C274" s="13" t="s">
        <v>49</v>
      </c>
      <c r="D274" s="19" t="str">
        <f>IFERROR(IF(C274="No CAS","",INDEX('DEQ Pollutant List'!$B$7:$B$611,MATCH('3. Pollutant Emissions - EF'!C274,'DEQ Pollutant List'!$A$7:$A$611,0))),"")</f>
        <v>Naphthalene</v>
      </c>
      <c r="E274" s="100">
        <v>0</v>
      </c>
      <c r="F274" s="36">
        <v>0</v>
      </c>
      <c r="G274" s="100" t="s">
        <v>1415</v>
      </c>
      <c r="H274" s="36" t="s">
        <v>1415</v>
      </c>
      <c r="I274" s="34">
        <v>2.9999999999999997E-4</v>
      </c>
      <c r="J274" s="11">
        <f t="shared" si="5"/>
        <v>2.9999999999999997E-4</v>
      </c>
      <c r="K274" s="6" t="s">
        <v>1416</v>
      </c>
      <c r="L274" s="20" t="s">
        <v>1422</v>
      </c>
      <c r="M274" s="7">
        <f>IF(ISBLANK($B274),_xlfn.XLOOKUP($A274,'2. TEUs &amp; Activities - EF'!$A$9:$A$190,'2. TEUs &amp; Activities - EF'!$J$9:$J$190),_xlfn.XLOOKUP($B274,'2. TEUs &amp; Activities - EF'!$B$9:$B$190,'2. TEUs &amp; Activities - EF'!$J$9:$J$190))*'3. Pollutant Emissions - EF'!$I274*IF(OR(ISBLANK($E274),$G274="Yes"),1,$E274)*IF($H274="Yes",1,(1-$F274))</f>
        <v>1.2882352941176469E-3</v>
      </c>
      <c r="N274" s="5">
        <f>IF(ISBLANK($B274),_xlfn.XLOOKUP($A274,'2. TEUs &amp; Activities - EF'!$A$9:$A$190,'2. TEUs &amp; Activities - EF'!$M$9:$M$190),_xlfn.XLOOKUP($B274,'2. TEUs &amp; Activities - EF'!$B$9:$B$190,'2. TEUs &amp; Activities - EF'!$M$9:$M$190))*'3. Pollutant Emissions - EF'!$J274*IF(OR(ISBLANK($E274),$G274="Yes"),1,$E274)*IF($H274="Yes",1,(1-$F274))</f>
        <v>3.529411764705882E-6</v>
      </c>
      <c r="O274" s="130"/>
    </row>
    <row r="275" spans="1:15" ht="15" x14ac:dyDescent="0.25">
      <c r="A275" s="5" t="s">
        <v>1318</v>
      </c>
      <c r="B275" s="7"/>
      <c r="C275" s="13" t="s">
        <v>66</v>
      </c>
      <c r="D275" s="19" t="str">
        <f>IFERROR(IF(C275="No CAS","",INDEX('DEQ Pollutant List'!$B$7:$B$611,MATCH('3. Pollutant Emissions - EF'!C275,'DEQ Pollutant List'!$A$7:$A$611,0))),"")</f>
        <v>Nickel and compounds</v>
      </c>
      <c r="E275" s="100">
        <v>0</v>
      </c>
      <c r="F275" s="36">
        <v>0</v>
      </c>
      <c r="G275" s="100" t="s">
        <v>1415</v>
      </c>
      <c r="H275" s="36" t="s">
        <v>1415</v>
      </c>
      <c r="I275" s="34">
        <v>2.0999999999999999E-3</v>
      </c>
      <c r="J275" s="11">
        <f t="shared" si="5"/>
        <v>2.0999999999999999E-3</v>
      </c>
      <c r="K275" s="6" t="s">
        <v>1416</v>
      </c>
      <c r="L275" s="20" t="s">
        <v>1422</v>
      </c>
      <c r="M275" s="7">
        <f>IF(ISBLANK($B275),_xlfn.XLOOKUP($A275,'2. TEUs &amp; Activities - EF'!$A$9:$A$190,'2. TEUs &amp; Activities - EF'!$J$9:$J$190),_xlfn.XLOOKUP($B275,'2. TEUs &amp; Activities - EF'!$B$9:$B$190,'2. TEUs &amp; Activities - EF'!$J$9:$J$190))*'3. Pollutant Emissions - EF'!$I275*IF(OR(ISBLANK($E275),$G275="Yes"),1,$E275)*IF($H275="Yes",1,(1-$F275))</f>
        <v>9.0176470588235278E-3</v>
      </c>
      <c r="N275" s="5">
        <f>IF(ISBLANK($B275),_xlfn.XLOOKUP($A275,'2. TEUs &amp; Activities - EF'!$A$9:$A$190,'2. TEUs &amp; Activities - EF'!$M$9:$M$190),_xlfn.XLOOKUP($B275,'2. TEUs &amp; Activities - EF'!$B$9:$B$190,'2. TEUs &amp; Activities - EF'!$M$9:$M$190))*'3. Pollutant Emissions - EF'!$J275*IF(OR(ISBLANK($E275),$G275="Yes"),1,$E275)*IF($H275="Yes",1,(1-$F275))</f>
        <v>2.4705882352941174E-5</v>
      </c>
      <c r="O275" s="130"/>
    </row>
    <row r="276" spans="1:15" ht="15" x14ac:dyDescent="0.25">
      <c r="A276" s="5" t="s">
        <v>1318</v>
      </c>
      <c r="B276" s="7"/>
      <c r="C276" s="13">
        <v>401</v>
      </c>
      <c r="D276" s="19" t="str">
        <f>IFERROR(IF(C276="No CAS","",INDEX('DEQ Pollutant List'!$B$7:$B$611,MATCH('3. Pollutant Emissions - EF'!C276,'DEQ Pollutant List'!$A$7:$A$611,0))),"")</f>
        <v>Polycyclic aromatic hydrocarbons (PAHs)</v>
      </c>
      <c r="E276" s="100">
        <v>0</v>
      </c>
      <c r="F276" s="36">
        <v>0</v>
      </c>
      <c r="G276" s="100" t="s">
        <v>1415</v>
      </c>
      <c r="H276" s="36" t="s">
        <v>1415</v>
      </c>
      <c r="I276" s="34">
        <v>1E-4</v>
      </c>
      <c r="J276" s="11">
        <f t="shared" si="5"/>
        <v>1E-4</v>
      </c>
      <c r="K276" s="6" t="s">
        <v>1416</v>
      </c>
      <c r="L276" s="20" t="s">
        <v>1422</v>
      </c>
      <c r="M276" s="7">
        <f>IF(ISBLANK($B276),_xlfn.XLOOKUP($A276,'2. TEUs &amp; Activities - EF'!$A$9:$A$190,'2. TEUs &amp; Activities - EF'!$J$9:$J$190),_xlfn.XLOOKUP($B276,'2. TEUs &amp; Activities - EF'!$B$9:$B$190,'2. TEUs &amp; Activities - EF'!$J$9:$J$190))*'3. Pollutant Emissions - EF'!$I276*IF(OR(ISBLANK($E276),$G276="Yes"),1,$E276)*IF($H276="Yes",1,(1-$F276))</f>
        <v>4.2941176470588237E-4</v>
      </c>
      <c r="N276" s="5">
        <f>IF(ISBLANK($B276),_xlfn.XLOOKUP($A276,'2. TEUs &amp; Activities - EF'!$A$9:$A$190,'2. TEUs &amp; Activities - EF'!$M$9:$M$190),_xlfn.XLOOKUP($B276,'2. TEUs &amp; Activities - EF'!$B$9:$B$190,'2. TEUs &amp; Activities - EF'!$M$9:$M$190))*'3. Pollutant Emissions - EF'!$J276*IF(OR(ISBLANK($E276),$G276="Yes"),1,$E276)*IF($H276="Yes",1,(1-$F276))</f>
        <v>1.1764705882352942E-6</v>
      </c>
      <c r="O276" s="130"/>
    </row>
    <row r="277" spans="1:15" ht="15" x14ac:dyDescent="0.25">
      <c r="A277" s="5" t="s">
        <v>1318</v>
      </c>
      <c r="B277" s="7"/>
      <c r="C277" s="13" t="s">
        <v>67</v>
      </c>
      <c r="D277" s="19" t="str">
        <f>IFERROR(IF(C277="No CAS","",INDEX('DEQ Pollutant List'!$B$7:$B$611,MATCH('3. Pollutant Emissions - EF'!C277,'DEQ Pollutant List'!$A$7:$A$611,0))),"")</f>
        <v>Selenium and compounds</v>
      </c>
      <c r="E277" s="100">
        <v>0</v>
      </c>
      <c r="F277" s="36">
        <v>0</v>
      </c>
      <c r="G277" s="100" t="s">
        <v>1415</v>
      </c>
      <c r="H277" s="36" t="s">
        <v>1415</v>
      </c>
      <c r="I277" s="34">
        <v>2.4000000000000001E-5</v>
      </c>
      <c r="J277" s="11">
        <f t="shared" si="5"/>
        <v>2.4000000000000001E-5</v>
      </c>
      <c r="K277" s="6" t="s">
        <v>1416</v>
      </c>
      <c r="L277" s="20" t="s">
        <v>1422</v>
      </c>
      <c r="M277" s="7">
        <f>IF(ISBLANK($B277),_xlfn.XLOOKUP($A277,'2. TEUs &amp; Activities - EF'!$A$9:$A$190,'2. TEUs &amp; Activities - EF'!$J$9:$J$190),_xlfn.XLOOKUP($B277,'2. TEUs &amp; Activities - EF'!$B$9:$B$190,'2. TEUs &amp; Activities - EF'!$J$9:$J$190))*'3. Pollutant Emissions - EF'!$I277*IF(OR(ISBLANK($E277),$G277="Yes"),1,$E277)*IF($H277="Yes",1,(1-$F277))</f>
        <v>1.0305882352941177E-4</v>
      </c>
      <c r="N277" s="5">
        <f>IF(ISBLANK($B277),_xlfn.XLOOKUP($A277,'2. TEUs &amp; Activities - EF'!$A$9:$A$190,'2. TEUs &amp; Activities - EF'!$M$9:$M$190),_xlfn.XLOOKUP($B277,'2. TEUs &amp; Activities - EF'!$B$9:$B$190,'2. TEUs &amp; Activities - EF'!$M$9:$M$190))*'3. Pollutant Emissions - EF'!$J277*IF(OR(ISBLANK($E277),$G277="Yes"),1,$E277)*IF($H277="Yes",1,(1-$F277))</f>
        <v>2.8235294117647059E-7</v>
      </c>
      <c r="O277" s="130"/>
    </row>
    <row r="278" spans="1:15" ht="15" x14ac:dyDescent="0.25">
      <c r="A278" s="5" t="s">
        <v>1318</v>
      </c>
      <c r="B278" s="7"/>
      <c r="C278" s="13" t="s">
        <v>68</v>
      </c>
      <c r="D278" s="19" t="str">
        <f>IFERROR(IF(C278="No CAS","",INDEX('DEQ Pollutant List'!$B$7:$B$611,MATCH('3. Pollutant Emissions - EF'!C278,'DEQ Pollutant List'!$A$7:$A$611,0))),"")</f>
        <v>Toluene</v>
      </c>
      <c r="E278" s="100">
        <v>0</v>
      </c>
      <c r="F278" s="36">
        <v>0</v>
      </c>
      <c r="G278" s="100" t="s">
        <v>1415</v>
      </c>
      <c r="H278" s="36" t="s">
        <v>1415</v>
      </c>
      <c r="I278" s="34">
        <v>3.6600000000000001E-2</v>
      </c>
      <c r="J278" s="11">
        <f t="shared" si="5"/>
        <v>3.6600000000000001E-2</v>
      </c>
      <c r="K278" s="6" t="s">
        <v>1416</v>
      </c>
      <c r="L278" s="20" t="s">
        <v>1422</v>
      </c>
      <c r="M278" s="7">
        <f>IF(ISBLANK($B278),_xlfn.XLOOKUP($A278,'2. TEUs &amp; Activities - EF'!$A$9:$A$190,'2. TEUs &amp; Activities - EF'!$J$9:$J$190),_xlfn.XLOOKUP($B278,'2. TEUs &amp; Activities - EF'!$B$9:$B$190,'2. TEUs &amp; Activities - EF'!$J$9:$J$190))*'3. Pollutant Emissions - EF'!$I278*IF(OR(ISBLANK($E278),$G278="Yes"),1,$E278)*IF($H278="Yes",1,(1-$F278))</f>
        <v>0.15716470588235293</v>
      </c>
      <c r="N278" s="5">
        <f>IF(ISBLANK($B278),_xlfn.XLOOKUP($A278,'2. TEUs &amp; Activities - EF'!$A$9:$A$190,'2. TEUs &amp; Activities - EF'!$M$9:$M$190),_xlfn.XLOOKUP($B278,'2. TEUs &amp; Activities - EF'!$B$9:$B$190,'2. TEUs &amp; Activities - EF'!$M$9:$M$190))*'3. Pollutant Emissions - EF'!$J278*IF(OR(ISBLANK($E278),$G278="Yes"),1,$E278)*IF($H278="Yes",1,(1-$F278))</f>
        <v>4.3058823529411766E-4</v>
      </c>
      <c r="O278" s="130"/>
    </row>
    <row r="279" spans="1:15" ht="15" x14ac:dyDescent="0.25">
      <c r="A279" s="5" t="s">
        <v>1318</v>
      </c>
      <c r="B279" s="7"/>
      <c r="C279" s="13" t="s">
        <v>69</v>
      </c>
      <c r="D279" s="19" t="str">
        <f>IFERROR(IF(C279="No CAS","",INDEX('DEQ Pollutant List'!$B$7:$B$611,MATCH('3. Pollutant Emissions - EF'!C279,'DEQ Pollutant List'!$A$7:$A$611,0))),"")</f>
        <v>Vanadium (fume or dust)</v>
      </c>
      <c r="E279" s="100">
        <v>0</v>
      </c>
      <c r="F279" s="36">
        <v>0</v>
      </c>
      <c r="G279" s="100" t="s">
        <v>1415</v>
      </c>
      <c r="H279" s="36" t="s">
        <v>1415</v>
      </c>
      <c r="I279" s="34">
        <v>2.3E-3</v>
      </c>
      <c r="J279" s="11">
        <f t="shared" si="5"/>
        <v>2.3E-3</v>
      </c>
      <c r="K279" s="6" t="s">
        <v>1416</v>
      </c>
      <c r="L279" s="20" t="s">
        <v>1422</v>
      </c>
      <c r="M279" s="7">
        <f>IF(ISBLANK($B279),_xlfn.XLOOKUP($A279,'2. TEUs &amp; Activities - EF'!$A$9:$A$190,'2. TEUs &amp; Activities - EF'!$J$9:$J$190),_xlfn.XLOOKUP($B279,'2. TEUs &amp; Activities - EF'!$B$9:$B$190,'2. TEUs &amp; Activities - EF'!$J$9:$J$190))*'3. Pollutant Emissions - EF'!$I279*IF(OR(ISBLANK($E279),$G279="Yes"),1,$E279)*IF($H279="Yes",1,(1-$F279))</f>
        <v>9.8764705882352938E-3</v>
      </c>
      <c r="N279" s="5">
        <f>IF(ISBLANK($B279),_xlfn.XLOOKUP($A279,'2. TEUs &amp; Activities - EF'!$A$9:$A$190,'2. TEUs &amp; Activities - EF'!$M$9:$M$190),_xlfn.XLOOKUP($B279,'2. TEUs &amp; Activities - EF'!$B$9:$B$190,'2. TEUs &amp; Activities - EF'!$M$9:$M$190))*'3. Pollutant Emissions - EF'!$J279*IF(OR(ISBLANK($E279),$G279="Yes"),1,$E279)*IF($H279="Yes",1,(1-$F279))</f>
        <v>2.7058823529411762E-5</v>
      </c>
      <c r="O279" s="130"/>
    </row>
    <row r="280" spans="1:15" ht="15" x14ac:dyDescent="0.25">
      <c r="A280" s="5" t="s">
        <v>1318</v>
      </c>
      <c r="B280" s="7"/>
      <c r="C280" s="13" t="s">
        <v>70</v>
      </c>
      <c r="D280" s="19" t="str">
        <f>IFERROR(IF(C280="No CAS","",INDEX('DEQ Pollutant List'!$B$7:$B$611,MATCH('3. Pollutant Emissions - EF'!C280,'DEQ Pollutant List'!$A$7:$A$611,0))),"")</f>
        <v>Xylene (mixture), including m-xylene, o-xylene, p-xylene</v>
      </c>
      <c r="E280" s="100">
        <v>0</v>
      </c>
      <c r="F280" s="36">
        <v>0</v>
      </c>
      <c r="G280" s="100" t="s">
        <v>1415</v>
      </c>
      <c r="H280" s="36" t="s">
        <v>1415</v>
      </c>
      <c r="I280" s="34">
        <v>2.7199999999999998E-2</v>
      </c>
      <c r="J280" s="11">
        <f t="shared" si="5"/>
        <v>2.7199999999999998E-2</v>
      </c>
      <c r="K280" s="6" t="s">
        <v>1416</v>
      </c>
      <c r="L280" s="20" t="s">
        <v>1422</v>
      </c>
      <c r="M280" s="7">
        <f>IF(ISBLANK($B280),_xlfn.XLOOKUP($A280,'2. TEUs &amp; Activities - EF'!$A$9:$A$190,'2. TEUs &amp; Activities - EF'!$J$9:$J$190),_xlfn.XLOOKUP($B280,'2. TEUs &amp; Activities - EF'!$B$9:$B$190,'2. TEUs &amp; Activities - EF'!$J$9:$J$190))*'3. Pollutant Emissions - EF'!$I280*IF(OR(ISBLANK($E280),$G280="Yes"),1,$E280)*IF($H280="Yes",1,(1-$F280))</f>
        <v>0.11679999999999999</v>
      </c>
      <c r="N280" s="5">
        <f>IF(ISBLANK($B280),_xlfn.XLOOKUP($A280,'2. TEUs &amp; Activities - EF'!$A$9:$A$190,'2. TEUs &amp; Activities - EF'!$M$9:$M$190),_xlfn.XLOOKUP($B280,'2. TEUs &amp; Activities - EF'!$B$9:$B$190,'2. TEUs &amp; Activities - EF'!$M$9:$M$190))*'3. Pollutant Emissions - EF'!$J280*IF(OR(ISBLANK($E280),$G280="Yes"),1,$E280)*IF($H280="Yes",1,(1-$F280))</f>
        <v>3.1999999999999997E-4</v>
      </c>
      <c r="O280" s="130"/>
    </row>
    <row r="281" spans="1:15" ht="15" x14ac:dyDescent="0.25">
      <c r="A281" s="5" t="s">
        <v>1318</v>
      </c>
      <c r="B281" s="7"/>
      <c r="C281" s="13" t="s">
        <v>71</v>
      </c>
      <c r="D281" s="19" t="str">
        <f>IFERROR(IF(C281="No CAS","",INDEX('DEQ Pollutant List'!$B$7:$B$611,MATCH('3. Pollutant Emissions - EF'!C281,'DEQ Pollutant List'!$A$7:$A$611,0))),"")</f>
        <v>Zinc and compounds</v>
      </c>
      <c r="E281" s="100">
        <v>0</v>
      </c>
      <c r="F281" s="36">
        <v>0</v>
      </c>
      <c r="G281" s="100" t="s">
        <v>1415</v>
      </c>
      <c r="H281" s="36" t="s">
        <v>1415</v>
      </c>
      <c r="I281" s="34">
        <v>2.9000000000000001E-2</v>
      </c>
      <c r="J281" s="11">
        <f t="shared" si="5"/>
        <v>2.9000000000000001E-2</v>
      </c>
      <c r="K281" s="6" t="s">
        <v>1416</v>
      </c>
      <c r="L281" s="20" t="s">
        <v>1422</v>
      </c>
      <c r="M281" s="7">
        <f>IF(ISBLANK($B281),_xlfn.XLOOKUP($A281,'2. TEUs &amp; Activities - EF'!$A$9:$A$190,'2. TEUs &amp; Activities - EF'!$J$9:$J$190),_xlfn.XLOOKUP($B281,'2. TEUs &amp; Activities - EF'!$B$9:$B$190,'2. TEUs &amp; Activities - EF'!$J$9:$J$190))*'3. Pollutant Emissions - EF'!$I281*IF(OR(ISBLANK($E281),$G281="Yes"),1,$E281)*IF($H281="Yes",1,(1-$F281))</f>
        <v>0.12452941176470589</v>
      </c>
      <c r="N281" s="5">
        <f>IF(ISBLANK($B281),_xlfn.XLOOKUP($A281,'2. TEUs &amp; Activities - EF'!$A$9:$A$190,'2. TEUs &amp; Activities - EF'!$M$9:$M$190),_xlfn.XLOOKUP($B281,'2. TEUs &amp; Activities - EF'!$B$9:$B$190,'2. TEUs &amp; Activities - EF'!$M$9:$M$190))*'3. Pollutant Emissions - EF'!$J281*IF(OR(ISBLANK($E281),$G281="Yes"),1,$E281)*IF($H281="Yes",1,(1-$F281))</f>
        <v>3.4117647058823532E-4</v>
      </c>
      <c r="O281" s="130"/>
    </row>
    <row r="282" spans="1:15" ht="15" x14ac:dyDescent="0.25">
      <c r="A282" s="5"/>
      <c r="B282" s="7"/>
      <c r="C282" s="13"/>
      <c r="D282" s="19" t="str">
        <f>IFERROR(IF(C282="No CAS","",INDEX('DEQ Pollutant List'!$B$7:$B$611,MATCH('3. Pollutant Emissions - EF'!C282,'DEQ Pollutant List'!$A$7:$A$611,0))),"")</f>
        <v/>
      </c>
      <c r="E282" s="100"/>
      <c r="F282" s="36"/>
      <c r="G282" s="100"/>
      <c r="H282" s="36"/>
      <c r="I282" s="34"/>
      <c r="J282" s="11"/>
      <c r="K282" s="6"/>
      <c r="L282" s="20"/>
      <c r="M282" s="7">
        <f>IF(ISBLANK($B282),_xlfn.XLOOKUP($A282,'2. TEUs &amp; Activities - EF'!$A$9:$A$190,'2. TEUs &amp; Activities - EF'!$J$9:$J$190),_xlfn.XLOOKUP($B282,'2. TEUs &amp; Activities - EF'!$B$9:$B$190,'2. TEUs &amp; Activities - EF'!$J$9:$J$190))*'3. Pollutant Emissions - EF'!$I282*IF(OR(ISBLANK($E282),$G282="Yes"),1,$E282)*IF($H282="Yes",1,(1-$F282))</f>
        <v>0</v>
      </c>
      <c r="N282" s="5">
        <f>IF(ISBLANK($B282),_xlfn.XLOOKUP($A282,'2. TEUs &amp; Activities - EF'!$A$9:$A$190,'2. TEUs &amp; Activities - EF'!$M$9:$M$190),_xlfn.XLOOKUP($B282,'2. TEUs &amp; Activities - EF'!$B$9:$B$190,'2. TEUs &amp; Activities - EF'!$M$9:$M$190))*'3. Pollutant Emissions - EF'!$J282*IF(OR(ISBLANK($E282),$G282="Yes"),1,$E282)*IF($H282="Yes",1,(1-$F282))</f>
        <v>0</v>
      </c>
      <c r="O282" s="130"/>
    </row>
    <row r="283" spans="1:15" ht="15" x14ac:dyDescent="0.25">
      <c r="A283" s="5" t="s">
        <v>1319</v>
      </c>
      <c r="B283" s="7"/>
      <c r="C283" s="13" t="s">
        <v>50</v>
      </c>
      <c r="D283" s="19" t="str">
        <f>IFERROR(IF(C283="No CAS","",INDEX('DEQ Pollutant List'!$B$7:$B$611,MATCH('3. Pollutant Emissions - EF'!C283,'DEQ Pollutant List'!$A$7:$A$611,0))),"")</f>
        <v>Acetaldehyde</v>
      </c>
      <c r="E283" s="100">
        <v>0</v>
      </c>
      <c r="F283" s="36">
        <v>0</v>
      </c>
      <c r="G283" s="100" t="s">
        <v>1415</v>
      </c>
      <c r="H283" s="36" t="s">
        <v>1415</v>
      </c>
      <c r="I283" s="34">
        <v>4.3E-3</v>
      </c>
      <c r="J283" s="11">
        <f t="shared" ref="J283:J308" si="6">I283</f>
        <v>4.3E-3</v>
      </c>
      <c r="K283" s="6" t="s">
        <v>1416</v>
      </c>
      <c r="L283" s="20" t="s">
        <v>1422</v>
      </c>
      <c r="M283" s="7">
        <f>IF(ISBLANK($B283),_xlfn.XLOOKUP($A283,'2. TEUs &amp; Activities - EF'!$A$9:$A$190,'2. TEUs &amp; Activities - EF'!$J$9:$J$190),_xlfn.XLOOKUP($B283,'2. TEUs &amp; Activities - EF'!$B$9:$B$190,'2. TEUs &amp; Activities - EF'!$J$9:$J$190))*'3. Pollutant Emissions - EF'!$I283*IF(OR(ISBLANK($E283),$G283="Yes"),1,$E283)*IF($H283="Yes",1,(1-$F283))</f>
        <v>3.3236470588235298E-2</v>
      </c>
      <c r="N283" s="5">
        <f>IF(ISBLANK($B283),_xlfn.XLOOKUP($A283,'2. TEUs &amp; Activities - EF'!$A$9:$A$190,'2. TEUs &amp; Activities - EF'!$M$9:$M$190),_xlfn.XLOOKUP($B283,'2. TEUs &amp; Activities - EF'!$B$9:$B$190,'2. TEUs &amp; Activities - EF'!$M$9:$M$190))*'3. Pollutant Emissions - EF'!$J283*IF(OR(ISBLANK($E283),$G283="Yes"),1,$E283)*IF($H283="Yes",1,(1-$F283))</f>
        <v>9.1058823529411773E-5</v>
      </c>
      <c r="O283" s="130"/>
    </row>
    <row r="284" spans="1:15" ht="15" x14ac:dyDescent="0.25">
      <c r="A284" s="5" t="s">
        <v>1319</v>
      </c>
      <c r="B284" s="7"/>
      <c r="C284" s="13" t="s">
        <v>51</v>
      </c>
      <c r="D284" s="19" t="str">
        <f>IFERROR(IF(C284="No CAS","",INDEX('DEQ Pollutant List'!$B$7:$B$611,MATCH('3. Pollutant Emissions - EF'!C284,'DEQ Pollutant List'!$A$7:$A$611,0))),"")</f>
        <v>Acrolein</v>
      </c>
      <c r="E284" s="100">
        <v>0</v>
      </c>
      <c r="F284" s="36">
        <v>0</v>
      </c>
      <c r="G284" s="100" t="s">
        <v>1415</v>
      </c>
      <c r="H284" s="36" t="s">
        <v>1415</v>
      </c>
      <c r="I284" s="34">
        <v>2.7000000000000001E-3</v>
      </c>
      <c r="J284" s="11">
        <f t="shared" si="6"/>
        <v>2.7000000000000001E-3</v>
      </c>
      <c r="K284" s="6" t="s">
        <v>1416</v>
      </c>
      <c r="L284" s="20" t="s">
        <v>1422</v>
      </c>
      <c r="M284" s="7">
        <f>IF(ISBLANK($B284),_xlfn.XLOOKUP($A284,'2. TEUs &amp; Activities - EF'!$A$9:$A$190,'2. TEUs &amp; Activities - EF'!$J$9:$J$190),_xlfn.XLOOKUP($B284,'2. TEUs &amp; Activities - EF'!$B$9:$B$190,'2. TEUs &amp; Activities - EF'!$J$9:$J$190))*'3. Pollutant Emissions - EF'!$I284*IF(OR(ISBLANK($E284),$G284="Yes"),1,$E284)*IF($H284="Yes",1,(1-$F284))</f>
        <v>2.0869411764705883E-2</v>
      </c>
      <c r="N284" s="5">
        <f>IF(ISBLANK($B284),_xlfn.XLOOKUP($A284,'2. TEUs &amp; Activities - EF'!$A$9:$A$190,'2. TEUs &amp; Activities - EF'!$M$9:$M$190),_xlfn.XLOOKUP($B284,'2. TEUs &amp; Activities - EF'!$B$9:$B$190,'2. TEUs &amp; Activities - EF'!$M$9:$M$190))*'3. Pollutant Emissions - EF'!$J284*IF(OR(ISBLANK($E284),$G284="Yes"),1,$E284)*IF($H284="Yes",1,(1-$F284))</f>
        <v>5.7176470588235307E-5</v>
      </c>
      <c r="O284" s="130"/>
    </row>
    <row r="285" spans="1:15" ht="15" x14ac:dyDescent="0.25">
      <c r="A285" s="5" t="s">
        <v>1319</v>
      </c>
      <c r="B285" s="7"/>
      <c r="C285" s="13" t="s">
        <v>52</v>
      </c>
      <c r="D285" s="19" t="str">
        <f>IFERROR(IF(C285="No CAS","",INDEX('DEQ Pollutant List'!$B$7:$B$611,MATCH('3. Pollutant Emissions - EF'!C285,'DEQ Pollutant List'!$A$7:$A$611,0))),"")</f>
        <v>Ammonia</v>
      </c>
      <c r="E285" s="100">
        <v>0</v>
      </c>
      <c r="F285" s="36">
        <v>0</v>
      </c>
      <c r="G285" s="100" t="s">
        <v>1415</v>
      </c>
      <c r="H285" s="36" t="s">
        <v>1415</v>
      </c>
      <c r="I285" s="34">
        <v>3.2</v>
      </c>
      <c r="J285" s="11">
        <f t="shared" si="6"/>
        <v>3.2</v>
      </c>
      <c r="K285" s="6" t="s">
        <v>1416</v>
      </c>
      <c r="L285" s="20" t="s">
        <v>1422</v>
      </c>
      <c r="M285" s="7">
        <f>IF(ISBLANK($B285),_xlfn.XLOOKUP($A285,'2. TEUs &amp; Activities - EF'!$A$9:$A$190,'2. TEUs &amp; Activities - EF'!$J$9:$J$190),_xlfn.XLOOKUP($B285,'2. TEUs &amp; Activities - EF'!$B$9:$B$190,'2. TEUs &amp; Activities - EF'!$J$9:$J$190))*'3. Pollutant Emissions - EF'!$I285*IF(OR(ISBLANK($E285),$G285="Yes"),1,$E285)*IF($H285="Yes",1,(1-$F285))</f>
        <v>24.734117647058824</v>
      </c>
      <c r="N285" s="5">
        <f>IF(ISBLANK($B285),_xlfn.XLOOKUP($A285,'2. TEUs &amp; Activities - EF'!$A$9:$A$190,'2. TEUs &amp; Activities - EF'!$M$9:$M$190),_xlfn.XLOOKUP($B285,'2. TEUs &amp; Activities - EF'!$B$9:$B$190,'2. TEUs &amp; Activities - EF'!$M$9:$M$190))*'3. Pollutant Emissions - EF'!$J285*IF(OR(ISBLANK($E285),$G285="Yes"),1,$E285)*IF($H285="Yes",1,(1-$F285))</f>
        <v>6.7764705882352949E-2</v>
      </c>
      <c r="O285" s="130"/>
    </row>
    <row r="286" spans="1:15" ht="15" x14ac:dyDescent="0.25">
      <c r="A286" s="5" t="s">
        <v>1319</v>
      </c>
      <c r="B286" s="7"/>
      <c r="C286" s="13" t="s">
        <v>53</v>
      </c>
      <c r="D286" s="19" t="str">
        <f>IFERROR(IF(C286="No CAS","",INDEX('DEQ Pollutant List'!$B$7:$B$611,MATCH('3. Pollutant Emissions - EF'!C286,'DEQ Pollutant List'!$A$7:$A$611,0))),"")</f>
        <v>Arsenic and compounds</v>
      </c>
      <c r="E286" s="100">
        <v>0</v>
      </c>
      <c r="F286" s="36">
        <v>0</v>
      </c>
      <c r="G286" s="100" t="s">
        <v>1415</v>
      </c>
      <c r="H286" s="36" t="s">
        <v>1415</v>
      </c>
      <c r="I286" s="34">
        <v>2.0000000000000001E-4</v>
      </c>
      <c r="J286" s="11">
        <f t="shared" si="6"/>
        <v>2.0000000000000001E-4</v>
      </c>
      <c r="K286" s="6" t="s">
        <v>1416</v>
      </c>
      <c r="L286" s="20" t="s">
        <v>1422</v>
      </c>
      <c r="M286" s="7">
        <f>IF(ISBLANK($B286),_xlfn.XLOOKUP($A286,'2. TEUs &amp; Activities - EF'!$A$9:$A$190,'2. TEUs &amp; Activities - EF'!$J$9:$J$190),_xlfn.XLOOKUP($B286,'2. TEUs &amp; Activities - EF'!$B$9:$B$190,'2. TEUs &amp; Activities - EF'!$J$9:$J$190))*'3. Pollutant Emissions - EF'!$I286*IF(OR(ISBLANK($E286),$G286="Yes"),1,$E286)*IF($H286="Yes",1,(1-$F286))</f>
        <v>1.5458823529411767E-3</v>
      </c>
      <c r="N286" s="5">
        <f>IF(ISBLANK($B286),_xlfn.XLOOKUP($A286,'2. TEUs &amp; Activities - EF'!$A$9:$A$190,'2. TEUs &amp; Activities - EF'!$M$9:$M$190),_xlfn.XLOOKUP($B286,'2. TEUs &amp; Activities - EF'!$B$9:$B$190,'2. TEUs &amp; Activities - EF'!$M$9:$M$190))*'3. Pollutant Emissions - EF'!$J286*IF(OR(ISBLANK($E286),$G286="Yes"),1,$E286)*IF($H286="Yes",1,(1-$F286))</f>
        <v>4.2352941176470591E-6</v>
      </c>
      <c r="O286" s="130"/>
    </row>
    <row r="287" spans="1:15" ht="15" x14ac:dyDescent="0.25">
      <c r="A287" s="5" t="s">
        <v>1319</v>
      </c>
      <c r="B287" s="7"/>
      <c r="C287" s="13" t="s">
        <v>54</v>
      </c>
      <c r="D287" s="19" t="str">
        <f>IFERROR(IF(C287="No CAS","",INDEX('DEQ Pollutant List'!$B$7:$B$611,MATCH('3. Pollutant Emissions - EF'!C287,'DEQ Pollutant List'!$A$7:$A$611,0))),"")</f>
        <v>Barium and compounds</v>
      </c>
      <c r="E287" s="100">
        <v>0</v>
      </c>
      <c r="F287" s="36">
        <v>0</v>
      </c>
      <c r="G287" s="100" t="s">
        <v>1415</v>
      </c>
      <c r="H287" s="36" t="s">
        <v>1415</v>
      </c>
      <c r="I287" s="34">
        <v>4.4000000000000003E-3</v>
      </c>
      <c r="J287" s="11">
        <f t="shared" si="6"/>
        <v>4.4000000000000003E-3</v>
      </c>
      <c r="K287" s="6" t="s">
        <v>1416</v>
      </c>
      <c r="L287" s="20" t="s">
        <v>1422</v>
      </c>
      <c r="M287" s="7">
        <f>IF(ISBLANK($B287),_xlfn.XLOOKUP($A287,'2. TEUs &amp; Activities - EF'!$A$9:$A$190,'2. TEUs &amp; Activities - EF'!$J$9:$J$190),_xlfn.XLOOKUP($B287,'2. TEUs &amp; Activities - EF'!$B$9:$B$190,'2. TEUs &amp; Activities - EF'!$J$9:$J$190))*'3. Pollutant Emissions - EF'!$I287*IF(OR(ISBLANK($E287),$G287="Yes"),1,$E287)*IF($H287="Yes",1,(1-$F287))</f>
        <v>3.4009411764705885E-2</v>
      </c>
      <c r="N287" s="5">
        <f>IF(ISBLANK($B287),_xlfn.XLOOKUP($A287,'2. TEUs &amp; Activities - EF'!$A$9:$A$190,'2. TEUs &amp; Activities - EF'!$M$9:$M$190),_xlfn.XLOOKUP($B287,'2. TEUs &amp; Activities - EF'!$B$9:$B$190,'2. TEUs &amp; Activities - EF'!$M$9:$M$190))*'3. Pollutant Emissions - EF'!$J287*IF(OR(ISBLANK($E287),$G287="Yes"),1,$E287)*IF($H287="Yes",1,(1-$F287))</f>
        <v>9.3176470588235308E-5</v>
      </c>
      <c r="O287" s="130"/>
    </row>
    <row r="288" spans="1:15" ht="15" x14ac:dyDescent="0.25">
      <c r="A288" s="5" t="s">
        <v>1319</v>
      </c>
      <c r="B288" s="7"/>
      <c r="C288" s="13" t="s">
        <v>46</v>
      </c>
      <c r="D288" s="19" t="str">
        <f>IFERROR(IF(C288="No CAS","",INDEX('DEQ Pollutant List'!$B$7:$B$611,MATCH('3. Pollutant Emissions - EF'!C288,'DEQ Pollutant List'!$A$7:$A$611,0))),"")</f>
        <v>Benzene</v>
      </c>
      <c r="E288" s="100">
        <v>0</v>
      </c>
      <c r="F288" s="36">
        <v>0</v>
      </c>
      <c r="G288" s="100" t="s">
        <v>1415</v>
      </c>
      <c r="H288" s="36" t="s">
        <v>1415</v>
      </c>
      <c r="I288" s="34">
        <v>8.0000000000000002E-3</v>
      </c>
      <c r="J288" s="11">
        <f t="shared" si="6"/>
        <v>8.0000000000000002E-3</v>
      </c>
      <c r="K288" s="6" t="s">
        <v>1416</v>
      </c>
      <c r="L288" s="20" t="s">
        <v>1422</v>
      </c>
      <c r="M288" s="7">
        <f>IF(ISBLANK($B288),_xlfn.XLOOKUP($A288,'2. TEUs &amp; Activities - EF'!$A$9:$A$190,'2. TEUs &amp; Activities - EF'!$J$9:$J$190),_xlfn.XLOOKUP($B288,'2. TEUs &amp; Activities - EF'!$B$9:$B$190,'2. TEUs &amp; Activities - EF'!$J$9:$J$190))*'3. Pollutant Emissions - EF'!$I288*IF(OR(ISBLANK($E288),$G288="Yes"),1,$E288)*IF($H288="Yes",1,(1-$F288))</f>
        <v>6.1835294117647058E-2</v>
      </c>
      <c r="N288" s="5">
        <f>IF(ISBLANK($B288),_xlfn.XLOOKUP($A288,'2. TEUs &amp; Activities - EF'!$A$9:$A$190,'2. TEUs &amp; Activities - EF'!$M$9:$M$190),_xlfn.XLOOKUP($B288,'2. TEUs &amp; Activities - EF'!$B$9:$B$190,'2. TEUs &amp; Activities - EF'!$M$9:$M$190))*'3. Pollutant Emissions - EF'!$J288*IF(OR(ISBLANK($E288),$G288="Yes"),1,$E288)*IF($H288="Yes",1,(1-$F288))</f>
        <v>1.6941176470588237E-4</v>
      </c>
      <c r="O288" s="130"/>
    </row>
    <row r="289" spans="1:15" ht="15" x14ac:dyDescent="0.25">
      <c r="A289" s="5" t="s">
        <v>1319</v>
      </c>
      <c r="B289" s="7"/>
      <c r="C289" s="13" t="s">
        <v>55</v>
      </c>
      <c r="D289" s="19" t="str">
        <f>IFERROR(IF(C289="No CAS","",INDEX('DEQ Pollutant List'!$B$7:$B$611,MATCH('3. Pollutant Emissions - EF'!C289,'DEQ Pollutant List'!$A$7:$A$611,0))),"")</f>
        <v>Beryllium and compounds</v>
      </c>
      <c r="E289" s="100">
        <v>0</v>
      </c>
      <c r="F289" s="36">
        <v>0</v>
      </c>
      <c r="G289" s="100" t="s">
        <v>1415</v>
      </c>
      <c r="H289" s="36" t="s">
        <v>1415</v>
      </c>
      <c r="I289" s="34">
        <v>1.2E-5</v>
      </c>
      <c r="J289" s="11">
        <f t="shared" si="6"/>
        <v>1.2E-5</v>
      </c>
      <c r="K289" s="6" t="s">
        <v>1416</v>
      </c>
      <c r="L289" s="20" t="s">
        <v>1422</v>
      </c>
      <c r="M289" s="7">
        <f>IF(ISBLANK($B289),_xlfn.XLOOKUP($A289,'2. TEUs &amp; Activities - EF'!$A$9:$A$190,'2. TEUs &amp; Activities - EF'!$J$9:$J$190),_xlfn.XLOOKUP($B289,'2. TEUs &amp; Activities - EF'!$B$9:$B$190,'2. TEUs &amp; Activities - EF'!$J$9:$J$190))*'3. Pollutant Emissions - EF'!$I289*IF(OR(ISBLANK($E289),$G289="Yes"),1,$E289)*IF($H289="Yes",1,(1-$F289))</f>
        <v>9.275294117647059E-5</v>
      </c>
      <c r="N289" s="5">
        <f>IF(ISBLANK($B289),_xlfn.XLOOKUP($A289,'2. TEUs &amp; Activities - EF'!$A$9:$A$190,'2. TEUs &amp; Activities - EF'!$M$9:$M$190),_xlfn.XLOOKUP($B289,'2. TEUs &amp; Activities - EF'!$B$9:$B$190,'2. TEUs &amp; Activities - EF'!$M$9:$M$190))*'3. Pollutant Emissions - EF'!$J289*IF(OR(ISBLANK($E289),$G289="Yes"),1,$E289)*IF($H289="Yes",1,(1-$F289))</f>
        <v>2.5411764705882357E-7</v>
      </c>
      <c r="O289" s="130"/>
    </row>
    <row r="290" spans="1:15" ht="15" x14ac:dyDescent="0.25">
      <c r="A290" s="5" t="s">
        <v>1319</v>
      </c>
      <c r="B290" s="7"/>
      <c r="C290" s="13" t="s">
        <v>56</v>
      </c>
      <c r="D290" s="19" t="str">
        <f>IFERROR(IF(C290="No CAS","",INDEX('DEQ Pollutant List'!$B$7:$B$611,MATCH('3. Pollutant Emissions - EF'!C290,'DEQ Pollutant List'!$A$7:$A$611,0))),"")</f>
        <v>Cadmium and compounds</v>
      </c>
      <c r="E290" s="100">
        <v>0</v>
      </c>
      <c r="F290" s="36">
        <v>0</v>
      </c>
      <c r="G290" s="100" t="s">
        <v>1415</v>
      </c>
      <c r="H290" s="36" t="s">
        <v>1415</v>
      </c>
      <c r="I290" s="34">
        <v>1.1000000000000001E-3</v>
      </c>
      <c r="J290" s="11">
        <f t="shared" si="6"/>
        <v>1.1000000000000001E-3</v>
      </c>
      <c r="K290" s="6" t="s">
        <v>1416</v>
      </c>
      <c r="L290" s="20" t="s">
        <v>1422</v>
      </c>
      <c r="M290" s="7">
        <f>IF(ISBLANK($B290),_xlfn.XLOOKUP($A290,'2. TEUs &amp; Activities - EF'!$A$9:$A$190,'2. TEUs &amp; Activities - EF'!$J$9:$J$190),_xlfn.XLOOKUP($B290,'2. TEUs &amp; Activities - EF'!$B$9:$B$190,'2. TEUs &amp; Activities - EF'!$J$9:$J$190))*'3. Pollutant Emissions - EF'!$I290*IF(OR(ISBLANK($E290),$G290="Yes"),1,$E290)*IF($H290="Yes",1,(1-$F290))</f>
        <v>8.5023529411764713E-3</v>
      </c>
      <c r="N290" s="5">
        <f>IF(ISBLANK($B290),_xlfn.XLOOKUP($A290,'2. TEUs &amp; Activities - EF'!$A$9:$A$190,'2. TEUs &amp; Activities - EF'!$M$9:$M$190),_xlfn.XLOOKUP($B290,'2. TEUs &amp; Activities - EF'!$B$9:$B$190,'2. TEUs &amp; Activities - EF'!$M$9:$M$190))*'3. Pollutant Emissions - EF'!$J290*IF(OR(ISBLANK($E290),$G290="Yes"),1,$E290)*IF($H290="Yes",1,(1-$F290))</f>
        <v>2.3294117647058827E-5</v>
      </c>
      <c r="O290" s="130"/>
    </row>
    <row r="291" spans="1:15" ht="15" x14ac:dyDescent="0.25">
      <c r="A291" s="5" t="s">
        <v>1319</v>
      </c>
      <c r="B291" s="7"/>
      <c r="C291" s="13" t="s">
        <v>57</v>
      </c>
      <c r="D291" s="19" t="str">
        <f>IFERROR(IF(C291="No CAS","",INDEX('DEQ Pollutant List'!$B$7:$B$611,MATCH('3. Pollutant Emissions - EF'!C291,'DEQ Pollutant List'!$A$7:$A$611,0))),"")</f>
        <v>Chromium VI, chromate and dichromate particulate</v>
      </c>
      <c r="E291" s="100">
        <v>0</v>
      </c>
      <c r="F291" s="36">
        <v>0</v>
      </c>
      <c r="G291" s="100" t="s">
        <v>1415</v>
      </c>
      <c r="H291" s="36" t="s">
        <v>1415</v>
      </c>
      <c r="I291" s="34">
        <v>1.4E-3</v>
      </c>
      <c r="J291" s="11">
        <f t="shared" si="6"/>
        <v>1.4E-3</v>
      </c>
      <c r="K291" s="6" t="s">
        <v>1416</v>
      </c>
      <c r="L291" s="20" t="s">
        <v>1422</v>
      </c>
      <c r="M291" s="7">
        <f>IF(ISBLANK($B291),_xlfn.XLOOKUP($A291,'2. TEUs &amp; Activities - EF'!$A$9:$A$190,'2. TEUs &amp; Activities - EF'!$J$9:$J$190),_xlfn.XLOOKUP($B291,'2. TEUs &amp; Activities - EF'!$B$9:$B$190,'2. TEUs &amp; Activities - EF'!$J$9:$J$190))*'3. Pollutant Emissions - EF'!$I291*IF(OR(ISBLANK($E291),$G291="Yes"),1,$E291)*IF($H291="Yes",1,(1-$F291))</f>
        <v>1.0821176470588235E-2</v>
      </c>
      <c r="N291" s="5">
        <f>IF(ISBLANK($B291),_xlfn.XLOOKUP($A291,'2. TEUs &amp; Activities - EF'!$A$9:$A$190,'2. TEUs &amp; Activities - EF'!$M$9:$M$190),_xlfn.XLOOKUP($B291,'2. TEUs &amp; Activities - EF'!$B$9:$B$190,'2. TEUs &amp; Activities - EF'!$M$9:$M$190))*'3. Pollutant Emissions - EF'!$J291*IF(OR(ISBLANK($E291),$G291="Yes"),1,$E291)*IF($H291="Yes",1,(1-$F291))</f>
        <v>2.9647058823529414E-5</v>
      </c>
      <c r="O291" s="130"/>
    </row>
    <row r="292" spans="1:15" ht="15" x14ac:dyDescent="0.25">
      <c r="A292" s="5" t="s">
        <v>1319</v>
      </c>
      <c r="B292" s="7"/>
      <c r="C292" s="13" t="s">
        <v>58</v>
      </c>
      <c r="D292" s="19" t="str">
        <f>IFERROR(IF(C292="No CAS","",INDEX('DEQ Pollutant List'!$B$7:$B$611,MATCH('3. Pollutant Emissions - EF'!C292,'DEQ Pollutant List'!$A$7:$A$611,0))),"")</f>
        <v>Cobalt and compounds</v>
      </c>
      <c r="E292" s="100">
        <v>0</v>
      </c>
      <c r="F292" s="36">
        <v>0</v>
      </c>
      <c r="G292" s="100" t="s">
        <v>1415</v>
      </c>
      <c r="H292" s="36" t="s">
        <v>1415</v>
      </c>
      <c r="I292" s="34">
        <v>8.3999999999999995E-5</v>
      </c>
      <c r="J292" s="11">
        <f t="shared" si="6"/>
        <v>8.3999999999999995E-5</v>
      </c>
      <c r="K292" s="6" t="s">
        <v>1416</v>
      </c>
      <c r="L292" s="20" t="s">
        <v>1422</v>
      </c>
      <c r="M292" s="7">
        <f>IF(ISBLANK($B292),_xlfn.XLOOKUP($A292,'2. TEUs &amp; Activities - EF'!$A$9:$A$190,'2. TEUs &amp; Activities - EF'!$J$9:$J$190),_xlfn.XLOOKUP($B292,'2. TEUs &amp; Activities - EF'!$B$9:$B$190,'2. TEUs &amp; Activities - EF'!$J$9:$J$190))*'3. Pollutant Emissions - EF'!$I292*IF(OR(ISBLANK($E292),$G292="Yes"),1,$E292)*IF($H292="Yes",1,(1-$F292))</f>
        <v>6.492705882352941E-4</v>
      </c>
      <c r="N292" s="5">
        <f>IF(ISBLANK($B292),_xlfn.XLOOKUP($A292,'2. TEUs &amp; Activities - EF'!$A$9:$A$190,'2. TEUs &amp; Activities - EF'!$M$9:$M$190),_xlfn.XLOOKUP($B292,'2. TEUs &amp; Activities - EF'!$B$9:$B$190,'2. TEUs &amp; Activities - EF'!$M$9:$M$190))*'3. Pollutant Emissions - EF'!$J292*IF(OR(ISBLANK($E292),$G292="Yes"),1,$E292)*IF($H292="Yes",1,(1-$F292))</f>
        <v>1.7788235294117649E-6</v>
      </c>
      <c r="O292" s="130"/>
    </row>
    <row r="293" spans="1:15" ht="15" x14ac:dyDescent="0.25">
      <c r="A293" s="5" t="s">
        <v>1319</v>
      </c>
      <c r="B293" s="7"/>
      <c r="C293" s="13" t="s">
        <v>59</v>
      </c>
      <c r="D293" s="19" t="str">
        <f>IFERROR(IF(C293="No CAS","",INDEX('DEQ Pollutant List'!$B$7:$B$611,MATCH('3. Pollutant Emissions - EF'!C293,'DEQ Pollutant List'!$A$7:$A$611,0))),"")</f>
        <v>Copper and compounds</v>
      </c>
      <c r="E293" s="100">
        <v>0</v>
      </c>
      <c r="F293" s="36">
        <v>0</v>
      </c>
      <c r="G293" s="100" t="s">
        <v>1415</v>
      </c>
      <c r="H293" s="36" t="s">
        <v>1415</v>
      </c>
      <c r="I293" s="34">
        <v>8.4999999999999995E-4</v>
      </c>
      <c r="J293" s="11">
        <f t="shared" si="6"/>
        <v>8.4999999999999995E-4</v>
      </c>
      <c r="K293" s="6" t="s">
        <v>1416</v>
      </c>
      <c r="L293" s="20" t="s">
        <v>1422</v>
      </c>
      <c r="M293" s="7">
        <f>IF(ISBLANK($B293),_xlfn.XLOOKUP($A293,'2. TEUs &amp; Activities - EF'!$A$9:$A$190,'2. TEUs &amp; Activities - EF'!$J$9:$J$190),_xlfn.XLOOKUP($B293,'2. TEUs &amp; Activities - EF'!$B$9:$B$190,'2. TEUs &amp; Activities - EF'!$J$9:$J$190))*'3. Pollutant Emissions - EF'!$I293*IF(OR(ISBLANK($E293),$G293="Yes"),1,$E293)*IF($H293="Yes",1,(1-$F293))</f>
        <v>6.5699999999999995E-3</v>
      </c>
      <c r="N293" s="5">
        <f>IF(ISBLANK($B293),_xlfn.XLOOKUP($A293,'2. TEUs &amp; Activities - EF'!$A$9:$A$190,'2. TEUs &amp; Activities - EF'!$M$9:$M$190),_xlfn.XLOOKUP($B293,'2. TEUs &amp; Activities - EF'!$B$9:$B$190,'2. TEUs &amp; Activities - EF'!$M$9:$M$190))*'3. Pollutant Emissions - EF'!$J293*IF(OR(ISBLANK($E293),$G293="Yes"),1,$E293)*IF($H293="Yes",1,(1-$F293))</f>
        <v>1.8E-5</v>
      </c>
      <c r="O293" s="130"/>
    </row>
    <row r="294" spans="1:15" ht="15" x14ac:dyDescent="0.25">
      <c r="A294" s="5" t="s">
        <v>1319</v>
      </c>
      <c r="B294" s="7"/>
      <c r="C294" s="13" t="s">
        <v>60</v>
      </c>
      <c r="D294" s="19" t="str">
        <f>IFERROR(IF(C294="No CAS","",INDEX('DEQ Pollutant List'!$B$7:$B$611,MATCH('3. Pollutant Emissions - EF'!C294,'DEQ Pollutant List'!$A$7:$A$611,0))),"")</f>
        <v>Ethyl benzene</v>
      </c>
      <c r="E294" s="100">
        <v>0</v>
      </c>
      <c r="F294" s="36">
        <v>0</v>
      </c>
      <c r="G294" s="100" t="s">
        <v>1415</v>
      </c>
      <c r="H294" s="36" t="s">
        <v>1415</v>
      </c>
      <c r="I294" s="34">
        <v>9.4999999999999998E-3</v>
      </c>
      <c r="J294" s="11">
        <f t="shared" si="6"/>
        <v>9.4999999999999998E-3</v>
      </c>
      <c r="K294" s="6" t="s">
        <v>1416</v>
      </c>
      <c r="L294" s="20" t="s">
        <v>1422</v>
      </c>
      <c r="M294" s="7">
        <f>IF(ISBLANK($B294),_xlfn.XLOOKUP($A294,'2. TEUs &amp; Activities - EF'!$A$9:$A$190,'2. TEUs &amp; Activities - EF'!$J$9:$J$190),_xlfn.XLOOKUP($B294,'2. TEUs &amp; Activities - EF'!$B$9:$B$190,'2. TEUs &amp; Activities - EF'!$J$9:$J$190))*'3. Pollutant Emissions - EF'!$I294*IF(OR(ISBLANK($E294),$G294="Yes"),1,$E294)*IF($H294="Yes",1,(1-$F294))</f>
        <v>7.3429411764705882E-2</v>
      </c>
      <c r="N294" s="5">
        <f>IF(ISBLANK($B294),_xlfn.XLOOKUP($A294,'2. TEUs &amp; Activities - EF'!$A$9:$A$190,'2. TEUs &amp; Activities - EF'!$M$9:$M$190),_xlfn.XLOOKUP($B294,'2. TEUs &amp; Activities - EF'!$B$9:$B$190,'2. TEUs &amp; Activities - EF'!$M$9:$M$190))*'3. Pollutant Emissions - EF'!$J294*IF(OR(ISBLANK($E294),$G294="Yes"),1,$E294)*IF($H294="Yes",1,(1-$F294))</f>
        <v>2.011764705882353E-4</v>
      </c>
      <c r="O294" s="130"/>
    </row>
    <row r="295" spans="1:15" ht="15" x14ac:dyDescent="0.25">
      <c r="A295" s="5" t="s">
        <v>1319</v>
      </c>
      <c r="B295" s="7"/>
      <c r="C295" s="13" t="s">
        <v>47</v>
      </c>
      <c r="D295" s="19" t="str">
        <f>IFERROR(IF(C295="No CAS","",INDEX('DEQ Pollutant List'!$B$7:$B$611,MATCH('3. Pollutant Emissions - EF'!C295,'DEQ Pollutant List'!$A$7:$A$611,0))),"")</f>
        <v>Formaldehyde</v>
      </c>
      <c r="E295" s="100">
        <v>0</v>
      </c>
      <c r="F295" s="36">
        <v>0</v>
      </c>
      <c r="G295" s="100" t="s">
        <v>1415</v>
      </c>
      <c r="H295" s="36" t="s">
        <v>1415</v>
      </c>
      <c r="I295" s="34">
        <v>1.7000000000000001E-2</v>
      </c>
      <c r="J295" s="11">
        <f t="shared" si="6"/>
        <v>1.7000000000000001E-2</v>
      </c>
      <c r="K295" s="6" t="s">
        <v>1416</v>
      </c>
      <c r="L295" s="20" t="s">
        <v>1422</v>
      </c>
      <c r="M295" s="7">
        <f>IF(ISBLANK($B295),_xlfn.XLOOKUP($A295,'2. TEUs &amp; Activities - EF'!$A$9:$A$190,'2. TEUs &amp; Activities - EF'!$J$9:$J$190),_xlfn.XLOOKUP($B295,'2. TEUs &amp; Activities - EF'!$B$9:$B$190,'2. TEUs &amp; Activities - EF'!$J$9:$J$190))*'3. Pollutant Emissions - EF'!$I295*IF(OR(ISBLANK($E295),$G295="Yes"),1,$E295)*IF($H295="Yes",1,(1-$F295))</f>
        <v>0.13140000000000002</v>
      </c>
      <c r="N295" s="5">
        <f>IF(ISBLANK($B295),_xlfn.XLOOKUP($A295,'2. TEUs &amp; Activities - EF'!$A$9:$A$190,'2. TEUs &amp; Activities - EF'!$M$9:$M$190),_xlfn.XLOOKUP($B295,'2. TEUs &amp; Activities - EF'!$B$9:$B$190,'2. TEUs &amp; Activities - EF'!$M$9:$M$190))*'3. Pollutant Emissions - EF'!$J295*IF(OR(ISBLANK($E295),$G295="Yes"),1,$E295)*IF($H295="Yes",1,(1-$F295))</f>
        <v>3.6000000000000008E-4</v>
      </c>
      <c r="O295" s="130"/>
    </row>
    <row r="296" spans="1:15" ht="15" x14ac:dyDescent="0.25">
      <c r="A296" s="5" t="s">
        <v>1319</v>
      </c>
      <c r="B296" s="7"/>
      <c r="C296" s="13" t="s">
        <v>61</v>
      </c>
      <c r="D296" s="19" t="str">
        <f>IFERROR(IF(C296="No CAS","",INDEX('DEQ Pollutant List'!$B$7:$B$611,MATCH('3. Pollutant Emissions - EF'!C296,'DEQ Pollutant List'!$A$7:$A$611,0))),"")</f>
        <v>Hexane</v>
      </c>
      <c r="E296" s="100">
        <v>0</v>
      </c>
      <c r="F296" s="36">
        <v>0</v>
      </c>
      <c r="G296" s="100" t="s">
        <v>1415</v>
      </c>
      <c r="H296" s="36" t="s">
        <v>1415</v>
      </c>
      <c r="I296" s="34">
        <v>6.3E-3</v>
      </c>
      <c r="J296" s="11">
        <f t="shared" si="6"/>
        <v>6.3E-3</v>
      </c>
      <c r="K296" s="6" t="s">
        <v>1416</v>
      </c>
      <c r="L296" s="20" t="s">
        <v>1422</v>
      </c>
      <c r="M296" s="7">
        <f>IF(ISBLANK($B296),_xlfn.XLOOKUP($A296,'2. TEUs &amp; Activities - EF'!$A$9:$A$190,'2. TEUs &amp; Activities - EF'!$J$9:$J$190),_xlfn.XLOOKUP($B296,'2. TEUs &amp; Activities - EF'!$B$9:$B$190,'2. TEUs &amp; Activities - EF'!$J$9:$J$190))*'3. Pollutant Emissions - EF'!$I296*IF(OR(ISBLANK($E296),$G296="Yes"),1,$E296)*IF($H296="Yes",1,(1-$F296))</f>
        <v>4.8695294117647059E-2</v>
      </c>
      <c r="N296" s="5">
        <f>IF(ISBLANK($B296),_xlfn.XLOOKUP($A296,'2. TEUs &amp; Activities - EF'!$A$9:$A$190,'2. TEUs &amp; Activities - EF'!$M$9:$M$190),_xlfn.XLOOKUP($B296,'2. TEUs &amp; Activities - EF'!$B$9:$B$190,'2. TEUs &amp; Activities - EF'!$M$9:$M$190))*'3. Pollutant Emissions - EF'!$J296*IF(OR(ISBLANK($E296),$G296="Yes"),1,$E296)*IF($H296="Yes",1,(1-$F296))</f>
        <v>1.3341176470588236E-4</v>
      </c>
      <c r="O296" s="130"/>
    </row>
    <row r="297" spans="1:15" ht="15" x14ac:dyDescent="0.25">
      <c r="A297" s="5" t="s">
        <v>1319</v>
      </c>
      <c r="B297" s="7"/>
      <c r="C297" s="13" t="s">
        <v>62</v>
      </c>
      <c r="D297" s="19" t="str">
        <f>IFERROR(IF(C297="No CAS","",INDEX('DEQ Pollutant List'!$B$7:$B$611,MATCH('3. Pollutant Emissions - EF'!C297,'DEQ Pollutant List'!$A$7:$A$611,0))),"")</f>
        <v>Lead and compounds</v>
      </c>
      <c r="E297" s="100">
        <v>0</v>
      </c>
      <c r="F297" s="36">
        <v>0</v>
      </c>
      <c r="G297" s="100" t="s">
        <v>1415</v>
      </c>
      <c r="H297" s="36" t="s">
        <v>1415</v>
      </c>
      <c r="I297" s="34">
        <v>5.0000000000000001E-4</v>
      </c>
      <c r="J297" s="11">
        <f t="shared" si="6"/>
        <v>5.0000000000000001E-4</v>
      </c>
      <c r="K297" s="6" t="s">
        <v>1416</v>
      </c>
      <c r="L297" s="20" t="s">
        <v>1422</v>
      </c>
      <c r="M297" s="7">
        <f>IF(ISBLANK($B297),_xlfn.XLOOKUP($A297,'2. TEUs &amp; Activities - EF'!$A$9:$A$190,'2. TEUs &amp; Activities - EF'!$J$9:$J$190),_xlfn.XLOOKUP($B297,'2. TEUs &amp; Activities - EF'!$B$9:$B$190,'2. TEUs &amp; Activities - EF'!$J$9:$J$190))*'3. Pollutant Emissions - EF'!$I297*IF(OR(ISBLANK($E297),$G297="Yes"),1,$E297)*IF($H297="Yes",1,(1-$F297))</f>
        <v>3.8647058823529411E-3</v>
      </c>
      <c r="N297" s="5">
        <f>IF(ISBLANK($B297),_xlfn.XLOOKUP($A297,'2. TEUs &amp; Activities - EF'!$A$9:$A$190,'2. TEUs &amp; Activities - EF'!$M$9:$M$190),_xlfn.XLOOKUP($B297,'2. TEUs &amp; Activities - EF'!$B$9:$B$190,'2. TEUs &amp; Activities - EF'!$M$9:$M$190))*'3. Pollutant Emissions - EF'!$J297*IF(OR(ISBLANK($E297),$G297="Yes"),1,$E297)*IF($H297="Yes",1,(1-$F297))</f>
        <v>1.0588235294117648E-5</v>
      </c>
      <c r="O297" s="130"/>
    </row>
    <row r="298" spans="1:15" ht="15" x14ac:dyDescent="0.25">
      <c r="A298" s="5" t="s">
        <v>1319</v>
      </c>
      <c r="B298" s="7"/>
      <c r="C298" s="13" t="s">
        <v>63</v>
      </c>
      <c r="D298" s="19" t="str">
        <f>IFERROR(IF(C298="No CAS","",INDEX('DEQ Pollutant List'!$B$7:$B$611,MATCH('3. Pollutant Emissions - EF'!C298,'DEQ Pollutant List'!$A$7:$A$611,0))),"")</f>
        <v>Manganese and compounds</v>
      </c>
      <c r="E298" s="100">
        <v>0</v>
      </c>
      <c r="F298" s="36">
        <v>0</v>
      </c>
      <c r="G298" s="100" t="s">
        <v>1415</v>
      </c>
      <c r="H298" s="36" t="s">
        <v>1415</v>
      </c>
      <c r="I298" s="34">
        <v>3.8000000000000002E-4</v>
      </c>
      <c r="J298" s="11">
        <f t="shared" si="6"/>
        <v>3.8000000000000002E-4</v>
      </c>
      <c r="K298" s="6" t="s">
        <v>1416</v>
      </c>
      <c r="L298" s="20" t="s">
        <v>1422</v>
      </c>
      <c r="M298" s="7">
        <f>IF(ISBLANK($B298),_xlfn.XLOOKUP($A298,'2. TEUs &amp; Activities - EF'!$A$9:$A$190,'2. TEUs &amp; Activities - EF'!$J$9:$J$190),_xlfn.XLOOKUP($B298,'2. TEUs &amp; Activities - EF'!$B$9:$B$190,'2. TEUs &amp; Activities - EF'!$J$9:$J$190))*'3. Pollutant Emissions - EF'!$I298*IF(OR(ISBLANK($E298),$G298="Yes"),1,$E298)*IF($H298="Yes",1,(1-$F298))</f>
        <v>2.9371764705882356E-3</v>
      </c>
      <c r="N298" s="5">
        <f>IF(ISBLANK($B298),_xlfn.XLOOKUP($A298,'2. TEUs &amp; Activities - EF'!$A$9:$A$190,'2. TEUs &amp; Activities - EF'!$M$9:$M$190),_xlfn.XLOOKUP($B298,'2. TEUs &amp; Activities - EF'!$B$9:$B$190,'2. TEUs &amp; Activities - EF'!$M$9:$M$190))*'3. Pollutant Emissions - EF'!$J298*IF(OR(ISBLANK($E298),$G298="Yes"),1,$E298)*IF($H298="Yes",1,(1-$F298))</f>
        <v>8.0470588235294123E-6</v>
      </c>
      <c r="O298" s="130"/>
    </row>
    <row r="299" spans="1:15" ht="15" x14ac:dyDescent="0.25">
      <c r="A299" s="5" t="s">
        <v>1319</v>
      </c>
      <c r="B299" s="7"/>
      <c r="C299" s="13" t="s">
        <v>64</v>
      </c>
      <c r="D299" s="19" t="str">
        <f>IFERROR(IF(C299="No CAS","",INDEX('DEQ Pollutant List'!$B$7:$B$611,MATCH('3. Pollutant Emissions - EF'!C299,'DEQ Pollutant List'!$A$7:$A$611,0))),"")</f>
        <v>Mercury and compounds</v>
      </c>
      <c r="E299" s="100">
        <v>0</v>
      </c>
      <c r="F299" s="36">
        <v>0</v>
      </c>
      <c r="G299" s="100" t="s">
        <v>1415</v>
      </c>
      <c r="H299" s="36" t="s">
        <v>1415</v>
      </c>
      <c r="I299" s="34">
        <v>2.5999999999999998E-4</v>
      </c>
      <c r="J299" s="11">
        <f t="shared" si="6"/>
        <v>2.5999999999999998E-4</v>
      </c>
      <c r="K299" s="6" t="s">
        <v>1416</v>
      </c>
      <c r="L299" s="20" t="s">
        <v>1422</v>
      </c>
      <c r="M299" s="7">
        <f>IF(ISBLANK($B299),_xlfn.XLOOKUP($A299,'2. TEUs &amp; Activities - EF'!$A$9:$A$190,'2. TEUs &amp; Activities - EF'!$J$9:$J$190),_xlfn.XLOOKUP($B299,'2. TEUs &amp; Activities - EF'!$B$9:$B$190,'2. TEUs &amp; Activities - EF'!$J$9:$J$190))*'3. Pollutant Emissions - EF'!$I299*IF(OR(ISBLANK($E299),$G299="Yes"),1,$E299)*IF($H299="Yes",1,(1-$F299))</f>
        <v>2.0096470588235292E-3</v>
      </c>
      <c r="N299" s="5">
        <f>IF(ISBLANK($B299),_xlfn.XLOOKUP($A299,'2. TEUs &amp; Activities - EF'!$A$9:$A$190,'2. TEUs &amp; Activities - EF'!$M$9:$M$190),_xlfn.XLOOKUP($B299,'2. TEUs &amp; Activities - EF'!$B$9:$B$190,'2. TEUs &amp; Activities - EF'!$M$9:$M$190))*'3. Pollutant Emissions - EF'!$J299*IF(OR(ISBLANK($E299),$G299="Yes"),1,$E299)*IF($H299="Yes",1,(1-$F299))</f>
        <v>5.5058823529411769E-6</v>
      </c>
      <c r="O299" s="130"/>
    </row>
    <row r="300" spans="1:15" ht="15" x14ac:dyDescent="0.25">
      <c r="A300" s="5" t="s">
        <v>1319</v>
      </c>
      <c r="B300" s="7"/>
      <c r="C300" s="13" t="s">
        <v>65</v>
      </c>
      <c r="D300" s="19" t="str">
        <f>IFERROR(IF(C300="No CAS","",INDEX('DEQ Pollutant List'!$B$7:$B$611,MATCH('3. Pollutant Emissions - EF'!C300,'DEQ Pollutant List'!$A$7:$A$611,0))),"")</f>
        <v>Molybdenum trioxide</v>
      </c>
      <c r="E300" s="100">
        <v>0</v>
      </c>
      <c r="F300" s="36">
        <v>0</v>
      </c>
      <c r="G300" s="100" t="s">
        <v>1415</v>
      </c>
      <c r="H300" s="36" t="s">
        <v>1415</v>
      </c>
      <c r="I300" s="34">
        <v>1.65E-3</v>
      </c>
      <c r="J300" s="11">
        <f t="shared" si="6"/>
        <v>1.65E-3</v>
      </c>
      <c r="K300" s="6" t="s">
        <v>1416</v>
      </c>
      <c r="L300" s="20" t="s">
        <v>1422</v>
      </c>
      <c r="M300" s="7">
        <f>IF(ISBLANK($B300),_xlfn.XLOOKUP($A300,'2. TEUs &amp; Activities - EF'!$A$9:$A$190,'2. TEUs &amp; Activities - EF'!$J$9:$J$190),_xlfn.XLOOKUP($B300,'2. TEUs &amp; Activities - EF'!$B$9:$B$190,'2. TEUs &amp; Activities - EF'!$J$9:$J$190))*'3. Pollutant Emissions - EF'!$I300*IF(OR(ISBLANK($E300),$G300="Yes"),1,$E300)*IF($H300="Yes",1,(1-$F300))</f>
        <v>1.2753529411764705E-2</v>
      </c>
      <c r="N300" s="5">
        <f>IF(ISBLANK($B300),_xlfn.XLOOKUP($A300,'2. TEUs &amp; Activities - EF'!$A$9:$A$190,'2. TEUs &amp; Activities - EF'!$M$9:$M$190),_xlfn.XLOOKUP($B300,'2. TEUs &amp; Activities - EF'!$B$9:$B$190,'2. TEUs &amp; Activities - EF'!$M$9:$M$190))*'3. Pollutant Emissions - EF'!$J300*IF(OR(ISBLANK($E300),$G300="Yes"),1,$E300)*IF($H300="Yes",1,(1-$F300))</f>
        <v>3.494117647058824E-5</v>
      </c>
      <c r="O300" s="130"/>
    </row>
    <row r="301" spans="1:15" ht="15" x14ac:dyDescent="0.25">
      <c r="A301" s="5" t="s">
        <v>1319</v>
      </c>
      <c r="B301" s="7"/>
      <c r="C301" s="13" t="s">
        <v>49</v>
      </c>
      <c r="D301" s="19" t="str">
        <f>IFERROR(IF(C301="No CAS","",INDEX('DEQ Pollutant List'!$B$7:$B$611,MATCH('3. Pollutant Emissions - EF'!C301,'DEQ Pollutant List'!$A$7:$A$611,0))),"")</f>
        <v>Naphthalene</v>
      </c>
      <c r="E301" s="100">
        <v>0</v>
      </c>
      <c r="F301" s="36">
        <v>0</v>
      </c>
      <c r="G301" s="100" t="s">
        <v>1415</v>
      </c>
      <c r="H301" s="36" t="s">
        <v>1415</v>
      </c>
      <c r="I301" s="34">
        <v>2.9999999999999997E-4</v>
      </c>
      <c r="J301" s="11">
        <f t="shared" si="6"/>
        <v>2.9999999999999997E-4</v>
      </c>
      <c r="K301" s="6" t="s">
        <v>1416</v>
      </c>
      <c r="L301" s="20" t="s">
        <v>1422</v>
      </c>
      <c r="M301" s="7">
        <f>IF(ISBLANK($B301),_xlfn.XLOOKUP($A301,'2. TEUs &amp; Activities - EF'!$A$9:$A$190,'2. TEUs &amp; Activities - EF'!$J$9:$J$190),_xlfn.XLOOKUP($B301,'2. TEUs &amp; Activities - EF'!$B$9:$B$190,'2. TEUs &amp; Activities - EF'!$J$9:$J$190))*'3. Pollutant Emissions - EF'!$I301*IF(OR(ISBLANK($E301),$G301="Yes"),1,$E301)*IF($H301="Yes",1,(1-$F301))</f>
        <v>2.3188235294117647E-3</v>
      </c>
      <c r="N301" s="5">
        <f>IF(ISBLANK($B301),_xlfn.XLOOKUP($A301,'2. TEUs &amp; Activities - EF'!$A$9:$A$190,'2. TEUs &amp; Activities - EF'!$M$9:$M$190),_xlfn.XLOOKUP($B301,'2. TEUs &amp; Activities - EF'!$B$9:$B$190,'2. TEUs &amp; Activities - EF'!$M$9:$M$190))*'3. Pollutant Emissions - EF'!$J301*IF(OR(ISBLANK($E301),$G301="Yes"),1,$E301)*IF($H301="Yes",1,(1-$F301))</f>
        <v>6.3529411764705887E-6</v>
      </c>
      <c r="O301" s="130"/>
    </row>
    <row r="302" spans="1:15" ht="15" x14ac:dyDescent="0.25">
      <c r="A302" s="5" t="s">
        <v>1319</v>
      </c>
      <c r="B302" s="7"/>
      <c r="C302" s="13" t="s">
        <v>66</v>
      </c>
      <c r="D302" s="19" t="str">
        <f>IFERROR(IF(C302="No CAS","",INDEX('DEQ Pollutant List'!$B$7:$B$611,MATCH('3. Pollutant Emissions - EF'!C302,'DEQ Pollutant List'!$A$7:$A$611,0))),"")</f>
        <v>Nickel and compounds</v>
      </c>
      <c r="E302" s="100">
        <v>0</v>
      </c>
      <c r="F302" s="36">
        <v>0</v>
      </c>
      <c r="G302" s="100" t="s">
        <v>1415</v>
      </c>
      <c r="H302" s="36" t="s">
        <v>1415</v>
      </c>
      <c r="I302" s="34">
        <v>2.0999999999999999E-3</v>
      </c>
      <c r="J302" s="11">
        <f t="shared" si="6"/>
        <v>2.0999999999999999E-3</v>
      </c>
      <c r="K302" s="6" t="s">
        <v>1416</v>
      </c>
      <c r="L302" s="20" t="s">
        <v>1422</v>
      </c>
      <c r="M302" s="7">
        <f>IF(ISBLANK($B302),_xlfn.XLOOKUP($A302,'2. TEUs &amp; Activities - EF'!$A$9:$A$190,'2. TEUs &amp; Activities - EF'!$J$9:$J$190),_xlfn.XLOOKUP($B302,'2. TEUs &amp; Activities - EF'!$B$9:$B$190,'2. TEUs &amp; Activities - EF'!$J$9:$J$190))*'3. Pollutant Emissions - EF'!$I302*IF(OR(ISBLANK($E302),$G302="Yes"),1,$E302)*IF($H302="Yes",1,(1-$F302))</f>
        <v>1.6231764705882352E-2</v>
      </c>
      <c r="N302" s="5">
        <f>IF(ISBLANK($B302),_xlfn.XLOOKUP($A302,'2. TEUs &amp; Activities - EF'!$A$9:$A$190,'2. TEUs &amp; Activities - EF'!$M$9:$M$190),_xlfn.XLOOKUP($B302,'2. TEUs &amp; Activities - EF'!$B$9:$B$190,'2. TEUs &amp; Activities - EF'!$M$9:$M$190))*'3. Pollutant Emissions - EF'!$J302*IF(OR(ISBLANK($E302),$G302="Yes"),1,$E302)*IF($H302="Yes",1,(1-$F302))</f>
        <v>4.4470588235294119E-5</v>
      </c>
      <c r="O302" s="130"/>
    </row>
    <row r="303" spans="1:15" ht="15" x14ac:dyDescent="0.25">
      <c r="A303" s="5" t="s">
        <v>1319</v>
      </c>
      <c r="B303" s="7"/>
      <c r="C303" s="13">
        <v>401</v>
      </c>
      <c r="D303" s="19" t="str">
        <f>IFERROR(IF(C303="No CAS","",INDEX('DEQ Pollutant List'!$B$7:$B$611,MATCH('3. Pollutant Emissions - EF'!C303,'DEQ Pollutant List'!$A$7:$A$611,0))),"")</f>
        <v>Polycyclic aromatic hydrocarbons (PAHs)</v>
      </c>
      <c r="E303" s="100">
        <v>0</v>
      </c>
      <c r="F303" s="36">
        <v>0</v>
      </c>
      <c r="G303" s="100" t="s">
        <v>1415</v>
      </c>
      <c r="H303" s="36" t="s">
        <v>1415</v>
      </c>
      <c r="I303" s="34">
        <v>1E-4</v>
      </c>
      <c r="J303" s="11">
        <f t="shared" si="6"/>
        <v>1E-4</v>
      </c>
      <c r="K303" s="6" t="s">
        <v>1416</v>
      </c>
      <c r="L303" s="20" t="s">
        <v>1422</v>
      </c>
      <c r="M303" s="7">
        <f>IF(ISBLANK($B303),_xlfn.XLOOKUP($A303,'2. TEUs &amp; Activities - EF'!$A$9:$A$190,'2. TEUs &amp; Activities - EF'!$J$9:$J$190),_xlfn.XLOOKUP($B303,'2. TEUs &amp; Activities - EF'!$B$9:$B$190,'2. TEUs &amp; Activities - EF'!$J$9:$J$190))*'3. Pollutant Emissions - EF'!$I303*IF(OR(ISBLANK($E303),$G303="Yes"),1,$E303)*IF($H303="Yes",1,(1-$F303))</f>
        <v>7.7294117647058833E-4</v>
      </c>
      <c r="N303" s="5">
        <f>IF(ISBLANK($B303),_xlfn.XLOOKUP($A303,'2. TEUs &amp; Activities - EF'!$A$9:$A$190,'2. TEUs &amp; Activities - EF'!$M$9:$M$190),_xlfn.XLOOKUP($B303,'2. TEUs &amp; Activities - EF'!$B$9:$B$190,'2. TEUs &amp; Activities - EF'!$M$9:$M$190))*'3. Pollutant Emissions - EF'!$J303*IF(OR(ISBLANK($E303),$G303="Yes"),1,$E303)*IF($H303="Yes",1,(1-$F303))</f>
        <v>2.1176470588235296E-6</v>
      </c>
      <c r="O303" s="130"/>
    </row>
    <row r="304" spans="1:15" ht="15" x14ac:dyDescent="0.25">
      <c r="A304" s="5" t="s">
        <v>1319</v>
      </c>
      <c r="B304" s="7"/>
      <c r="C304" s="13" t="s">
        <v>67</v>
      </c>
      <c r="D304" s="19" t="str">
        <f>IFERROR(IF(C304="No CAS","",INDEX('DEQ Pollutant List'!$B$7:$B$611,MATCH('3. Pollutant Emissions - EF'!C304,'DEQ Pollutant List'!$A$7:$A$611,0))),"")</f>
        <v>Selenium and compounds</v>
      </c>
      <c r="E304" s="100">
        <v>0</v>
      </c>
      <c r="F304" s="36">
        <v>0</v>
      </c>
      <c r="G304" s="100" t="s">
        <v>1415</v>
      </c>
      <c r="H304" s="36" t="s">
        <v>1415</v>
      </c>
      <c r="I304" s="34">
        <v>2.4000000000000001E-5</v>
      </c>
      <c r="J304" s="11">
        <f t="shared" si="6"/>
        <v>2.4000000000000001E-5</v>
      </c>
      <c r="K304" s="6" t="s">
        <v>1416</v>
      </c>
      <c r="L304" s="20" t="s">
        <v>1422</v>
      </c>
      <c r="M304" s="7">
        <f>IF(ISBLANK($B304),_xlfn.XLOOKUP($A304,'2. TEUs &amp; Activities - EF'!$A$9:$A$190,'2. TEUs &amp; Activities - EF'!$J$9:$J$190),_xlfn.XLOOKUP($B304,'2. TEUs &amp; Activities - EF'!$B$9:$B$190,'2. TEUs &amp; Activities - EF'!$J$9:$J$190))*'3. Pollutant Emissions - EF'!$I304*IF(OR(ISBLANK($E304),$G304="Yes"),1,$E304)*IF($H304="Yes",1,(1-$F304))</f>
        <v>1.8550588235294118E-4</v>
      </c>
      <c r="N304" s="5">
        <f>IF(ISBLANK($B304),_xlfn.XLOOKUP($A304,'2. TEUs &amp; Activities - EF'!$A$9:$A$190,'2. TEUs &amp; Activities - EF'!$M$9:$M$190),_xlfn.XLOOKUP($B304,'2. TEUs &amp; Activities - EF'!$B$9:$B$190,'2. TEUs &amp; Activities - EF'!$M$9:$M$190))*'3. Pollutant Emissions - EF'!$J304*IF(OR(ISBLANK($E304),$G304="Yes"),1,$E304)*IF($H304="Yes",1,(1-$F304))</f>
        <v>5.0823529411764714E-7</v>
      </c>
      <c r="O304" s="130"/>
    </row>
    <row r="305" spans="1:15" ht="15" x14ac:dyDescent="0.25">
      <c r="A305" s="5" t="s">
        <v>1319</v>
      </c>
      <c r="B305" s="7"/>
      <c r="C305" s="13" t="s">
        <v>68</v>
      </c>
      <c r="D305" s="19" t="str">
        <f>IFERROR(IF(C305="No CAS","",INDEX('DEQ Pollutant List'!$B$7:$B$611,MATCH('3. Pollutant Emissions - EF'!C305,'DEQ Pollutant List'!$A$7:$A$611,0))),"")</f>
        <v>Toluene</v>
      </c>
      <c r="E305" s="100">
        <v>0</v>
      </c>
      <c r="F305" s="36">
        <v>0</v>
      </c>
      <c r="G305" s="100" t="s">
        <v>1415</v>
      </c>
      <c r="H305" s="36" t="s">
        <v>1415</v>
      </c>
      <c r="I305" s="34">
        <v>3.6600000000000001E-2</v>
      </c>
      <c r="J305" s="11">
        <f t="shared" si="6"/>
        <v>3.6600000000000001E-2</v>
      </c>
      <c r="K305" s="6" t="s">
        <v>1416</v>
      </c>
      <c r="L305" s="20" t="s">
        <v>1422</v>
      </c>
      <c r="M305" s="7">
        <f>IF(ISBLANK($B305),_xlfn.XLOOKUP($A305,'2. TEUs &amp; Activities - EF'!$A$9:$A$190,'2. TEUs &amp; Activities - EF'!$J$9:$J$190),_xlfn.XLOOKUP($B305,'2. TEUs &amp; Activities - EF'!$B$9:$B$190,'2. TEUs &amp; Activities - EF'!$J$9:$J$190))*'3. Pollutant Emissions - EF'!$I305*IF(OR(ISBLANK($E305),$G305="Yes"),1,$E305)*IF($H305="Yes",1,(1-$F305))</f>
        <v>0.2828964705882353</v>
      </c>
      <c r="N305" s="5">
        <f>IF(ISBLANK($B305),_xlfn.XLOOKUP($A305,'2. TEUs &amp; Activities - EF'!$A$9:$A$190,'2. TEUs &amp; Activities - EF'!$M$9:$M$190),_xlfn.XLOOKUP($B305,'2. TEUs &amp; Activities - EF'!$B$9:$B$190,'2. TEUs &amp; Activities - EF'!$M$9:$M$190))*'3. Pollutant Emissions - EF'!$J305*IF(OR(ISBLANK($E305),$G305="Yes"),1,$E305)*IF($H305="Yes",1,(1-$F305))</f>
        <v>7.7505882352941189E-4</v>
      </c>
      <c r="O305" s="130"/>
    </row>
    <row r="306" spans="1:15" ht="15" x14ac:dyDescent="0.25">
      <c r="A306" s="5" t="s">
        <v>1319</v>
      </c>
      <c r="B306" s="7"/>
      <c r="C306" s="13" t="s">
        <v>69</v>
      </c>
      <c r="D306" s="19" t="str">
        <f>IFERROR(IF(C306="No CAS","",INDEX('DEQ Pollutant List'!$B$7:$B$611,MATCH('3. Pollutant Emissions - EF'!C306,'DEQ Pollutant List'!$A$7:$A$611,0))),"")</f>
        <v>Vanadium (fume or dust)</v>
      </c>
      <c r="E306" s="100">
        <v>0</v>
      </c>
      <c r="F306" s="36">
        <v>0</v>
      </c>
      <c r="G306" s="100" t="s">
        <v>1415</v>
      </c>
      <c r="H306" s="36" t="s">
        <v>1415</v>
      </c>
      <c r="I306" s="34">
        <v>2.3E-3</v>
      </c>
      <c r="J306" s="11">
        <f t="shared" si="6"/>
        <v>2.3E-3</v>
      </c>
      <c r="K306" s="6" t="s">
        <v>1416</v>
      </c>
      <c r="L306" s="20" t="s">
        <v>1422</v>
      </c>
      <c r="M306" s="7">
        <f>IF(ISBLANK($B306),_xlfn.XLOOKUP($A306,'2. TEUs &amp; Activities - EF'!$A$9:$A$190,'2. TEUs &amp; Activities - EF'!$J$9:$J$190),_xlfn.XLOOKUP($B306,'2. TEUs &amp; Activities - EF'!$B$9:$B$190,'2. TEUs &amp; Activities - EF'!$J$9:$J$190))*'3. Pollutant Emissions - EF'!$I306*IF(OR(ISBLANK($E306),$G306="Yes"),1,$E306)*IF($H306="Yes",1,(1-$F306))</f>
        <v>1.777764705882353E-2</v>
      </c>
      <c r="N306" s="5">
        <f>IF(ISBLANK($B306),_xlfn.XLOOKUP($A306,'2. TEUs &amp; Activities - EF'!$A$9:$A$190,'2. TEUs &amp; Activities - EF'!$M$9:$M$190),_xlfn.XLOOKUP($B306,'2. TEUs &amp; Activities - EF'!$B$9:$B$190,'2. TEUs &amp; Activities - EF'!$M$9:$M$190))*'3. Pollutant Emissions - EF'!$J306*IF(OR(ISBLANK($E306),$G306="Yes"),1,$E306)*IF($H306="Yes",1,(1-$F306))</f>
        <v>4.8705882352941182E-5</v>
      </c>
      <c r="O306" s="130"/>
    </row>
    <row r="307" spans="1:15" ht="15" x14ac:dyDescent="0.25">
      <c r="A307" s="5" t="s">
        <v>1319</v>
      </c>
      <c r="B307" s="7"/>
      <c r="C307" s="13" t="s">
        <v>70</v>
      </c>
      <c r="D307" s="19" t="str">
        <f>IFERROR(IF(C307="No CAS","",INDEX('DEQ Pollutant List'!$B$7:$B$611,MATCH('3. Pollutant Emissions - EF'!C307,'DEQ Pollutant List'!$A$7:$A$611,0))),"")</f>
        <v>Xylene (mixture), including m-xylene, o-xylene, p-xylene</v>
      </c>
      <c r="E307" s="100">
        <v>0</v>
      </c>
      <c r="F307" s="36">
        <v>0</v>
      </c>
      <c r="G307" s="100" t="s">
        <v>1415</v>
      </c>
      <c r="H307" s="36" t="s">
        <v>1415</v>
      </c>
      <c r="I307" s="34">
        <v>2.7199999999999998E-2</v>
      </c>
      <c r="J307" s="11">
        <f t="shared" si="6"/>
        <v>2.7199999999999998E-2</v>
      </c>
      <c r="K307" s="6" t="s">
        <v>1416</v>
      </c>
      <c r="L307" s="20" t="s">
        <v>1422</v>
      </c>
      <c r="M307" s="7">
        <f>IF(ISBLANK($B307),_xlfn.XLOOKUP($A307,'2. TEUs &amp; Activities - EF'!$A$9:$A$190,'2. TEUs &amp; Activities - EF'!$J$9:$J$190),_xlfn.XLOOKUP($B307,'2. TEUs &amp; Activities - EF'!$B$9:$B$190,'2. TEUs &amp; Activities - EF'!$J$9:$J$190))*'3. Pollutant Emissions - EF'!$I307*IF(OR(ISBLANK($E307),$G307="Yes"),1,$E307)*IF($H307="Yes",1,(1-$F307))</f>
        <v>0.21023999999999998</v>
      </c>
      <c r="N307" s="5">
        <f>IF(ISBLANK($B307),_xlfn.XLOOKUP($A307,'2. TEUs &amp; Activities - EF'!$A$9:$A$190,'2. TEUs &amp; Activities - EF'!$M$9:$M$190),_xlfn.XLOOKUP($B307,'2. TEUs &amp; Activities - EF'!$B$9:$B$190,'2. TEUs &amp; Activities - EF'!$M$9:$M$190))*'3. Pollutant Emissions - EF'!$J307*IF(OR(ISBLANK($E307),$G307="Yes"),1,$E307)*IF($H307="Yes",1,(1-$F307))</f>
        <v>5.7600000000000001E-4</v>
      </c>
      <c r="O307" s="130"/>
    </row>
    <row r="308" spans="1:15" ht="15" x14ac:dyDescent="0.25">
      <c r="A308" s="5" t="s">
        <v>1319</v>
      </c>
      <c r="B308" s="7"/>
      <c r="C308" s="13" t="s">
        <v>71</v>
      </c>
      <c r="D308" s="19" t="str">
        <f>IFERROR(IF(C308="No CAS","",INDEX('DEQ Pollutant List'!$B$7:$B$611,MATCH('3. Pollutant Emissions - EF'!C308,'DEQ Pollutant List'!$A$7:$A$611,0))),"")</f>
        <v>Zinc and compounds</v>
      </c>
      <c r="E308" s="100">
        <v>0</v>
      </c>
      <c r="F308" s="36">
        <v>0</v>
      </c>
      <c r="G308" s="100" t="s">
        <v>1415</v>
      </c>
      <c r="H308" s="36" t="s">
        <v>1415</v>
      </c>
      <c r="I308" s="34">
        <v>2.9000000000000001E-2</v>
      </c>
      <c r="J308" s="11">
        <f t="shared" si="6"/>
        <v>2.9000000000000001E-2</v>
      </c>
      <c r="K308" s="6" t="s">
        <v>1416</v>
      </c>
      <c r="L308" s="20" t="s">
        <v>1422</v>
      </c>
      <c r="M308" s="7">
        <f>IF(ISBLANK($B308),_xlfn.XLOOKUP($A308,'2. TEUs &amp; Activities - EF'!$A$9:$A$190,'2. TEUs &amp; Activities - EF'!$J$9:$J$190),_xlfn.XLOOKUP($B308,'2. TEUs &amp; Activities - EF'!$B$9:$B$190,'2. TEUs &amp; Activities - EF'!$J$9:$J$190))*'3. Pollutant Emissions - EF'!$I308*IF(OR(ISBLANK($E308),$G308="Yes"),1,$E308)*IF($H308="Yes",1,(1-$F308))</f>
        <v>0.22415294117647061</v>
      </c>
      <c r="N308" s="5">
        <f>IF(ISBLANK($B308),_xlfn.XLOOKUP($A308,'2. TEUs &amp; Activities - EF'!$A$9:$A$190,'2. TEUs &amp; Activities - EF'!$M$9:$M$190),_xlfn.XLOOKUP($B308,'2. TEUs &amp; Activities - EF'!$B$9:$B$190,'2. TEUs &amp; Activities - EF'!$M$9:$M$190))*'3. Pollutant Emissions - EF'!$J308*IF(OR(ISBLANK($E308),$G308="Yes"),1,$E308)*IF($H308="Yes",1,(1-$F308))</f>
        <v>6.1411764705882358E-4</v>
      </c>
      <c r="O308" s="130"/>
    </row>
    <row r="309" spans="1:15" ht="15" x14ac:dyDescent="0.25">
      <c r="A309" s="5"/>
      <c r="B309" s="7"/>
      <c r="C309" s="13"/>
      <c r="D309" s="19" t="str">
        <f>IFERROR(IF(C309="No CAS","",INDEX('DEQ Pollutant List'!$B$7:$B$611,MATCH('3. Pollutant Emissions - EF'!C309,'DEQ Pollutant List'!$A$7:$A$611,0))),"")</f>
        <v/>
      </c>
      <c r="E309" s="100"/>
      <c r="F309" s="36"/>
      <c r="G309" s="100"/>
      <c r="H309" s="36"/>
      <c r="I309" s="34"/>
      <c r="J309" s="11"/>
      <c r="K309" s="6"/>
      <c r="L309" s="20"/>
      <c r="M309" s="7">
        <f>IF(ISBLANK($B309),_xlfn.XLOOKUP($A309,'2. TEUs &amp; Activities - EF'!$A$9:$A$190,'2. TEUs &amp; Activities - EF'!$J$9:$J$190),_xlfn.XLOOKUP($B309,'2. TEUs &amp; Activities - EF'!$B$9:$B$190,'2. TEUs &amp; Activities - EF'!$J$9:$J$190))*'3. Pollutant Emissions - EF'!$I309*IF(OR(ISBLANK($E309),$G309="Yes"),1,$E309)*IF($H309="Yes",1,(1-$F309))</f>
        <v>0</v>
      </c>
      <c r="N309" s="5">
        <f>IF(ISBLANK($B309),_xlfn.XLOOKUP($A309,'2. TEUs &amp; Activities - EF'!$A$9:$A$190,'2. TEUs &amp; Activities - EF'!$M$9:$M$190),_xlfn.XLOOKUP($B309,'2. TEUs &amp; Activities - EF'!$B$9:$B$190,'2. TEUs &amp; Activities - EF'!$M$9:$M$190))*'3. Pollutant Emissions - EF'!$J309*IF(OR(ISBLANK($E309),$G309="Yes"),1,$E309)*IF($H309="Yes",1,(1-$F309))</f>
        <v>0</v>
      </c>
      <c r="O309" s="130"/>
    </row>
    <row r="310" spans="1:15" ht="15" x14ac:dyDescent="0.25">
      <c r="A310" s="5" t="s">
        <v>1320</v>
      </c>
      <c r="B310" s="7"/>
      <c r="C310" s="13" t="s">
        <v>50</v>
      </c>
      <c r="D310" s="19" t="str">
        <f>IFERROR(IF(C310="No CAS","",INDEX('DEQ Pollutant List'!$B$7:$B$611,MATCH('3. Pollutant Emissions - EF'!C310,'DEQ Pollutant List'!$A$7:$A$611,0))),"")</f>
        <v>Acetaldehyde</v>
      </c>
      <c r="E310" s="100">
        <v>0</v>
      </c>
      <c r="F310" s="36">
        <v>0</v>
      </c>
      <c r="G310" s="100" t="s">
        <v>1415</v>
      </c>
      <c r="H310" s="36" t="s">
        <v>1415</v>
      </c>
      <c r="I310" s="34">
        <v>4.3E-3</v>
      </c>
      <c r="J310" s="11">
        <f t="shared" ref="J310:J335" si="7">I310</f>
        <v>4.3E-3</v>
      </c>
      <c r="K310" s="6" t="s">
        <v>1416</v>
      </c>
      <c r="L310" s="20" t="s">
        <v>1422</v>
      </c>
      <c r="M310" s="7">
        <f>IF(ISBLANK($B310),_xlfn.XLOOKUP($A310,'2. TEUs &amp; Activities - EF'!$A$9:$A$190,'2. TEUs &amp; Activities - EF'!$J$9:$J$190),_xlfn.XLOOKUP($B310,'2. TEUs &amp; Activities - EF'!$B$9:$B$190,'2. TEUs &amp; Activities - EF'!$J$9:$J$190))*'3. Pollutant Emissions - EF'!$I310*IF(OR(ISBLANK($E310),$G310="Yes"),1,$E310)*IF($H310="Yes",1,(1-$F310))</f>
        <v>9.2323529411764693E-2</v>
      </c>
      <c r="N310" s="5">
        <f>IF(ISBLANK($B310),_xlfn.XLOOKUP($A310,'2. TEUs &amp; Activities - EF'!$A$9:$A$190,'2. TEUs &amp; Activities - EF'!$M$9:$M$190),_xlfn.XLOOKUP($B310,'2. TEUs &amp; Activities - EF'!$B$9:$B$190,'2. TEUs &amp; Activities - EF'!$M$9:$M$190))*'3. Pollutant Emissions - EF'!$J310*IF(OR(ISBLANK($E310),$G310="Yes"),1,$E310)*IF($H310="Yes",1,(1-$F310))</f>
        <v>2.5294117647058821E-4</v>
      </c>
      <c r="O310" s="130"/>
    </row>
    <row r="311" spans="1:15" ht="15" x14ac:dyDescent="0.25">
      <c r="A311" s="5" t="s">
        <v>1320</v>
      </c>
      <c r="B311" s="7"/>
      <c r="C311" s="13" t="s">
        <v>51</v>
      </c>
      <c r="D311" s="19" t="str">
        <f>IFERROR(IF(C311="No CAS","",INDEX('DEQ Pollutant List'!$B$7:$B$611,MATCH('3. Pollutant Emissions - EF'!C311,'DEQ Pollutant List'!$A$7:$A$611,0))),"")</f>
        <v>Acrolein</v>
      </c>
      <c r="E311" s="100">
        <v>0</v>
      </c>
      <c r="F311" s="36">
        <v>0</v>
      </c>
      <c r="G311" s="100" t="s">
        <v>1415</v>
      </c>
      <c r="H311" s="36" t="s">
        <v>1415</v>
      </c>
      <c r="I311" s="34">
        <v>2.7000000000000001E-3</v>
      </c>
      <c r="J311" s="11">
        <f t="shared" si="7"/>
        <v>2.7000000000000001E-3</v>
      </c>
      <c r="K311" s="6" t="s">
        <v>1416</v>
      </c>
      <c r="L311" s="20" t="s">
        <v>1422</v>
      </c>
      <c r="M311" s="7">
        <f>IF(ISBLANK($B311),_xlfn.XLOOKUP($A311,'2. TEUs &amp; Activities - EF'!$A$9:$A$190,'2. TEUs &amp; Activities - EF'!$J$9:$J$190),_xlfn.XLOOKUP($B311,'2. TEUs &amp; Activities - EF'!$B$9:$B$190,'2. TEUs &amp; Activities - EF'!$J$9:$J$190))*'3. Pollutant Emissions - EF'!$I311*IF(OR(ISBLANK($E311),$G311="Yes"),1,$E311)*IF($H311="Yes",1,(1-$F311))</f>
        <v>5.7970588235294114E-2</v>
      </c>
      <c r="N311" s="5">
        <f>IF(ISBLANK($B311),_xlfn.XLOOKUP($A311,'2. TEUs &amp; Activities - EF'!$A$9:$A$190,'2. TEUs &amp; Activities - EF'!$M$9:$M$190),_xlfn.XLOOKUP($B311,'2. TEUs &amp; Activities - EF'!$B$9:$B$190,'2. TEUs &amp; Activities - EF'!$M$9:$M$190))*'3. Pollutant Emissions - EF'!$J311*IF(OR(ISBLANK($E311),$G311="Yes"),1,$E311)*IF($H311="Yes",1,(1-$F311))</f>
        <v>1.5882352941176472E-4</v>
      </c>
      <c r="O311" s="130"/>
    </row>
    <row r="312" spans="1:15" ht="15" x14ac:dyDescent="0.25">
      <c r="A312" s="5" t="s">
        <v>1320</v>
      </c>
      <c r="B312" s="7"/>
      <c r="C312" s="13" t="s">
        <v>52</v>
      </c>
      <c r="D312" s="19" t="str">
        <f>IFERROR(IF(C312="No CAS","",INDEX('DEQ Pollutant List'!$B$7:$B$611,MATCH('3. Pollutant Emissions - EF'!C312,'DEQ Pollutant List'!$A$7:$A$611,0))),"")</f>
        <v>Ammonia</v>
      </c>
      <c r="E312" s="100">
        <v>0</v>
      </c>
      <c r="F312" s="36">
        <v>0</v>
      </c>
      <c r="G312" s="100" t="s">
        <v>1415</v>
      </c>
      <c r="H312" s="36" t="s">
        <v>1415</v>
      </c>
      <c r="I312" s="34">
        <v>3.2</v>
      </c>
      <c r="J312" s="11">
        <f t="shared" si="7"/>
        <v>3.2</v>
      </c>
      <c r="K312" s="6" t="s">
        <v>1416</v>
      </c>
      <c r="L312" s="20" t="s">
        <v>1422</v>
      </c>
      <c r="M312" s="7">
        <f>IF(ISBLANK($B312),_xlfn.XLOOKUP($A312,'2. TEUs &amp; Activities - EF'!$A$9:$A$190,'2. TEUs &amp; Activities - EF'!$J$9:$J$190),_xlfn.XLOOKUP($B312,'2. TEUs &amp; Activities - EF'!$B$9:$B$190,'2. TEUs &amp; Activities - EF'!$J$9:$J$190))*'3. Pollutant Emissions - EF'!$I312*IF(OR(ISBLANK($E312),$G312="Yes"),1,$E312)*IF($H312="Yes",1,(1-$F312))</f>
        <v>68.705882352941174</v>
      </c>
      <c r="N312" s="5">
        <f>IF(ISBLANK($B312),_xlfn.XLOOKUP($A312,'2. TEUs &amp; Activities - EF'!$A$9:$A$190,'2. TEUs &amp; Activities - EF'!$M$9:$M$190),_xlfn.XLOOKUP($B312,'2. TEUs &amp; Activities - EF'!$B$9:$B$190,'2. TEUs &amp; Activities - EF'!$M$9:$M$190))*'3. Pollutant Emissions - EF'!$J312*IF(OR(ISBLANK($E312),$G312="Yes"),1,$E312)*IF($H312="Yes",1,(1-$F312))</f>
        <v>0.18823529411764706</v>
      </c>
      <c r="O312" s="130"/>
    </row>
    <row r="313" spans="1:15" ht="15" x14ac:dyDescent="0.25">
      <c r="A313" s="5" t="s">
        <v>1320</v>
      </c>
      <c r="B313" s="7"/>
      <c r="C313" s="13" t="s">
        <v>53</v>
      </c>
      <c r="D313" s="19" t="str">
        <f>IFERROR(IF(C313="No CAS","",INDEX('DEQ Pollutant List'!$B$7:$B$611,MATCH('3. Pollutant Emissions - EF'!C313,'DEQ Pollutant List'!$A$7:$A$611,0))),"")</f>
        <v>Arsenic and compounds</v>
      </c>
      <c r="E313" s="100">
        <v>0</v>
      </c>
      <c r="F313" s="36">
        <v>0</v>
      </c>
      <c r="G313" s="100" t="s">
        <v>1415</v>
      </c>
      <c r="H313" s="36" t="s">
        <v>1415</v>
      </c>
      <c r="I313" s="34">
        <v>2.0000000000000001E-4</v>
      </c>
      <c r="J313" s="11">
        <f t="shared" si="7"/>
        <v>2.0000000000000001E-4</v>
      </c>
      <c r="K313" s="6" t="s">
        <v>1416</v>
      </c>
      <c r="L313" s="20" t="s">
        <v>1422</v>
      </c>
      <c r="M313" s="7">
        <f>IF(ISBLANK($B313),_xlfn.XLOOKUP($A313,'2. TEUs &amp; Activities - EF'!$A$9:$A$190,'2. TEUs &amp; Activities - EF'!$J$9:$J$190),_xlfn.XLOOKUP($B313,'2. TEUs &amp; Activities - EF'!$B$9:$B$190,'2. TEUs &amp; Activities - EF'!$J$9:$J$190))*'3. Pollutant Emissions - EF'!$I313*IF(OR(ISBLANK($E313),$G313="Yes"),1,$E313)*IF($H313="Yes",1,(1-$F313))</f>
        <v>4.2941176470588233E-3</v>
      </c>
      <c r="N313" s="5">
        <f>IF(ISBLANK($B313),_xlfn.XLOOKUP($A313,'2. TEUs &amp; Activities - EF'!$A$9:$A$190,'2. TEUs &amp; Activities - EF'!$M$9:$M$190),_xlfn.XLOOKUP($B313,'2. TEUs &amp; Activities - EF'!$B$9:$B$190,'2. TEUs &amp; Activities - EF'!$M$9:$M$190))*'3. Pollutant Emissions - EF'!$J313*IF(OR(ISBLANK($E313),$G313="Yes"),1,$E313)*IF($H313="Yes",1,(1-$F313))</f>
        <v>1.1764705882352942E-5</v>
      </c>
      <c r="O313" s="130"/>
    </row>
    <row r="314" spans="1:15" ht="15" x14ac:dyDescent="0.25">
      <c r="A314" s="5" t="s">
        <v>1320</v>
      </c>
      <c r="B314" s="7"/>
      <c r="C314" s="13" t="s">
        <v>54</v>
      </c>
      <c r="D314" s="19" t="str">
        <f>IFERROR(IF(C314="No CAS","",INDEX('DEQ Pollutant List'!$B$7:$B$611,MATCH('3. Pollutant Emissions - EF'!C314,'DEQ Pollutant List'!$A$7:$A$611,0))),"")</f>
        <v>Barium and compounds</v>
      </c>
      <c r="E314" s="100">
        <v>0</v>
      </c>
      <c r="F314" s="36">
        <v>0</v>
      </c>
      <c r="G314" s="100" t="s">
        <v>1415</v>
      </c>
      <c r="H314" s="36" t="s">
        <v>1415</v>
      </c>
      <c r="I314" s="34">
        <v>4.4000000000000003E-3</v>
      </c>
      <c r="J314" s="11">
        <f t="shared" si="7"/>
        <v>4.4000000000000003E-3</v>
      </c>
      <c r="K314" s="6" t="s">
        <v>1416</v>
      </c>
      <c r="L314" s="20" t="s">
        <v>1422</v>
      </c>
      <c r="M314" s="7">
        <f>IF(ISBLANK($B314),_xlfn.XLOOKUP($A314,'2. TEUs &amp; Activities - EF'!$A$9:$A$190,'2. TEUs &amp; Activities - EF'!$J$9:$J$190),_xlfn.XLOOKUP($B314,'2. TEUs &amp; Activities - EF'!$B$9:$B$190,'2. TEUs &amp; Activities - EF'!$J$9:$J$190))*'3. Pollutant Emissions - EF'!$I314*IF(OR(ISBLANK($E314),$G314="Yes"),1,$E314)*IF($H314="Yes",1,(1-$F314))</f>
        <v>9.4470588235294112E-2</v>
      </c>
      <c r="N314" s="5">
        <f>IF(ISBLANK($B314),_xlfn.XLOOKUP($A314,'2. TEUs &amp; Activities - EF'!$A$9:$A$190,'2. TEUs &amp; Activities - EF'!$M$9:$M$190),_xlfn.XLOOKUP($B314,'2. TEUs &amp; Activities - EF'!$B$9:$B$190,'2. TEUs &amp; Activities - EF'!$M$9:$M$190))*'3. Pollutant Emissions - EF'!$J314*IF(OR(ISBLANK($E314),$G314="Yes"),1,$E314)*IF($H314="Yes",1,(1-$F314))</f>
        <v>2.5882352941176474E-4</v>
      </c>
      <c r="O314" s="130"/>
    </row>
    <row r="315" spans="1:15" ht="15" x14ac:dyDescent="0.25">
      <c r="A315" s="5" t="s">
        <v>1320</v>
      </c>
      <c r="B315" s="7"/>
      <c r="C315" s="13" t="s">
        <v>46</v>
      </c>
      <c r="D315" s="19" t="str">
        <f>IFERROR(IF(C315="No CAS","",INDEX('DEQ Pollutant List'!$B$7:$B$611,MATCH('3. Pollutant Emissions - EF'!C315,'DEQ Pollutant List'!$A$7:$A$611,0))),"")</f>
        <v>Benzene</v>
      </c>
      <c r="E315" s="100">
        <v>0</v>
      </c>
      <c r="F315" s="36">
        <v>0</v>
      </c>
      <c r="G315" s="100" t="s">
        <v>1415</v>
      </c>
      <c r="H315" s="36" t="s">
        <v>1415</v>
      </c>
      <c r="I315" s="34">
        <v>8.0000000000000002E-3</v>
      </c>
      <c r="J315" s="11">
        <f t="shared" si="7"/>
        <v>8.0000000000000002E-3</v>
      </c>
      <c r="K315" s="6" t="s">
        <v>1416</v>
      </c>
      <c r="L315" s="20" t="s">
        <v>1422</v>
      </c>
      <c r="M315" s="7">
        <f>IF(ISBLANK($B315),_xlfn.XLOOKUP($A315,'2. TEUs &amp; Activities - EF'!$A$9:$A$190,'2. TEUs &amp; Activities - EF'!$J$9:$J$190),_xlfn.XLOOKUP($B315,'2. TEUs &amp; Activities - EF'!$B$9:$B$190,'2. TEUs &amp; Activities - EF'!$J$9:$J$190))*'3. Pollutant Emissions - EF'!$I315*IF(OR(ISBLANK($E315),$G315="Yes"),1,$E315)*IF($H315="Yes",1,(1-$F315))</f>
        <v>0.17176470588235293</v>
      </c>
      <c r="N315" s="5">
        <f>IF(ISBLANK($B315),_xlfn.XLOOKUP($A315,'2. TEUs &amp; Activities - EF'!$A$9:$A$190,'2. TEUs &amp; Activities - EF'!$M$9:$M$190),_xlfn.XLOOKUP($B315,'2. TEUs &amp; Activities - EF'!$B$9:$B$190,'2. TEUs &amp; Activities - EF'!$M$9:$M$190))*'3. Pollutant Emissions - EF'!$J315*IF(OR(ISBLANK($E315),$G315="Yes"),1,$E315)*IF($H315="Yes",1,(1-$F315))</f>
        <v>4.7058823529411766E-4</v>
      </c>
      <c r="O315" s="130"/>
    </row>
    <row r="316" spans="1:15" ht="15" x14ac:dyDescent="0.25">
      <c r="A316" s="5" t="s">
        <v>1320</v>
      </c>
      <c r="B316" s="7"/>
      <c r="C316" s="13" t="s">
        <v>55</v>
      </c>
      <c r="D316" s="19" t="str">
        <f>IFERROR(IF(C316="No CAS","",INDEX('DEQ Pollutant List'!$B$7:$B$611,MATCH('3. Pollutant Emissions - EF'!C316,'DEQ Pollutant List'!$A$7:$A$611,0))),"")</f>
        <v>Beryllium and compounds</v>
      </c>
      <c r="E316" s="100">
        <v>0</v>
      </c>
      <c r="F316" s="36">
        <v>0</v>
      </c>
      <c r="G316" s="100" t="s">
        <v>1415</v>
      </c>
      <c r="H316" s="36" t="s">
        <v>1415</v>
      </c>
      <c r="I316" s="34">
        <v>1.2E-5</v>
      </c>
      <c r="J316" s="11">
        <f t="shared" si="7"/>
        <v>1.2E-5</v>
      </c>
      <c r="K316" s="6" t="s">
        <v>1416</v>
      </c>
      <c r="L316" s="20" t="s">
        <v>1422</v>
      </c>
      <c r="M316" s="7">
        <f>IF(ISBLANK($B316),_xlfn.XLOOKUP($A316,'2. TEUs &amp; Activities - EF'!$A$9:$A$190,'2. TEUs &amp; Activities - EF'!$J$9:$J$190),_xlfn.XLOOKUP($B316,'2. TEUs &amp; Activities - EF'!$B$9:$B$190,'2. TEUs &amp; Activities - EF'!$J$9:$J$190))*'3. Pollutant Emissions - EF'!$I316*IF(OR(ISBLANK($E316),$G316="Yes"),1,$E316)*IF($H316="Yes",1,(1-$F316))</f>
        <v>2.5764705882352939E-4</v>
      </c>
      <c r="N316" s="5">
        <f>IF(ISBLANK($B316),_xlfn.XLOOKUP($A316,'2. TEUs &amp; Activities - EF'!$A$9:$A$190,'2. TEUs &amp; Activities - EF'!$M$9:$M$190),_xlfn.XLOOKUP($B316,'2. TEUs &amp; Activities - EF'!$B$9:$B$190,'2. TEUs &amp; Activities - EF'!$M$9:$M$190))*'3. Pollutant Emissions - EF'!$J316*IF(OR(ISBLANK($E316),$G316="Yes"),1,$E316)*IF($H316="Yes",1,(1-$F316))</f>
        <v>7.0588235294117645E-7</v>
      </c>
      <c r="O316" s="130"/>
    </row>
    <row r="317" spans="1:15" ht="15" x14ac:dyDescent="0.25">
      <c r="A317" s="5" t="s">
        <v>1320</v>
      </c>
      <c r="B317" s="7"/>
      <c r="C317" s="13" t="s">
        <v>56</v>
      </c>
      <c r="D317" s="19" t="str">
        <f>IFERROR(IF(C317="No CAS","",INDEX('DEQ Pollutant List'!$B$7:$B$611,MATCH('3. Pollutant Emissions - EF'!C317,'DEQ Pollutant List'!$A$7:$A$611,0))),"")</f>
        <v>Cadmium and compounds</v>
      </c>
      <c r="E317" s="100">
        <v>0</v>
      </c>
      <c r="F317" s="36">
        <v>0</v>
      </c>
      <c r="G317" s="100" t="s">
        <v>1415</v>
      </c>
      <c r="H317" s="36" t="s">
        <v>1415</v>
      </c>
      <c r="I317" s="34">
        <v>1.1000000000000001E-3</v>
      </c>
      <c r="J317" s="11">
        <f t="shared" si="7"/>
        <v>1.1000000000000001E-3</v>
      </c>
      <c r="K317" s="6" t="s">
        <v>1416</v>
      </c>
      <c r="L317" s="20" t="s">
        <v>1422</v>
      </c>
      <c r="M317" s="7">
        <f>IF(ISBLANK($B317),_xlfn.XLOOKUP($A317,'2. TEUs &amp; Activities - EF'!$A$9:$A$190,'2. TEUs &amp; Activities - EF'!$J$9:$J$190),_xlfn.XLOOKUP($B317,'2. TEUs &amp; Activities - EF'!$B$9:$B$190,'2. TEUs &amp; Activities - EF'!$J$9:$J$190))*'3. Pollutant Emissions - EF'!$I317*IF(OR(ISBLANK($E317),$G317="Yes"),1,$E317)*IF($H317="Yes",1,(1-$F317))</f>
        <v>2.3617647058823528E-2</v>
      </c>
      <c r="N317" s="5">
        <f>IF(ISBLANK($B317),_xlfn.XLOOKUP($A317,'2. TEUs &amp; Activities - EF'!$A$9:$A$190,'2. TEUs &amp; Activities - EF'!$M$9:$M$190),_xlfn.XLOOKUP($B317,'2. TEUs &amp; Activities - EF'!$B$9:$B$190,'2. TEUs &amp; Activities - EF'!$M$9:$M$190))*'3. Pollutant Emissions - EF'!$J317*IF(OR(ISBLANK($E317),$G317="Yes"),1,$E317)*IF($H317="Yes",1,(1-$F317))</f>
        <v>6.4705882352941184E-5</v>
      </c>
      <c r="O317" s="130"/>
    </row>
    <row r="318" spans="1:15" ht="15" x14ac:dyDescent="0.25">
      <c r="A318" s="5" t="s">
        <v>1320</v>
      </c>
      <c r="B318" s="7"/>
      <c r="C318" s="13" t="s">
        <v>57</v>
      </c>
      <c r="D318" s="19" t="str">
        <f>IFERROR(IF(C318="No CAS","",INDEX('DEQ Pollutant List'!$B$7:$B$611,MATCH('3. Pollutant Emissions - EF'!C318,'DEQ Pollutant List'!$A$7:$A$611,0))),"")</f>
        <v>Chromium VI, chromate and dichromate particulate</v>
      </c>
      <c r="E318" s="100">
        <v>0</v>
      </c>
      <c r="F318" s="36">
        <v>0</v>
      </c>
      <c r="G318" s="100" t="s">
        <v>1415</v>
      </c>
      <c r="H318" s="36" t="s">
        <v>1415</v>
      </c>
      <c r="I318" s="34">
        <v>1.4E-3</v>
      </c>
      <c r="J318" s="11">
        <f t="shared" si="7"/>
        <v>1.4E-3</v>
      </c>
      <c r="K318" s="6" t="s">
        <v>1416</v>
      </c>
      <c r="L318" s="20" t="s">
        <v>1422</v>
      </c>
      <c r="M318" s="7">
        <f>IF(ISBLANK($B318),_xlfn.XLOOKUP($A318,'2. TEUs &amp; Activities - EF'!$A$9:$A$190,'2. TEUs &amp; Activities - EF'!$J$9:$J$190),_xlfn.XLOOKUP($B318,'2. TEUs &amp; Activities - EF'!$B$9:$B$190,'2. TEUs &amp; Activities - EF'!$J$9:$J$190))*'3. Pollutant Emissions - EF'!$I318*IF(OR(ISBLANK($E318),$G318="Yes"),1,$E318)*IF($H318="Yes",1,(1-$F318))</f>
        <v>3.0058823529411763E-2</v>
      </c>
      <c r="N318" s="5">
        <f>IF(ISBLANK($B318),_xlfn.XLOOKUP($A318,'2. TEUs &amp; Activities - EF'!$A$9:$A$190,'2. TEUs &amp; Activities - EF'!$M$9:$M$190),_xlfn.XLOOKUP($B318,'2. TEUs &amp; Activities - EF'!$B$9:$B$190,'2. TEUs &amp; Activities - EF'!$M$9:$M$190))*'3. Pollutant Emissions - EF'!$J318*IF(OR(ISBLANK($E318),$G318="Yes"),1,$E318)*IF($H318="Yes",1,(1-$F318))</f>
        <v>8.2352941176470581E-5</v>
      </c>
      <c r="O318" s="130"/>
    </row>
    <row r="319" spans="1:15" ht="15" x14ac:dyDescent="0.25">
      <c r="A319" s="5" t="s">
        <v>1320</v>
      </c>
      <c r="B319" s="7"/>
      <c r="C319" s="13" t="s">
        <v>58</v>
      </c>
      <c r="D319" s="19" t="str">
        <f>IFERROR(IF(C319="No CAS","",INDEX('DEQ Pollutant List'!$B$7:$B$611,MATCH('3. Pollutant Emissions - EF'!C319,'DEQ Pollutant List'!$A$7:$A$611,0))),"")</f>
        <v>Cobalt and compounds</v>
      </c>
      <c r="E319" s="100">
        <v>0</v>
      </c>
      <c r="F319" s="36">
        <v>0</v>
      </c>
      <c r="G319" s="100" t="s">
        <v>1415</v>
      </c>
      <c r="H319" s="36" t="s">
        <v>1415</v>
      </c>
      <c r="I319" s="34">
        <v>8.3999999999999995E-5</v>
      </c>
      <c r="J319" s="11">
        <f t="shared" si="7"/>
        <v>8.3999999999999995E-5</v>
      </c>
      <c r="K319" s="6" t="s">
        <v>1416</v>
      </c>
      <c r="L319" s="20" t="s">
        <v>1422</v>
      </c>
      <c r="M319" s="7">
        <f>IF(ISBLANK($B319),_xlfn.XLOOKUP($A319,'2. TEUs &amp; Activities - EF'!$A$9:$A$190,'2. TEUs &amp; Activities - EF'!$J$9:$J$190),_xlfn.XLOOKUP($B319,'2. TEUs &amp; Activities - EF'!$B$9:$B$190,'2. TEUs &amp; Activities - EF'!$J$9:$J$190))*'3. Pollutant Emissions - EF'!$I319*IF(OR(ISBLANK($E319),$G319="Yes"),1,$E319)*IF($H319="Yes",1,(1-$F319))</f>
        <v>1.8035294117647056E-3</v>
      </c>
      <c r="N319" s="5">
        <f>IF(ISBLANK($B319),_xlfn.XLOOKUP($A319,'2. TEUs &amp; Activities - EF'!$A$9:$A$190,'2. TEUs &amp; Activities - EF'!$M$9:$M$190),_xlfn.XLOOKUP($B319,'2. TEUs &amp; Activities - EF'!$B$9:$B$190,'2. TEUs &amp; Activities - EF'!$M$9:$M$190))*'3. Pollutant Emissions - EF'!$J319*IF(OR(ISBLANK($E319),$G319="Yes"),1,$E319)*IF($H319="Yes",1,(1-$F319))</f>
        <v>4.9411764705882354E-6</v>
      </c>
      <c r="O319" s="130"/>
    </row>
    <row r="320" spans="1:15" ht="15" x14ac:dyDescent="0.25">
      <c r="A320" s="5" t="s">
        <v>1320</v>
      </c>
      <c r="B320" s="7"/>
      <c r="C320" s="13" t="s">
        <v>59</v>
      </c>
      <c r="D320" s="19" t="str">
        <f>IFERROR(IF(C320="No CAS","",INDEX('DEQ Pollutant List'!$B$7:$B$611,MATCH('3. Pollutant Emissions - EF'!C320,'DEQ Pollutant List'!$A$7:$A$611,0))),"")</f>
        <v>Copper and compounds</v>
      </c>
      <c r="E320" s="100">
        <v>0</v>
      </c>
      <c r="F320" s="36">
        <v>0</v>
      </c>
      <c r="G320" s="100" t="s">
        <v>1415</v>
      </c>
      <c r="H320" s="36" t="s">
        <v>1415</v>
      </c>
      <c r="I320" s="34">
        <v>8.4999999999999995E-4</v>
      </c>
      <c r="J320" s="11">
        <f t="shared" si="7"/>
        <v>8.4999999999999995E-4</v>
      </c>
      <c r="K320" s="6" t="s">
        <v>1416</v>
      </c>
      <c r="L320" s="20" t="s">
        <v>1422</v>
      </c>
      <c r="M320" s="7">
        <f>IF(ISBLANK($B320),_xlfn.XLOOKUP($A320,'2. TEUs &amp; Activities - EF'!$A$9:$A$190,'2. TEUs &amp; Activities - EF'!$J$9:$J$190),_xlfn.XLOOKUP($B320,'2. TEUs &amp; Activities - EF'!$B$9:$B$190,'2. TEUs &amp; Activities - EF'!$J$9:$J$190))*'3. Pollutant Emissions - EF'!$I320*IF(OR(ISBLANK($E320),$G320="Yes"),1,$E320)*IF($H320="Yes",1,(1-$F320))</f>
        <v>1.8249999999999999E-2</v>
      </c>
      <c r="N320" s="5">
        <f>IF(ISBLANK($B320),_xlfn.XLOOKUP($A320,'2. TEUs &amp; Activities - EF'!$A$9:$A$190,'2. TEUs &amp; Activities - EF'!$M$9:$M$190),_xlfn.XLOOKUP($B320,'2. TEUs &amp; Activities - EF'!$B$9:$B$190,'2. TEUs &amp; Activities - EF'!$M$9:$M$190))*'3. Pollutant Emissions - EF'!$J320*IF(OR(ISBLANK($E320),$G320="Yes"),1,$E320)*IF($H320="Yes",1,(1-$F320))</f>
        <v>4.9999999999999996E-5</v>
      </c>
      <c r="O320" s="130"/>
    </row>
    <row r="321" spans="1:15" ht="15" x14ac:dyDescent="0.25">
      <c r="A321" s="5" t="s">
        <v>1320</v>
      </c>
      <c r="B321" s="7"/>
      <c r="C321" s="13" t="s">
        <v>60</v>
      </c>
      <c r="D321" s="19" t="str">
        <f>IFERROR(IF(C321="No CAS","",INDEX('DEQ Pollutant List'!$B$7:$B$611,MATCH('3. Pollutant Emissions - EF'!C321,'DEQ Pollutant List'!$A$7:$A$611,0))),"")</f>
        <v>Ethyl benzene</v>
      </c>
      <c r="E321" s="100">
        <v>0</v>
      </c>
      <c r="F321" s="36">
        <v>0</v>
      </c>
      <c r="G321" s="100" t="s">
        <v>1415</v>
      </c>
      <c r="H321" s="36" t="s">
        <v>1415</v>
      </c>
      <c r="I321" s="34">
        <v>9.4999999999999998E-3</v>
      </c>
      <c r="J321" s="11">
        <f t="shared" si="7"/>
        <v>9.4999999999999998E-3</v>
      </c>
      <c r="K321" s="6" t="s">
        <v>1416</v>
      </c>
      <c r="L321" s="20" t="s">
        <v>1422</v>
      </c>
      <c r="M321" s="7">
        <f>IF(ISBLANK($B321),_xlfn.XLOOKUP($A321,'2. TEUs &amp; Activities - EF'!$A$9:$A$190,'2. TEUs &amp; Activities - EF'!$J$9:$J$190),_xlfn.XLOOKUP($B321,'2. TEUs &amp; Activities - EF'!$B$9:$B$190,'2. TEUs &amp; Activities - EF'!$J$9:$J$190))*'3. Pollutant Emissions - EF'!$I321*IF(OR(ISBLANK($E321),$G321="Yes"),1,$E321)*IF($H321="Yes",1,(1-$F321))</f>
        <v>0.2039705882352941</v>
      </c>
      <c r="N321" s="5">
        <f>IF(ISBLANK($B321),_xlfn.XLOOKUP($A321,'2. TEUs &amp; Activities - EF'!$A$9:$A$190,'2. TEUs &amp; Activities - EF'!$M$9:$M$190),_xlfn.XLOOKUP($B321,'2. TEUs &amp; Activities - EF'!$B$9:$B$190,'2. TEUs &amp; Activities - EF'!$M$9:$M$190))*'3. Pollutant Emissions - EF'!$J321*IF(OR(ISBLANK($E321),$G321="Yes"),1,$E321)*IF($H321="Yes",1,(1-$F321))</f>
        <v>5.5882352941176471E-4</v>
      </c>
      <c r="O321" s="130"/>
    </row>
    <row r="322" spans="1:15" ht="15" x14ac:dyDescent="0.25">
      <c r="A322" s="5" t="s">
        <v>1320</v>
      </c>
      <c r="B322" s="7"/>
      <c r="C322" s="13" t="s">
        <v>47</v>
      </c>
      <c r="D322" s="19" t="str">
        <f>IFERROR(IF(C322="No CAS","",INDEX('DEQ Pollutant List'!$B$7:$B$611,MATCH('3. Pollutant Emissions - EF'!C322,'DEQ Pollutant List'!$A$7:$A$611,0))),"")</f>
        <v>Formaldehyde</v>
      </c>
      <c r="E322" s="100">
        <v>0</v>
      </c>
      <c r="F322" s="36">
        <v>0</v>
      </c>
      <c r="G322" s="100" t="s">
        <v>1415</v>
      </c>
      <c r="H322" s="36" t="s">
        <v>1415</v>
      </c>
      <c r="I322" s="34">
        <v>1.7000000000000001E-2</v>
      </c>
      <c r="J322" s="11">
        <f t="shared" si="7"/>
        <v>1.7000000000000001E-2</v>
      </c>
      <c r="K322" s="6" t="s">
        <v>1416</v>
      </c>
      <c r="L322" s="20" t="s">
        <v>1422</v>
      </c>
      <c r="M322" s="7">
        <f>IF(ISBLANK($B322),_xlfn.XLOOKUP($A322,'2. TEUs &amp; Activities - EF'!$A$9:$A$190,'2. TEUs &amp; Activities - EF'!$J$9:$J$190),_xlfn.XLOOKUP($B322,'2. TEUs &amp; Activities - EF'!$B$9:$B$190,'2. TEUs &amp; Activities - EF'!$J$9:$J$190))*'3. Pollutant Emissions - EF'!$I322*IF(OR(ISBLANK($E322),$G322="Yes"),1,$E322)*IF($H322="Yes",1,(1-$F322))</f>
        <v>0.36499999999999999</v>
      </c>
      <c r="N322" s="5">
        <f>IF(ISBLANK($B322),_xlfn.XLOOKUP($A322,'2. TEUs &amp; Activities - EF'!$A$9:$A$190,'2. TEUs &amp; Activities - EF'!$M$9:$M$190),_xlfn.XLOOKUP($B322,'2. TEUs &amp; Activities - EF'!$B$9:$B$190,'2. TEUs &amp; Activities - EF'!$M$9:$M$190))*'3. Pollutant Emissions - EF'!$J322*IF(OR(ISBLANK($E322),$G322="Yes"),1,$E322)*IF($H322="Yes",1,(1-$F322))</f>
        <v>1E-3</v>
      </c>
      <c r="O322" s="130"/>
    </row>
    <row r="323" spans="1:15" ht="15" x14ac:dyDescent="0.25">
      <c r="A323" s="5" t="s">
        <v>1320</v>
      </c>
      <c r="B323" s="7"/>
      <c r="C323" s="13" t="s">
        <v>61</v>
      </c>
      <c r="D323" s="19" t="str">
        <f>IFERROR(IF(C323="No CAS","",INDEX('DEQ Pollutant List'!$B$7:$B$611,MATCH('3. Pollutant Emissions - EF'!C323,'DEQ Pollutant List'!$A$7:$A$611,0))),"")</f>
        <v>Hexane</v>
      </c>
      <c r="E323" s="100">
        <v>0</v>
      </c>
      <c r="F323" s="36">
        <v>0</v>
      </c>
      <c r="G323" s="100" t="s">
        <v>1415</v>
      </c>
      <c r="H323" s="36" t="s">
        <v>1415</v>
      </c>
      <c r="I323" s="34">
        <v>6.3E-3</v>
      </c>
      <c r="J323" s="11">
        <f t="shared" si="7"/>
        <v>6.3E-3</v>
      </c>
      <c r="K323" s="6" t="s">
        <v>1416</v>
      </c>
      <c r="L323" s="20" t="s">
        <v>1422</v>
      </c>
      <c r="M323" s="7">
        <f>IF(ISBLANK($B323),_xlfn.XLOOKUP($A323,'2. TEUs &amp; Activities - EF'!$A$9:$A$190,'2. TEUs &amp; Activities - EF'!$J$9:$J$190),_xlfn.XLOOKUP($B323,'2. TEUs &amp; Activities - EF'!$B$9:$B$190,'2. TEUs &amp; Activities - EF'!$J$9:$J$190))*'3. Pollutant Emissions - EF'!$I323*IF(OR(ISBLANK($E323),$G323="Yes"),1,$E323)*IF($H323="Yes",1,(1-$F323))</f>
        <v>0.13526470588235293</v>
      </c>
      <c r="N323" s="5">
        <f>IF(ISBLANK($B323),_xlfn.XLOOKUP($A323,'2. TEUs &amp; Activities - EF'!$A$9:$A$190,'2. TEUs &amp; Activities - EF'!$M$9:$M$190),_xlfn.XLOOKUP($B323,'2. TEUs &amp; Activities - EF'!$B$9:$B$190,'2. TEUs &amp; Activities - EF'!$M$9:$M$190))*'3. Pollutant Emissions - EF'!$J323*IF(OR(ISBLANK($E323),$G323="Yes"),1,$E323)*IF($H323="Yes",1,(1-$F323))</f>
        <v>3.7058823529411767E-4</v>
      </c>
      <c r="O323" s="130"/>
    </row>
    <row r="324" spans="1:15" ht="15" x14ac:dyDescent="0.25">
      <c r="A324" s="5" t="s">
        <v>1320</v>
      </c>
      <c r="B324" s="7"/>
      <c r="C324" s="13" t="s">
        <v>62</v>
      </c>
      <c r="D324" s="19" t="str">
        <f>IFERROR(IF(C324="No CAS","",INDEX('DEQ Pollutant List'!$B$7:$B$611,MATCH('3. Pollutant Emissions - EF'!C324,'DEQ Pollutant List'!$A$7:$A$611,0))),"")</f>
        <v>Lead and compounds</v>
      </c>
      <c r="E324" s="100">
        <v>0</v>
      </c>
      <c r="F324" s="36">
        <v>0</v>
      </c>
      <c r="G324" s="100" t="s">
        <v>1415</v>
      </c>
      <c r="H324" s="36" t="s">
        <v>1415</v>
      </c>
      <c r="I324" s="34">
        <v>5.0000000000000001E-4</v>
      </c>
      <c r="J324" s="11">
        <f t="shared" si="7"/>
        <v>5.0000000000000001E-4</v>
      </c>
      <c r="K324" s="6" t="s">
        <v>1416</v>
      </c>
      <c r="L324" s="20" t="s">
        <v>1422</v>
      </c>
      <c r="M324" s="7">
        <f>IF(ISBLANK($B324),_xlfn.XLOOKUP($A324,'2. TEUs &amp; Activities - EF'!$A$9:$A$190,'2. TEUs &amp; Activities - EF'!$J$9:$J$190),_xlfn.XLOOKUP($B324,'2. TEUs &amp; Activities - EF'!$B$9:$B$190,'2. TEUs &amp; Activities - EF'!$J$9:$J$190))*'3. Pollutant Emissions - EF'!$I324*IF(OR(ISBLANK($E324),$G324="Yes"),1,$E324)*IF($H324="Yes",1,(1-$F324))</f>
        <v>1.0735294117647058E-2</v>
      </c>
      <c r="N324" s="5">
        <f>IF(ISBLANK($B324),_xlfn.XLOOKUP($A324,'2. TEUs &amp; Activities - EF'!$A$9:$A$190,'2. TEUs &amp; Activities - EF'!$M$9:$M$190),_xlfn.XLOOKUP($B324,'2. TEUs &amp; Activities - EF'!$B$9:$B$190,'2. TEUs &amp; Activities - EF'!$M$9:$M$190))*'3. Pollutant Emissions - EF'!$J324*IF(OR(ISBLANK($E324),$G324="Yes"),1,$E324)*IF($H324="Yes",1,(1-$F324))</f>
        <v>2.9411764705882354E-5</v>
      </c>
      <c r="O324" s="130"/>
    </row>
    <row r="325" spans="1:15" ht="15" x14ac:dyDescent="0.25">
      <c r="A325" s="5" t="s">
        <v>1320</v>
      </c>
      <c r="B325" s="7"/>
      <c r="C325" s="13" t="s">
        <v>63</v>
      </c>
      <c r="D325" s="19" t="str">
        <f>IFERROR(IF(C325="No CAS","",INDEX('DEQ Pollutant List'!$B$7:$B$611,MATCH('3. Pollutant Emissions - EF'!C325,'DEQ Pollutant List'!$A$7:$A$611,0))),"")</f>
        <v>Manganese and compounds</v>
      </c>
      <c r="E325" s="100">
        <v>0</v>
      </c>
      <c r="F325" s="36">
        <v>0</v>
      </c>
      <c r="G325" s="100" t="s">
        <v>1415</v>
      </c>
      <c r="H325" s="36" t="s">
        <v>1415</v>
      </c>
      <c r="I325" s="34">
        <v>3.8000000000000002E-4</v>
      </c>
      <c r="J325" s="11">
        <f t="shared" si="7"/>
        <v>3.8000000000000002E-4</v>
      </c>
      <c r="K325" s="6" t="s">
        <v>1416</v>
      </c>
      <c r="L325" s="20" t="s">
        <v>1422</v>
      </c>
      <c r="M325" s="7">
        <f>IF(ISBLANK($B325),_xlfn.XLOOKUP($A325,'2. TEUs &amp; Activities - EF'!$A$9:$A$190,'2. TEUs &amp; Activities - EF'!$J$9:$J$190),_xlfn.XLOOKUP($B325,'2. TEUs &amp; Activities - EF'!$B$9:$B$190,'2. TEUs &amp; Activities - EF'!$J$9:$J$190))*'3. Pollutant Emissions - EF'!$I325*IF(OR(ISBLANK($E325),$G325="Yes"),1,$E325)*IF($H325="Yes",1,(1-$F325))</f>
        <v>8.1588235294117652E-3</v>
      </c>
      <c r="N325" s="5">
        <f>IF(ISBLANK($B325),_xlfn.XLOOKUP($A325,'2. TEUs &amp; Activities - EF'!$A$9:$A$190,'2. TEUs &amp; Activities - EF'!$M$9:$M$190),_xlfn.XLOOKUP($B325,'2. TEUs &amp; Activities - EF'!$B$9:$B$190,'2. TEUs &amp; Activities - EF'!$M$9:$M$190))*'3. Pollutant Emissions - EF'!$J325*IF(OR(ISBLANK($E325),$G325="Yes"),1,$E325)*IF($H325="Yes",1,(1-$F325))</f>
        <v>2.235294117647059E-5</v>
      </c>
      <c r="O325" s="130"/>
    </row>
    <row r="326" spans="1:15" ht="15" x14ac:dyDescent="0.25">
      <c r="A326" s="5" t="s">
        <v>1320</v>
      </c>
      <c r="B326" s="7"/>
      <c r="C326" s="13" t="s">
        <v>64</v>
      </c>
      <c r="D326" s="19" t="str">
        <f>IFERROR(IF(C326="No CAS","",INDEX('DEQ Pollutant List'!$B$7:$B$611,MATCH('3. Pollutant Emissions - EF'!C326,'DEQ Pollutant List'!$A$7:$A$611,0))),"")</f>
        <v>Mercury and compounds</v>
      </c>
      <c r="E326" s="100">
        <v>0</v>
      </c>
      <c r="F326" s="36">
        <v>0</v>
      </c>
      <c r="G326" s="100" t="s">
        <v>1415</v>
      </c>
      <c r="H326" s="36" t="s">
        <v>1415</v>
      </c>
      <c r="I326" s="34">
        <v>2.5999999999999998E-4</v>
      </c>
      <c r="J326" s="11">
        <f t="shared" si="7"/>
        <v>2.5999999999999998E-4</v>
      </c>
      <c r="K326" s="6" t="s">
        <v>1416</v>
      </c>
      <c r="L326" s="20" t="s">
        <v>1422</v>
      </c>
      <c r="M326" s="7">
        <f>IF(ISBLANK($B326),_xlfn.XLOOKUP($A326,'2. TEUs &amp; Activities - EF'!$A$9:$A$190,'2. TEUs &amp; Activities - EF'!$J$9:$J$190),_xlfn.XLOOKUP($B326,'2. TEUs &amp; Activities - EF'!$B$9:$B$190,'2. TEUs &amp; Activities - EF'!$J$9:$J$190))*'3. Pollutant Emissions - EF'!$I326*IF(OR(ISBLANK($E326),$G326="Yes"),1,$E326)*IF($H326="Yes",1,(1-$F326))</f>
        <v>5.5823529411764697E-3</v>
      </c>
      <c r="N326" s="5">
        <f>IF(ISBLANK($B326),_xlfn.XLOOKUP($A326,'2. TEUs &amp; Activities - EF'!$A$9:$A$190,'2. TEUs &amp; Activities - EF'!$M$9:$M$190),_xlfn.XLOOKUP($B326,'2. TEUs &amp; Activities - EF'!$B$9:$B$190,'2. TEUs &amp; Activities - EF'!$M$9:$M$190))*'3. Pollutant Emissions - EF'!$J326*IF(OR(ISBLANK($E326),$G326="Yes"),1,$E326)*IF($H326="Yes",1,(1-$F326))</f>
        <v>1.5294117647058822E-5</v>
      </c>
      <c r="O326" s="130"/>
    </row>
    <row r="327" spans="1:15" ht="15" x14ac:dyDescent="0.25">
      <c r="A327" s="5" t="s">
        <v>1320</v>
      </c>
      <c r="B327" s="7"/>
      <c r="C327" s="13" t="s">
        <v>65</v>
      </c>
      <c r="D327" s="19" t="str">
        <f>IFERROR(IF(C327="No CAS","",INDEX('DEQ Pollutant List'!$B$7:$B$611,MATCH('3. Pollutant Emissions - EF'!C327,'DEQ Pollutant List'!$A$7:$A$611,0))),"")</f>
        <v>Molybdenum trioxide</v>
      </c>
      <c r="E327" s="100">
        <v>0</v>
      </c>
      <c r="F327" s="36">
        <v>0</v>
      </c>
      <c r="G327" s="100" t="s">
        <v>1415</v>
      </c>
      <c r="H327" s="36" t="s">
        <v>1415</v>
      </c>
      <c r="I327" s="34">
        <v>1.65E-3</v>
      </c>
      <c r="J327" s="11">
        <f t="shared" si="7"/>
        <v>1.65E-3</v>
      </c>
      <c r="K327" s="6" t="s">
        <v>1416</v>
      </c>
      <c r="L327" s="20" t="s">
        <v>1422</v>
      </c>
      <c r="M327" s="7">
        <f>IF(ISBLANK($B327),_xlfn.XLOOKUP($A327,'2. TEUs &amp; Activities - EF'!$A$9:$A$190,'2. TEUs &amp; Activities - EF'!$J$9:$J$190),_xlfn.XLOOKUP($B327,'2. TEUs &amp; Activities - EF'!$B$9:$B$190,'2. TEUs &amp; Activities - EF'!$J$9:$J$190))*'3. Pollutant Emissions - EF'!$I327*IF(OR(ISBLANK($E327),$G327="Yes"),1,$E327)*IF($H327="Yes",1,(1-$F327))</f>
        <v>3.5426470588235288E-2</v>
      </c>
      <c r="N327" s="5">
        <f>IF(ISBLANK($B327),_xlfn.XLOOKUP($A327,'2. TEUs &amp; Activities - EF'!$A$9:$A$190,'2. TEUs &amp; Activities - EF'!$M$9:$M$190),_xlfn.XLOOKUP($B327,'2. TEUs &amp; Activities - EF'!$B$9:$B$190,'2. TEUs &amp; Activities - EF'!$M$9:$M$190))*'3. Pollutant Emissions - EF'!$J327*IF(OR(ISBLANK($E327),$G327="Yes"),1,$E327)*IF($H327="Yes",1,(1-$F327))</f>
        <v>9.7058823529411756E-5</v>
      </c>
      <c r="O327" s="130"/>
    </row>
    <row r="328" spans="1:15" ht="15" x14ac:dyDescent="0.25">
      <c r="A328" s="5" t="s">
        <v>1320</v>
      </c>
      <c r="B328" s="7"/>
      <c r="C328" s="13" t="s">
        <v>49</v>
      </c>
      <c r="D328" s="19" t="str">
        <f>IFERROR(IF(C328="No CAS","",INDEX('DEQ Pollutant List'!$B$7:$B$611,MATCH('3. Pollutant Emissions - EF'!C328,'DEQ Pollutant List'!$A$7:$A$611,0))),"")</f>
        <v>Naphthalene</v>
      </c>
      <c r="E328" s="100">
        <v>0</v>
      </c>
      <c r="F328" s="36">
        <v>0</v>
      </c>
      <c r="G328" s="100" t="s">
        <v>1415</v>
      </c>
      <c r="H328" s="36" t="s">
        <v>1415</v>
      </c>
      <c r="I328" s="34">
        <v>2.9999999999999997E-4</v>
      </c>
      <c r="J328" s="11">
        <f t="shared" si="7"/>
        <v>2.9999999999999997E-4</v>
      </c>
      <c r="K328" s="6" t="s">
        <v>1416</v>
      </c>
      <c r="L328" s="20" t="s">
        <v>1422</v>
      </c>
      <c r="M328" s="7">
        <f>IF(ISBLANK($B328),_xlfn.XLOOKUP($A328,'2. TEUs &amp; Activities - EF'!$A$9:$A$190,'2. TEUs &amp; Activities - EF'!$J$9:$J$190),_xlfn.XLOOKUP($B328,'2. TEUs &amp; Activities - EF'!$B$9:$B$190,'2. TEUs &amp; Activities - EF'!$J$9:$J$190))*'3. Pollutant Emissions - EF'!$I328*IF(OR(ISBLANK($E328),$G328="Yes"),1,$E328)*IF($H328="Yes",1,(1-$F328))</f>
        <v>6.441176470588234E-3</v>
      </c>
      <c r="N328" s="5">
        <f>IF(ISBLANK($B328),_xlfn.XLOOKUP($A328,'2. TEUs &amp; Activities - EF'!$A$9:$A$190,'2. TEUs &amp; Activities - EF'!$M$9:$M$190),_xlfn.XLOOKUP($B328,'2. TEUs &amp; Activities - EF'!$B$9:$B$190,'2. TEUs &amp; Activities - EF'!$M$9:$M$190))*'3. Pollutant Emissions - EF'!$J328*IF(OR(ISBLANK($E328),$G328="Yes"),1,$E328)*IF($H328="Yes",1,(1-$F328))</f>
        <v>1.764705882352941E-5</v>
      </c>
      <c r="O328" s="130"/>
    </row>
    <row r="329" spans="1:15" ht="15" x14ac:dyDescent="0.25">
      <c r="A329" s="5" t="s">
        <v>1320</v>
      </c>
      <c r="B329" s="7"/>
      <c r="C329" s="13" t="s">
        <v>66</v>
      </c>
      <c r="D329" s="19" t="str">
        <f>IFERROR(IF(C329="No CAS","",INDEX('DEQ Pollutant List'!$B$7:$B$611,MATCH('3. Pollutant Emissions - EF'!C329,'DEQ Pollutant List'!$A$7:$A$611,0))),"")</f>
        <v>Nickel and compounds</v>
      </c>
      <c r="E329" s="100">
        <v>0</v>
      </c>
      <c r="F329" s="36">
        <v>0</v>
      </c>
      <c r="G329" s="100" t="s">
        <v>1415</v>
      </c>
      <c r="H329" s="36" t="s">
        <v>1415</v>
      </c>
      <c r="I329" s="34">
        <v>2.0999999999999999E-3</v>
      </c>
      <c r="J329" s="11">
        <f t="shared" si="7"/>
        <v>2.0999999999999999E-3</v>
      </c>
      <c r="K329" s="6" t="s">
        <v>1416</v>
      </c>
      <c r="L329" s="20" t="s">
        <v>1422</v>
      </c>
      <c r="M329" s="7">
        <f>IF(ISBLANK($B329),_xlfn.XLOOKUP($A329,'2. TEUs &amp; Activities - EF'!$A$9:$A$190,'2. TEUs &amp; Activities - EF'!$J$9:$J$190),_xlfn.XLOOKUP($B329,'2. TEUs &amp; Activities - EF'!$B$9:$B$190,'2. TEUs &amp; Activities - EF'!$J$9:$J$190))*'3. Pollutant Emissions - EF'!$I329*IF(OR(ISBLANK($E329),$G329="Yes"),1,$E329)*IF($H329="Yes",1,(1-$F329))</f>
        <v>4.5088235294117637E-2</v>
      </c>
      <c r="N329" s="5">
        <f>IF(ISBLANK($B329),_xlfn.XLOOKUP($A329,'2. TEUs &amp; Activities - EF'!$A$9:$A$190,'2. TEUs &amp; Activities - EF'!$M$9:$M$190),_xlfn.XLOOKUP($B329,'2. TEUs &amp; Activities - EF'!$B$9:$B$190,'2. TEUs &amp; Activities - EF'!$M$9:$M$190))*'3. Pollutant Emissions - EF'!$J329*IF(OR(ISBLANK($E329),$G329="Yes"),1,$E329)*IF($H329="Yes",1,(1-$F329))</f>
        <v>1.2352941176470587E-4</v>
      </c>
      <c r="O329" s="130"/>
    </row>
    <row r="330" spans="1:15" ht="15" x14ac:dyDescent="0.25">
      <c r="A330" s="5" t="s">
        <v>1320</v>
      </c>
      <c r="B330" s="7"/>
      <c r="C330" s="13">
        <v>401</v>
      </c>
      <c r="D330" s="19" t="str">
        <f>IFERROR(IF(C330="No CAS","",INDEX('DEQ Pollutant List'!$B$7:$B$611,MATCH('3. Pollutant Emissions - EF'!C330,'DEQ Pollutant List'!$A$7:$A$611,0))),"")</f>
        <v>Polycyclic aromatic hydrocarbons (PAHs)</v>
      </c>
      <c r="E330" s="100">
        <v>0</v>
      </c>
      <c r="F330" s="36">
        <v>0</v>
      </c>
      <c r="G330" s="100" t="s">
        <v>1415</v>
      </c>
      <c r="H330" s="36" t="s">
        <v>1415</v>
      </c>
      <c r="I330" s="34">
        <v>1E-4</v>
      </c>
      <c r="J330" s="11">
        <f t="shared" si="7"/>
        <v>1E-4</v>
      </c>
      <c r="K330" s="6" t="s">
        <v>1416</v>
      </c>
      <c r="L330" s="20" t="s">
        <v>1422</v>
      </c>
      <c r="M330" s="7">
        <f>IF(ISBLANK($B330),_xlfn.XLOOKUP($A330,'2. TEUs &amp; Activities - EF'!$A$9:$A$190,'2. TEUs &amp; Activities - EF'!$J$9:$J$190),_xlfn.XLOOKUP($B330,'2. TEUs &amp; Activities - EF'!$B$9:$B$190,'2. TEUs &amp; Activities - EF'!$J$9:$J$190))*'3. Pollutant Emissions - EF'!$I330*IF(OR(ISBLANK($E330),$G330="Yes"),1,$E330)*IF($H330="Yes",1,(1-$F330))</f>
        <v>2.1470588235294116E-3</v>
      </c>
      <c r="N330" s="5">
        <f>IF(ISBLANK($B330),_xlfn.XLOOKUP($A330,'2. TEUs &amp; Activities - EF'!$A$9:$A$190,'2. TEUs &amp; Activities - EF'!$M$9:$M$190),_xlfn.XLOOKUP($B330,'2. TEUs &amp; Activities - EF'!$B$9:$B$190,'2. TEUs &amp; Activities - EF'!$M$9:$M$190))*'3. Pollutant Emissions - EF'!$J330*IF(OR(ISBLANK($E330),$G330="Yes"),1,$E330)*IF($H330="Yes",1,(1-$F330))</f>
        <v>5.8823529411764709E-6</v>
      </c>
      <c r="O330" s="130"/>
    </row>
    <row r="331" spans="1:15" ht="15" x14ac:dyDescent="0.25">
      <c r="A331" s="5" t="s">
        <v>1320</v>
      </c>
      <c r="B331" s="7"/>
      <c r="C331" s="13" t="s">
        <v>67</v>
      </c>
      <c r="D331" s="19" t="str">
        <f>IFERROR(IF(C331="No CAS","",INDEX('DEQ Pollutant List'!$B$7:$B$611,MATCH('3. Pollutant Emissions - EF'!C331,'DEQ Pollutant List'!$A$7:$A$611,0))),"")</f>
        <v>Selenium and compounds</v>
      </c>
      <c r="E331" s="100">
        <v>0</v>
      </c>
      <c r="F331" s="36">
        <v>0</v>
      </c>
      <c r="G331" s="100" t="s">
        <v>1415</v>
      </c>
      <c r="H331" s="36" t="s">
        <v>1415</v>
      </c>
      <c r="I331" s="34">
        <v>2.4000000000000001E-5</v>
      </c>
      <c r="J331" s="11">
        <f t="shared" si="7"/>
        <v>2.4000000000000001E-5</v>
      </c>
      <c r="K331" s="6" t="s">
        <v>1416</v>
      </c>
      <c r="L331" s="20" t="s">
        <v>1422</v>
      </c>
      <c r="M331" s="7">
        <f>IF(ISBLANK($B331),_xlfn.XLOOKUP($A331,'2. TEUs &amp; Activities - EF'!$A$9:$A$190,'2. TEUs &amp; Activities - EF'!$J$9:$J$190),_xlfn.XLOOKUP($B331,'2. TEUs &amp; Activities - EF'!$B$9:$B$190,'2. TEUs &amp; Activities - EF'!$J$9:$J$190))*'3. Pollutant Emissions - EF'!$I331*IF(OR(ISBLANK($E331),$G331="Yes"),1,$E331)*IF($H331="Yes",1,(1-$F331))</f>
        <v>5.1529411764705878E-4</v>
      </c>
      <c r="N331" s="5">
        <f>IF(ISBLANK($B331),_xlfn.XLOOKUP($A331,'2. TEUs &amp; Activities - EF'!$A$9:$A$190,'2. TEUs &amp; Activities - EF'!$M$9:$M$190),_xlfn.XLOOKUP($B331,'2. TEUs &amp; Activities - EF'!$B$9:$B$190,'2. TEUs &amp; Activities - EF'!$M$9:$M$190))*'3. Pollutant Emissions - EF'!$J331*IF(OR(ISBLANK($E331),$G331="Yes"),1,$E331)*IF($H331="Yes",1,(1-$F331))</f>
        <v>1.4117647058823529E-6</v>
      </c>
      <c r="O331" s="130"/>
    </row>
    <row r="332" spans="1:15" ht="15" x14ac:dyDescent="0.25">
      <c r="A332" s="5" t="s">
        <v>1320</v>
      </c>
      <c r="B332" s="7"/>
      <c r="C332" s="13" t="s">
        <v>68</v>
      </c>
      <c r="D332" s="19" t="str">
        <f>IFERROR(IF(C332="No CAS","",INDEX('DEQ Pollutant List'!$B$7:$B$611,MATCH('3. Pollutant Emissions - EF'!C332,'DEQ Pollutant List'!$A$7:$A$611,0))),"")</f>
        <v>Toluene</v>
      </c>
      <c r="E332" s="100">
        <v>0</v>
      </c>
      <c r="F332" s="36">
        <v>0</v>
      </c>
      <c r="G332" s="100" t="s">
        <v>1415</v>
      </c>
      <c r="H332" s="36" t="s">
        <v>1415</v>
      </c>
      <c r="I332" s="34">
        <v>3.6600000000000001E-2</v>
      </c>
      <c r="J332" s="11">
        <f t="shared" si="7"/>
        <v>3.6600000000000001E-2</v>
      </c>
      <c r="K332" s="6" t="s">
        <v>1416</v>
      </c>
      <c r="L332" s="20" t="s">
        <v>1422</v>
      </c>
      <c r="M332" s="7">
        <f>IF(ISBLANK($B332),_xlfn.XLOOKUP($A332,'2. TEUs &amp; Activities - EF'!$A$9:$A$190,'2. TEUs &amp; Activities - EF'!$J$9:$J$190),_xlfn.XLOOKUP($B332,'2. TEUs &amp; Activities - EF'!$B$9:$B$190,'2. TEUs &amp; Activities - EF'!$J$9:$J$190))*'3. Pollutant Emissions - EF'!$I332*IF(OR(ISBLANK($E332),$G332="Yes"),1,$E332)*IF($H332="Yes",1,(1-$F332))</f>
        <v>0.7858235294117647</v>
      </c>
      <c r="N332" s="5">
        <f>IF(ISBLANK($B332),_xlfn.XLOOKUP($A332,'2. TEUs &amp; Activities - EF'!$A$9:$A$190,'2. TEUs &amp; Activities - EF'!$M$9:$M$190),_xlfn.XLOOKUP($B332,'2. TEUs &amp; Activities - EF'!$B$9:$B$190,'2. TEUs &amp; Activities - EF'!$M$9:$M$190))*'3. Pollutant Emissions - EF'!$J332*IF(OR(ISBLANK($E332),$G332="Yes"),1,$E332)*IF($H332="Yes",1,(1-$F332))</f>
        <v>2.1529411764705884E-3</v>
      </c>
      <c r="O332" s="130"/>
    </row>
    <row r="333" spans="1:15" ht="15" x14ac:dyDescent="0.25">
      <c r="A333" s="5" t="s">
        <v>1320</v>
      </c>
      <c r="B333" s="7"/>
      <c r="C333" s="13" t="s">
        <v>69</v>
      </c>
      <c r="D333" s="19" t="str">
        <f>IFERROR(IF(C333="No CAS","",INDEX('DEQ Pollutant List'!$B$7:$B$611,MATCH('3. Pollutant Emissions - EF'!C333,'DEQ Pollutant List'!$A$7:$A$611,0))),"")</f>
        <v>Vanadium (fume or dust)</v>
      </c>
      <c r="E333" s="100">
        <v>0</v>
      </c>
      <c r="F333" s="36">
        <v>0</v>
      </c>
      <c r="G333" s="100" t="s">
        <v>1415</v>
      </c>
      <c r="H333" s="36" t="s">
        <v>1415</v>
      </c>
      <c r="I333" s="34">
        <v>2.3E-3</v>
      </c>
      <c r="J333" s="11">
        <f t="shared" si="7"/>
        <v>2.3E-3</v>
      </c>
      <c r="K333" s="6" t="s">
        <v>1416</v>
      </c>
      <c r="L333" s="20" t="s">
        <v>1422</v>
      </c>
      <c r="M333" s="7">
        <f>IF(ISBLANK($B333),_xlfn.XLOOKUP($A333,'2. TEUs &amp; Activities - EF'!$A$9:$A$190,'2. TEUs &amp; Activities - EF'!$J$9:$J$190),_xlfn.XLOOKUP($B333,'2. TEUs &amp; Activities - EF'!$B$9:$B$190,'2. TEUs &amp; Activities - EF'!$J$9:$J$190))*'3. Pollutant Emissions - EF'!$I333*IF(OR(ISBLANK($E333),$G333="Yes"),1,$E333)*IF($H333="Yes",1,(1-$F333))</f>
        <v>4.9382352941176468E-2</v>
      </c>
      <c r="N333" s="5">
        <f>IF(ISBLANK($B333),_xlfn.XLOOKUP($A333,'2. TEUs &amp; Activities - EF'!$A$9:$A$190,'2. TEUs &amp; Activities - EF'!$M$9:$M$190),_xlfn.XLOOKUP($B333,'2. TEUs &amp; Activities - EF'!$B$9:$B$190,'2. TEUs &amp; Activities - EF'!$M$9:$M$190))*'3. Pollutant Emissions - EF'!$J333*IF(OR(ISBLANK($E333),$G333="Yes"),1,$E333)*IF($H333="Yes",1,(1-$F333))</f>
        <v>1.3529411764705881E-4</v>
      </c>
      <c r="O333" s="130"/>
    </row>
    <row r="334" spans="1:15" ht="15" x14ac:dyDescent="0.25">
      <c r="A334" s="5" t="s">
        <v>1320</v>
      </c>
      <c r="B334" s="7"/>
      <c r="C334" s="13" t="s">
        <v>70</v>
      </c>
      <c r="D334" s="19" t="str">
        <f>IFERROR(IF(C334="No CAS","",INDEX('DEQ Pollutant List'!$B$7:$B$611,MATCH('3. Pollutant Emissions - EF'!C334,'DEQ Pollutant List'!$A$7:$A$611,0))),"")</f>
        <v>Xylene (mixture), including m-xylene, o-xylene, p-xylene</v>
      </c>
      <c r="E334" s="100">
        <v>0</v>
      </c>
      <c r="F334" s="36">
        <v>0</v>
      </c>
      <c r="G334" s="100" t="s">
        <v>1415</v>
      </c>
      <c r="H334" s="36" t="s">
        <v>1415</v>
      </c>
      <c r="I334" s="34">
        <v>2.7199999999999998E-2</v>
      </c>
      <c r="J334" s="11">
        <f t="shared" si="7"/>
        <v>2.7199999999999998E-2</v>
      </c>
      <c r="K334" s="6" t="s">
        <v>1416</v>
      </c>
      <c r="L334" s="20" t="s">
        <v>1422</v>
      </c>
      <c r="M334" s="7">
        <f>IF(ISBLANK($B334),_xlfn.XLOOKUP($A334,'2. TEUs &amp; Activities - EF'!$A$9:$A$190,'2. TEUs &amp; Activities - EF'!$J$9:$J$190),_xlfn.XLOOKUP($B334,'2. TEUs &amp; Activities - EF'!$B$9:$B$190,'2. TEUs &amp; Activities - EF'!$J$9:$J$190))*'3. Pollutant Emissions - EF'!$I334*IF(OR(ISBLANK($E334),$G334="Yes"),1,$E334)*IF($H334="Yes",1,(1-$F334))</f>
        <v>0.58399999999999996</v>
      </c>
      <c r="N334" s="5">
        <f>IF(ISBLANK($B334),_xlfn.XLOOKUP($A334,'2. TEUs &amp; Activities - EF'!$A$9:$A$190,'2. TEUs &amp; Activities - EF'!$M$9:$M$190),_xlfn.XLOOKUP($B334,'2. TEUs &amp; Activities - EF'!$B$9:$B$190,'2. TEUs &amp; Activities - EF'!$M$9:$M$190))*'3. Pollutant Emissions - EF'!$J334*IF(OR(ISBLANK($E334),$G334="Yes"),1,$E334)*IF($H334="Yes",1,(1-$F334))</f>
        <v>1.5999999999999999E-3</v>
      </c>
      <c r="O334" s="130"/>
    </row>
    <row r="335" spans="1:15" ht="15" x14ac:dyDescent="0.25">
      <c r="A335" s="5" t="s">
        <v>1320</v>
      </c>
      <c r="B335" s="7"/>
      <c r="C335" s="13" t="s">
        <v>71</v>
      </c>
      <c r="D335" s="19" t="str">
        <f>IFERROR(IF(C335="No CAS","",INDEX('DEQ Pollutant List'!$B$7:$B$611,MATCH('3. Pollutant Emissions - EF'!C335,'DEQ Pollutant List'!$A$7:$A$611,0))),"")</f>
        <v>Zinc and compounds</v>
      </c>
      <c r="E335" s="100">
        <v>0</v>
      </c>
      <c r="F335" s="36">
        <v>0</v>
      </c>
      <c r="G335" s="100" t="s">
        <v>1415</v>
      </c>
      <c r="H335" s="36" t="s">
        <v>1415</v>
      </c>
      <c r="I335" s="34">
        <v>2.9000000000000001E-2</v>
      </c>
      <c r="J335" s="11">
        <f t="shared" si="7"/>
        <v>2.9000000000000001E-2</v>
      </c>
      <c r="K335" s="6" t="s">
        <v>1416</v>
      </c>
      <c r="L335" s="20" t="s">
        <v>1422</v>
      </c>
      <c r="M335" s="7">
        <f>IF(ISBLANK($B335),_xlfn.XLOOKUP($A335,'2. TEUs &amp; Activities - EF'!$A$9:$A$190,'2. TEUs &amp; Activities - EF'!$J$9:$J$190),_xlfn.XLOOKUP($B335,'2. TEUs &amp; Activities - EF'!$B$9:$B$190,'2. TEUs &amp; Activities - EF'!$J$9:$J$190))*'3. Pollutant Emissions - EF'!$I335*IF(OR(ISBLANK($E335),$G335="Yes"),1,$E335)*IF($H335="Yes",1,(1-$F335))</f>
        <v>0.62264705882352944</v>
      </c>
      <c r="N335" s="5">
        <f>IF(ISBLANK($B335),_xlfn.XLOOKUP($A335,'2. TEUs &amp; Activities - EF'!$A$9:$A$190,'2. TEUs &amp; Activities - EF'!$M$9:$M$190),_xlfn.XLOOKUP($B335,'2. TEUs &amp; Activities - EF'!$B$9:$B$190,'2. TEUs &amp; Activities - EF'!$M$9:$M$190))*'3. Pollutant Emissions - EF'!$J335*IF(OR(ISBLANK($E335),$G335="Yes"),1,$E335)*IF($H335="Yes",1,(1-$F335))</f>
        <v>1.7058823529411764E-3</v>
      </c>
      <c r="O335" s="130"/>
    </row>
    <row r="336" spans="1:15" ht="15" x14ac:dyDescent="0.25">
      <c r="A336" s="5"/>
      <c r="B336" s="7"/>
      <c r="C336" s="13"/>
      <c r="D336" s="19" t="str">
        <f>IFERROR(IF(C336="No CAS","",INDEX('DEQ Pollutant List'!$B$7:$B$611,MATCH('3. Pollutant Emissions - EF'!C336,'DEQ Pollutant List'!$A$7:$A$611,0))),"")</f>
        <v/>
      </c>
      <c r="E336" s="100"/>
      <c r="F336" s="36"/>
      <c r="G336" s="100"/>
      <c r="H336" s="36"/>
      <c r="I336" s="34"/>
      <c r="J336" s="11"/>
      <c r="K336" s="6"/>
      <c r="L336" s="20"/>
      <c r="M336" s="7">
        <f>IF(ISBLANK($B336),_xlfn.XLOOKUP($A336,'2. TEUs &amp; Activities - EF'!$A$9:$A$190,'2. TEUs &amp; Activities - EF'!$J$9:$J$190),_xlfn.XLOOKUP($B336,'2. TEUs &amp; Activities - EF'!$B$9:$B$190,'2. TEUs &amp; Activities - EF'!$J$9:$J$190))*'3. Pollutant Emissions - EF'!$I336*IF(OR(ISBLANK($E336),$G336="Yes"),1,$E336)*IF($H336="Yes",1,(1-$F336))</f>
        <v>0</v>
      </c>
      <c r="N336" s="5">
        <f>IF(ISBLANK($B336),_xlfn.XLOOKUP($A336,'2. TEUs &amp; Activities - EF'!$A$9:$A$190,'2. TEUs &amp; Activities - EF'!$M$9:$M$190),_xlfn.XLOOKUP($B336,'2. TEUs &amp; Activities - EF'!$B$9:$B$190,'2. TEUs &amp; Activities - EF'!$M$9:$M$190))*'3. Pollutant Emissions - EF'!$J336*IF(OR(ISBLANK($E336),$G336="Yes"),1,$E336)*IF($H336="Yes",1,(1-$F336))</f>
        <v>0</v>
      </c>
      <c r="O336" s="130"/>
    </row>
    <row r="337" spans="1:15" ht="15" x14ac:dyDescent="0.25">
      <c r="A337" s="5" t="s">
        <v>1321</v>
      </c>
      <c r="B337" s="7"/>
      <c r="C337" s="13" t="s">
        <v>50</v>
      </c>
      <c r="D337" s="19" t="str">
        <f>IFERROR(IF(C337="No CAS","",INDEX('DEQ Pollutant List'!$B$7:$B$611,MATCH('3. Pollutant Emissions - EF'!C337,'DEQ Pollutant List'!$A$7:$A$611,0))),"")</f>
        <v>Acetaldehyde</v>
      </c>
      <c r="E337" s="100">
        <v>0</v>
      </c>
      <c r="F337" s="36">
        <v>0</v>
      </c>
      <c r="G337" s="100" t="s">
        <v>1415</v>
      </c>
      <c r="H337" s="36" t="s">
        <v>1415</v>
      </c>
      <c r="I337" s="34">
        <v>4.3E-3</v>
      </c>
      <c r="J337" s="11">
        <f t="shared" ref="J337:J362" si="8">I337</f>
        <v>4.3E-3</v>
      </c>
      <c r="K337" s="6" t="s">
        <v>1416</v>
      </c>
      <c r="L337" s="20" t="s">
        <v>1422</v>
      </c>
      <c r="M337" s="7">
        <f>IF(ISBLANK($B337),_xlfn.XLOOKUP($A337,'2. TEUs &amp; Activities - EF'!$A$9:$A$190,'2. TEUs &amp; Activities - EF'!$J$9:$J$190),_xlfn.XLOOKUP($B337,'2. TEUs &amp; Activities - EF'!$B$9:$B$190,'2. TEUs &amp; Activities - EF'!$J$9:$J$190))*'3. Pollutant Emissions - EF'!$I337*IF(OR(ISBLANK($E337),$G337="Yes"),1,$E337)*IF($H337="Yes",1,(1-$F337))</f>
        <v>6.6472941176470596E-2</v>
      </c>
      <c r="N337" s="5">
        <f>IF(ISBLANK($B337),_xlfn.XLOOKUP($A337,'2. TEUs &amp; Activities - EF'!$A$9:$A$190,'2. TEUs &amp; Activities - EF'!$M$9:$M$190),_xlfn.XLOOKUP($B337,'2. TEUs &amp; Activities - EF'!$B$9:$B$190,'2. TEUs &amp; Activities - EF'!$M$9:$M$190))*'3. Pollutant Emissions - EF'!$J337*IF(OR(ISBLANK($E337),$G337="Yes"),1,$E337)*IF($H337="Yes",1,(1-$F337))</f>
        <v>1.8211764705882355E-4</v>
      </c>
      <c r="O337" s="130"/>
    </row>
    <row r="338" spans="1:15" ht="15" x14ac:dyDescent="0.25">
      <c r="A338" s="5" t="s">
        <v>1321</v>
      </c>
      <c r="B338" s="7"/>
      <c r="C338" s="13" t="s">
        <v>51</v>
      </c>
      <c r="D338" s="19" t="str">
        <f>IFERROR(IF(C338="No CAS","",INDEX('DEQ Pollutant List'!$B$7:$B$611,MATCH('3. Pollutant Emissions - EF'!C338,'DEQ Pollutant List'!$A$7:$A$611,0))),"")</f>
        <v>Acrolein</v>
      </c>
      <c r="E338" s="100">
        <v>0</v>
      </c>
      <c r="F338" s="36">
        <v>0</v>
      </c>
      <c r="G338" s="100" t="s">
        <v>1415</v>
      </c>
      <c r="H338" s="36" t="s">
        <v>1415</v>
      </c>
      <c r="I338" s="34">
        <v>2.7000000000000001E-3</v>
      </c>
      <c r="J338" s="11">
        <f t="shared" si="8"/>
        <v>2.7000000000000001E-3</v>
      </c>
      <c r="K338" s="6" t="s">
        <v>1416</v>
      </c>
      <c r="L338" s="20" t="s">
        <v>1422</v>
      </c>
      <c r="M338" s="7">
        <f>IF(ISBLANK($B338),_xlfn.XLOOKUP($A338,'2. TEUs &amp; Activities - EF'!$A$9:$A$190,'2. TEUs &amp; Activities - EF'!$J$9:$J$190),_xlfn.XLOOKUP($B338,'2. TEUs &amp; Activities - EF'!$B$9:$B$190,'2. TEUs &amp; Activities - EF'!$J$9:$J$190))*'3. Pollutant Emissions - EF'!$I338*IF(OR(ISBLANK($E338),$G338="Yes"),1,$E338)*IF($H338="Yes",1,(1-$F338))</f>
        <v>4.1738823529411766E-2</v>
      </c>
      <c r="N338" s="5">
        <f>IF(ISBLANK($B338),_xlfn.XLOOKUP($A338,'2. TEUs &amp; Activities - EF'!$A$9:$A$190,'2. TEUs &amp; Activities - EF'!$M$9:$M$190),_xlfn.XLOOKUP($B338,'2. TEUs &amp; Activities - EF'!$B$9:$B$190,'2. TEUs &amp; Activities - EF'!$M$9:$M$190))*'3. Pollutant Emissions - EF'!$J338*IF(OR(ISBLANK($E338),$G338="Yes"),1,$E338)*IF($H338="Yes",1,(1-$F338))</f>
        <v>1.1435294117647061E-4</v>
      </c>
      <c r="O338" s="130"/>
    </row>
    <row r="339" spans="1:15" ht="15" x14ac:dyDescent="0.25">
      <c r="A339" s="5" t="s">
        <v>1321</v>
      </c>
      <c r="B339" s="7"/>
      <c r="C339" s="13" t="s">
        <v>52</v>
      </c>
      <c r="D339" s="19" t="str">
        <f>IFERROR(IF(C339="No CAS","",INDEX('DEQ Pollutant List'!$B$7:$B$611,MATCH('3. Pollutant Emissions - EF'!C339,'DEQ Pollutant List'!$A$7:$A$611,0))),"")</f>
        <v>Ammonia</v>
      </c>
      <c r="E339" s="100">
        <v>0</v>
      </c>
      <c r="F339" s="36">
        <v>0</v>
      </c>
      <c r="G339" s="100" t="s">
        <v>1415</v>
      </c>
      <c r="H339" s="36" t="s">
        <v>1415</v>
      </c>
      <c r="I339" s="34">
        <v>3.2</v>
      </c>
      <c r="J339" s="11">
        <f t="shared" si="8"/>
        <v>3.2</v>
      </c>
      <c r="K339" s="6" t="s">
        <v>1416</v>
      </c>
      <c r="L339" s="20" t="s">
        <v>1422</v>
      </c>
      <c r="M339" s="7">
        <f>IF(ISBLANK($B339),_xlfn.XLOOKUP($A339,'2. TEUs &amp; Activities - EF'!$A$9:$A$190,'2. TEUs &amp; Activities - EF'!$J$9:$J$190),_xlfn.XLOOKUP($B339,'2. TEUs &amp; Activities - EF'!$B$9:$B$190,'2. TEUs &amp; Activities - EF'!$J$9:$J$190))*'3. Pollutant Emissions - EF'!$I339*IF(OR(ISBLANK($E339),$G339="Yes"),1,$E339)*IF($H339="Yes",1,(1-$F339))</f>
        <v>49.468235294117648</v>
      </c>
      <c r="N339" s="5">
        <f>IF(ISBLANK($B339),_xlfn.XLOOKUP($A339,'2. TEUs &amp; Activities - EF'!$A$9:$A$190,'2. TEUs &amp; Activities - EF'!$M$9:$M$190),_xlfn.XLOOKUP($B339,'2. TEUs &amp; Activities - EF'!$B$9:$B$190,'2. TEUs &amp; Activities - EF'!$M$9:$M$190))*'3. Pollutant Emissions - EF'!$J339*IF(OR(ISBLANK($E339),$G339="Yes"),1,$E339)*IF($H339="Yes",1,(1-$F339))</f>
        <v>0.1355294117647059</v>
      </c>
      <c r="O339" s="130"/>
    </row>
    <row r="340" spans="1:15" ht="15" x14ac:dyDescent="0.25">
      <c r="A340" s="5" t="s">
        <v>1321</v>
      </c>
      <c r="B340" s="7"/>
      <c r="C340" s="13" t="s">
        <v>53</v>
      </c>
      <c r="D340" s="19" t="str">
        <f>IFERROR(IF(C340="No CAS","",INDEX('DEQ Pollutant List'!$B$7:$B$611,MATCH('3. Pollutant Emissions - EF'!C340,'DEQ Pollutant List'!$A$7:$A$611,0))),"")</f>
        <v>Arsenic and compounds</v>
      </c>
      <c r="E340" s="100">
        <v>0</v>
      </c>
      <c r="F340" s="36">
        <v>0</v>
      </c>
      <c r="G340" s="100" t="s">
        <v>1415</v>
      </c>
      <c r="H340" s="36" t="s">
        <v>1415</v>
      </c>
      <c r="I340" s="34">
        <v>2.0000000000000001E-4</v>
      </c>
      <c r="J340" s="11">
        <f t="shared" si="8"/>
        <v>2.0000000000000001E-4</v>
      </c>
      <c r="K340" s="6" t="s">
        <v>1416</v>
      </c>
      <c r="L340" s="20" t="s">
        <v>1422</v>
      </c>
      <c r="M340" s="7">
        <f>IF(ISBLANK($B340),_xlfn.XLOOKUP($A340,'2. TEUs &amp; Activities - EF'!$A$9:$A$190,'2. TEUs &amp; Activities - EF'!$J$9:$J$190),_xlfn.XLOOKUP($B340,'2. TEUs &amp; Activities - EF'!$B$9:$B$190,'2. TEUs &amp; Activities - EF'!$J$9:$J$190))*'3. Pollutant Emissions - EF'!$I340*IF(OR(ISBLANK($E340),$G340="Yes"),1,$E340)*IF($H340="Yes",1,(1-$F340))</f>
        <v>3.0917647058823533E-3</v>
      </c>
      <c r="N340" s="5">
        <f>IF(ISBLANK($B340),_xlfn.XLOOKUP($A340,'2. TEUs &amp; Activities - EF'!$A$9:$A$190,'2. TEUs &amp; Activities - EF'!$M$9:$M$190),_xlfn.XLOOKUP($B340,'2. TEUs &amp; Activities - EF'!$B$9:$B$190,'2. TEUs &amp; Activities - EF'!$M$9:$M$190))*'3. Pollutant Emissions - EF'!$J340*IF(OR(ISBLANK($E340),$G340="Yes"),1,$E340)*IF($H340="Yes",1,(1-$F340))</f>
        <v>8.4705882352941183E-6</v>
      </c>
      <c r="O340" s="130"/>
    </row>
    <row r="341" spans="1:15" ht="15" x14ac:dyDescent="0.25">
      <c r="A341" s="5" t="s">
        <v>1321</v>
      </c>
      <c r="B341" s="7"/>
      <c r="C341" s="13" t="s">
        <v>54</v>
      </c>
      <c r="D341" s="19" t="str">
        <f>IFERROR(IF(C341="No CAS","",INDEX('DEQ Pollutant List'!$B$7:$B$611,MATCH('3. Pollutant Emissions - EF'!C341,'DEQ Pollutant List'!$A$7:$A$611,0))),"")</f>
        <v>Barium and compounds</v>
      </c>
      <c r="E341" s="100">
        <v>0</v>
      </c>
      <c r="F341" s="36">
        <v>0</v>
      </c>
      <c r="G341" s="100" t="s">
        <v>1415</v>
      </c>
      <c r="H341" s="36" t="s">
        <v>1415</v>
      </c>
      <c r="I341" s="34">
        <v>4.4000000000000003E-3</v>
      </c>
      <c r="J341" s="11">
        <f t="shared" si="8"/>
        <v>4.4000000000000003E-3</v>
      </c>
      <c r="K341" s="6" t="s">
        <v>1416</v>
      </c>
      <c r="L341" s="20" t="s">
        <v>1422</v>
      </c>
      <c r="M341" s="7">
        <f>IF(ISBLANK($B341),_xlfn.XLOOKUP($A341,'2. TEUs &amp; Activities - EF'!$A$9:$A$190,'2. TEUs &amp; Activities - EF'!$J$9:$J$190),_xlfn.XLOOKUP($B341,'2. TEUs &amp; Activities - EF'!$B$9:$B$190,'2. TEUs &amp; Activities - EF'!$J$9:$J$190))*'3. Pollutant Emissions - EF'!$I341*IF(OR(ISBLANK($E341),$G341="Yes"),1,$E341)*IF($H341="Yes",1,(1-$F341))</f>
        <v>6.801882352941177E-2</v>
      </c>
      <c r="N341" s="5">
        <f>IF(ISBLANK($B341),_xlfn.XLOOKUP($A341,'2. TEUs &amp; Activities - EF'!$A$9:$A$190,'2. TEUs &amp; Activities - EF'!$M$9:$M$190),_xlfn.XLOOKUP($B341,'2. TEUs &amp; Activities - EF'!$B$9:$B$190,'2. TEUs &amp; Activities - EF'!$M$9:$M$190))*'3. Pollutant Emissions - EF'!$J341*IF(OR(ISBLANK($E341),$G341="Yes"),1,$E341)*IF($H341="Yes",1,(1-$F341))</f>
        <v>1.8635294117647062E-4</v>
      </c>
      <c r="O341" s="130"/>
    </row>
    <row r="342" spans="1:15" ht="15" x14ac:dyDescent="0.25">
      <c r="A342" s="5" t="s">
        <v>1321</v>
      </c>
      <c r="B342" s="7"/>
      <c r="C342" s="13" t="s">
        <v>46</v>
      </c>
      <c r="D342" s="19" t="str">
        <f>IFERROR(IF(C342="No CAS","",INDEX('DEQ Pollutant List'!$B$7:$B$611,MATCH('3. Pollutant Emissions - EF'!C342,'DEQ Pollutant List'!$A$7:$A$611,0))),"")</f>
        <v>Benzene</v>
      </c>
      <c r="E342" s="100">
        <v>0</v>
      </c>
      <c r="F342" s="36">
        <v>0</v>
      </c>
      <c r="G342" s="100" t="s">
        <v>1415</v>
      </c>
      <c r="H342" s="36" t="s">
        <v>1415</v>
      </c>
      <c r="I342" s="34">
        <v>8.0000000000000002E-3</v>
      </c>
      <c r="J342" s="11">
        <f t="shared" si="8"/>
        <v>8.0000000000000002E-3</v>
      </c>
      <c r="K342" s="6" t="s">
        <v>1416</v>
      </c>
      <c r="L342" s="20" t="s">
        <v>1422</v>
      </c>
      <c r="M342" s="7">
        <f>IF(ISBLANK($B342),_xlfn.XLOOKUP($A342,'2. TEUs &amp; Activities - EF'!$A$9:$A$190,'2. TEUs &amp; Activities - EF'!$J$9:$J$190),_xlfn.XLOOKUP($B342,'2. TEUs &amp; Activities - EF'!$B$9:$B$190,'2. TEUs &amp; Activities - EF'!$J$9:$J$190))*'3. Pollutant Emissions - EF'!$I342*IF(OR(ISBLANK($E342),$G342="Yes"),1,$E342)*IF($H342="Yes",1,(1-$F342))</f>
        <v>0.12367058823529412</v>
      </c>
      <c r="N342" s="5">
        <f>IF(ISBLANK($B342),_xlfn.XLOOKUP($A342,'2. TEUs &amp; Activities - EF'!$A$9:$A$190,'2. TEUs &amp; Activities - EF'!$M$9:$M$190),_xlfn.XLOOKUP($B342,'2. TEUs &amp; Activities - EF'!$B$9:$B$190,'2. TEUs &amp; Activities - EF'!$M$9:$M$190))*'3. Pollutant Emissions - EF'!$J342*IF(OR(ISBLANK($E342),$G342="Yes"),1,$E342)*IF($H342="Yes",1,(1-$F342))</f>
        <v>3.3882352941176473E-4</v>
      </c>
      <c r="O342" s="130"/>
    </row>
    <row r="343" spans="1:15" ht="15" x14ac:dyDescent="0.25">
      <c r="A343" s="5" t="s">
        <v>1321</v>
      </c>
      <c r="B343" s="7"/>
      <c r="C343" s="13" t="s">
        <v>55</v>
      </c>
      <c r="D343" s="19" t="str">
        <f>IFERROR(IF(C343="No CAS","",INDEX('DEQ Pollutant List'!$B$7:$B$611,MATCH('3. Pollutant Emissions - EF'!C343,'DEQ Pollutant List'!$A$7:$A$611,0))),"")</f>
        <v>Beryllium and compounds</v>
      </c>
      <c r="E343" s="100">
        <v>0</v>
      </c>
      <c r="F343" s="36">
        <v>0</v>
      </c>
      <c r="G343" s="100" t="s">
        <v>1415</v>
      </c>
      <c r="H343" s="36" t="s">
        <v>1415</v>
      </c>
      <c r="I343" s="34">
        <v>1.2E-5</v>
      </c>
      <c r="J343" s="11">
        <f t="shared" si="8"/>
        <v>1.2E-5</v>
      </c>
      <c r="K343" s="6" t="s">
        <v>1416</v>
      </c>
      <c r="L343" s="20" t="s">
        <v>1422</v>
      </c>
      <c r="M343" s="7">
        <f>IF(ISBLANK($B343),_xlfn.XLOOKUP($A343,'2. TEUs &amp; Activities - EF'!$A$9:$A$190,'2. TEUs &amp; Activities - EF'!$J$9:$J$190),_xlfn.XLOOKUP($B343,'2. TEUs &amp; Activities - EF'!$B$9:$B$190,'2. TEUs &amp; Activities - EF'!$J$9:$J$190))*'3. Pollutant Emissions - EF'!$I343*IF(OR(ISBLANK($E343),$G343="Yes"),1,$E343)*IF($H343="Yes",1,(1-$F343))</f>
        <v>1.8550588235294118E-4</v>
      </c>
      <c r="N343" s="5">
        <f>IF(ISBLANK($B343),_xlfn.XLOOKUP($A343,'2. TEUs &amp; Activities - EF'!$A$9:$A$190,'2. TEUs &amp; Activities - EF'!$M$9:$M$190),_xlfn.XLOOKUP($B343,'2. TEUs &amp; Activities - EF'!$B$9:$B$190,'2. TEUs &amp; Activities - EF'!$M$9:$M$190))*'3. Pollutant Emissions - EF'!$J343*IF(OR(ISBLANK($E343),$G343="Yes"),1,$E343)*IF($H343="Yes",1,(1-$F343))</f>
        <v>5.0823529411764714E-7</v>
      </c>
      <c r="O343" s="130"/>
    </row>
    <row r="344" spans="1:15" ht="15" x14ac:dyDescent="0.25">
      <c r="A344" s="5" t="s">
        <v>1321</v>
      </c>
      <c r="B344" s="7"/>
      <c r="C344" s="13" t="s">
        <v>56</v>
      </c>
      <c r="D344" s="19" t="str">
        <f>IFERROR(IF(C344="No CAS","",INDEX('DEQ Pollutant List'!$B$7:$B$611,MATCH('3. Pollutant Emissions - EF'!C344,'DEQ Pollutant List'!$A$7:$A$611,0))),"")</f>
        <v>Cadmium and compounds</v>
      </c>
      <c r="E344" s="100">
        <v>0</v>
      </c>
      <c r="F344" s="36">
        <v>0</v>
      </c>
      <c r="G344" s="100" t="s">
        <v>1415</v>
      </c>
      <c r="H344" s="36" t="s">
        <v>1415</v>
      </c>
      <c r="I344" s="34">
        <v>1.1000000000000001E-3</v>
      </c>
      <c r="J344" s="11">
        <f t="shared" si="8"/>
        <v>1.1000000000000001E-3</v>
      </c>
      <c r="K344" s="6" t="s">
        <v>1416</v>
      </c>
      <c r="L344" s="20" t="s">
        <v>1422</v>
      </c>
      <c r="M344" s="7">
        <f>IF(ISBLANK($B344),_xlfn.XLOOKUP($A344,'2. TEUs &amp; Activities - EF'!$A$9:$A$190,'2. TEUs &amp; Activities - EF'!$J$9:$J$190),_xlfn.XLOOKUP($B344,'2. TEUs &amp; Activities - EF'!$B$9:$B$190,'2. TEUs &amp; Activities - EF'!$J$9:$J$190))*'3. Pollutant Emissions - EF'!$I344*IF(OR(ISBLANK($E344),$G344="Yes"),1,$E344)*IF($H344="Yes",1,(1-$F344))</f>
        <v>1.7004705882352943E-2</v>
      </c>
      <c r="N344" s="5">
        <f>IF(ISBLANK($B344),_xlfn.XLOOKUP($A344,'2. TEUs &amp; Activities - EF'!$A$9:$A$190,'2. TEUs &amp; Activities - EF'!$M$9:$M$190),_xlfn.XLOOKUP($B344,'2. TEUs &amp; Activities - EF'!$B$9:$B$190,'2. TEUs &amp; Activities - EF'!$M$9:$M$190))*'3. Pollutant Emissions - EF'!$J344*IF(OR(ISBLANK($E344),$G344="Yes"),1,$E344)*IF($H344="Yes",1,(1-$F344))</f>
        <v>4.6588235294117654E-5</v>
      </c>
      <c r="O344" s="130"/>
    </row>
    <row r="345" spans="1:15" ht="15" x14ac:dyDescent="0.25">
      <c r="A345" s="5" t="s">
        <v>1321</v>
      </c>
      <c r="B345" s="7"/>
      <c r="C345" s="13" t="s">
        <v>57</v>
      </c>
      <c r="D345" s="19" t="str">
        <f>IFERROR(IF(C345="No CAS","",INDEX('DEQ Pollutant List'!$B$7:$B$611,MATCH('3. Pollutant Emissions - EF'!C345,'DEQ Pollutant List'!$A$7:$A$611,0))),"")</f>
        <v>Chromium VI, chromate and dichromate particulate</v>
      </c>
      <c r="E345" s="100">
        <v>0</v>
      </c>
      <c r="F345" s="36">
        <v>0</v>
      </c>
      <c r="G345" s="100" t="s">
        <v>1415</v>
      </c>
      <c r="H345" s="36" t="s">
        <v>1415</v>
      </c>
      <c r="I345" s="34">
        <v>1.4E-3</v>
      </c>
      <c r="J345" s="11">
        <f t="shared" si="8"/>
        <v>1.4E-3</v>
      </c>
      <c r="K345" s="6" t="s">
        <v>1416</v>
      </c>
      <c r="L345" s="20" t="s">
        <v>1422</v>
      </c>
      <c r="M345" s="7">
        <f>IF(ISBLANK($B345),_xlfn.XLOOKUP($A345,'2. TEUs &amp; Activities - EF'!$A$9:$A$190,'2. TEUs &amp; Activities - EF'!$J$9:$J$190),_xlfn.XLOOKUP($B345,'2. TEUs &amp; Activities - EF'!$B$9:$B$190,'2. TEUs &amp; Activities - EF'!$J$9:$J$190))*'3. Pollutant Emissions - EF'!$I345*IF(OR(ISBLANK($E345),$G345="Yes"),1,$E345)*IF($H345="Yes",1,(1-$F345))</f>
        <v>2.164235294117647E-2</v>
      </c>
      <c r="N345" s="5">
        <f>IF(ISBLANK($B345),_xlfn.XLOOKUP($A345,'2. TEUs &amp; Activities - EF'!$A$9:$A$190,'2. TEUs &amp; Activities - EF'!$M$9:$M$190),_xlfn.XLOOKUP($B345,'2. TEUs &amp; Activities - EF'!$B$9:$B$190,'2. TEUs &amp; Activities - EF'!$M$9:$M$190))*'3. Pollutant Emissions - EF'!$J345*IF(OR(ISBLANK($E345),$G345="Yes"),1,$E345)*IF($H345="Yes",1,(1-$F345))</f>
        <v>5.9294117647058828E-5</v>
      </c>
      <c r="O345" s="130"/>
    </row>
    <row r="346" spans="1:15" ht="15" x14ac:dyDescent="0.25">
      <c r="A346" s="5" t="s">
        <v>1321</v>
      </c>
      <c r="B346" s="7"/>
      <c r="C346" s="13" t="s">
        <v>58</v>
      </c>
      <c r="D346" s="19" t="str">
        <f>IFERROR(IF(C346="No CAS","",INDEX('DEQ Pollutant List'!$B$7:$B$611,MATCH('3. Pollutant Emissions - EF'!C346,'DEQ Pollutant List'!$A$7:$A$611,0))),"")</f>
        <v>Cobalt and compounds</v>
      </c>
      <c r="E346" s="100">
        <v>0</v>
      </c>
      <c r="F346" s="36">
        <v>0</v>
      </c>
      <c r="G346" s="100" t="s">
        <v>1415</v>
      </c>
      <c r="H346" s="36" t="s">
        <v>1415</v>
      </c>
      <c r="I346" s="34">
        <v>8.3999999999999995E-5</v>
      </c>
      <c r="J346" s="11">
        <f t="shared" si="8"/>
        <v>8.3999999999999995E-5</v>
      </c>
      <c r="K346" s="6" t="s">
        <v>1416</v>
      </c>
      <c r="L346" s="20" t="s">
        <v>1422</v>
      </c>
      <c r="M346" s="7">
        <f>IF(ISBLANK($B346),_xlfn.XLOOKUP($A346,'2. TEUs &amp; Activities - EF'!$A$9:$A$190,'2. TEUs &amp; Activities - EF'!$J$9:$J$190),_xlfn.XLOOKUP($B346,'2. TEUs &amp; Activities - EF'!$B$9:$B$190,'2. TEUs &amp; Activities - EF'!$J$9:$J$190))*'3. Pollutant Emissions - EF'!$I346*IF(OR(ISBLANK($E346),$G346="Yes"),1,$E346)*IF($H346="Yes",1,(1-$F346))</f>
        <v>1.2985411764705882E-3</v>
      </c>
      <c r="N346" s="5">
        <f>IF(ISBLANK($B346),_xlfn.XLOOKUP($A346,'2. TEUs &amp; Activities - EF'!$A$9:$A$190,'2. TEUs &amp; Activities - EF'!$M$9:$M$190),_xlfn.XLOOKUP($B346,'2. TEUs &amp; Activities - EF'!$B$9:$B$190,'2. TEUs &amp; Activities - EF'!$M$9:$M$190))*'3. Pollutant Emissions - EF'!$J346*IF(OR(ISBLANK($E346),$G346="Yes"),1,$E346)*IF($H346="Yes",1,(1-$F346))</f>
        <v>3.5576470588235298E-6</v>
      </c>
      <c r="O346" s="130"/>
    </row>
    <row r="347" spans="1:15" ht="15" x14ac:dyDescent="0.25">
      <c r="A347" s="5" t="s">
        <v>1321</v>
      </c>
      <c r="B347" s="7"/>
      <c r="C347" s="13" t="s">
        <v>59</v>
      </c>
      <c r="D347" s="19" t="str">
        <f>IFERROR(IF(C347="No CAS","",INDEX('DEQ Pollutant List'!$B$7:$B$611,MATCH('3. Pollutant Emissions - EF'!C347,'DEQ Pollutant List'!$A$7:$A$611,0))),"")</f>
        <v>Copper and compounds</v>
      </c>
      <c r="E347" s="100">
        <v>0</v>
      </c>
      <c r="F347" s="36">
        <v>0</v>
      </c>
      <c r="G347" s="100" t="s">
        <v>1415</v>
      </c>
      <c r="H347" s="36" t="s">
        <v>1415</v>
      </c>
      <c r="I347" s="34">
        <v>8.4999999999999995E-4</v>
      </c>
      <c r="J347" s="11">
        <f t="shared" si="8"/>
        <v>8.4999999999999995E-4</v>
      </c>
      <c r="K347" s="6" t="s">
        <v>1416</v>
      </c>
      <c r="L347" s="20" t="s">
        <v>1422</v>
      </c>
      <c r="M347" s="7">
        <f>IF(ISBLANK($B347),_xlfn.XLOOKUP($A347,'2. TEUs &amp; Activities - EF'!$A$9:$A$190,'2. TEUs &amp; Activities - EF'!$J$9:$J$190),_xlfn.XLOOKUP($B347,'2. TEUs &amp; Activities - EF'!$B$9:$B$190,'2. TEUs &amp; Activities - EF'!$J$9:$J$190))*'3. Pollutant Emissions - EF'!$I347*IF(OR(ISBLANK($E347),$G347="Yes"),1,$E347)*IF($H347="Yes",1,(1-$F347))</f>
        <v>1.3139999999999999E-2</v>
      </c>
      <c r="N347" s="5">
        <f>IF(ISBLANK($B347),_xlfn.XLOOKUP($A347,'2. TEUs &amp; Activities - EF'!$A$9:$A$190,'2. TEUs &amp; Activities - EF'!$M$9:$M$190),_xlfn.XLOOKUP($B347,'2. TEUs &amp; Activities - EF'!$B$9:$B$190,'2. TEUs &amp; Activities - EF'!$M$9:$M$190))*'3. Pollutant Emissions - EF'!$J347*IF(OR(ISBLANK($E347),$G347="Yes"),1,$E347)*IF($H347="Yes",1,(1-$F347))</f>
        <v>3.6000000000000001E-5</v>
      </c>
      <c r="O347" s="130"/>
    </row>
    <row r="348" spans="1:15" ht="15" x14ac:dyDescent="0.25">
      <c r="A348" s="5" t="s">
        <v>1321</v>
      </c>
      <c r="B348" s="7"/>
      <c r="C348" s="13" t="s">
        <v>60</v>
      </c>
      <c r="D348" s="19" t="str">
        <f>IFERROR(IF(C348="No CAS","",INDEX('DEQ Pollutant List'!$B$7:$B$611,MATCH('3. Pollutant Emissions - EF'!C348,'DEQ Pollutant List'!$A$7:$A$611,0))),"")</f>
        <v>Ethyl benzene</v>
      </c>
      <c r="E348" s="100">
        <v>0</v>
      </c>
      <c r="F348" s="36">
        <v>0</v>
      </c>
      <c r="G348" s="100" t="s">
        <v>1415</v>
      </c>
      <c r="H348" s="36" t="s">
        <v>1415</v>
      </c>
      <c r="I348" s="34">
        <v>9.4999999999999998E-3</v>
      </c>
      <c r="J348" s="11">
        <f t="shared" si="8"/>
        <v>9.4999999999999998E-3</v>
      </c>
      <c r="K348" s="6" t="s">
        <v>1416</v>
      </c>
      <c r="L348" s="20" t="s">
        <v>1422</v>
      </c>
      <c r="M348" s="7">
        <f>IF(ISBLANK($B348),_xlfn.XLOOKUP($A348,'2. TEUs &amp; Activities - EF'!$A$9:$A$190,'2. TEUs &amp; Activities - EF'!$J$9:$J$190),_xlfn.XLOOKUP($B348,'2. TEUs &amp; Activities - EF'!$B$9:$B$190,'2. TEUs &amp; Activities - EF'!$J$9:$J$190))*'3. Pollutant Emissions - EF'!$I348*IF(OR(ISBLANK($E348),$G348="Yes"),1,$E348)*IF($H348="Yes",1,(1-$F348))</f>
        <v>0.14685882352941176</v>
      </c>
      <c r="N348" s="5">
        <f>IF(ISBLANK($B348),_xlfn.XLOOKUP($A348,'2. TEUs &amp; Activities - EF'!$A$9:$A$190,'2. TEUs &amp; Activities - EF'!$M$9:$M$190),_xlfn.XLOOKUP($B348,'2. TEUs &amp; Activities - EF'!$B$9:$B$190,'2. TEUs &amp; Activities - EF'!$M$9:$M$190))*'3. Pollutant Emissions - EF'!$J348*IF(OR(ISBLANK($E348),$G348="Yes"),1,$E348)*IF($H348="Yes",1,(1-$F348))</f>
        <v>4.0235294117647061E-4</v>
      </c>
      <c r="O348" s="130"/>
    </row>
    <row r="349" spans="1:15" ht="15" x14ac:dyDescent="0.25">
      <c r="A349" s="5" t="s">
        <v>1321</v>
      </c>
      <c r="B349" s="7"/>
      <c r="C349" s="13" t="s">
        <v>47</v>
      </c>
      <c r="D349" s="19" t="str">
        <f>IFERROR(IF(C349="No CAS","",INDEX('DEQ Pollutant List'!$B$7:$B$611,MATCH('3. Pollutant Emissions - EF'!C349,'DEQ Pollutant List'!$A$7:$A$611,0))),"")</f>
        <v>Formaldehyde</v>
      </c>
      <c r="E349" s="100">
        <v>0</v>
      </c>
      <c r="F349" s="36">
        <v>0</v>
      </c>
      <c r="G349" s="100" t="s">
        <v>1415</v>
      </c>
      <c r="H349" s="36" t="s">
        <v>1415</v>
      </c>
      <c r="I349" s="34">
        <v>1.7000000000000001E-2</v>
      </c>
      <c r="J349" s="11">
        <f t="shared" si="8"/>
        <v>1.7000000000000001E-2</v>
      </c>
      <c r="K349" s="6" t="s">
        <v>1416</v>
      </c>
      <c r="L349" s="20" t="s">
        <v>1422</v>
      </c>
      <c r="M349" s="7">
        <f>IF(ISBLANK($B349),_xlfn.XLOOKUP($A349,'2. TEUs &amp; Activities - EF'!$A$9:$A$190,'2. TEUs &amp; Activities - EF'!$J$9:$J$190),_xlfn.XLOOKUP($B349,'2. TEUs &amp; Activities - EF'!$B$9:$B$190,'2. TEUs &amp; Activities - EF'!$J$9:$J$190))*'3. Pollutant Emissions - EF'!$I349*IF(OR(ISBLANK($E349),$G349="Yes"),1,$E349)*IF($H349="Yes",1,(1-$F349))</f>
        <v>0.26280000000000003</v>
      </c>
      <c r="N349" s="5">
        <f>IF(ISBLANK($B349),_xlfn.XLOOKUP($A349,'2. TEUs &amp; Activities - EF'!$A$9:$A$190,'2. TEUs &amp; Activities - EF'!$M$9:$M$190),_xlfn.XLOOKUP($B349,'2. TEUs &amp; Activities - EF'!$B$9:$B$190,'2. TEUs &amp; Activities - EF'!$M$9:$M$190))*'3. Pollutant Emissions - EF'!$J349*IF(OR(ISBLANK($E349),$G349="Yes"),1,$E349)*IF($H349="Yes",1,(1-$F349))</f>
        <v>7.2000000000000015E-4</v>
      </c>
      <c r="O349" s="130"/>
    </row>
    <row r="350" spans="1:15" ht="15" x14ac:dyDescent="0.25">
      <c r="A350" s="5" t="s">
        <v>1321</v>
      </c>
      <c r="B350" s="7"/>
      <c r="C350" s="13" t="s">
        <v>61</v>
      </c>
      <c r="D350" s="19" t="str">
        <f>IFERROR(IF(C350="No CAS","",INDEX('DEQ Pollutant List'!$B$7:$B$611,MATCH('3. Pollutant Emissions - EF'!C350,'DEQ Pollutant List'!$A$7:$A$611,0))),"")</f>
        <v>Hexane</v>
      </c>
      <c r="E350" s="100">
        <v>0</v>
      </c>
      <c r="F350" s="36">
        <v>0</v>
      </c>
      <c r="G350" s="100" t="s">
        <v>1415</v>
      </c>
      <c r="H350" s="36" t="s">
        <v>1415</v>
      </c>
      <c r="I350" s="34">
        <v>6.3E-3</v>
      </c>
      <c r="J350" s="11">
        <f t="shared" si="8"/>
        <v>6.3E-3</v>
      </c>
      <c r="K350" s="6" t="s">
        <v>1416</v>
      </c>
      <c r="L350" s="20" t="s">
        <v>1422</v>
      </c>
      <c r="M350" s="7">
        <f>IF(ISBLANK($B350),_xlfn.XLOOKUP($A350,'2. TEUs &amp; Activities - EF'!$A$9:$A$190,'2. TEUs &amp; Activities - EF'!$J$9:$J$190),_xlfn.XLOOKUP($B350,'2. TEUs &amp; Activities - EF'!$B$9:$B$190,'2. TEUs &amp; Activities - EF'!$J$9:$J$190))*'3. Pollutant Emissions - EF'!$I350*IF(OR(ISBLANK($E350),$G350="Yes"),1,$E350)*IF($H350="Yes",1,(1-$F350))</f>
        <v>9.7390588235294118E-2</v>
      </c>
      <c r="N350" s="5">
        <f>IF(ISBLANK($B350),_xlfn.XLOOKUP($A350,'2. TEUs &amp; Activities - EF'!$A$9:$A$190,'2. TEUs &amp; Activities - EF'!$M$9:$M$190),_xlfn.XLOOKUP($B350,'2. TEUs &amp; Activities - EF'!$B$9:$B$190,'2. TEUs &amp; Activities - EF'!$M$9:$M$190))*'3. Pollutant Emissions - EF'!$J350*IF(OR(ISBLANK($E350),$G350="Yes"),1,$E350)*IF($H350="Yes",1,(1-$F350))</f>
        <v>2.6682352941176472E-4</v>
      </c>
      <c r="O350" s="130"/>
    </row>
    <row r="351" spans="1:15" ht="15" x14ac:dyDescent="0.25">
      <c r="A351" s="5" t="s">
        <v>1321</v>
      </c>
      <c r="B351" s="7"/>
      <c r="C351" s="13" t="s">
        <v>62</v>
      </c>
      <c r="D351" s="19" t="str">
        <f>IFERROR(IF(C351="No CAS","",INDEX('DEQ Pollutant List'!$B$7:$B$611,MATCH('3. Pollutant Emissions - EF'!C351,'DEQ Pollutant List'!$A$7:$A$611,0))),"")</f>
        <v>Lead and compounds</v>
      </c>
      <c r="E351" s="100">
        <v>0</v>
      </c>
      <c r="F351" s="36">
        <v>0</v>
      </c>
      <c r="G351" s="100" t="s">
        <v>1415</v>
      </c>
      <c r="H351" s="36" t="s">
        <v>1415</v>
      </c>
      <c r="I351" s="34">
        <v>5.0000000000000001E-4</v>
      </c>
      <c r="J351" s="11">
        <f t="shared" si="8"/>
        <v>5.0000000000000001E-4</v>
      </c>
      <c r="K351" s="6" t="s">
        <v>1416</v>
      </c>
      <c r="L351" s="20" t="s">
        <v>1422</v>
      </c>
      <c r="M351" s="7">
        <f>IF(ISBLANK($B351),_xlfn.XLOOKUP($A351,'2. TEUs &amp; Activities - EF'!$A$9:$A$190,'2. TEUs &amp; Activities - EF'!$J$9:$J$190),_xlfn.XLOOKUP($B351,'2. TEUs &amp; Activities - EF'!$B$9:$B$190,'2. TEUs &amp; Activities - EF'!$J$9:$J$190))*'3. Pollutant Emissions - EF'!$I351*IF(OR(ISBLANK($E351),$G351="Yes"),1,$E351)*IF($H351="Yes",1,(1-$F351))</f>
        <v>7.7294117647058822E-3</v>
      </c>
      <c r="N351" s="5">
        <f>IF(ISBLANK($B351),_xlfn.XLOOKUP($A351,'2. TEUs &amp; Activities - EF'!$A$9:$A$190,'2. TEUs &amp; Activities - EF'!$M$9:$M$190),_xlfn.XLOOKUP($B351,'2. TEUs &amp; Activities - EF'!$B$9:$B$190,'2. TEUs &amp; Activities - EF'!$M$9:$M$190))*'3. Pollutant Emissions - EF'!$J351*IF(OR(ISBLANK($E351),$G351="Yes"),1,$E351)*IF($H351="Yes",1,(1-$F351))</f>
        <v>2.1176470588235296E-5</v>
      </c>
      <c r="O351" s="130"/>
    </row>
    <row r="352" spans="1:15" ht="15" x14ac:dyDescent="0.25">
      <c r="A352" s="5" t="s">
        <v>1321</v>
      </c>
      <c r="B352" s="7"/>
      <c r="C352" s="13" t="s">
        <v>63</v>
      </c>
      <c r="D352" s="19" t="str">
        <f>IFERROR(IF(C352="No CAS","",INDEX('DEQ Pollutant List'!$B$7:$B$611,MATCH('3. Pollutant Emissions - EF'!C352,'DEQ Pollutant List'!$A$7:$A$611,0))),"")</f>
        <v>Manganese and compounds</v>
      </c>
      <c r="E352" s="100">
        <v>0</v>
      </c>
      <c r="F352" s="36">
        <v>0</v>
      </c>
      <c r="G352" s="100" t="s">
        <v>1415</v>
      </c>
      <c r="H352" s="36" t="s">
        <v>1415</v>
      </c>
      <c r="I352" s="34">
        <v>3.8000000000000002E-4</v>
      </c>
      <c r="J352" s="11">
        <f t="shared" si="8"/>
        <v>3.8000000000000002E-4</v>
      </c>
      <c r="K352" s="6" t="s">
        <v>1416</v>
      </c>
      <c r="L352" s="20" t="s">
        <v>1422</v>
      </c>
      <c r="M352" s="7">
        <f>IF(ISBLANK($B352),_xlfn.XLOOKUP($A352,'2. TEUs &amp; Activities - EF'!$A$9:$A$190,'2. TEUs &amp; Activities - EF'!$J$9:$J$190),_xlfn.XLOOKUP($B352,'2. TEUs &amp; Activities - EF'!$B$9:$B$190,'2. TEUs &amp; Activities - EF'!$J$9:$J$190))*'3. Pollutant Emissions - EF'!$I352*IF(OR(ISBLANK($E352),$G352="Yes"),1,$E352)*IF($H352="Yes",1,(1-$F352))</f>
        <v>5.8743529411764712E-3</v>
      </c>
      <c r="N352" s="5">
        <f>IF(ISBLANK($B352),_xlfn.XLOOKUP($A352,'2. TEUs &amp; Activities - EF'!$A$9:$A$190,'2. TEUs &amp; Activities - EF'!$M$9:$M$190),_xlfn.XLOOKUP($B352,'2. TEUs &amp; Activities - EF'!$B$9:$B$190,'2. TEUs &amp; Activities - EF'!$M$9:$M$190))*'3. Pollutant Emissions - EF'!$J352*IF(OR(ISBLANK($E352),$G352="Yes"),1,$E352)*IF($H352="Yes",1,(1-$F352))</f>
        <v>1.6094117647058825E-5</v>
      </c>
      <c r="O352" s="130"/>
    </row>
    <row r="353" spans="1:15" ht="15" x14ac:dyDescent="0.25">
      <c r="A353" s="5" t="s">
        <v>1321</v>
      </c>
      <c r="B353" s="7"/>
      <c r="C353" s="13" t="s">
        <v>64</v>
      </c>
      <c r="D353" s="19" t="str">
        <f>IFERROR(IF(C353="No CAS","",INDEX('DEQ Pollutant List'!$B$7:$B$611,MATCH('3. Pollutant Emissions - EF'!C353,'DEQ Pollutant List'!$A$7:$A$611,0))),"")</f>
        <v>Mercury and compounds</v>
      </c>
      <c r="E353" s="100">
        <v>0</v>
      </c>
      <c r="F353" s="36">
        <v>0</v>
      </c>
      <c r="G353" s="100" t="s">
        <v>1415</v>
      </c>
      <c r="H353" s="36" t="s">
        <v>1415</v>
      </c>
      <c r="I353" s="34">
        <v>2.5999999999999998E-4</v>
      </c>
      <c r="J353" s="11">
        <f t="shared" si="8"/>
        <v>2.5999999999999998E-4</v>
      </c>
      <c r="K353" s="6" t="s">
        <v>1416</v>
      </c>
      <c r="L353" s="20" t="s">
        <v>1422</v>
      </c>
      <c r="M353" s="7">
        <f>IF(ISBLANK($B353),_xlfn.XLOOKUP($A353,'2. TEUs &amp; Activities - EF'!$A$9:$A$190,'2. TEUs &amp; Activities - EF'!$J$9:$J$190),_xlfn.XLOOKUP($B353,'2. TEUs &amp; Activities - EF'!$B$9:$B$190,'2. TEUs &amp; Activities - EF'!$J$9:$J$190))*'3. Pollutant Emissions - EF'!$I353*IF(OR(ISBLANK($E353),$G353="Yes"),1,$E353)*IF($H353="Yes",1,(1-$F353))</f>
        <v>4.0192941176470584E-3</v>
      </c>
      <c r="N353" s="5">
        <f>IF(ISBLANK($B353),_xlfn.XLOOKUP($A353,'2. TEUs &amp; Activities - EF'!$A$9:$A$190,'2. TEUs &amp; Activities - EF'!$M$9:$M$190),_xlfn.XLOOKUP($B353,'2. TEUs &amp; Activities - EF'!$B$9:$B$190,'2. TEUs &amp; Activities - EF'!$M$9:$M$190))*'3. Pollutant Emissions - EF'!$J353*IF(OR(ISBLANK($E353),$G353="Yes"),1,$E353)*IF($H353="Yes",1,(1-$F353))</f>
        <v>1.1011764705882354E-5</v>
      </c>
      <c r="O353" s="130"/>
    </row>
    <row r="354" spans="1:15" ht="15" x14ac:dyDescent="0.25">
      <c r="A354" s="5" t="s">
        <v>1321</v>
      </c>
      <c r="B354" s="7"/>
      <c r="C354" s="13" t="s">
        <v>65</v>
      </c>
      <c r="D354" s="19" t="str">
        <f>IFERROR(IF(C354="No CAS","",INDEX('DEQ Pollutant List'!$B$7:$B$611,MATCH('3. Pollutant Emissions - EF'!C354,'DEQ Pollutant List'!$A$7:$A$611,0))),"")</f>
        <v>Molybdenum trioxide</v>
      </c>
      <c r="E354" s="100">
        <v>0</v>
      </c>
      <c r="F354" s="36">
        <v>0</v>
      </c>
      <c r="G354" s="100" t="s">
        <v>1415</v>
      </c>
      <c r="H354" s="36" t="s">
        <v>1415</v>
      </c>
      <c r="I354" s="34">
        <v>1.65E-3</v>
      </c>
      <c r="J354" s="11">
        <f t="shared" si="8"/>
        <v>1.65E-3</v>
      </c>
      <c r="K354" s="6" t="s">
        <v>1416</v>
      </c>
      <c r="L354" s="20" t="s">
        <v>1422</v>
      </c>
      <c r="M354" s="7">
        <f>IF(ISBLANK($B354),_xlfn.XLOOKUP($A354,'2. TEUs &amp; Activities - EF'!$A$9:$A$190,'2. TEUs &amp; Activities - EF'!$J$9:$J$190),_xlfn.XLOOKUP($B354,'2. TEUs &amp; Activities - EF'!$B$9:$B$190,'2. TEUs &amp; Activities - EF'!$J$9:$J$190))*'3. Pollutant Emissions - EF'!$I354*IF(OR(ISBLANK($E354),$G354="Yes"),1,$E354)*IF($H354="Yes",1,(1-$F354))</f>
        <v>2.550705882352941E-2</v>
      </c>
      <c r="N354" s="5">
        <f>IF(ISBLANK($B354),_xlfn.XLOOKUP($A354,'2. TEUs &amp; Activities - EF'!$A$9:$A$190,'2. TEUs &amp; Activities - EF'!$M$9:$M$190),_xlfn.XLOOKUP($B354,'2. TEUs &amp; Activities - EF'!$B$9:$B$190,'2. TEUs &amp; Activities - EF'!$M$9:$M$190))*'3. Pollutant Emissions - EF'!$J354*IF(OR(ISBLANK($E354),$G354="Yes"),1,$E354)*IF($H354="Yes",1,(1-$F354))</f>
        <v>6.9882352941176481E-5</v>
      </c>
      <c r="O354" s="130"/>
    </row>
    <row r="355" spans="1:15" ht="15" x14ac:dyDescent="0.25">
      <c r="A355" s="5" t="s">
        <v>1321</v>
      </c>
      <c r="B355" s="7"/>
      <c r="C355" s="13" t="s">
        <v>49</v>
      </c>
      <c r="D355" s="19" t="str">
        <f>IFERROR(IF(C355="No CAS","",INDEX('DEQ Pollutant List'!$B$7:$B$611,MATCH('3. Pollutant Emissions - EF'!C355,'DEQ Pollutant List'!$A$7:$A$611,0))),"")</f>
        <v>Naphthalene</v>
      </c>
      <c r="E355" s="100">
        <v>0</v>
      </c>
      <c r="F355" s="36">
        <v>0</v>
      </c>
      <c r="G355" s="100" t="s">
        <v>1415</v>
      </c>
      <c r="H355" s="36" t="s">
        <v>1415</v>
      </c>
      <c r="I355" s="34">
        <v>2.9999999999999997E-4</v>
      </c>
      <c r="J355" s="11">
        <f t="shared" si="8"/>
        <v>2.9999999999999997E-4</v>
      </c>
      <c r="K355" s="6" t="s">
        <v>1416</v>
      </c>
      <c r="L355" s="20" t="s">
        <v>1422</v>
      </c>
      <c r="M355" s="7">
        <f>IF(ISBLANK($B355),_xlfn.XLOOKUP($A355,'2. TEUs &amp; Activities - EF'!$A$9:$A$190,'2. TEUs &amp; Activities - EF'!$J$9:$J$190),_xlfn.XLOOKUP($B355,'2. TEUs &amp; Activities - EF'!$B$9:$B$190,'2. TEUs &amp; Activities - EF'!$J$9:$J$190))*'3. Pollutant Emissions - EF'!$I355*IF(OR(ISBLANK($E355),$G355="Yes"),1,$E355)*IF($H355="Yes",1,(1-$F355))</f>
        <v>4.6376470588235293E-3</v>
      </c>
      <c r="N355" s="5">
        <f>IF(ISBLANK($B355),_xlfn.XLOOKUP($A355,'2. TEUs &amp; Activities - EF'!$A$9:$A$190,'2. TEUs &amp; Activities - EF'!$M$9:$M$190),_xlfn.XLOOKUP($B355,'2. TEUs &amp; Activities - EF'!$B$9:$B$190,'2. TEUs &amp; Activities - EF'!$M$9:$M$190))*'3. Pollutant Emissions - EF'!$J355*IF(OR(ISBLANK($E355),$G355="Yes"),1,$E355)*IF($H355="Yes",1,(1-$F355))</f>
        <v>1.2705882352941177E-5</v>
      </c>
      <c r="O355" s="130"/>
    </row>
    <row r="356" spans="1:15" ht="15" x14ac:dyDescent="0.25">
      <c r="A356" s="5" t="s">
        <v>1321</v>
      </c>
      <c r="B356" s="7"/>
      <c r="C356" s="13" t="s">
        <v>66</v>
      </c>
      <c r="D356" s="19" t="str">
        <f>IFERROR(IF(C356="No CAS","",INDEX('DEQ Pollutant List'!$B$7:$B$611,MATCH('3. Pollutant Emissions - EF'!C356,'DEQ Pollutant List'!$A$7:$A$611,0))),"")</f>
        <v>Nickel and compounds</v>
      </c>
      <c r="E356" s="100">
        <v>0</v>
      </c>
      <c r="F356" s="36">
        <v>0</v>
      </c>
      <c r="G356" s="100" t="s">
        <v>1415</v>
      </c>
      <c r="H356" s="36" t="s">
        <v>1415</v>
      </c>
      <c r="I356" s="34">
        <v>2.0999999999999999E-3</v>
      </c>
      <c r="J356" s="11">
        <f t="shared" si="8"/>
        <v>2.0999999999999999E-3</v>
      </c>
      <c r="K356" s="6" t="s">
        <v>1416</v>
      </c>
      <c r="L356" s="20" t="s">
        <v>1422</v>
      </c>
      <c r="M356" s="7">
        <f>IF(ISBLANK($B356),_xlfn.XLOOKUP($A356,'2. TEUs &amp; Activities - EF'!$A$9:$A$190,'2. TEUs &amp; Activities - EF'!$J$9:$J$190),_xlfn.XLOOKUP($B356,'2. TEUs &amp; Activities - EF'!$B$9:$B$190,'2. TEUs &amp; Activities - EF'!$J$9:$J$190))*'3. Pollutant Emissions - EF'!$I356*IF(OR(ISBLANK($E356),$G356="Yes"),1,$E356)*IF($H356="Yes",1,(1-$F356))</f>
        <v>3.2463529411764704E-2</v>
      </c>
      <c r="N356" s="5">
        <f>IF(ISBLANK($B356),_xlfn.XLOOKUP($A356,'2. TEUs &amp; Activities - EF'!$A$9:$A$190,'2. TEUs &amp; Activities - EF'!$M$9:$M$190),_xlfn.XLOOKUP($B356,'2. TEUs &amp; Activities - EF'!$B$9:$B$190,'2. TEUs &amp; Activities - EF'!$M$9:$M$190))*'3. Pollutant Emissions - EF'!$J356*IF(OR(ISBLANK($E356),$G356="Yes"),1,$E356)*IF($H356="Yes",1,(1-$F356))</f>
        <v>8.8941176470588238E-5</v>
      </c>
      <c r="O356" s="130"/>
    </row>
    <row r="357" spans="1:15" ht="15" x14ac:dyDescent="0.25">
      <c r="A357" s="5" t="s">
        <v>1321</v>
      </c>
      <c r="B357" s="7"/>
      <c r="C357" s="13">
        <v>401</v>
      </c>
      <c r="D357" s="19" t="str">
        <f>IFERROR(IF(C357="No CAS","",INDEX('DEQ Pollutant List'!$B$7:$B$611,MATCH('3. Pollutant Emissions - EF'!C357,'DEQ Pollutant List'!$A$7:$A$611,0))),"")</f>
        <v>Polycyclic aromatic hydrocarbons (PAHs)</v>
      </c>
      <c r="E357" s="100">
        <v>0</v>
      </c>
      <c r="F357" s="36">
        <v>0</v>
      </c>
      <c r="G357" s="100" t="s">
        <v>1415</v>
      </c>
      <c r="H357" s="36" t="s">
        <v>1415</v>
      </c>
      <c r="I357" s="34">
        <v>1E-4</v>
      </c>
      <c r="J357" s="11">
        <f t="shared" si="8"/>
        <v>1E-4</v>
      </c>
      <c r="K357" s="6" t="s">
        <v>1416</v>
      </c>
      <c r="L357" s="20" t="s">
        <v>1422</v>
      </c>
      <c r="M357" s="7">
        <f>IF(ISBLANK($B357),_xlfn.XLOOKUP($A357,'2. TEUs &amp; Activities - EF'!$A$9:$A$190,'2. TEUs &amp; Activities - EF'!$J$9:$J$190),_xlfn.XLOOKUP($B357,'2. TEUs &amp; Activities - EF'!$B$9:$B$190,'2. TEUs &amp; Activities - EF'!$J$9:$J$190))*'3. Pollutant Emissions - EF'!$I357*IF(OR(ISBLANK($E357),$G357="Yes"),1,$E357)*IF($H357="Yes",1,(1-$F357))</f>
        <v>1.5458823529411767E-3</v>
      </c>
      <c r="N357" s="5">
        <f>IF(ISBLANK($B357),_xlfn.XLOOKUP($A357,'2. TEUs &amp; Activities - EF'!$A$9:$A$190,'2. TEUs &amp; Activities - EF'!$M$9:$M$190),_xlfn.XLOOKUP($B357,'2. TEUs &amp; Activities - EF'!$B$9:$B$190,'2. TEUs &amp; Activities - EF'!$M$9:$M$190))*'3. Pollutant Emissions - EF'!$J357*IF(OR(ISBLANK($E357),$G357="Yes"),1,$E357)*IF($H357="Yes",1,(1-$F357))</f>
        <v>4.2352941176470591E-6</v>
      </c>
      <c r="O357" s="130"/>
    </row>
    <row r="358" spans="1:15" ht="15" x14ac:dyDescent="0.25">
      <c r="A358" s="5" t="s">
        <v>1321</v>
      </c>
      <c r="B358" s="7"/>
      <c r="C358" s="13" t="s">
        <v>67</v>
      </c>
      <c r="D358" s="19" t="str">
        <f>IFERROR(IF(C358="No CAS","",INDEX('DEQ Pollutant List'!$B$7:$B$611,MATCH('3. Pollutant Emissions - EF'!C358,'DEQ Pollutant List'!$A$7:$A$611,0))),"")</f>
        <v>Selenium and compounds</v>
      </c>
      <c r="E358" s="100">
        <v>0</v>
      </c>
      <c r="F358" s="36">
        <v>0</v>
      </c>
      <c r="G358" s="100" t="s">
        <v>1415</v>
      </c>
      <c r="H358" s="36" t="s">
        <v>1415</v>
      </c>
      <c r="I358" s="34">
        <v>2.4000000000000001E-5</v>
      </c>
      <c r="J358" s="11">
        <f t="shared" si="8"/>
        <v>2.4000000000000001E-5</v>
      </c>
      <c r="K358" s="6" t="s">
        <v>1416</v>
      </c>
      <c r="L358" s="20" t="s">
        <v>1422</v>
      </c>
      <c r="M358" s="7">
        <f>IF(ISBLANK($B358),_xlfn.XLOOKUP($A358,'2. TEUs &amp; Activities - EF'!$A$9:$A$190,'2. TEUs &amp; Activities - EF'!$J$9:$J$190),_xlfn.XLOOKUP($B358,'2. TEUs &amp; Activities - EF'!$B$9:$B$190,'2. TEUs &amp; Activities - EF'!$J$9:$J$190))*'3. Pollutant Emissions - EF'!$I358*IF(OR(ISBLANK($E358),$G358="Yes"),1,$E358)*IF($H358="Yes",1,(1-$F358))</f>
        <v>3.7101176470588236E-4</v>
      </c>
      <c r="N358" s="5">
        <f>IF(ISBLANK($B358),_xlfn.XLOOKUP($A358,'2. TEUs &amp; Activities - EF'!$A$9:$A$190,'2. TEUs &amp; Activities - EF'!$M$9:$M$190),_xlfn.XLOOKUP($B358,'2. TEUs &amp; Activities - EF'!$B$9:$B$190,'2. TEUs &amp; Activities - EF'!$M$9:$M$190))*'3. Pollutant Emissions - EF'!$J358*IF(OR(ISBLANK($E358),$G358="Yes"),1,$E358)*IF($H358="Yes",1,(1-$F358))</f>
        <v>1.0164705882352943E-6</v>
      </c>
      <c r="O358" s="130"/>
    </row>
    <row r="359" spans="1:15" ht="15" x14ac:dyDescent="0.25">
      <c r="A359" s="5" t="s">
        <v>1321</v>
      </c>
      <c r="B359" s="7"/>
      <c r="C359" s="13" t="s">
        <v>68</v>
      </c>
      <c r="D359" s="19" t="str">
        <f>IFERROR(IF(C359="No CAS","",INDEX('DEQ Pollutant List'!$B$7:$B$611,MATCH('3. Pollutant Emissions - EF'!C359,'DEQ Pollutant List'!$A$7:$A$611,0))),"")</f>
        <v>Toluene</v>
      </c>
      <c r="E359" s="100">
        <v>0</v>
      </c>
      <c r="F359" s="36">
        <v>0</v>
      </c>
      <c r="G359" s="100" t="s">
        <v>1415</v>
      </c>
      <c r="H359" s="36" t="s">
        <v>1415</v>
      </c>
      <c r="I359" s="34">
        <v>3.6600000000000001E-2</v>
      </c>
      <c r="J359" s="11">
        <f t="shared" si="8"/>
        <v>3.6600000000000001E-2</v>
      </c>
      <c r="K359" s="6" t="s">
        <v>1416</v>
      </c>
      <c r="L359" s="20" t="s">
        <v>1422</v>
      </c>
      <c r="M359" s="7">
        <f>IF(ISBLANK($B359),_xlfn.XLOOKUP($A359,'2. TEUs &amp; Activities - EF'!$A$9:$A$190,'2. TEUs &amp; Activities - EF'!$J$9:$J$190),_xlfn.XLOOKUP($B359,'2. TEUs &amp; Activities - EF'!$B$9:$B$190,'2. TEUs &amp; Activities - EF'!$J$9:$J$190))*'3. Pollutant Emissions - EF'!$I359*IF(OR(ISBLANK($E359),$G359="Yes"),1,$E359)*IF($H359="Yes",1,(1-$F359))</f>
        <v>0.56579294117647061</v>
      </c>
      <c r="N359" s="5">
        <f>IF(ISBLANK($B359),_xlfn.XLOOKUP($A359,'2. TEUs &amp; Activities - EF'!$A$9:$A$190,'2. TEUs &amp; Activities - EF'!$M$9:$M$190),_xlfn.XLOOKUP($B359,'2. TEUs &amp; Activities - EF'!$B$9:$B$190,'2. TEUs &amp; Activities - EF'!$M$9:$M$190))*'3. Pollutant Emissions - EF'!$J359*IF(OR(ISBLANK($E359),$G359="Yes"),1,$E359)*IF($H359="Yes",1,(1-$F359))</f>
        <v>1.5501176470588238E-3</v>
      </c>
      <c r="O359" s="130"/>
    </row>
    <row r="360" spans="1:15" ht="15" x14ac:dyDescent="0.25">
      <c r="A360" s="5" t="s">
        <v>1321</v>
      </c>
      <c r="B360" s="7"/>
      <c r="C360" s="13" t="s">
        <v>69</v>
      </c>
      <c r="D360" s="19" t="str">
        <f>IFERROR(IF(C360="No CAS","",INDEX('DEQ Pollutant List'!$B$7:$B$611,MATCH('3. Pollutant Emissions - EF'!C360,'DEQ Pollutant List'!$A$7:$A$611,0))),"")</f>
        <v>Vanadium (fume or dust)</v>
      </c>
      <c r="E360" s="100">
        <v>0</v>
      </c>
      <c r="F360" s="36">
        <v>0</v>
      </c>
      <c r="G360" s="100" t="s">
        <v>1415</v>
      </c>
      <c r="H360" s="36" t="s">
        <v>1415</v>
      </c>
      <c r="I360" s="34">
        <v>2.3E-3</v>
      </c>
      <c r="J360" s="11">
        <f t="shared" si="8"/>
        <v>2.3E-3</v>
      </c>
      <c r="K360" s="6" t="s">
        <v>1416</v>
      </c>
      <c r="L360" s="20" t="s">
        <v>1422</v>
      </c>
      <c r="M360" s="7">
        <f>IF(ISBLANK($B360),_xlfn.XLOOKUP($A360,'2. TEUs &amp; Activities - EF'!$A$9:$A$190,'2. TEUs &amp; Activities - EF'!$J$9:$J$190),_xlfn.XLOOKUP($B360,'2. TEUs &amp; Activities - EF'!$B$9:$B$190,'2. TEUs &amp; Activities - EF'!$J$9:$J$190))*'3. Pollutant Emissions - EF'!$I360*IF(OR(ISBLANK($E360),$G360="Yes"),1,$E360)*IF($H360="Yes",1,(1-$F360))</f>
        <v>3.555529411764706E-2</v>
      </c>
      <c r="N360" s="5">
        <f>IF(ISBLANK($B360),_xlfn.XLOOKUP($A360,'2. TEUs &amp; Activities - EF'!$A$9:$A$190,'2. TEUs &amp; Activities - EF'!$M$9:$M$190),_xlfn.XLOOKUP($B360,'2. TEUs &amp; Activities - EF'!$B$9:$B$190,'2. TEUs &amp; Activities - EF'!$M$9:$M$190))*'3. Pollutant Emissions - EF'!$J360*IF(OR(ISBLANK($E360),$G360="Yes"),1,$E360)*IF($H360="Yes",1,(1-$F360))</f>
        <v>9.7411764705882363E-5</v>
      </c>
      <c r="O360" s="130"/>
    </row>
    <row r="361" spans="1:15" ht="15" x14ac:dyDescent="0.25">
      <c r="A361" s="5" t="s">
        <v>1321</v>
      </c>
      <c r="B361" s="7"/>
      <c r="C361" s="13" t="s">
        <v>70</v>
      </c>
      <c r="D361" s="19" t="str">
        <f>IFERROR(IF(C361="No CAS","",INDEX('DEQ Pollutant List'!$B$7:$B$611,MATCH('3. Pollutant Emissions - EF'!C361,'DEQ Pollutant List'!$A$7:$A$611,0))),"")</f>
        <v>Xylene (mixture), including m-xylene, o-xylene, p-xylene</v>
      </c>
      <c r="E361" s="100">
        <v>0</v>
      </c>
      <c r="F361" s="36">
        <v>0</v>
      </c>
      <c r="G361" s="100" t="s">
        <v>1415</v>
      </c>
      <c r="H361" s="36" t="s">
        <v>1415</v>
      </c>
      <c r="I361" s="34">
        <v>2.7199999999999998E-2</v>
      </c>
      <c r="J361" s="11">
        <f t="shared" si="8"/>
        <v>2.7199999999999998E-2</v>
      </c>
      <c r="K361" s="6" t="s">
        <v>1416</v>
      </c>
      <c r="L361" s="20" t="s">
        <v>1422</v>
      </c>
      <c r="M361" s="7">
        <f>IF(ISBLANK($B361),_xlfn.XLOOKUP($A361,'2. TEUs &amp; Activities - EF'!$A$9:$A$190,'2. TEUs &amp; Activities - EF'!$J$9:$J$190),_xlfn.XLOOKUP($B361,'2. TEUs &amp; Activities - EF'!$B$9:$B$190,'2. TEUs &amp; Activities - EF'!$J$9:$J$190))*'3. Pollutant Emissions - EF'!$I361*IF(OR(ISBLANK($E361),$G361="Yes"),1,$E361)*IF($H361="Yes",1,(1-$F361))</f>
        <v>0.42047999999999996</v>
      </c>
      <c r="N361" s="5">
        <f>IF(ISBLANK($B361),_xlfn.XLOOKUP($A361,'2. TEUs &amp; Activities - EF'!$A$9:$A$190,'2. TEUs &amp; Activities - EF'!$M$9:$M$190),_xlfn.XLOOKUP($B361,'2. TEUs &amp; Activities - EF'!$B$9:$B$190,'2. TEUs &amp; Activities - EF'!$M$9:$M$190))*'3. Pollutant Emissions - EF'!$J361*IF(OR(ISBLANK($E361),$G361="Yes"),1,$E361)*IF($H361="Yes",1,(1-$F361))</f>
        <v>1.152E-3</v>
      </c>
      <c r="O361" s="130"/>
    </row>
    <row r="362" spans="1:15" ht="15" x14ac:dyDescent="0.25">
      <c r="A362" s="5" t="s">
        <v>1321</v>
      </c>
      <c r="B362" s="7"/>
      <c r="C362" s="13" t="s">
        <v>71</v>
      </c>
      <c r="D362" s="19" t="str">
        <f>IFERROR(IF(C362="No CAS","",INDEX('DEQ Pollutant List'!$B$7:$B$611,MATCH('3. Pollutant Emissions - EF'!C362,'DEQ Pollutant List'!$A$7:$A$611,0))),"")</f>
        <v>Zinc and compounds</v>
      </c>
      <c r="E362" s="100">
        <v>0</v>
      </c>
      <c r="F362" s="36">
        <v>0</v>
      </c>
      <c r="G362" s="100" t="s">
        <v>1415</v>
      </c>
      <c r="H362" s="36" t="s">
        <v>1415</v>
      </c>
      <c r="I362" s="34">
        <v>2.9000000000000001E-2</v>
      </c>
      <c r="J362" s="11">
        <f t="shared" si="8"/>
        <v>2.9000000000000001E-2</v>
      </c>
      <c r="K362" s="6" t="s">
        <v>1416</v>
      </c>
      <c r="L362" s="20" t="s">
        <v>1422</v>
      </c>
      <c r="M362" s="7">
        <f>IF(ISBLANK($B362),_xlfn.XLOOKUP($A362,'2. TEUs &amp; Activities - EF'!$A$9:$A$190,'2. TEUs &amp; Activities - EF'!$J$9:$J$190),_xlfn.XLOOKUP($B362,'2. TEUs &amp; Activities - EF'!$B$9:$B$190,'2. TEUs &amp; Activities - EF'!$J$9:$J$190))*'3. Pollutant Emissions - EF'!$I362*IF(OR(ISBLANK($E362),$G362="Yes"),1,$E362)*IF($H362="Yes",1,(1-$F362))</f>
        <v>0.44830588235294122</v>
      </c>
      <c r="N362" s="5">
        <f>IF(ISBLANK($B362),_xlfn.XLOOKUP($A362,'2. TEUs &amp; Activities - EF'!$A$9:$A$190,'2. TEUs &amp; Activities - EF'!$M$9:$M$190),_xlfn.XLOOKUP($B362,'2. TEUs &amp; Activities - EF'!$B$9:$B$190,'2. TEUs &amp; Activities - EF'!$M$9:$M$190))*'3. Pollutant Emissions - EF'!$J362*IF(OR(ISBLANK($E362),$G362="Yes"),1,$E362)*IF($H362="Yes",1,(1-$F362))</f>
        <v>1.2282352941176472E-3</v>
      </c>
      <c r="O362" s="130"/>
    </row>
    <row r="363" spans="1:15" ht="15" x14ac:dyDescent="0.25">
      <c r="A363" s="5"/>
      <c r="B363" s="7"/>
      <c r="C363" s="13"/>
      <c r="D363" s="19" t="str">
        <f>IFERROR(IF(C363="No CAS","",INDEX('DEQ Pollutant List'!$B$7:$B$611,MATCH('3. Pollutant Emissions - EF'!C363,'DEQ Pollutant List'!$A$7:$A$611,0))),"")</f>
        <v/>
      </c>
      <c r="E363" s="100"/>
      <c r="F363" s="36"/>
      <c r="G363" s="100"/>
      <c r="H363" s="36"/>
      <c r="I363" s="34"/>
      <c r="J363" s="11"/>
      <c r="K363" s="6"/>
      <c r="L363" s="20"/>
      <c r="M363" s="7">
        <f>IF(ISBLANK($B363),_xlfn.XLOOKUP($A363,'2. TEUs &amp; Activities - EF'!$A$9:$A$190,'2. TEUs &amp; Activities - EF'!$J$9:$J$190),_xlfn.XLOOKUP($B363,'2. TEUs &amp; Activities - EF'!$B$9:$B$190,'2. TEUs &amp; Activities - EF'!$J$9:$J$190))*'3. Pollutant Emissions - EF'!$I363*IF(OR(ISBLANK($E363),$G363="Yes"),1,$E363)*IF($H363="Yes",1,(1-$F363))</f>
        <v>0</v>
      </c>
      <c r="N363" s="5">
        <f>IF(ISBLANK($B363),_xlfn.XLOOKUP($A363,'2. TEUs &amp; Activities - EF'!$A$9:$A$190,'2. TEUs &amp; Activities - EF'!$M$9:$M$190),_xlfn.XLOOKUP($B363,'2. TEUs &amp; Activities - EF'!$B$9:$B$190,'2. TEUs &amp; Activities - EF'!$M$9:$M$190))*'3. Pollutant Emissions - EF'!$J363*IF(OR(ISBLANK($E363),$G363="Yes"),1,$E363)*IF($H363="Yes",1,(1-$F363))</f>
        <v>0</v>
      </c>
      <c r="O363" s="130"/>
    </row>
    <row r="364" spans="1:15" ht="15" x14ac:dyDescent="0.25">
      <c r="A364" s="5" t="s">
        <v>1322</v>
      </c>
      <c r="B364" s="7"/>
      <c r="C364" s="13" t="s">
        <v>50</v>
      </c>
      <c r="D364" s="19" t="str">
        <f>IFERROR(IF(C364="No CAS","",INDEX('DEQ Pollutant List'!$B$7:$B$611,MATCH('3. Pollutant Emissions - EF'!C364,'DEQ Pollutant List'!$A$7:$A$611,0))),"")</f>
        <v>Acetaldehyde</v>
      </c>
      <c r="E364" s="100">
        <v>0</v>
      </c>
      <c r="F364" s="36">
        <v>0</v>
      </c>
      <c r="G364" s="100" t="s">
        <v>1415</v>
      </c>
      <c r="H364" s="36" t="s">
        <v>1415</v>
      </c>
      <c r="I364" s="34">
        <v>4.3E-3</v>
      </c>
      <c r="J364" s="11">
        <f t="shared" ref="J364:J389" si="9">I364</f>
        <v>4.3E-3</v>
      </c>
      <c r="K364" s="6" t="s">
        <v>1416</v>
      </c>
      <c r="L364" s="20" t="s">
        <v>1422</v>
      </c>
      <c r="M364" s="7">
        <f>IF(ISBLANK($B364),_xlfn.XLOOKUP($A364,'2. TEUs &amp; Activities - EF'!$A$9:$A$190,'2. TEUs &amp; Activities - EF'!$J$9:$J$190),_xlfn.XLOOKUP($B364,'2. TEUs &amp; Activities - EF'!$B$9:$B$190,'2. TEUs &amp; Activities - EF'!$J$9:$J$190))*'3. Pollutant Emissions - EF'!$I364*IF(OR(ISBLANK($E364),$G364="Yes"),1,$E364)*IF($H364="Yes",1,(1-$F364))</f>
        <v>2.7106188235294117E-2</v>
      </c>
      <c r="N364" s="5">
        <f>IF(ISBLANK($B364),_xlfn.XLOOKUP($A364,'2. TEUs &amp; Activities - EF'!$A$9:$A$190,'2. TEUs &amp; Activities - EF'!$M$9:$M$190),_xlfn.XLOOKUP($B364,'2. TEUs &amp; Activities - EF'!$B$9:$B$190,'2. TEUs &amp; Activities - EF'!$M$9:$M$190))*'3. Pollutant Emissions - EF'!$J364*IF(OR(ISBLANK($E364),$G364="Yes"),1,$E364)*IF($H364="Yes",1,(1-$F364))</f>
        <v>7.0823529411764694E-5</v>
      </c>
      <c r="O364" s="130"/>
    </row>
    <row r="365" spans="1:15" ht="15" x14ac:dyDescent="0.25">
      <c r="A365" s="5" t="s">
        <v>1322</v>
      </c>
      <c r="B365" s="7"/>
      <c r="C365" s="13" t="s">
        <v>51</v>
      </c>
      <c r="D365" s="19" t="str">
        <f>IFERROR(IF(C365="No CAS","",INDEX('DEQ Pollutant List'!$B$7:$B$611,MATCH('3. Pollutant Emissions - EF'!C365,'DEQ Pollutant List'!$A$7:$A$611,0))),"")</f>
        <v>Acrolein</v>
      </c>
      <c r="E365" s="100">
        <v>0</v>
      </c>
      <c r="F365" s="36">
        <v>0</v>
      </c>
      <c r="G365" s="100" t="s">
        <v>1415</v>
      </c>
      <c r="H365" s="36" t="s">
        <v>1415</v>
      </c>
      <c r="I365" s="34">
        <v>2.7000000000000001E-3</v>
      </c>
      <c r="J365" s="11">
        <f t="shared" si="9"/>
        <v>2.7000000000000001E-3</v>
      </c>
      <c r="K365" s="6" t="s">
        <v>1416</v>
      </c>
      <c r="L365" s="20" t="s">
        <v>1422</v>
      </c>
      <c r="M365" s="7">
        <f>IF(ISBLANK($B365),_xlfn.XLOOKUP($A365,'2. TEUs &amp; Activities - EF'!$A$9:$A$190,'2. TEUs &amp; Activities - EF'!$J$9:$J$190),_xlfn.XLOOKUP($B365,'2. TEUs &amp; Activities - EF'!$B$9:$B$190,'2. TEUs &amp; Activities - EF'!$J$9:$J$190))*'3. Pollutant Emissions - EF'!$I365*IF(OR(ISBLANK($E365),$G365="Yes"),1,$E365)*IF($H365="Yes",1,(1-$F365))</f>
        <v>1.7020164705882353E-2</v>
      </c>
      <c r="N365" s="5">
        <f>IF(ISBLANK($B365),_xlfn.XLOOKUP($A365,'2. TEUs &amp; Activities - EF'!$A$9:$A$190,'2. TEUs &amp; Activities - EF'!$M$9:$M$190),_xlfn.XLOOKUP($B365,'2. TEUs &amp; Activities - EF'!$B$9:$B$190,'2. TEUs &amp; Activities - EF'!$M$9:$M$190))*'3. Pollutant Emissions - EF'!$J365*IF(OR(ISBLANK($E365),$G365="Yes"),1,$E365)*IF($H365="Yes",1,(1-$F365))</f>
        <v>4.4470588235294112E-5</v>
      </c>
      <c r="O365" s="130"/>
    </row>
    <row r="366" spans="1:15" ht="15" x14ac:dyDescent="0.25">
      <c r="A366" s="5" t="s">
        <v>1322</v>
      </c>
      <c r="B366" s="7"/>
      <c r="C366" s="13" t="s">
        <v>52</v>
      </c>
      <c r="D366" s="19" t="str">
        <f>IFERROR(IF(C366="No CAS","",INDEX('DEQ Pollutant List'!$B$7:$B$611,MATCH('3. Pollutant Emissions - EF'!C366,'DEQ Pollutant List'!$A$7:$A$611,0))),"")</f>
        <v>Ammonia</v>
      </c>
      <c r="E366" s="100">
        <v>0</v>
      </c>
      <c r="F366" s="36">
        <v>0</v>
      </c>
      <c r="G366" s="100" t="s">
        <v>1415</v>
      </c>
      <c r="H366" s="36" t="s">
        <v>1415</v>
      </c>
      <c r="I366" s="34">
        <v>3.2</v>
      </c>
      <c r="J366" s="11">
        <f t="shared" si="9"/>
        <v>3.2</v>
      </c>
      <c r="K366" s="6" t="s">
        <v>1416</v>
      </c>
      <c r="L366" s="20" t="s">
        <v>1422</v>
      </c>
      <c r="M366" s="7">
        <f>IF(ISBLANK($B366),_xlfn.XLOOKUP($A366,'2. TEUs &amp; Activities - EF'!$A$9:$A$190,'2. TEUs &amp; Activities - EF'!$J$9:$J$190),_xlfn.XLOOKUP($B366,'2. TEUs &amp; Activities - EF'!$B$9:$B$190,'2. TEUs &amp; Activities - EF'!$J$9:$J$190))*'3. Pollutant Emissions - EF'!$I366*IF(OR(ISBLANK($E366),$G366="Yes"),1,$E366)*IF($H366="Yes",1,(1-$F366))</f>
        <v>20.17204705882353</v>
      </c>
      <c r="N366" s="5">
        <f>IF(ISBLANK($B366),_xlfn.XLOOKUP($A366,'2. TEUs &amp; Activities - EF'!$A$9:$A$190,'2. TEUs &amp; Activities - EF'!$M$9:$M$190),_xlfn.XLOOKUP($B366,'2. TEUs &amp; Activities - EF'!$B$9:$B$190,'2. TEUs &amp; Activities - EF'!$M$9:$M$190))*'3. Pollutant Emissions - EF'!$J366*IF(OR(ISBLANK($E366),$G366="Yes"),1,$E366)*IF($H366="Yes",1,(1-$F366))</f>
        <v>5.2705882352941172E-2</v>
      </c>
      <c r="O366" s="130"/>
    </row>
    <row r="367" spans="1:15" ht="15" x14ac:dyDescent="0.25">
      <c r="A367" s="5" t="s">
        <v>1322</v>
      </c>
      <c r="B367" s="7"/>
      <c r="C367" s="13" t="s">
        <v>53</v>
      </c>
      <c r="D367" s="19" t="str">
        <f>IFERROR(IF(C367="No CAS","",INDEX('DEQ Pollutant List'!$B$7:$B$611,MATCH('3. Pollutant Emissions - EF'!C367,'DEQ Pollutant List'!$A$7:$A$611,0))),"")</f>
        <v>Arsenic and compounds</v>
      </c>
      <c r="E367" s="100">
        <v>0</v>
      </c>
      <c r="F367" s="36">
        <v>0</v>
      </c>
      <c r="G367" s="100" t="s">
        <v>1415</v>
      </c>
      <c r="H367" s="36" t="s">
        <v>1415</v>
      </c>
      <c r="I367" s="34">
        <v>2.0000000000000001E-4</v>
      </c>
      <c r="J367" s="11">
        <f t="shared" si="9"/>
        <v>2.0000000000000001E-4</v>
      </c>
      <c r="K367" s="6" t="s">
        <v>1416</v>
      </c>
      <c r="L367" s="20" t="s">
        <v>1422</v>
      </c>
      <c r="M367" s="7">
        <f>IF(ISBLANK($B367),_xlfn.XLOOKUP($A367,'2. TEUs &amp; Activities - EF'!$A$9:$A$190,'2. TEUs &amp; Activities - EF'!$J$9:$J$190),_xlfn.XLOOKUP($B367,'2. TEUs &amp; Activities - EF'!$B$9:$B$190,'2. TEUs &amp; Activities - EF'!$J$9:$J$190))*'3. Pollutant Emissions - EF'!$I367*IF(OR(ISBLANK($E367),$G367="Yes"),1,$E367)*IF($H367="Yes",1,(1-$F367))</f>
        <v>1.2607529411764707E-3</v>
      </c>
      <c r="N367" s="5">
        <f>IF(ISBLANK($B367),_xlfn.XLOOKUP($A367,'2. TEUs &amp; Activities - EF'!$A$9:$A$190,'2. TEUs &amp; Activities - EF'!$M$9:$M$190),_xlfn.XLOOKUP($B367,'2. TEUs &amp; Activities - EF'!$B$9:$B$190,'2. TEUs &amp; Activities - EF'!$M$9:$M$190))*'3. Pollutant Emissions - EF'!$J367*IF(OR(ISBLANK($E367),$G367="Yes"),1,$E367)*IF($H367="Yes",1,(1-$F367))</f>
        <v>3.2941176470588232E-6</v>
      </c>
      <c r="O367" s="130"/>
    </row>
    <row r="368" spans="1:15" ht="15" x14ac:dyDescent="0.25">
      <c r="A368" s="5" t="s">
        <v>1322</v>
      </c>
      <c r="B368" s="7"/>
      <c r="C368" s="13" t="s">
        <v>54</v>
      </c>
      <c r="D368" s="19" t="str">
        <f>IFERROR(IF(C368="No CAS","",INDEX('DEQ Pollutant List'!$B$7:$B$611,MATCH('3. Pollutant Emissions - EF'!C368,'DEQ Pollutant List'!$A$7:$A$611,0))),"")</f>
        <v>Barium and compounds</v>
      </c>
      <c r="E368" s="100">
        <v>0</v>
      </c>
      <c r="F368" s="36">
        <v>0</v>
      </c>
      <c r="G368" s="100" t="s">
        <v>1415</v>
      </c>
      <c r="H368" s="36" t="s">
        <v>1415</v>
      </c>
      <c r="I368" s="34">
        <v>4.4000000000000003E-3</v>
      </c>
      <c r="J368" s="11">
        <f t="shared" si="9"/>
        <v>4.4000000000000003E-3</v>
      </c>
      <c r="K368" s="6" t="s">
        <v>1416</v>
      </c>
      <c r="L368" s="20" t="s">
        <v>1422</v>
      </c>
      <c r="M368" s="7">
        <f>IF(ISBLANK($B368),_xlfn.XLOOKUP($A368,'2. TEUs &amp; Activities - EF'!$A$9:$A$190,'2. TEUs &amp; Activities - EF'!$J$9:$J$190),_xlfn.XLOOKUP($B368,'2. TEUs &amp; Activities - EF'!$B$9:$B$190,'2. TEUs &amp; Activities - EF'!$J$9:$J$190))*'3. Pollutant Emissions - EF'!$I368*IF(OR(ISBLANK($E368),$G368="Yes"),1,$E368)*IF($H368="Yes",1,(1-$F368))</f>
        <v>2.7736564705882354E-2</v>
      </c>
      <c r="N368" s="5">
        <f>IF(ISBLANK($B368),_xlfn.XLOOKUP($A368,'2. TEUs &amp; Activities - EF'!$A$9:$A$190,'2. TEUs &amp; Activities - EF'!$M$9:$M$190),_xlfn.XLOOKUP($B368,'2. TEUs &amp; Activities - EF'!$B$9:$B$190,'2. TEUs &amp; Activities - EF'!$M$9:$M$190))*'3. Pollutant Emissions - EF'!$J368*IF(OR(ISBLANK($E368),$G368="Yes"),1,$E368)*IF($H368="Yes",1,(1-$F368))</f>
        <v>7.2470588235294109E-5</v>
      </c>
      <c r="O368" s="130"/>
    </row>
    <row r="369" spans="1:15" ht="15" x14ac:dyDescent="0.25">
      <c r="A369" s="5" t="s">
        <v>1322</v>
      </c>
      <c r="B369" s="7"/>
      <c r="C369" s="13" t="s">
        <v>46</v>
      </c>
      <c r="D369" s="19" t="str">
        <f>IFERROR(IF(C369="No CAS","",INDEX('DEQ Pollutant List'!$B$7:$B$611,MATCH('3. Pollutant Emissions - EF'!C369,'DEQ Pollutant List'!$A$7:$A$611,0))),"")</f>
        <v>Benzene</v>
      </c>
      <c r="E369" s="100">
        <v>0</v>
      </c>
      <c r="F369" s="36">
        <v>0</v>
      </c>
      <c r="G369" s="100" t="s">
        <v>1415</v>
      </c>
      <c r="H369" s="36" t="s">
        <v>1415</v>
      </c>
      <c r="I369" s="34">
        <v>8.0000000000000002E-3</v>
      </c>
      <c r="J369" s="11">
        <f t="shared" si="9"/>
        <v>8.0000000000000002E-3</v>
      </c>
      <c r="K369" s="6" t="s">
        <v>1416</v>
      </c>
      <c r="L369" s="20" t="s">
        <v>1422</v>
      </c>
      <c r="M369" s="7">
        <f>IF(ISBLANK($B369),_xlfn.XLOOKUP($A369,'2. TEUs &amp; Activities - EF'!$A$9:$A$190,'2. TEUs &amp; Activities - EF'!$J$9:$J$190),_xlfn.XLOOKUP($B369,'2. TEUs &amp; Activities - EF'!$B$9:$B$190,'2. TEUs &amp; Activities - EF'!$J$9:$J$190))*'3. Pollutant Emissions - EF'!$I369*IF(OR(ISBLANK($E369),$G369="Yes"),1,$E369)*IF($H369="Yes",1,(1-$F369))</f>
        <v>5.043011764705882E-2</v>
      </c>
      <c r="N369" s="5">
        <f>IF(ISBLANK($B369),_xlfn.XLOOKUP($A369,'2. TEUs &amp; Activities - EF'!$A$9:$A$190,'2. TEUs &amp; Activities - EF'!$M$9:$M$190),_xlfn.XLOOKUP($B369,'2. TEUs &amp; Activities - EF'!$B$9:$B$190,'2. TEUs &amp; Activities - EF'!$M$9:$M$190))*'3. Pollutant Emissions - EF'!$J369*IF(OR(ISBLANK($E369),$G369="Yes"),1,$E369)*IF($H369="Yes",1,(1-$F369))</f>
        <v>1.3176470588235293E-4</v>
      </c>
      <c r="O369" s="130"/>
    </row>
    <row r="370" spans="1:15" ht="15" x14ac:dyDescent="0.25">
      <c r="A370" s="5" t="s">
        <v>1322</v>
      </c>
      <c r="B370" s="7"/>
      <c r="C370" s="13" t="s">
        <v>55</v>
      </c>
      <c r="D370" s="19" t="str">
        <f>IFERROR(IF(C370="No CAS","",INDEX('DEQ Pollutant List'!$B$7:$B$611,MATCH('3. Pollutant Emissions - EF'!C370,'DEQ Pollutant List'!$A$7:$A$611,0))),"")</f>
        <v>Beryllium and compounds</v>
      </c>
      <c r="E370" s="100">
        <v>0</v>
      </c>
      <c r="F370" s="36">
        <v>0</v>
      </c>
      <c r="G370" s="100" t="s">
        <v>1415</v>
      </c>
      <c r="H370" s="36" t="s">
        <v>1415</v>
      </c>
      <c r="I370" s="34">
        <v>1.2E-5</v>
      </c>
      <c r="J370" s="11">
        <f t="shared" si="9"/>
        <v>1.2E-5</v>
      </c>
      <c r="K370" s="6" t="s">
        <v>1416</v>
      </c>
      <c r="L370" s="20" t="s">
        <v>1422</v>
      </c>
      <c r="M370" s="7">
        <f>IF(ISBLANK($B370),_xlfn.XLOOKUP($A370,'2. TEUs &amp; Activities - EF'!$A$9:$A$190,'2. TEUs &amp; Activities - EF'!$J$9:$J$190),_xlfn.XLOOKUP($B370,'2. TEUs &amp; Activities - EF'!$B$9:$B$190,'2. TEUs &amp; Activities - EF'!$J$9:$J$190))*'3. Pollutant Emissions - EF'!$I370*IF(OR(ISBLANK($E370),$G370="Yes"),1,$E370)*IF($H370="Yes",1,(1-$F370))</f>
        <v>7.5645176470588236E-5</v>
      </c>
      <c r="N370" s="5">
        <f>IF(ISBLANK($B370),_xlfn.XLOOKUP($A370,'2. TEUs &amp; Activities - EF'!$A$9:$A$190,'2. TEUs &amp; Activities - EF'!$M$9:$M$190),_xlfn.XLOOKUP($B370,'2. TEUs &amp; Activities - EF'!$B$9:$B$190,'2. TEUs &amp; Activities - EF'!$M$9:$M$190))*'3. Pollutant Emissions - EF'!$J370*IF(OR(ISBLANK($E370),$G370="Yes"),1,$E370)*IF($H370="Yes",1,(1-$F370))</f>
        <v>1.9764705882352939E-7</v>
      </c>
      <c r="O370" s="130"/>
    </row>
    <row r="371" spans="1:15" ht="15" x14ac:dyDescent="0.25">
      <c r="A371" s="5" t="s">
        <v>1322</v>
      </c>
      <c r="B371" s="7"/>
      <c r="C371" s="13" t="s">
        <v>56</v>
      </c>
      <c r="D371" s="19" t="str">
        <f>IFERROR(IF(C371="No CAS","",INDEX('DEQ Pollutant List'!$B$7:$B$611,MATCH('3. Pollutant Emissions - EF'!C371,'DEQ Pollutant List'!$A$7:$A$611,0))),"")</f>
        <v>Cadmium and compounds</v>
      </c>
      <c r="E371" s="100">
        <v>0</v>
      </c>
      <c r="F371" s="36">
        <v>0</v>
      </c>
      <c r="G371" s="100" t="s">
        <v>1415</v>
      </c>
      <c r="H371" s="36" t="s">
        <v>1415</v>
      </c>
      <c r="I371" s="34">
        <v>1.1000000000000001E-3</v>
      </c>
      <c r="J371" s="11">
        <f t="shared" si="9"/>
        <v>1.1000000000000001E-3</v>
      </c>
      <c r="K371" s="6" t="s">
        <v>1416</v>
      </c>
      <c r="L371" s="20" t="s">
        <v>1422</v>
      </c>
      <c r="M371" s="7">
        <f>IF(ISBLANK($B371),_xlfn.XLOOKUP($A371,'2. TEUs &amp; Activities - EF'!$A$9:$A$190,'2. TEUs &amp; Activities - EF'!$J$9:$J$190),_xlfn.XLOOKUP($B371,'2. TEUs &amp; Activities - EF'!$B$9:$B$190,'2. TEUs &amp; Activities - EF'!$J$9:$J$190))*'3. Pollutant Emissions - EF'!$I371*IF(OR(ISBLANK($E371),$G371="Yes"),1,$E371)*IF($H371="Yes",1,(1-$F371))</f>
        <v>6.9341411764705886E-3</v>
      </c>
      <c r="N371" s="5">
        <f>IF(ISBLANK($B371),_xlfn.XLOOKUP($A371,'2. TEUs &amp; Activities - EF'!$A$9:$A$190,'2. TEUs &amp; Activities - EF'!$M$9:$M$190),_xlfn.XLOOKUP($B371,'2. TEUs &amp; Activities - EF'!$B$9:$B$190,'2. TEUs &amp; Activities - EF'!$M$9:$M$190))*'3. Pollutant Emissions - EF'!$J371*IF(OR(ISBLANK($E371),$G371="Yes"),1,$E371)*IF($H371="Yes",1,(1-$F371))</f>
        <v>1.8117647058823527E-5</v>
      </c>
      <c r="O371" s="130"/>
    </row>
    <row r="372" spans="1:15" ht="15" x14ac:dyDescent="0.25">
      <c r="A372" s="5" t="s">
        <v>1322</v>
      </c>
      <c r="B372" s="7"/>
      <c r="C372" s="13" t="s">
        <v>57</v>
      </c>
      <c r="D372" s="19" t="str">
        <f>IFERROR(IF(C372="No CAS","",INDEX('DEQ Pollutant List'!$B$7:$B$611,MATCH('3. Pollutant Emissions - EF'!C372,'DEQ Pollutant List'!$A$7:$A$611,0))),"")</f>
        <v>Chromium VI, chromate and dichromate particulate</v>
      </c>
      <c r="E372" s="100">
        <v>0</v>
      </c>
      <c r="F372" s="36">
        <v>0</v>
      </c>
      <c r="G372" s="100" t="s">
        <v>1415</v>
      </c>
      <c r="H372" s="36" t="s">
        <v>1415</v>
      </c>
      <c r="I372" s="34">
        <v>1.4E-3</v>
      </c>
      <c r="J372" s="11">
        <f t="shared" si="9"/>
        <v>1.4E-3</v>
      </c>
      <c r="K372" s="6" t="s">
        <v>1416</v>
      </c>
      <c r="L372" s="20" t="s">
        <v>1422</v>
      </c>
      <c r="M372" s="7">
        <f>IF(ISBLANK($B372),_xlfn.XLOOKUP($A372,'2. TEUs &amp; Activities - EF'!$A$9:$A$190,'2. TEUs &amp; Activities - EF'!$J$9:$J$190),_xlfn.XLOOKUP($B372,'2. TEUs &amp; Activities - EF'!$B$9:$B$190,'2. TEUs &amp; Activities - EF'!$J$9:$J$190))*'3. Pollutant Emissions - EF'!$I372*IF(OR(ISBLANK($E372),$G372="Yes"),1,$E372)*IF($H372="Yes",1,(1-$F372))</f>
        <v>8.8252705882352935E-3</v>
      </c>
      <c r="N372" s="5">
        <f>IF(ISBLANK($B372),_xlfn.XLOOKUP($A372,'2. TEUs &amp; Activities - EF'!$A$9:$A$190,'2. TEUs &amp; Activities - EF'!$M$9:$M$190),_xlfn.XLOOKUP($B372,'2. TEUs &amp; Activities - EF'!$B$9:$B$190,'2. TEUs &amp; Activities - EF'!$M$9:$M$190))*'3. Pollutant Emissions - EF'!$J372*IF(OR(ISBLANK($E372),$G372="Yes"),1,$E372)*IF($H372="Yes",1,(1-$F372))</f>
        <v>2.305882352941176E-5</v>
      </c>
      <c r="O372" s="130"/>
    </row>
    <row r="373" spans="1:15" ht="15" x14ac:dyDescent="0.25">
      <c r="A373" s="5" t="s">
        <v>1322</v>
      </c>
      <c r="B373" s="7"/>
      <c r="C373" s="13" t="s">
        <v>58</v>
      </c>
      <c r="D373" s="19" t="str">
        <f>IFERROR(IF(C373="No CAS","",INDEX('DEQ Pollutant List'!$B$7:$B$611,MATCH('3. Pollutant Emissions - EF'!C373,'DEQ Pollutant List'!$A$7:$A$611,0))),"")</f>
        <v>Cobalt and compounds</v>
      </c>
      <c r="E373" s="100">
        <v>0</v>
      </c>
      <c r="F373" s="36">
        <v>0</v>
      </c>
      <c r="G373" s="100" t="s">
        <v>1415</v>
      </c>
      <c r="H373" s="36" t="s">
        <v>1415</v>
      </c>
      <c r="I373" s="34">
        <v>8.3999999999999995E-5</v>
      </c>
      <c r="J373" s="11">
        <f t="shared" si="9"/>
        <v>8.3999999999999995E-5</v>
      </c>
      <c r="K373" s="6" t="s">
        <v>1416</v>
      </c>
      <c r="L373" s="20" t="s">
        <v>1422</v>
      </c>
      <c r="M373" s="7">
        <f>IF(ISBLANK($B373),_xlfn.XLOOKUP($A373,'2. TEUs &amp; Activities - EF'!$A$9:$A$190,'2. TEUs &amp; Activities - EF'!$J$9:$J$190),_xlfn.XLOOKUP($B373,'2. TEUs &amp; Activities - EF'!$B$9:$B$190,'2. TEUs &amp; Activities - EF'!$J$9:$J$190))*'3. Pollutant Emissions - EF'!$I373*IF(OR(ISBLANK($E373),$G373="Yes"),1,$E373)*IF($H373="Yes",1,(1-$F373))</f>
        <v>5.2951623529411758E-4</v>
      </c>
      <c r="N373" s="5">
        <f>IF(ISBLANK($B373),_xlfn.XLOOKUP($A373,'2. TEUs &amp; Activities - EF'!$A$9:$A$190,'2. TEUs &amp; Activities - EF'!$M$9:$M$190),_xlfn.XLOOKUP($B373,'2. TEUs &amp; Activities - EF'!$B$9:$B$190,'2. TEUs &amp; Activities - EF'!$M$9:$M$190))*'3. Pollutant Emissions - EF'!$J373*IF(OR(ISBLANK($E373),$G373="Yes"),1,$E373)*IF($H373="Yes",1,(1-$F373))</f>
        <v>1.3835294117647056E-6</v>
      </c>
      <c r="O373" s="130"/>
    </row>
    <row r="374" spans="1:15" ht="15" x14ac:dyDescent="0.25">
      <c r="A374" s="5" t="s">
        <v>1322</v>
      </c>
      <c r="B374" s="7"/>
      <c r="C374" s="13" t="s">
        <v>59</v>
      </c>
      <c r="D374" s="19" t="str">
        <f>IFERROR(IF(C374="No CAS","",INDEX('DEQ Pollutant List'!$B$7:$B$611,MATCH('3. Pollutant Emissions - EF'!C374,'DEQ Pollutant List'!$A$7:$A$611,0))),"")</f>
        <v>Copper and compounds</v>
      </c>
      <c r="E374" s="100">
        <v>0</v>
      </c>
      <c r="F374" s="36">
        <v>0</v>
      </c>
      <c r="G374" s="100" t="s">
        <v>1415</v>
      </c>
      <c r="H374" s="36" t="s">
        <v>1415</v>
      </c>
      <c r="I374" s="34">
        <v>8.4999999999999995E-4</v>
      </c>
      <c r="J374" s="11">
        <f t="shared" si="9"/>
        <v>8.4999999999999995E-4</v>
      </c>
      <c r="K374" s="6" t="s">
        <v>1416</v>
      </c>
      <c r="L374" s="20" t="s">
        <v>1422</v>
      </c>
      <c r="M374" s="7">
        <f>IF(ISBLANK($B374),_xlfn.XLOOKUP($A374,'2. TEUs &amp; Activities - EF'!$A$9:$A$190,'2. TEUs &amp; Activities - EF'!$J$9:$J$190),_xlfn.XLOOKUP($B374,'2. TEUs &amp; Activities - EF'!$B$9:$B$190,'2. TEUs &amp; Activities - EF'!$J$9:$J$190))*'3. Pollutant Emissions - EF'!$I374*IF(OR(ISBLANK($E374),$G374="Yes"),1,$E374)*IF($H374="Yes",1,(1-$F374))</f>
        <v>5.3581999999999996E-3</v>
      </c>
      <c r="N374" s="5">
        <f>IF(ISBLANK($B374),_xlfn.XLOOKUP($A374,'2. TEUs &amp; Activities - EF'!$A$9:$A$190,'2. TEUs &amp; Activities - EF'!$M$9:$M$190),_xlfn.XLOOKUP($B374,'2. TEUs &amp; Activities - EF'!$B$9:$B$190,'2. TEUs &amp; Activities - EF'!$M$9:$M$190))*'3. Pollutant Emissions - EF'!$J374*IF(OR(ISBLANK($E374),$G374="Yes"),1,$E374)*IF($H374="Yes",1,(1-$F374))</f>
        <v>1.3999999999999998E-5</v>
      </c>
      <c r="O374" s="130"/>
    </row>
    <row r="375" spans="1:15" ht="15" x14ac:dyDescent="0.25">
      <c r="A375" s="5" t="s">
        <v>1322</v>
      </c>
      <c r="B375" s="7"/>
      <c r="C375" s="13" t="s">
        <v>60</v>
      </c>
      <c r="D375" s="19" t="str">
        <f>IFERROR(IF(C375="No CAS","",INDEX('DEQ Pollutant List'!$B$7:$B$611,MATCH('3. Pollutant Emissions - EF'!C375,'DEQ Pollutant List'!$A$7:$A$611,0))),"")</f>
        <v>Ethyl benzene</v>
      </c>
      <c r="E375" s="100">
        <v>0</v>
      </c>
      <c r="F375" s="36">
        <v>0</v>
      </c>
      <c r="G375" s="100" t="s">
        <v>1415</v>
      </c>
      <c r="H375" s="36" t="s">
        <v>1415</v>
      </c>
      <c r="I375" s="34">
        <v>9.4999999999999998E-3</v>
      </c>
      <c r="J375" s="11">
        <f t="shared" si="9"/>
        <v>9.4999999999999998E-3</v>
      </c>
      <c r="K375" s="6" t="s">
        <v>1416</v>
      </c>
      <c r="L375" s="20" t="s">
        <v>1422</v>
      </c>
      <c r="M375" s="7">
        <f>IF(ISBLANK($B375),_xlfn.XLOOKUP($A375,'2. TEUs &amp; Activities - EF'!$A$9:$A$190,'2. TEUs &amp; Activities - EF'!$J$9:$J$190),_xlfn.XLOOKUP($B375,'2. TEUs &amp; Activities - EF'!$B$9:$B$190,'2. TEUs &amp; Activities - EF'!$J$9:$J$190))*'3. Pollutant Emissions - EF'!$I375*IF(OR(ISBLANK($E375),$G375="Yes"),1,$E375)*IF($H375="Yes",1,(1-$F375))</f>
        <v>5.9885764705882347E-2</v>
      </c>
      <c r="N375" s="5">
        <f>IF(ISBLANK($B375),_xlfn.XLOOKUP($A375,'2. TEUs &amp; Activities - EF'!$A$9:$A$190,'2. TEUs &amp; Activities - EF'!$M$9:$M$190),_xlfn.XLOOKUP($B375,'2. TEUs &amp; Activities - EF'!$B$9:$B$190,'2. TEUs &amp; Activities - EF'!$M$9:$M$190))*'3. Pollutant Emissions - EF'!$J375*IF(OR(ISBLANK($E375),$G375="Yes"),1,$E375)*IF($H375="Yes",1,(1-$F375))</f>
        <v>1.564705882352941E-4</v>
      </c>
      <c r="O375" s="130"/>
    </row>
    <row r="376" spans="1:15" ht="15" x14ac:dyDescent="0.25">
      <c r="A376" s="5" t="s">
        <v>1322</v>
      </c>
      <c r="B376" s="7"/>
      <c r="C376" s="13" t="s">
        <v>47</v>
      </c>
      <c r="D376" s="19" t="str">
        <f>IFERROR(IF(C376="No CAS","",INDEX('DEQ Pollutant List'!$B$7:$B$611,MATCH('3. Pollutant Emissions - EF'!C376,'DEQ Pollutant List'!$A$7:$A$611,0))),"")</f>
        <v>Formaldehyde</v>
      </c>
      <c r="E376" s="100">
        <v>0</v>
      </c>
      <c r="F376" s="36">
        <v>0</v>
      </c>
      <c r="G376" s="100" t="s">
        <v>1415</v>
      </c>
      <c r="H376" s="36" t="s">
        <v>1415</v>
      </c>
      <c r="I376" s="34">
        <v>1.7000000000000001E-2</v>
      </c>
      <c r="J376" s="11">
        <f t="shared" si="9"/>
        <v>1.7000000000000001E-2</v>
      </c>
      <c r="K376" s="6" t="s">
        <v>1416</v>
      </c>
      <c r="L376" s="20" t="s">
        <v>1422</v>
      </c>
      <c r="M376" s="7">
        <f>IF(ISBLANK($B376),_xlfn.XLOOKUP($A376,'2. TEUs &amp; Activities - EF'!$A$9:$A$190,'2. TEUs &amp; Activities - EF'!$J$9:$J$190),_xlfn.XLOOKUP($B376,'2. TEUs &amp; Activities - EF'!$B$9:$B$190,'2. TEUs &amp; Activities - EF'!$J$9:$J$190))*'3. Pollutant Emissions - EF'!$I376*IF(OR(ISBLANK($E376),$G376="Yes"),1,$E376)*IF($H376="Yes",1,(1-$F376))</f>
        <v>0.10716400000000001</v>
      </c>
      <c r="N376" s="5">
        <f>IF(ISBLANK($B376),_xlfn.XLOOKUP($A376,'2. TEUs &amp; Activities - EF'!$A$9:$A$190,'2. TEUs &amp; Activities - EF'!$M$9:$M$190),_xlfn.XLOOKUP($B376,'2. TEUs &amp; Activities - EF'!$B$9:$B$190,'2. TEUs &amp; Activities - EF'!$M$9:$M$190))*'3. Pollutant Emissions - EF'!$J376*IF(OR(ISBLANK($E376),$G376="Yes"),1,$E376)*IF($H376="Yes",1,(1-$F376))</f>
        <v>2.7999999999999998E-4</v>
      </c>
      <c r="O376" s="130"/>
    </row>
    <row r="377" spans="1:15" ht="15" x14ac:dyDescent="0.25">
      <c r="A377" s="5" t="s">
        <v>1322</v>
      </c>
      <c r="B377" s="7"/>
      <c r="C377" s="13" t="s">
        <v>61</v>
      </c>
      <c r="D377" s="19" t="str">
        <f>IFERROR(IF(C377="No CAS","",INDEX('DEQ Pollutant List'!$B$7:$B$611,MATCH('3. Pollutant Emissions - EF'!C377,'DEQ Pollutant List'!$A$7:$A$611,0))),"")</f>
        <v>Hexane</v>
      </c>
      <c r="E377" s="100">
        <v>0</v>
      </c>
      <c r="F377" s="36">
        <v>0</v>
      </c>
      <c r="G377" s="100" t="s">
        <v>1415</v>
      </c>
      <c r="H377" s="36" t="s">
        <v>1415</v>
      </c>
      <c r="I377" s="34">
        <v>6.3E-3</v>
      </c>
      <c r="J377" s="11">
        <f t="shared" si="9"/>
        <v>6.3E-3</v>
      </c>
      <c r="K377" s="6" t="s">
        <v>1416</v>
      </c>
      <c r="L377" s="20" t="s">
        <v>1422</v>
      </c>
      <c r="M377" s="7">
        <f>IF(ISBLANK($B377),_xlfn.XLOOKUP($A377,'2. TEUs &amp; Activities - EF'!$A$9:$A$190,'2. TEUs &amp; Activities - EF'!$J$9:$J$190),_xlfn.XLOOKUP($B377,'2. TEUs &amp; Activities - EF'!$B$9:$B$190,'2. TEUs &amp; Activities - EF'!$J$9:$J$190))*'3. Pollutant Emissions - EF'!$I377*IF(OR(ISBLANK($E377),$G377="Yes"),1,$E377)*IF($H377="Yes",1,(1-$F377))</f>
        <v>3.9713717647058826E-2</v>
      </c>
      <c r="N377" s="5">
        <f>IF(ISBLANK($B377),_xlfn.XLOOKUP($A377,'2. TEUs &amp; Activities - EF'!$A$9:$A$190,'2. TEUs &amp; Activities - EF'!$M$9:$M$190),_xlfn.XLOOKUP($B377,'2. TEUs &amp; Activities - EF'!$B$9:$B$190,'2. TEUs &amp; Activities - EF'!$M$9:$M$190))*'3. Pollutant Emissions - EF'!$J377*IF(OR(ISBLANK($E377),$G377="Yes"),1,$E377)*IF($H377="Yes",1,(1-$F377))</f>
        <v>1.0376470588235293E-4</v>
      </c>
      <c r="O377" s="130"/>
    </row>
    <row r="378" spans="1:15" ht="15" x14ac:dyDescent="0.25">
      <c r="A378" s="5" t="s">
        <v>1322</v>
      </c>
      <c r="B378" s="7"/>
      <c r="C378" s="13" t="s">
        <v>62</v>
      </c>
      <c r="D378" s="19" t="str">
        <f>IFERROR(IF(C378="No CAS","",INDEX('DEQ Pollutant List'!$B$7:$B$611,MATCH('3. Pollutant Emissions - EF'!C378,'DEQ Pollutant List'!$A$7:$A$611,0))),"")</f>
        <v>Lead and compounds</v>
      </c>
      <c r="E378" s="100">
        <v>0</v>
      </c>
      <c r="F378" s="36">
        <v>0</v>
      </c>
      <c r="G378" s="100" t="s">
        <v>1415</v>
      </c>
      <c r="H378" s="36" t="s">
        <v>1415</v>
      </c>
      <c r="I378" s="34">
        <v>5.0000000000000001E-4</v>
      </c>
      <c r="J378" s="11">
        <f t="shared" si="9"/>
        <v>5.0000000000000001E-4</v>
      </c>
      <c r="K378" s="6" t="s">
        <v>1416</v>
      </c>
      <c r="L378" s="20" t="s">
        <v>1422</v>
      </c>
      <c r="M378" s="7">
        <f>IF(ISBLANK($B378),_xlfn.XLOOKUP($A378,'2. TEUs &amp; Activities - EF'!$A$9:$A$190,'2. TEUs &amp; Activities - EF'!$J$9:$J$190),_xlfn.XLOOKUP($B378,'2. TEUs &amp; Activities - EF'!$B$9:$B$190,'2. TEUs &amp; Activities - EF'!$J$9:$J$190))*'3. Pollutant Emissions - EF'!$I378*IF(OR(ISBLANK($E378),$G378="Yes"),1,$E378)*IF($H378="Yes",1,(1-$F378))</f>
        <v>3.1518823529411762E-3</v>
      </c>
      <c r="N378" s="5">
        <f>IF(ISBLANK($B378),_xlfn.XLOOKUP($A378,'2. TEUs &amp; Activities - EF'!$A$9:$A$190,'2. TEUs &amp; Activities - EF'!$M$9:$M$190),_xlfn.XLOOKUP($B378,'2. TEUs &amp; Activities - EF'!$B$9:$B$190,'2. TEUs &amp; Activities - EF'!$M$9:$M$190))*'3. Pollutant Emissions - EF'!$J378*IF(OR(ISBLANK($E378),$G378="Yes"),1,$E378)*IF($H378="Yes",1,(1-$F378))</f>
        <v>8.2352941176470581E-6</v>
      </c>
      <c r="O378" s="130"/>
    </row>
    <row r="379" spans="1:15" ht="15" x14ac:dyDescent="0.25">
      <c r="A379" s="5" t="s">
        <v>1322</v>
      </c>
      <c r="B379" s="7"/>
      <c r="C379" s="13" t="s">
        <v>63</v>
      </c>
      <c r="D379" s="19" t="str">
        <f>IFERROR(IF(C379="No CAS","",INDEX('DEQ Pollutant List'!$B$7:$B$611,MATCH('3. Pollutant Emissions - EF'!C379,'DEQ Pollutant List'!$A$7:$A$611,0))),"")</f>
        <v>Manganese and compounds</v>
      </c>
      <c r="E379" s="100">
        <v>0</v>
      </c>
      <c r="F379" s="36">
        <v>0</v>
      </c>
      <c r="G379" s="100" t="s">
        <v>1415</v>
      </c>
      <c r="H379" s="36" t="s">
        <v>1415</v>
      </c>
      <c r="I379" s="34">
        <v>3.8000000000000002E-4</v>
      </c>
      <c r="J379" s="11">
        <f t="shared" si="9"/>
        <v>3.8000000000000002E-4</v>
      </c>
      <c r="K379" s="6" t="s">
        <v>1416</v>
      </c>
      <c r="L379" s="20" t="s">
        <v>1422</v>
      </c>
      <c r="M379" s="7">
        <f>IF(ISBLANK($B379),_xlfn.XLOOKUP($A379,'2. TEUs &amp; Activities - EF'!$A$9:$A$190,'2. TEUs &amp; Activities - EF'!$J$9:$J$190),_xlfn.XLOOKUP($B379,'2. TEUs &amp; Activities - EF'!$B$9:$B$190,'2. TEUs &amp; Activities - EF'!$J$9:$J$190))*'3. Pollutant Emissions - EF'!$I379*IF(OR(ISBLANK($E379),$G379="Yes"),1,$E379)*IF($H379="Yes",1,(1-$F379))</f>
        <v>2.3954305882352943E-3</v>
      </c>
      <c r="N379" s="5">
        <f>IF(ISBLANK($B379),_xlfn.XLOOKUP($A379,'2. TEUs &amp; Activities - EF'!$A$9:$A$190,'2. TEUs &amp; Activities - EF'!$M$9:$M$190),_xlfn.XLOOKUP($B379,'2. TEUs &amp; Activities - EF'!$B$9:$B$190,'2. TEUs &amp; Activities - EF'!$M$9:$M$190))*'3. Pollutant Emissions - EF'!$J379*IF(OR(ISBLANK($E379),$G379="Yes"),1,$E379)*IF($H379="Yes",1,(1-$F379))</f>
        <v>6.2588235294117641E-6</v>
      </c>
      <c r="O379" s="130"/>
    </row>
    <row r="380" spans="1:15" ht="15" x14ac:dyDescent="0.25">
      <c r="A380" s="5" t="s">
        <v>1322</v>
      </c>
      <c r="B380" s="7"/>
      <c r="C380" s="13" t="s">
        <v>64</v>
      </c>
      <c r="D380" s="19" t="str">
        <f>IFERROR(IF(C380="No CAS","",INDEX('DEQ Pollutant List'!$B$7:$B$611,MATCH('3. Pollutant Emissions - EF'!C380,'DEQ Pollutant List'!$A$7:$A$611,0))),"")</f>
        <v>Mercury and compounds</v>
      </c>
      <c r="E380" s="100">
        <v>0</v>
      </c>
      <c r="F380" s="36">
        <v>0</v>
      </c>
      <c r="G380" s="100" t="s">
        <v>1415</v>
      </c>
      <c r="H380" s="36" t="s">
        <v>1415</v>
      </c>
      <c r="I380" s="34">
        <v>2.5999999999999998E-4</v>
      </c>
      <c r="J380" s="11">
        <f t="shared" si="9"/>
        <v>2.5999999999999998E-4</v>
      </c>
      <c r="K380" s="6" t="s">
        <v>1416</v>
      </c>
      <c r="L380" s="20" t="s">
        <v>1422</v>
      </c>
      <c r="M380" s="7">
        <f>IF(ISBLANK($B380),_xlfn.XLOOKUP($A380,'2. TEUs &amp; Activities - EF'!$A$9:$A$190,'2. TEUs &amp; Activities - EF'!$J$9:$J$190),_xlfn.XLOOKUP($B380,'2. TEUs &amp; Activities - EF'!$B$9:$B$190,'2. TEUs &amp; Activities - EF'!$J$9:$J$190))*'3. Pollutant Emissions - EF'!$I380*IF(OR(ISBLANK($E380),$G380="Yes"),1,$E380)*IF($H380="Yes",1,(1-$F380))</f>
        <v>1.6389788235294115E-3</v>
      </c>
      <c r="N380" s="5">
        <f>IF(ISBLANK($B380),_xlfn.XLOOKUP($A380,'2. TEUs &amp; Activities - EF'!$A$9:$A$190,'2. TEUs &amp; Activities - EF'!$M$9:$M$190),_xlfn.XLOOKUP($B380,'2. TEUs &amp; Activities - EF'!$B$9:$B$190,'2. TEUs &amp; Activities - EF'!$M$9:$M$190))*'3. Pollutant Emissions - EF'!$J380*IF(OR(ISBLANK($E380),$G380="Yes"),1,$E380)*IF($H380="Yes",1,(1-$F380))</f>
        <v>4.2823529411764693E-6</v>
      </c>
      <c r="O380" s="130"/>
    </row>
    <row r="381" spans="1:15" ht="15" x14ac:dyDescent="0.25">
      <c r="A381" s="5" t="s">
        <v>1322</v>
      </c>
      <c r="B381" s="7"/>
      <c r="C381" s="13" t="s">
        <v>65</v>
      </c>
      <c r="D381" s="19" t="str">
        <f>IFERROR(IF(C381="No CAS","",INDEX('DEQ Pollutant List'!$B$7:$B$611,MATCH('3. Pollutant Emissions - EF'!C381,'DEQ Pollutant List'!$A$7:$A$611,0))),"")</f>
        <v>Molybdenum trioxide</v>
      </c>
      <c r="E381" s="100">
        <v>0</v>
      </c>
      <c r="F381" s="36">
        <v>0</v>
      </c>
      <c r="G381" s="100" t="s">
        <v>1415</v>
      </c>
      <c r="H381" s="36" t="s">
        <v>1415</v>
      </c>
      <c r="I381" s="34">
        <v>1.65E-3</v>
      </c>
      <c r="J381" s="11">
        <f t="shared" si="9"/>
        <v>1.65E-3</v>
      </c>
      <c r="K381" s="6" t="s">
        <v>1416</v>
      </c>
      <c r="L381" s="20" t="s">
        <v>1422</v>
      </c>
      <c r="M381" s="7">
        <f>IF(ISBLANK($B381),_xlfn.XLOOKUP($A381,'2. TEUs &amp; Activities - EF'!$A$9:$A$190,'2. TEUs &amp; Activities - EF'!$J$9:$J$190),_xlfn.XLOOKUP($B381,'2. TEUs &amp; Activities - EF'!$B$9:$B$190,'2. TEUs &amp; Activities - EF'!$J$9:$J$190))*'3. Pollutant Emissions - EF'!$I381*IF(OR(ISBLANK($E381),$G381="Yes"),1,$E381)*IF($H381="Yes",1,(1-$F381))</f>
        <v>1.0401211764705882E-2</v>
      </c>
      <c r="N381" s="5">
        <f>IF(ISBLANK($B381),_xlfn.XLOOKUP($A381,'2. TEUs &amp; Activities - EF'!$A$9:$A$190,'2. TEUs &amp; Activities - EF'!$M$9:$M$190),_xlfn.XLOOKUP($B381,'2. TEUs &amp; Activities - EF'!$B$9:$B$190,'2. TEUs &amp; Activities - EF'!$M$9:$M$190))*'3. Pollutant Emissions - EF'!$J381*IF(OR(ISBLANK($E381),$G381="Yes"),1,$E381)*IF($H381="Yes",1,(1-$F381))</f>
        <v>2.7176470588235289E-5</v>
      </c>
      <c r="O381" s="130"/>
    </row>
    <row r="382" spans="1:15" ht="15" x14ac:dyDescent="0.25">
      <c r="A382" s="5" t="s">
        <v>1322</v>
      </c>
      <c r="B382" s="7"/>
      <c r="C382" s="13" t="s">
        <v>49</v>
      </c>
      <c r="D382" s="19" t="str">
        <f>IFERROR(IF(C382="No CAS","",INDEX('DEQ Pollutant List'!$B$7:$B$611,MATCH('3. Pollutant Emissions - EF'!C382,'DEQ Pollutant List'!$A$7:$A$611,0))),"")</f>
        <v>Naphthalene</v>
      </c>
      <c r="E382" s="100">
        <v>0</v>
      </c>
      <c r="F382" s="36">
        <v>0</v>
      </c>
      <c r="G382" s="100" t="s">
        <v>1415</v>
      </c>
      <c r="H382" s="36" t="s">
        <v>1415</v>
      </c>
      <c r="I382" s="34">
        <v>2.9999999999999997E-4</v>
      </c>
      <c r="J382" s="11">
        <f t="shared" si="9"/>
        <v>2.9999999999999997E-4</v>
      </c>
      <c r="K382" s="6" t="s">
        <v>1416</v>
      </c>
      <c r="L382" s="20" t="s">
        <v>1422</v>
      </c>
      <c r="M382" s="7">
        <f>IF(ISBLANK($B382),_xlfn.XLOOKUP($A382,'2. TEUs &amp; Activities - EF'!$A$9:$A$190,'2. TEUs &amp; Activities - EF'!$J$9:$J$190),_xlfn.XLOOKUP($B382,'2. TEUs &amp; Activities - EF'!$B$9:$B$190,'2. TEUs &amp; Activities - EF'!$J$9:$J$190))*'3. Pollutant Emissions - EF'!$I382*IF(OR(ISBLANK($E382),$G382="Yes"),1,$E382)*IF($H382="Yes",1,(1-$F382))</f>
        <v>1.8911294117647057E-3</v>
      </c>
      <c r="N382" s="5">
        <f>IF(ISBLANK($B382),_xlfn.XLOOKUP($A382,'2. TEUs &amp; Activities - EF'!$A$9:$A$190,'2. TEUs &amp; Activities - EF'!$M$9:$M$190),_xlfn.XLOOKUP($B382,'2. TEUs &amp; Activities - EF'!$B$9:$B$190,'2. TEUs &amp; Activities - EF'!$M$9:$M$190))*'3. Pollutant Emissions - EF'!$J382*IF(OR(ISBLANK($E382),$G382="Yes"),1,$E382)*IF($H382="Yes",1,(1-$F382))</f>
        <v>4.9411764705882345E-6</v>
      </c>
      <c r="O382" s="130"/>
    </row>
    <row r="383" spans="1:15" ht="15" x14ac:dyDescent="0.25">
      <c r="A383" s="5" t="s">
        <v>1322</v>
      </c>
      <c r="B383" s="7"/>
      <c r="C383" s="13" t="s">
        <v>66</v>
      </c>
      <c r="D383" s="19" t="str">
        <f>IFERROR(IF(C383="No CAS","",INDEX('DEQ Pollutant List'!$B$7:$B$611,MATCH('3. Pollutant Emissions - EF'!C383,'DEQ Pollutant List'!$A$7:$A$611,0))),"")</f>
        <v>Nickel and compounds</v>
      </c>
      <c r="E383" s="100">
        <v>0</v>
      </c>
      <c r="F383" s="36">
        <v>0</v>
      </c>
      <c r="G383" s="100" t="s">
        <v>1415</v>
      </c>
      <c r="H383" s="36" t="s">
        <v>1415</v>
      </c>
      <c r="I383" s="34">
        <v>2.0999999999999999E-3</v>
      </c>
      <c r="J383" s="11">
        <f t="shared" si="9"/>
        <v>2.0999999999999999E-3</v>
      </c>
      <c r="K383" s="6" t="s">
        <v>1416</v>
      </c>
      <c r="L383" s="20" t="s">
        <v>1422</v>
      </c>
      <c r="M383" s="7">
        <f>IF(ISBLANK($B383),_xlfn.XLOOKUP($A383,'2. TEUs &amp; Activities - EF'!$A$9:$A$190,'2. TEUs &amp; Activities - EF'!$J$9:$J$190),_xlfn.XLOOKUP($B383,'2. TEUs &amp; Activities - EF'!$B$9:$B$190,'2. TEUs &amp; Activities - EF'!$J$9:$J$190))*'3. Pollutant Emissions - EF'!$I383*IF(OR(ISBLANK($E383),$G383="Yes"),1,$E383)*IF($H383="Yes",1,(1-$F383))</f>
        <v>1.323790588235294E-2</v>
      </c>
      <c r="N383" s="5">
        <f>IF(ISBLANK($B383),_xlfn.XLOOKUP($A383,'2. TEUs &amp; Activities - EF'!$A$9:$A$190,'2. TEUs &amp; Activities - EF'!$M$9:$M$190),_xlfn.XLOOKUP($B383,'2. TEUs &amp; Activities - EF'!$B$9:$B$190,'2. TEUs &amp; Activities - EF'!$M$9:$M$190))*'3. Pollutant Emissions - EF'!$J383*IF(OR(ISBLANK($E383),$G383="Yes"),1,$E383)*IF($H383="Yes",1,(1-$F383))</f>
        <v>3.458823529411764E-5</v>
      </c>
      <c r="O383" s="130"/>
    </row>
    <row r="384" spans="1:15" ht="15" x14ac:dyDescent="0.25">
      <c r="A384" s="5" t="s">
        <v>1322</v>
      </c>
      <c r="B384" s="7"/>
      <c r="C384" s="13">
        <v>401</v>
      </c>
      <c r="D384" s="19" t="str">
        <f>IFERROR(IF(C384="No CAS","",INDEX('DEQ Pollutant List'!$B$7:$B$611,MATCH('3. Pollutant Emissions - EF'!C384,'DEQ Pollutant List'!$A$7:$A$611,0))),"")</f>
        <v>Polycyclic aromatic hydrocarbons (PAHs)</v>
      </c>
      <c r="E384" s="100">
        <v>0</v>
      </c>
      <c r="F384" s="36">
        <v>0</v>
      </c>
      <c r="G384" s="100" t="s">
        <v>1415</v>
      </c>
      <c r="H384" s="36" t="s">
        <v>1415</v>
      </c>
      <c r="I384" s="34">
        <v>1E-4</v>
      </c>
      <c r="J384" s="11">
        <f t="shared" si="9"/>
        <v>1E-4</v>
      </c>
      <c r="K384" s="6" t="s">
        <v>1416</v>
      </c>
      <c r="L384" s="20" t="s">
        <v>1422</v>
      </c>
      <c r="M384" s="7">
        <f>IF(ISBLANK($B384),_xlfn.XLOOKUP($A384,'2. TEUs &amp; Activities - EF'!$A$9:$A$190,'2. TEUs &amp; Activities - EF'!$J$9:$J$190),_xlfn.XLOOKUP($B384,'2. TEUs &amp; Activities - EF'!$B$9:$B$190,'2. TEUs &amp; Activities - EF'!$J$9:$J$190))*'3. Pollutant Emissions - EF'!$I384*IF(OR(ISBLANK($E384),$G384="Yes"),1,$E384)*IF($H384="Yes",1,(1-$F384))</f>
        <v>6.3037647058823535E-4</v>
      </c>
      <c r="N384" s="5">
        <f>IF(ISBLANK($B384),_xlfn.XLOOKUP($A384,'2. TEUs &amp; Activities - EF'!$A$9:$A$190,'2. TEUs &amp; Activities - EF'!$M$9:$M$190),_xlfn.XLOOKUP($B384,'2. TEUs &amp; Activities - EF'!$B$9:$B$190,'2. TEUs &amp; Activities - EF'!$M$9:$M$190))*'3. Pollutant Emissions - EF'!$J384*IF(OR(ISBLANK($E384),$G384="Yes"),1,$E384)*IF($H384="Yes",1,(1-$F384))</f>
        <v>1.6470588235294116E-6</v>
      </c>
      <c r="O384" s="130"/>
    </row>
    <row r="385" spans="1:15" ht="15" x14ac:dyDescent="0.25">
      <c r="A385" s="5" t="s">
        <v>1322</v>
      </c>
      <c r="B385" s="7"/>
      <c r="C385" s="13" t="s">
        <v>67</v>
      </c>
      <c r="D385" s="19" t="str">
        <f>IFERROR(IF(C385="No CAS","",INDEX('DEQ Pollutant List'!$B$7:$B$611,MATCH('3. Pollutant Emissions - EF'!C385,'DEQ Pollutant List'!$A$7:$A$611,0))),"")</f>
        <v>Selenium and compounds</v>
      </c>
      <c r="E385" s="100">
        <v>0</v>
      </c>
      <c r="F385" s="36">
        <v>0</v>
      </c>
      <c r="G385" s="100" t="s">
        <v>1415</v>
      </c>
      <c r="H385" s="36" t="s">
        <v>1415</v>
      </c>
      <c r="I385" s="34">
        <v>2.4000000000000001E-5</v>
      </c>
      <c r="J385" s="11">
        <f t="shared" si="9"/>
        <v>2.4000000000000001E-5</v>
      </c>
      <c r="K385" s="6" t="s">
        <v>1416</v>
      </c>
      <c r="L385" s="20" t="s">
        <v>1422</v>
      </c>
      <c r="M385" s="7">
        <f>IF(ISBLANK($B385),_xlfn.XLOOKUP($A385,'2. TEUs &amp; Activities - EF'!$A$9:$A$190,'2. TEUs &amp; Activities - EF'!$J$9:$J$190),_xlfn.XLOOKUP($B385,'2. TEUs &amp; Activities - EF'!$B$9:$B$190,'2. TEUs &amp; Activities - EF'!$J$9:$J$190))*'3. Pollutant Emissions - EF'!$I385*IF(OR(ISBLANK($E385),$G385="Yes"),1,$E385)*IF($H385="Yes",1,(1-$F385))</f>
        <v>1.5129035294117647E-4</v>
      </c>
      <c r="N385" s="5">
        <f>IF(ISBLANK($B385),_xlfn.XLOOKUP($A385,'2. TEUs &amp; Activities - EF'!$A$9:$A$190,'2. TEUs &amp; Activities - EF'!$M$9:$M$190),_xlfn.XLOOKUP($B385,'2. TEUs &amp; Activities - EF'!$B$9:$B$190,'2. TEUs &amp; Activities - EF'!$M$9:$M$190))*'3. Pollutant Emissions - EF'!$J385*IF(OR(ISBLANK($E385),$G385="Yes"),1,$E385)*IF($H385="Yes",1,(1-$F385))</f>
        <v>3.9529411764705879E-7</v>
      </c>
      <c r="O385" s="130"/>
    </row>
    <row r="386" spans="1:15" ht="15" x14ac:dyDescent="0.25">
      <c r="A386" s="5" t="s">
        <v>1322</v>
      </c>
      <c r="B386" s="7"/>
      <c r="C386" s="13" t="s">
        <v>68</v>
      </c>
      <c r="D386" s="19" t="str">
        <f>IFERROR(IF(C386="No CAS","",INDEX('DEQ Pollutant List'!$B$7:$B$611,MATCH('3. Pollutant Emissions - EF'!C386,'DEQ Pollutant List'!$A$7:$A$611,0))),"")</f>
        <v>Toluene</v>
      </c>
      <c r="E386" s="100">
        <v>0</v>
      </c>
      <c r="F386" s="36">
        <v>0</v>
      </c>
      <c r="G386" s="100" t="s">
        <v>1415</v>
      </c>
      <c r="H386" s="36" t="s">
        <v>1415</v>
      </c>
      <c r="I386" s="34">
        <v>3.6600000000000001E-2</v>
      </c>
      <c r="J386" s="11">
        <f t="shared" si="9"/>
        <v>3.6600000000000001E-2</v>
      </c>
      <c r="K386" s="6" t="s">
        <v>1416</v>
      </c>
      <c r="L386" s="20" t="s">
        <v>1422</v>
      </c>
      <c r="M386" s="7">
        <f>IF(ISBLANK($B386),_xlfn.XLOOKUP($A386,'2. TEUs &amp; Activities - EF'!$A$9:$A$190,'2. TEUs &amp; Activities - EF'!$J$9:$J$190),_xlfn.XLOOKUP($B386,'2. TEUs &amp; Activities - EF'!$B$9:$B$190,'2. TEUs &amp; Activities - EF'!$J$9:$J$190))*'3. Pollutant Emissions - EF'!$I386*IF(OR(ISBLANK($E386),$G386="Yes"),1,$E386)*IF($H386="Yes",1,(1-$F386))</f>
        <v>0.23071778823529412</v>
      </c>
      <c r="N386" s="5">
        <f>IF(ISBLANK($B386),_xlfn.XLOOKUP($A386,'2. TEUs &amp; Activities - EF'!$A$9:$A$190,'2. TEUs &amp; Activities - EF'!$M$9:$M$190),_xlfn.XLOOKUP($B386,'2. TEUs &amp; Activities - EF'!$B$9:$B$190,'2. TEUs &amp; Activities - EF'!$M$9:$M$190))*'3. Pollutant Emissions - EF'!$J386*IF(OR(ISBLANK($E386),$G386="Yes"),1,$E386)*IF($H386="Yes",1,(1-$F386))</f>
        <v>6.0282352941176459E-4</v>
      </c>
      <c r="O386" s="130"/>
    </row>
    <row r="387" spans="1:15" ht="15" x14ac:dyDescent="0.25">
      <c r="A387" s="5" t="s">
        <v>1322</v>
      </c>
      <c r="B387" s="7"/>
      <c r="C387" s="13" t="s">
        <v>69</v>
      </c>
      <c r="D387" s="19" t="str">
        <f>IFERROR(IF(C387="No CAS","",INDEX('DEQ Pollutant List'!$B$7:$B$611,MATCH('3. Pollutant Emissions - EF'!C387,'DEQ Pollutant List'!$A$7:$A$611,0))),"")</f>
        <v>Vanadium (fume or dust)</v>
      </c>
      <c r="E387" s="100">
        <v>0</v>
      </c>
      <c r="F387" s="36">
        <v>0</v>
      </c>
      <c r="G387" s="100" t="s">
        <v>1415</v>
      </c>
      <c r="H387" s="36" t="s">
        <v>1415</v>
      </c>
      <c r="I387" s="34">
        <v>2.3E-3</v>
      </c>
      <c r="J387" s="11">
        <f t="shared" si="9"/>
        <v>2.3E-3</v>
      </c>
      <c r="K387" s="6" t="s">
        <v>1416</v>
      </c>
      <c r="L387" s="20" t="s">
        <v>1422</v>
      </c>
      <c r="M387" s="7">
        <f>IF(ISBLANK($B387),_xlfn.XLOOKUP($A387,'2. TEUs &amp; Activities - EF'!$A$9:$A$190,'2. TEUs &amp; Activities - EF'!$J$9:$J$190),_xlfn.XLOOKUP($B387,'2. TEUs &amp; Activities - EF'!$B$9:$B$190,'2. TEUs &amp; Activities - EF'!$J$9:$J$190))*'3. Pollutant Emissions - EF'!$I387*IF(OR(ISBLANK($E387),$G387="Yes"),1,$E387)*IF($H387="Yes",1,(1-$F387))</f>
        <v>1.4498658823529411E-2</v>
      </c>
      <c r="N387" s="5">
        <f>IF(ISBLANK($B387),_xlfn.XLOOKUP($A387,'2. TEUs &amp; Activities - EF'!$A$9:$A$190,'2. TEUs &amp; Activities - EF'!$M$9:$M$190),_xlfn.XLOOKUP($B387,'2. TEUs &amp; Activities - EF'!$B$9:$B$190,'2. TEUs &amp; Activities - EF'!$M$9:$M$190))*'3. Pollutant Emissions - EF'!$J387*IF(OR(ISBLANK($E387),$G387="Yes"),1,$E387)*IF($H387="Yes",1,(1-$F387))</f>
        <v>3.7882352941176462E-5</v>
      </c>
      <c r="O387" s="130"/>
    </row>
    <row r="388" spans="1:15" ht="15" x14ac:dyDescent="0.25">
      <c r="A388" s="5" t="s">
        <v>1322</v>
      </c>
      <c r="B388" s="7"/>
      <c r="C388" s="13" t="s">
        <v>70</v>
      </c>
      <c r="D388" s="19" t="str">
        <f>IFERROR(IF(C388="No CAS","",INDEX('DEQ Pollutant List'!$B$7:$B$611,MATCH('3. Pollutant Emissions - EF'!C388,'DEQ Pollutant List'!$A$7:$A$611,0))),"")</f>
        <v>Xylene (mixture), including m-xylene, o-xylene, p-xylene</v>
      </c>
      <c r="E388" s="100">
        <v>0</v>
      </c>
      <c r="F388" s="36">
        <v>0</v>
      </c>
      <c r="G388" s="100" t="s">
        <v>1415</v>
      </c>
      <c r="H388" s="36" t="s">
        <v>1415</v>
      </c>
      <c r="I388" s="34">
        <v>2.7199999999999998E-2</v>
      </c>
      <c r="J388" s="11">
        <f t="shared" si="9"/>
        <v>2.7199999999999998E-2</v>
      </c>
      <c r="K388" s="6" t="s">
        <v>1416</v>
      </c>
      <c r="L388" s="20" t="s">
        <v>1422</v>
      </c>
      <c r="M388" s="7">
        <f>IF(ISBLANK($B388),_xlfn.XLOOKUP($A388,'2. TEUs &amp; Activities - EF'!$A$9:$A$190,'2. TEUs &amp; Activities - EF'!$J$9:$J$190),_xlfn.XLOOKUP($B388,'2. TEUs &amp; Activities - EF'!$B$9:$B$190,'2. TEUs &amp; Activities - EF'!$J$9:$J$190))*'3. Pollutant Emissions - EF'!$I388*IF(OR(ISBLANK($E388),$G388="Yes"),1,$E388)*IF($H388="Yes",1,(1-$F388))</f>
        <v>0.17146239999999999</v>
      </c>
      <c r="N388" s="5">
        <f>IF(ISBLANK($B388),_xlfn.XLOOKUP($A388,'2. TEUs &amp; Activities - EF'!$A$9:$A$190,'2. TEUs &amp; Activities - EF'!$M$9:$M$190),_xlfn.XLOOKUP($B388,'2. TEUs &amp; Activities - EF'!$B$9:$B$190,'2. TEUs &amp; Activities - EF'!$M$9:$M$190))*'3. Pollutant Emissions - EF'!$J388*IF(OR(ISBLANK($E388),$G388="Yes"),1,$E388)*IF($H388="Yes",1,(1-$F388))</f>
        <v>4.4799999999999994E-4</v>
      </c>
      <c r="O388" s="130"/>
    </row>
    <row r="389" spans="1:15" ht="15" x14ac:dyDescent="0.25">
      <c r="A389" s="5" t="s">
        <v>1322</v>
      </c>
      <c r="B389" s="7"/>
      <c r="C389" s="13" t="s">
        <v>71</v>
      </c>
      <c r="D389" s="19" t="str">
        <f>IFERROR(IF(C389="No CAS","",INDEX('DEQ Pollutant List'!$B$7:$B$611,MATCH('3. Pollutant Emissions - EF'!C389,'DEQ Pollutant List'!$A$7:$A$611,0))),"")</f>
        <v>Zinc and compounds</v>
      </c>
      <c r="E389" s="100">
        <v>0</v>
      </c>
      <c r="F389" s="36">
        <v>0</v>
      </c>
      <c r="G389" s="100" t="s">
        <v>1415</v>
      </c>
      <c r="H389" s="36" t="s">
        <v>1415</v>
      </c>
      <c r="I389" s="34">
        <v>2.9000000000000001E-2</v>
      </c>
      <c r="J389" s="11">
        <f t="shared" si="9"/>
        <v>2.9000000000000001E-2</v>
      </c>
      <c r="K389" s="6" t="s">
        <v>1416</v>
      </c>
      <c r="L389" s="20" t="s">
        <v>1422</v>
      </c>
      <c r="M389" s="7">
        <f>IF(ISBLANK($B389),_xlfn.XLOOKUP($A389,'2. TEUs &amp; Activities - EF'!$A$9:$A$190,'2. TEUs &amp; Activities - EF'!$J$9:$J$190),_xlfn.XLOOKUP($B389,'2. TEUs &amp; Activities - EF'!$B$9:$B$190,'2. TEUs &amp; Activities - EF'!$J$9:$J$190))*'3. Pollutant Emissions - EF'!$I389*IF(OR(ISBLANK($E389),$G389="Yes"),1,$E389)*IF($H389="Yes",1,(1-$F389))</f>
        <v>0.18280917647058822</v>
      </c>
      <c r="N389" s="5">
        <f>IF(ISBLANK($B389),_xlfn.XLOOKUP($A389,'2. TEUs &amp; Activities - EF'!$A$9:$A$190,'2. TEUs &amp; Activities - EF'!$M$9:$M$190),_xlfn.XLOOKUP($B389,'2. TEUs &amp; Activities - EF'!$B$9:$B$190,'2. TEUs &amp; Activities - EF'!$M$9:$M$190))*'3. Pollutant Emissions - EF'!$J389*IF(OR(ISBLANK($E389),$G389="Yes"),1,$E389)*IF($H389="Yes",1,(1-$F389))</f>
        <v>4.7764705882352937E-4</v>
      </c>
      <c r="O389" s="130"/>
    </row>
    <row r="390" spans="1:15" ht="15" x14ac:dyDescent="0.25">
      <c r="A390" s="5"/>
      <c r="B390" s="7"/>
      <c r="C390" s="13"/>
      <c r="D390" s="19" t="str">
        <f>IFERROR(IF(C390="No CAS","",INDEX('DEQ Pollutant List'!$B$7:$B$611,MATCH('3. Pollutant Emissions - EF'!C390,'DEQ Pollutant List'!$A$7:$A$611,0))),"")</f>
        <v/>
      </c>
      <c r="E390" s="100"/>
      <c r="F390" s="36"/>
      <c r="G390" s="100"/>
      <c r="H390" s="36"/>
      <c r="I390" s="34"/>
      <c r="J390" s="11"/>
      <c r="K390" s="6"/>
      <c r="L390" s="20"/>
      <c r="M390" s="7">
        <f>IF(ISBLANK($B390),_xlfn.XLOOKUP($A390,'2. TEUs &amp; Activities - EF'!$A$9:$A$190,'2. TEUs &amp; Activities - EF'!$J$9:$J$190),_xlfn.XLOOKUP($B390,'2. TEUs &amp; Activities - EF'!$B$9:$B$190,'2. TEUs &amp; Activities - EF'!$J$9:$J$190))*'3. Pollutant Emissions - EF'!$I390*IF(OR(ISBLANK($E390),$G390="Yes"),1,$E390)*IF($H390="Yes",1,(1-$F390))</f>
        <v>0</v>
      </c>
      <c r="N390" s="5">
        <f>IF(ISBLANK($B390),_xlfn.XLOOKUP($A390,'2. TEUs &amp; Activities - EF'!$A$9:$A$190,'2. TEUs &amp; Activities - EF'!$M$9:$M$190),_xlfn.XLOOKUP($B390,'2. TEUs &amp; Activities - EF'!$B$9:$B$190,'2. TEUs &amp; Activities - EF'!$M$9:$M$190))*'3. Pollutant Emissions - EF'!$J390*IF(OR(ISBLANK($E390),$G390="Yes"),1,$E390)*IF($H390="Yes",1,(1-$F390))</f>
        <v>0</v>
      </c>
      <c r="O390" s="130"/>
    </row>
    <row r="391" spans="1:15" ht="15" x14ac:dyDescent="0.25">
      <c r="A391" s="5" t="s">
        <v>1323</v>
      </c>
      <c r="B391" s="7"/>
      <c r="C391" s="13" t="s">
        <v>50</v>
      </c>
      <c r="D391" s="19" t="str">
        <f>IFERROR(IF(C391="No CAS","",INDEX('DEQ Pollutant List'!$B$7:$B$611,MATCH('3. Pollutant Emissions - EF'!C391,'DEQ Pollutant List'!$A$7:$A$611,0))),"")</f>
        <v>Acetaldehyde</v>
      </c>
      <c r="E391" s="100">
        <v>0</v>
      </c>
      <c r="F391" s="36">
        <v>0</v>
      </c>
      <c r="G391" s="100" t="s">
        <v>1415</v>
      </c>
      <c r="H391" s="36" t="s">
        <v>1415</v>
      </c>
      <c r="I391" s="34">
        <v>4.3E-3</v>
      </c>
      <c r="J391" s="11">
        <f t="shared" ref="J391:J416" si="10">I391</f>
        <v>4.3E-3</v>
      </c>
      <c r="K391" s="6" t="s">
        <v>1416</v>
      </c>
      <c r="L391" s="20" t="s">
        <v>1422</v>
      </c>
      <c r="M391" s="7">
        <f>IF(ISBLANK($B391),_xlfn.XLOOKUP($A391,'2. TEUs &amp; Activities - EF'!$A$9:$A$190,'2. TEUs &amp; Activities - EF'!$J$9:$J$190),_xlfn.XLOOKUP($B391,'2. TEUs &amp; Activities - EF'!$B$9:$B$190,'2. TEUs &amp; Activities - EF'!$J$9:$J$190))*'3. Pollutant Emissions - EF'!$I391*IF(OR(ISBLANK($E391),$G391="Yes"),1,$E391)*IF($H391="Yes",1,(1-$F391))</f>
        <v>2.7106188235294117E-2</v>
      </c>
      <c r="N391" s="5">
        <f>IF(ISBLANK($B391),_xlfn.XLOOKUP($A391,'2. TEUs &amp; Activities - EF'!$A$9:$A$190,'2. TEUs &amp; Activities - EF'!$M$9:$M$190),_xlfn.XLOOKUP($B391,'2. TEUs &amp; Activities - EF'!$B$9:$B$190,'2. TEUs &amp; Activities - EF'!$M$9:$M$190))*'3. Pollutant Emissions - EF'!$J391*IF(OR(ISBLANK($E391),$G391="Yes"),1,$E391)*IF($H391="Yes",1,(1-$F391))</f>
        <v>7.0823529411764694E-5</v>
      </c>
      <c r="O391" s="130"/>
    </row>
    <row r="392" spans="1:15" ht="15" x14ac:dyDescent="0.25">
      <c r="A392" s="5" t="s">
        <v>1323</v>
      </c>
      <c r="B392" s="7"/>
      <c r="C392" s="13" t="s">
        <v>51</v>
      </c>
      <c r="D392" s="19" t="str">
        <f>IFERROR(IF(C392="No CAS","",INDEX('DEQ Pollutant List'!$B$7:$B$611,MATCH('3. Pollutant Emissions - EF'!C392,'DEQ Pollutant List'!$A$7:$A$611,0))),"")</f>
        <v>Acrolein</v>
      </c>
      <c r="E392" s="100">
        <v>0</v>
      </c>
      <c r="F392" s="36">
        <v>0</v>
      </c>
      <c r="G392" s="100" t="s">
        <v>1415</v>
      </c>
      <c r="H392" s="36" t="s">
        <v>1415</v>
      </c>
      <c r="I392" s="34">
        <v>2.7000000000000001E-3</v>
      </c>
      <c r="J392" s="11">
        <f t="shared" si="10"/>
        <v>2.7000000000000001E-3</v>
      </c>
      <c r="K392" s="6" t="s">
        <v>1416</v>
      </c>
      <c r="L392" s="20" t="s">
        <v>1422</v>
      </c>
      <c r="M392" s="7">
        <f>IF(ISBLANK($B392),_xlfn.XLOOKUP($A392,'2. TEUs &amp; Activities - EF'!$A$9:$A$190,'2. TEUs &amp; Activities - EF'!$J$9:$J$190),_xlfn.XLOOKUP($B392,'2. TEUs &amp; Activities - EF'!$B$9:$B$190,'2. TEUs &amp; Activities - EF'!$J$9:$J$190))*'3. Pollutant Emissions - EF'!$I392*IF(OR(ISBLANK($E392),$G392="Yes"),1,$E392)*IF($H392="Yes",1,(1-$F392))</f>
        <v>1.7020164705882353E-2</v>
      </c>
      <c r="N392" s="5">
        <f>IF(ISBLANK($B392),_xlfn.XLOOKUP($A392,'2. TEUs &amp; Activities - EF'!$A$9:$A$190,'2. TEUs &amp; Activities - EF'!$M$9:$M$190),_xlfn.XLOOKUP($B392,'2. TEUs &amp; Activities - EF'!$B$9:$B$190,'2. TEUs &amp; Activities - EF'!$M$9:$M$190))*'3. Pollutant Emissions - EF'!$J392*IF(OR(ISBLANK($E392),$G392="Yes"),1,$E392)*IF($H392="Yes",1,(1-$F392))</f>
        <v>4.4470588235294112E-5</v>
      </c>
      <c r="O392" s="130"/>
    </row>
    <row r="393" spans="1:15" ht="15" x14ac:dyDescent="0.25">
      <c r="A393" s="5" t="s">
        <v>1323</v>
      </c>
      <c r="B393" s="7"/>
      <c r="C393" s="13" t="s">
        <v>52</v>
      </c>
      <c r="D393" s="19" t="str">
        <f>IFERROR(IF(C393="No CAS","",INDEX('DEQ Pollutant List'!$B$7:$B$611,MATCH('3. Pollutant Emissions - EF'!C393,'DEQ Pollutant List'!$A$7:$A$611,0))),"")</f>
        <v>Ammonia</v>
      </c>
      <c r="E393" s="100">
        <v>0</v>
      </c>
      <c r="F393" s="36">
        <v>0</v>
      </c>
      <c r="G393" s="100" t="s">
        <v>1415</v>
      </c>
      <c r="H393" s="36" t="s">
        <v>1415</v>
      </c>
      <c r="I393" s="34">
        <v>3.2</v>
      </c>
      <c r="J393" s="11">
        <f t="shared" si="10"/>
        <v>3.2</v>
      </c>
      <c r="K393" s="6" t="s">
        <v>1416</v>
      </c>
      <c r="L393" s="20" t="s">
        <v>1422</v>
      </c>
      <c r="M393" s="7">
        <f>IF(ISBLANK($B393),_xlfn.XLOOKUP($A393,'2. TEUs &amp; Activities - EF'!$A$9:$A$190,'2. TEUs &amp; Activities - EF'!$J$9:$J$190),_xlfn.XLOOKUP($B393,'2. TEUs &amp; Activities - EF'!$B$9:$B$190,'2. TEUs &amp; Activities - EF'!$J$9:$J$190))*'3. Pollutant Emissions - EF'!$I393*IF(OR(ISBLANK($E393),$G393="Yes"),1,$E393)*IF($H393="Yes",1,(1-$F393))</f>
        <v>20.17204705882353</v>
      </c>
      <c r="N393" s="5">
        <f>IF(ISBLANK($B393),_xlfn.XLOOKUP($A393,'2. TEUs &amp; Activities - EF'!$A$9:$A$190,'2. TEUs &amp; Activities - EF'!$M$9:$M$190),_xlfn.XLOOKUP($B393,'2. TEUs &amp; Activities - EF'!$B$9:$B$190,'2. TEUs &amp; Activities - EF'!$M$9:$M$190))*'3. Pollutant Emissions - EF'!$J393*IF(OR(ISBLANK($E393),$G393="Yes"),1,$E393)*IF($H393="Yes",1,(1-$F393))</f>
        <v>5.2705882352941172E-2</v>
      </c>
      <c r="O393" s="130"/>
    </row>
    <row r="394" spans="1:15" ht="15" x14ac:dyDescent="0.25">
      <c r="A394" s="5" t="s">
        <v>1323</v>
      </c>
      <c r="B394" s="7"/>
      <c r="C394" s="13" t="s">
        <v>53</v>
      </c>
      <c r="D394" s="19" t="str">
        <f>IFERROR(IF(C394="No CAS","",INDEX('DEQ Pollutant List'!$B$7:$B$611,MATCH('3. Pollutant Emissions - EF'!C394,'DEQ Pollutant List'!$A$7:$A$611,0))),"")</f>
        <v>Arsenic and compounds</v>
      </c>
      <c r="E394" s="100">
        <v>0</v>
      </c>
      <c r="F394" s="36">
        <v>0</v>
      </c>
      <c r="G394" s="100" t="s">
        <v>1415</v>
      </c>
      <c r="H394" s="36" t="s">
        <v>1415</v>
      </c>
      <c r="I394" s="34">
        <v>2.0000000000000001E-4</v>
      </c>
      <c r="J394" s="11">
        <f t="shared" si="10"/>
        <v>2.0000000000000001E-4</v>
      </c>
      <c r="K394" s="6" t="s">
        <v>1416</v>
      </c>
      <c r="L394" s="20" t="s">
        <v>1422</v>
      </c>
      <c r="M394" s="7">
        <f>IF(ISBLANK($B394),_xlfn.XLOOKUP($A394,'2. TEUs &amp; Activities - EF'!$A$9:$A$190,'2. TEUs &amp; Activities - EF'!$J$9:$J$190),_xlfn.XLOOKUP($B394,'2. TEUs &amp; Activities - EF'!$B$9:$B$190,'2. TEUs &amp; Activities - EF'!$J$9:$J$190))*'3. Pollutant Emissions - EF'!$I394*IF(OR(ISBLANK($E394),$G394="Yes"),1,$E394)*IF($H394="Yes",1,(1-$F394))</f>
        <v>1.2607529411764707E-3</v>
      </c>
      <c r="N394" s="5">
        <f>IF(ISBLANK($B394),_xlfn.XLOOKUP($A394,'2. TEUs &amp; Activities - EF'!$A$9:$A$190,'2. TEUs &amp; Activities - EF'!$M$9:$M$190),_xlfn.XLOOKUP($B394,'2. TEUs &amp; Activities - EF'!$B$9:$B$190,'2. TEUs &amp; Activities - EF'!$M$9:$M$190))*'3. Pollutant Emissions - EF'!$J394*IF(OR(ISBLANK($E394),$G394="Yes"),1,$E394)*IF($H394="Yes",1,(1-$F394))</f>
        <v>3.2941176470588232E-6</v>
      </c>
      <c r="O394" s="130"/>
    </row>
    <row r="395" spans="1:15" ht="15" x14ac:dyDescent="0.25">
      <c r="A395" s="5" t="s">
        <v>1323</v>
      </c>
      <c r="B395" s="7"/>
      <c r="C395" s="13" t="s">
        <v>54</v>
      </c>
      <c r="D395" s="19" t="str">
        <f>IFERROR(IF(C395="No CAS","",INDEX('DEQ Pollutant List'!$B$7:$B$611,MATCH('3. Pollutant Emissions - EF'!C395,'DEQ Pollutant List'!$A$7:$A$611,0))),"")</f>
        <v>Barium and compounds</v>
      </c>
      <c r="E395" s="100">
        <v>0</v>
      </c>
      <c r="F395" s="36">
        <v>0</v>
      </c>
      <c r="G395" s="100" t="s">
        <v>1415</v>
      </c>
      <c r="H395" s="36" t="s">
        <v>1415</v>
      </c>
      <c r="I395" s="34">
        <v>4.4000000000000003E-3</v>
      </c>
      <c r="J395" s="11">
        <f t="shared" si="10"/>
        <v>4.4000000000000003E-3</v>
      </c>
      <c r="K395" s="6" t="s">
        <v>1416</v>
      </c>
      <c r="L395" s="20" t="s">
        <v>1422</v>
      </c>
      <c r="M395" s="7">
        <f>IF(ISBLANK($B395),_xlfn.XLOOKUP($A395,'2. TEUs &amp; Activities - EF'!$A$9:$A$190,'2. TEUs &amp; Activities - EF'!$J$9:$J$190),_xlfn.XLOOKUP($B395,'2. TEUs &amp; Activities - EF'!$B$9:$B$190,'2. TEUs &amp; Activities - EF'!$J$9:$J$190))*'3. Pollutant Emissions - EF'!$I395*IF(OR(ISBLANK($E395),$G395="Yes"),1,$E395)*IF($H395="Yes",1,(1-$F395))</f>
        <v>2.7736564705882354E-2</v>
      </c>
      <c r="N395" s="5">
        <f>IF(ISBLANK($B395),_xlfn.XLOOKUP($A395,'2. TEUs &amp; Activities - EF'!$A$9:$A$190,'2. TEUs &amp; Activities - EF'!$M$9:$M$190),_xlfn.XLOOKUP($B395,'2. TEUs &amp; Activities - EF'!$B$9:$B$190,'2. TEUs &amp; Activities - EF'!$M$9:$M$190))*'3. Pollutant Emissions - EF'!$J395*IF(OR(ISBLANK($E395),$G395="Yes"),1,$E395)*IF($H395="Yes",1,(1-$F395))</f>
        <v>7.2470588235294109E-5</v>
      </c>
      <c r="O395" s="130"/>
    </row>
    <row r="396" spans="1:15" ht="15" x14ac:dyDescent="0.25">
      <c r="A396" s="5" t="s">
        <v>1323</v>
      </c>
      <c r="B396" s="7"/>
      <c r="C396" s="13" t="s">
        <v>46</v>
      </c>
      <c r="D396" s="19" t="str">
        <f>IFERROR(IF(C396="No CAS","",INDEX('DEQ Pollutant List'!$B$7:$B$611,MATCH('3. Pollutant Emissions - EF'!C396,'DEQ Pollutant List'!$A$7:$A$611,0))),"")</f>
        <v>Benzene</v>
      </c>
      <c r="E396" s="100">
        <v>0</v>
      </c>
      <c r="F396" s="36">
        <v>0</v>
      </c>
      <c r="G396" s="100" t="s">
        <v>1415</v>
      </c>
      <c r="H396" s="36" t="s">
        <v>1415</v>
      </c>
      <c r="I396" s="34">
        <v>8.0000000000000002E-3</v>
      </c>
      <c r="J396" s="11">
        <f t="shared" si="10"/>
        <v>8.0000000000000002E-3</v>
      </c>
      <c r="K396" s="6" t="s">
        <v>1416</v>
      </c>
      <c r="L396" s="20" t="s">
        <v>1422</v>
      </c>
      <c r="M396" s="7">
        <f>IF(ISBLANK($B396),_xlfn.XLOOKUP($A396,'2. TEUs &amp; Activities - EF'!$A$9:$A$190,'2. TEUs &amp; Activities - EF'!$J$9:$J$190),_xlfn.XLOOKUP($B396,'2. TEUs &amp; Activities - EF'!$B$9:$B$190,'2. TEUs &amp; Activities - EF'!$J$9:$J$190))*'3. Pollutant Emissions - EF'!$I396*IF(OR(ISBLANK($E396),$G396="Yes"),1,$E396)*IF($H396="Yes",1,(1-$F396))</f>
        <v>5.043011764705882E-2</v>
      </c>
      <c r="N396" s="5">
        <f>IF(ISBLANK($B396),_xlfn.XLOOKUP($A396,'2. TEUs &amp; Activities - EF'!$A$9:$A$190,'2. TEUs &amp; Activities - EF'!$M$9:$M$190),_xlfn.XLOOKUP($B396,'2. TEUs &amp; Activities - EF'!$B$9:$B$190,'2. TEUs &amp; Activities - EF'!$M$9:$M$190))*'3. Pollutant Emissions - EF'!$J396*IF(OR(ISBLANK($E396),$G396="Yes"),1,$E396)*IF($H396="Yes",1,(1-$F396))</f>
        <v>1.3176470588235293E-4</v>
      </c>
      <c r="O396" s="130"/>
    </row>
    <row r="397" spans="1:15" ht="15" x14ac:dyDescent="0.25">
      <c r="A397" s="5" t="s">
        <v>1323</v>
      </c>
      <c r="B397" s="7"/>
      <c r="C397" s="13" t="s">
        <v>55</v>
      </c>
      <c r="D397" s="19" t="str">
        <f>IFERROR(IF(C397="No CAS","",INDEX('DEQ Pollutant List'!$B$7:$B$611,MATCH('3. Pollutant Emissions - EF'!C397,'DEQ Pollutant List'!$A$7:$A$611,0))),"")</f>
        <v>Beryllium and compounds</v>
      </c>
      <c r="E397" s="100">
        <v>0</v>
      </c>
      <c r="F397" s="36">
        <v>0</v>
      </c>
      <c r="G397" s="100" t="s">
        <v>1415</v>
      </c>
      <c r="H397" s="36" t="s">
        <v>1415</v>
      </c>
      <c r="I397" s="34">
        <v>1.2E-5</v>
      </c>
      <c r="J397" s="11">
        <f t="shared" si="10"/>
        <v>1.2E-5</v>
      </c>
      <c r="K397" s="6" t="s">
        <v>1416</v>
      </c>
      <c r="L397" s="20" t="s">
        <v>1422</v>
      </c>
      <c r="M397" s="7">
        <f>IF(ISBLANK($B397),_xlfn.XLOOKUP($A397,'2. TEUs &amp; Activities - EF'!$A$9:$A$190,'2. TEUs &amp; Activities - EF'!$J$9:$J$190),_xlfn.XLOOKUP($B397,'2. TEUs &amp; Activities - EF'!$B$9:$B$190,'2. TEUs &amp; Activities - EF'!$J$9:$J$190))*'3. Pollutant Emissions - EF'!$I397*IF(OR(ISBLANK($E397),$G397="Yes"),1,$E397)*IF($H397="Yes",1,(1-$F397))</f>
        <v>7.5645176470588236E-5</v>
      </c>
      <c r="N397" s="5">
        <f>IF(ISBLANK($B397),_xlfn.XLOOKUP($A397,'2. TEUs &amp; Activities - EF'!$A$9:$A$190,'2. TEUs &amp; Activities - EF'!$M$9:$M$190),_xlfn.XLOOKUP($B397,'2. TEUs &amp; Activities - EF'!$B$9:$B$190,'2. TEUs &amp; Activities - EF'!$M$9:$M$190))*'3. Pollutant Emissions - EF'!$J397*IF(OR(ISBLANK($E397),$G397="Yes"),1,$E397)*IF($H397="Yes",1,(1-$F397))</f>
        <v>1.9764705882352939E-7</v>
      </c>
      <c r="O397" s="130"/>
    </row>
    <row r="398" spans="1:15" ht="15" x14ac:dyDescent="0.25">
      <c r="A398" s="5" t="s">
        <v>1323</v>
      </c>
      <c r="B398" s="7"/>
      <c r="C398" s="13" t="s">
        <v>56</v>
      </c>
      <c r="D398" s="19" t="str">
        <f>IFERROR(IF(C398="No CAS","",INDEX('DEQ Pollutant List'!$B$7:$B$611,MATCH('3. Pollutant Emissions - EF'!C398,'DEQ Pollutant List'!$A$7:$A$611,0))),"")</f>
        <v>Cadmium and compounds</v>
      </c>
      <c r="E398" s="100">
        <v>0</v>
      </c>
      <c r="F398" s="36">
        <v>0</v>
      </c>
      <c r="G398" s="100" t="s">
        <v>1415</v>
      </c>
      <c r="H398" s="36" t="s">
        <v>1415</v>
      </c>
      <c r="I398" s="34">
        <v>1.1000000000000001E-3</v>
      </c>
      <c r="J398" s="11">
        <f t="shared" si="10"/>
        <v>1.1000000000000001E-3</v>
      </c>
      <c r="K398" s="6" t="s">
        <v>1416</v>
      </c>
      <c r="L398" s="20" t="s">
        <v>1422</v>
      </c>
      <c r="M398" s="7">
        <f>IF(ISBLANK($B398),_xlfn.XLOOKUP($A398,'2. TEUs &amp; Activities - EF'!$A$9:$A$190,'2. TEUs &amp; Activities - EF'!$J$9:$J$190),_xlfn.XLOOKUP($B398,'2. TEUs &amp; Activities - EF'!$B$9:$B$190,'2. TEUs &amp; Activities - EF'!$J$9:$J$190))*'3. Pollutant Emissions - EF'!$I398*IF(OR(ISBLANK($E398),$G398="Yes"),1,$E398)*IF($H398="Yes",1,(1-$F398))</f>
        <v>6.9341411764705886E-3</v>
      </c>
      <c r="N398" s="5">
        <f>IF(ISBLANK($B398),_xlfn.XLOOKUP($A398,'2. TEUs &amp; Activities - EF'!$A$9:$A$190,'2. TEUs &amp; Activities - EF'!$M$9:$M$190),_xlfn.XLOOKUP($B398,'2. TEUs &amp; Activities - EF'!$B$9:$B$190,'2. TEUs &amp; Activities - EF'!$M$9:$M$190))*'3. Pollutant Emissions - EF'!$J398*IF(OR(ISBLANK($E398),$G398="Yes"),1,$E398)*IF($H398="Yes",1,(1-$F398))</f>
        <v>1.8117647058823527E-5</v>
      </c>
      <c r="O398" s="130"/>
    </row>
    <row r="399" spans="1:15" ht="15" x14ac:dyDescent="0.25">
      <c r="A399" s="5" t="s">
        <v>1323</v>
      </c>
      <c r="B399" s="7"/>
      <c r="C399" s="13" t="s">
        <v>57</v>
      </c>
      <c r="D399" s="19" t="str">
        <f>IFERROR(IF(C399="No CAS","",INDEX('DEQ Pollutant List'!$B$7:$B$611,MATCH('3. Pollutant Emissions - EF'!C399,'DEQ Pollutant List'!$A$7:$A$611,0))),"")</f>
        <v>Chromium VI, chromate and dichromate particulate</v>
      </c>
      <c r="E399" s="100">
        <v>0</v>
      </c>
      <c r="F399" s="36">
        <v>0</v>
      </c>
      <c r="G399" s="100" t="s">
        <v>1415</v>
      </c>
      <c r="H399" s="36" t="s">
        <v>1415</v>
      </c>
      <c r="I399" s="34">
        <v>1.4E-3</v>
      </c>
      <c r="J399" s="11">
        <f t="shared" si="10"/>
        <v>1.4E-3</v>
      </c>
      <c r="K399" s="6" t="s">
        <v>1416</v>
      </c>
      <c r="L399" s="20" t="s">
        <v>1422</v>
      </c>
      <c r="M399" s="7">
        <f>IF(ISBLANK($B399),_xlfn.XLOOKUP($A399,'2. TEUs &amp; Activities - EF'!$A$9:$A$190,'2. TEUs &amp; Activities - EF'!$J$9:$J$190),_xlfn.XLOOKUP($B399,'2. TEUs &amp; Activities - EF'!$B$9:$B$190,'2. TEUs &amp; Activities - EF'!$J$9:$J$190))*'3. Pollutant Emissions - EF'!$I399*IF(OR(ISBLANK($E399),$G399="Yes"),1,$E399)*IF($H399="Yes",1,(1-$F399))</f>
        <v>8.8252705882352935E-3</v>
      </c>
      <c r="N399" s="5">
        <f>IF(ISBLANK($B399),_xlfn.XLOOKUP($A399,'2. TEUs &amp; Activities - EF'!$A$9:$A$190,'2. TEUs &amp; Activities - EF'!$M$9:$M$190),_xlfn.XLOOKUP($B399,'2. TEUs &amp; Activities - EF'!$B$9:$B$190,'2. TEUs &amp; Activities - EF'!$M$9:$M$190))*'3. Pollutant Emissions - EF'!$J399*IF(OR(ISBLANK($E399),$G399="Yes"),1,$E399)*IF($H399="Yes",1,(1-$F399))</f>
        <v>2.305882352941176E-5</v>
      </c>
      <c r="O399" s="130"/>
    </row>
    <row r="400" spans="1:15" ht="15" x14ac:dyDescent="0.25">
      <c r="A400" s="5" t="s">
        <v>1323</v>
      </c>
      <c r="B400" s="7"/>
      <c r="C400" s="13" t="s">
        <v>58</v>
      </c>
      <c r="D400" s="19" t="str">
        <f>IFERROR(IF(C400="No CAS","",INDEX('DEQ Pollutant List'!$B$7:$B$611,MATCH('3. Pollutant Emissions - EF'!C400,'DEQ Pollutant List'!$A$7:$A$611,0))),"")</f>
        <v>Cobalt and compounds</v>
      </c>
      <c r="E400" s="100">
        <v>0</v>
      </c>
      <c r="F400" s="36">
        <v>0</v>
      </c>
      <c r="G400" s="100" t="s">
        <v>1415</v>
      </c>
      <c r="H400" s="36" t="s">
        <v>1415</v>
      </c>
      <c r="I400" s="34">
        <v>8.3999999999999995E-5</v>
      </c>
      <c r="J400" s="11">
        <f t="shared" si="10"/>
        <v>8.3999999999999995E-5</v>
      </c>
      <c r="K400" s="6" t="s">
        <v>1416</v>
      </c>
      <c r="L400" s="20" t="s">
        <v>1422</v>
      </c>
      <c r="M400" s="7">
        <f>IF(ISBLANK($B400),_xlfn.XLOOKUP($A400,'2. TEUs &amp; Activities - EF'!$A$9:$A$190,'2. TEUs &amp; Activities - EF'!$J$9:$J$190),_xlfn.XLOOKUP($B400,'2. TEUs &amp; Activities - EF'!$B$9:$B$190,'2. TEUs &amp; Activities - EF'!$J$9:$J$190))*'3. Pollutant Emissions - EF'!$I400*IF(OR(ISBLANK($E400),$G400="Yes"),1,$E400)*IF($H400="Yes",1,(1-$F400))</f>
        <v>5.2951623529411758E-4</v>
      </c>
      <c r="N400" s="5">
        <f>IF(ISBLANK($B400),_xlfn.XLOOKUP($A400,'2. TEUs &amp; Activities - EF'!$A$9:$A$190,'2. TEUs &amp; Activities - EF'!$M$9:$M$190),_xlfn.XLOOKUP($B400,'2. TEUs &amp; Activities - EF'!$B$9:$B$190,'2. TEUs &amp; Activities - EF'!$M$9:$M$190))*'3. Pollutant Emissions - EF'!$J400*IF(OR(ISBLANK($E400),$G400="Yes"),1,$E400)*IF($H400="Yes",1,(1-$F400))</f>
        <v>1.3835294117647056E-6</v>
      </c>
      <c r="O400" s="130"/>
    </row>
    <row r="401" spans="1:15" ht="15" x14ac:dyDescent="0.25">
      <c r="A401" s="5" t="s">
        <v>1323</v>
      </c>
      <c r="B401" s="7"/>
      <c r="C401" s="13" t="s">
        <v>59</v>
      </c>
      <c r="D401" s="19" t="str">
        <f>IFERROR(IF(C401="No CAS","",INDEX('DEQ Pollutant List'!$B$7:$B$611,MATCH('3. Pollutant Emissions - EF'!C401,'DEQ Pollutant List'!$A$7:$A$611,0))),"")</f>
        <v>Copper and compounds</v>
      </c>
      <c r="E401" s="100">
        <v>0</v>
      </c>
      <c r="F401" s="36">
        <v>0</v>
      </c>
      <c r="G401" s="100" t="s">
        <v>1415</v>
      </c>
      <c r="H401" s="36" t="s">
        <v>1415</v>
      </c>
      <c r="I401" s="34">
        <v>8.4999999999999995E-4</v>
      </c>
      <c r="J401" s="11">
        <f t="shared" si="10"/>
        <v>8.4999999999999995E-4</v>
      </c>
      <c r="K401" s="6" t="s">
        <v>1416</v>
      </c>
      <c r="L401" s="20" t="s">
        <v>1422</v>
      </c>
      <c r="M401" s="7">
        <f>IF(ISBLANK($B401),_xlfn.XLOOKUP($A401,'2. TEUs &amp; Activities - EF'!$A$9:$A$190,'2. TEUs &amp; Activities - EF'!$J$9:$J$190),_xlfn.XLOOKUP($B401,'2. TEUs &amp; Activities - EF'!$B$9:$B$190,'2. TEUs &amp; Activities - EF'!$J$9:$J$190))*'3. Pollutant Emissions - EF'!$I401*IF(OR(ISBLANK($E401),$G401="Yes"),1,$E401)*IF($H401="Yes",1,(1-$F401))</f>
        <v>5.3581999999999996E-3</v>
      </c>
      <c r="N401" s="5">
        <f>IF(ISBLANK($B401),_xlfn.XLOOKUP($A401,'2. TEUs &amp; Activities - EF'!$A$9:$A$190,'2. TEUs &amp; Activities - EF'!$M$9:$M$190),_xlfn.XLOOKUP($B401,'2. TEUs &amp; Activities - EF'!$B$9:$B$190,'2. TEUs &amp; Activities - EF'!$M$9:$M$190))*'3. Pollutant Emissions - EF'!$J401*IF(OR(ISBLANK($E401),$G401="Yes"),1,$E401)*IF($H401="Yes",1,(1-$F401))</f>
        <v>1.3999999999999998E-5</v>
      </c>
      <c r="O401" s="130"/>
    </row>
    <row r="402" spans="1:15" ht="15" x14ac:dyDescent="0.25">
      <c r="A402" s="5" t="s">
        <v>1323</v>
      </c>
      <c r="B402" s="7"/>
      <c r="C402" s="13" t="s">
        <v>60</v>
      </c>
      <c r="D402" s="19" t="str">
        <f>IFERROR(IF(C402="No CAS","",INDEX('DEQ Pollutant List'!$B$7:$B$611,MATCH('3. Pollutant Emissions - EF'!C402,'DEQ Pollutant List'!$A$7:$A$611,0))),"")</f>
        <v>Ethyl benzene</v>
      </c>
      <c r="E402" s="100">
        <v>0</v>
      </c>
      <c r="F402" s="36">
        <v>0</v>
      </c>
      <c r="G402" s="100" t="s">
        <v>1415</v>
      </c>
      <c r="H402" s="36" t="s">
        <v>1415</v>
      </c>
      <c r="I402" s="34">
        <v>9.4999999999999998E-3</v>
      </c>
      <c r="J402" s="11">
        <f t="shared" si="10"/>
        <v>9.4999999999999998E-3</v>
      </c>
      <c r="K402" s="6" t="s">
        <v>1416</v>
      </c>
      <c r="L402" s="20" t="s">
        <v>1422</v>
      </c>
      <c r="M402" s="7">
        <f>IF(ISBLANK($B402),_xlfn.XLOOKUP($A402,'2. TEUs &amp; Activities - EF'!$A$9:$A$190,'2. TEUs &amp; Activities - EF'!$J$9:$J$190),_xlfn.XLOOKUP($B402,'2. TEUs &amp; Activities - EF'!$B$9:$B$190,'2. TEUs &amp; Activities - EF'!$J$9:$J$190))*'3. Pollutant Emissions - EF'!$I402*IF(OR(ISBLANK($E402),$G402="Yes"),1,$E402)*IF($H402="Yes",1,(1-$F402))</f>
        <v>5.9885764705882347E-2</v>
      </c>
      <c r="N402" s="5">
        <f>IF(ISBLANK($B402),_xlfn.XLOOKUP($A402,'2. TEUs &amp; Activities - EF'!$A$9:$A$190,'2. TEUs &amp; Activities - EF'!$M$9:$M$190),_xlfn.XLOOKUP($B402,'2. TEUs &amp; Activities - EF'!$B$9:$B$190,'2. TEUs &amp; Activities - EF'!$M$9:$M$190))*'3. Pollutant Emissions - EF'!$J402*IF(OR(ISBLANK($E402),$G402="Yes"),1,$E402)*IF($H402="Yes",1,(1-$F402))</f>
        <v>1.564705882352941E-4</v>
      </c>
      <c r="O402" s="130"/>
    </row>
    <row r="403" spans="1:15" ht="15" x14ac:dyDescent="0.25">
      <c r="A403" s="5" t="s">
        <v>1323</v>
      </c>
      <c r="B403" s="7"/>
      <c r="C403" s="13" t="s">
        <v>47</v>
      </c>
      <c r="D403" s="19" t="str">
        <f>IFERROR(IF(C403="No CAS","",INDEX('DEQ Pollutant List'!$B$7:$B$611,MATCH('3. Pollutant Emissions - EF'!C403,'DEQ Pollutant List'!$A$7:$A$611,0))),"")</f>
        <v>Formaldehyde</v>
      </c>
      <c r="E403" s="100">
        <v>0</v>
      </c>
      <c r="F403" s="36">
        <v>0</v>
      </c>
      <c r="G403" s="100" t="s">
        <v>1415</v>
      </c>
      <c r="H403" s="36" t="s">
        <v>1415</v>
      </c>
      <c r="I403" s="34">
        <v>1.7000000000000001E-2</v>
      </c>
      <c r="J403" s="11">
        <f t="shared" si="10"/>
        <v>1.7000000000000001E-2</v>
      </c>
      <c r="K403" s="6" t="s">
        <v>1416</v>
      </c>
      <c r="L403" s="20" t="s">
        <v>1422</v>
      </c>
      <c r="M403" s="7">
        <f>IF(ISBLANK($B403),_xlfn.XLOOKUP($A403,'2. TEUs &amp; Activities - EF'!$A$9:$A$190,'2. TEUs &amp; Activities - EF'!$J$9:$J$190),_xlfn.XLOOKUP($B403,'2. TEUs &amp; Activities - EF'!$B$9:$B$190,'2. TEUs &amp; Activities - EF'!$J$9:$J$190))*'3. Pollutant Emissions - EF'!$I403*IF(OR(ISBLANK($E403),$G403="Yes"),1,$E403)*IF($H403="Yes",1,(1-$F403))</f>
        <v>0.10716400000000001</v>
      </c>
      <c r="N403" s="5">
        <f>IF(ISBLANK($B403),_xlfn.XLOOKUP($A403,'2. TEUs &amp; Activities - EF'!$A$9:$A$190,'2. TEUs &amp; Activities - EF'!$M$9:$M$190),_xlfn.XLOOKUP($B403,'2. TEUs &amp; Activities - EF'!$B$9:$B$190,'2. TEUs &amp; Activities - EF'!$M$9:$M$190))*'3. Pollutant Emissions - EF'!$J403*IF(OR(ISBLANK($E403),$G403="Yes"),1,$E403)*IF($H403="Yes",1,(1-$F403))</f>
        <v>2.7999999999999998E-4</v>
      </c>
      <c r="O403" s="130"/>
    </row>
    <row r="404" spans="1:15" ht="15" x14ac:dyDescent="0.25">
      <c r="A404" s="5" t="s">
        <v>1323</v>
      </c>
      <c r="B404" s="7"/>
      <c r="C404" s="13" t="s">
        <v>61</v>
      </c>
      <c r="D404" s="19" t="str">
        <f>IFERROR(IF(C404="No CAS","",INDEX('DEQ Pollutant List'!$B$7:$B$611,MATCH('3. Pollutant Emissions - EF'!C404,'DEQ Pollutant List'!$A$7:$A$611,0))),"")</f>
        <v>Hexane</v>
      </c>
      <c r="E404" s="100">
        <v>0</v>
      </c>
      <c r="F404" s="36">
        <v>0</v>
      </c>
      <c r="G404" s="100" t="s">
        <v>1415</v>
      </c>
      <c r="H404" s="36" t="s">
        <v>1415</v>
      </c>
      <c r="I404" s="34">
        <v>6.3E-3</v>
      </c>
      <c r="J404" s="11">
        <f t="shared" si="10"/>
        <v>6.3E-3</v>
      </c>
      <c r="K404" s="6" t="s">
        <v>1416</v>
      </c>
      <c r="L404" s="20" t="s">
        <v>1422</v>
      </c>
      <c r="M404" s="7">
        <f>IF(ISBLANK($B404),_xlfn.XLOOKUP($A404,'2. TEUs &amp; Activities - EF'!$A$9:$A$190,'2. TEUs &amp; Activities - EF'!$J$9:$J$190),_xlfn.XLOOKUP($B404,'2. TEUs &amp; Activities - EF'!$B$9:$B$190,'2. TEUs &amp; Activities - EF'!$J$9:$J$190))*'3. Pollutant Emissions - EF'!$I404*IF(OR(ISBLANK($E404),$G404="Yes"),1,$E404)*IF($H404="Yes",1,(1-$F404))</f>
        <v>3.9713717647058826E-2</v>
      </c>
      <c r="N404" s="5">
        <f>IF(ISBLANK($B404),_xlfn.XLOOKUP($A404,'2. TEUs &amp; Activities - EF'!$A$9:$A$190,'2. TEUs &amp; Activities - EF'!$M$9:$M$190),_xlfn.XLOOKUP($B404,'2. TEUs &amp; Activities - EF'!$B$9:$B$190,'2. TEUs &amp; Activities - EF'!$M$9:$M$190))*'3. Pollutant Emissions - EF'!$J404*IF(OR(ISBLANK($E404),$G404="Yes"),1,$E404)*IF($H404="Yes",1,(1-$F404))</f>
        <v>1.0376470588235293E-4</v>
      </c>
      <c r="O404" s="130"/>
    </row>
    <row r="405" spans="1:15" ht="15" x14ac:dyDescent="0.25">
      <c r="A405" s="5" t="s">
        <v>1323</v>
      </c>
      <c r="B405" s="7"/>
      <c r="C405" s="13" t="s">
        <v>62</v>
      </c>
      <c r="D405" s="19" t="str">
        <f>IFERROR(IF(C405="No CAS","",INDEX('DEQ Pollutant List'!$B$7:$B$611,MATCH('3. Pollutant Emissions - EF'!C405,'DEQ Pollutant List'!$A$7:$A$611,0))),"")</f>
        <v>Lead and compounds</v>
      </c>
      <c r="E405" s="100">
        <v>0</v>
      </c>
      <c r="F405" s="36">
        <v>0</v>
      </c>
      <c r="G405" s="100" t="s">
        <v>1415</v>
      </c>
      <c r="H405" s="36" t="s">
        <v>1415</v>
      </c>
      <c r="I405" s="34">
        <v>5.0000000000000001E-4</v>
      </c>
      <c r="J405" s="11">
        <f t="shared" si="10"/>
        <v>5.0000000000000001E-4</v>
      </c>
      <c r="K405" s="6" t="s">
        <v>1416</v>
      </c>
      <c r="L405" s="20" t="s">
        <v>1422</v>
      </c>
      <c r="M405" s="7">
        <f>IF(ISBLANK($B405),_xlfn.XLOOKUP($A405,'2. TEUs &amp; Activities - EF'!$A$9:$A$190,'2. TEUs &amp; Activities - EF'!$J$9:$J$190),_xlfn.XLOOKUP($B405,'2. TEUs &amp; Activities - EF'!$B$9:$B$190,'2. TEUs &amp; Activities - EF'!$J$9:$J$190))*'3. Pollutant Emissions - EF'!$I405*IF(OR(ISBLANK($E405),$G405="Yes"),1,$E405)*IF($H405="Yes",1,(1-$F405))</f>
        <v>3.1518823529411762E-3</v>
      </c>
      <c r="N405" s="5">
        <f>IF(ISBLANK($B405),_xlfn.XLOOKUP($A405,'2. TEUs &amp; Activities - EF'!$A$9:$A$190,'2. TEUs &amp; Activities - EF'!$M$9:$M$190),_xlfn.XLOOKUP($B405,'2. TEUs &amp; Activities - EF'!$B$9:$B$190,'2. TEUs &amp; Activities - EF'!$M$9:$M$190))*'3. Pollutant Emissions - EF'!$J405*IF(OR(ISBLANK($E405),$G405="Yes"),1,$E405)*IF($H405="Yes",1,(1-$F405))</f>
        <v>8.2352941176470581E-6</v>
      </c>
      <c r="O405" s="130"/>
    </row>
    <row r="406" spans="1:15" ht="15" x14ac:dyDescent="0.25">
      <c r="A406" s="5" t="s">
        <v>1323</v>
      </c>
      <c r="B406" s="7"/>
      <c r="C406" s="13" t="s">
        <v>63</v>
      </c>
      <c r="D406" s="19" t="str">
        <f>IFERROR(IF(C406="No CAS","",INDEX('DEQ Pollutant List'!$B$7:$B$611,MATCH('3. Pollutant Emissions - EF'!C406,'DEQ Pollutant List'!$A$7:$A$611,0))),"")</f>
        <v>Manganese and compounds</v>
      </c>
      <c r="E406" s="100">
        <v>0</v>
      </c>
      <c r="F406" s="36">
        <v>0</v>
      </c>
      <c r="G406" s="100" t="s">
        <v>1415</v>
      </c>
      <c r="H406" s="36" t="s">
        <v>1415</v>
      </c>
      <c r="I406" s="34">
        <v>3.8000000000000002E-4</v>
      </c>
      <c r="J406" s="11">
        <f t="shared" si="10"/>
        <v>3.8000000000000002E-4</v>
      </c>
      <c r="K406" s="6" t="s">
        <v>1416</v>
      </c>
      <c r="L406" s="20" t="s">
        <v>1422</v>
      </c>
      <c r="M406" s="7">
        <f>IF(ISBLANK($B406),_xlfn.XLOOKUP($A406,'2. TEUs &amp; Activities - EF'!$A$9:$A$190,'2. TEUs &amp; Activities - EF'!$J$9:$J$190),_xlfn.XLOOKUP($B406,'2. TEUs &amp; Activities - EF'!$B$9:$B$190,'2. TEUs &amp; Activities - EF'!$J$9:$J$190))*'3. Pollutant Emissions - EF'!$I406*IF(OR(ISBLANK($E406),$G406="Yes"),1,$E406)*IF($H406="Yes",1,(1-$F406))</f>
        <v>2.3954305882352943E-3</v>
      </c>
      <c r="N406" s="5">
        <f>IF(ISBLANK($B406),_xlfn.XLOOKUP($A406,'2. TEUs &amp; Activities - EF'!$A$9:$A$190,'2. TEUs &amp; Activities - EF'!$M$9:$M$190),_xlfn.XLOOKUP($B406,'2. TEUs &amp; Activities - EF'!$B$9:$B$190,'2. TEUs &amp; Activities - EF'!$M$9:$M$190))*'3. Pollutant Emissions - EF'!$J406*IF(OR(ISBLANK($E406),$G406="Yes"),1,$E406)*IF($H406="Yes",1,(1-$F406))</f>
        <v>6.2588235294117641E-6</v>
      </c>
      <c r="O406" s="130"/>
    </row>
    <row r="407" spans="1:15" ht="15" x14ac:dyDescent="0.25">
      <c r="A407" s="5" t="s">
        <v>1323</v>
      </c>
      <c r="B407" s="7"/>
      <c r="C407" s="13" t="s">
        <v>64</v>
      </c>
      <c r="D407" s="19" t="str">
        <f>IFERROR(IF(C407="No CAS","",INDEX('DEQ Pollutant List'!$B$7:$B$611,MATCH('3. Pollutant Emissions - EF'!C407,'DEQ Pollutant List'!$A$7:$A$611,0))),"")</f>
        <v>Mercury and compounds</v>
      </c>
      <c r="E407" s="100">
        <v>0</v>
      </c>
      <c r="F407" s="36">
        <v>0</v>
      </c>
      <c r="G407" s="100" t="s">
        <v>1415</v>
      </c>
      <c r="H407" s="36" t="s">
        <v>1415</v>
      </c>
      <c r="I407" s="34">
        <v>2.5999999999999998E-4</v>
      </c>
      <c r="J407" s="11">
        <f t="shared" si="10"/>
        <v>2.5999999999999998E-4</v>
      </c>
      <c r="K407" s="6" t="s">
        <v>1416</v>
      </c>
      <c r="L407" s="20" t="s">
        <v>1422</v>
      </c>
      <c r="M407" s="7">
        <f>IF(ISBLANK($B407),_xlfn.XLOOKUP($A407,'2. TEUs &amp; Activities - EF'!$A$9:$A$190,'2. TEUs &amp; Activities - EF'!$J$9:$J$190),_xlfn.XLOOKUP($B407,'2. TEUs &amp; Activities - EF'!$B$9:$B$190,'2. TEUs &amp; Activities - EF'!$J$9:$J$190))*'3. Pollutant Emissions - EF'!$I407*IF(OR(ISBLANK($E407),$G407="Yes"),1,$E407)*IF($H407="Yes",1,(1-$F407))</f>
        <v>1.6389788235294115E-3</v>
      </c>
      <c r="N407" s="5">
        <f>IF(ISBLANK($B407),_xlfn.XLOOKUP($A407,'2. TEUs &amp; Activities - EF'!$A$9:$A$190,'2. TEUs &amp; Activities - EF'!$M$9:$M$190),_xlfn.XLOOKUP($B407,'2. TEUs &amp; Activities - EF'!$B$9:$B$190,'2. TEUs &amp; Activities - EF'!$M$9:$M$190))*'3. Pollutant Emissions - EF'!$J407*IF(OR(ISBLANK($E407),$G407="Yes"),1,$E407)*IF($H407="Yes",1,(1-$F407))</f>
        <v>4.2823529411764693E-6</v>
      </c>
      <c r="O407" s="130"/>
    </row>
    <row r="408" spans="1:15" ht="15" x14ac:dyDescent="0.25">
      <c r="A408" s="5" t="s">
        <v>1323</v>
      </c>
      <c r="B408" s="7"/>
      <c r="C408" s="13" t="s">
        <v>65</v>
      </c>
      <c r="D408" s="19" t="str">
        <f>IFERROR(IF(C408="No CAS","",INDEX('DEQ Pollutant List'!$B$7:$B$611,MATCH('3. Pollutant Emissions - EF'!C408,'DEQ Pollutant List'!$A$7:$A$611,0))),"")</f>
        <v>Molybdenum trioxide</v>
      </c>
      <c r="E408" s="100">
        <v>0</v>
      </c>
      <c r="F408" s="36">
        <v>0</v>
      </c>
      <c r="G408" s="100" t="s">
        <v>1415</v>
      </c>
      <c r="H408" s="36" t="s">
        <v>1415</v>
      </c>
      <c r="I408" s="34">
        <v>1.65E-3</v>
      </c>
      <c r="J408" s="11">
        <f t="shared" si="10"/>
        <v>1.65E-3</v>
      </c>
      <c r="K408" s="6" t="s">
        <v>1416</v>
      </c>
      <c r="L408" s="20" t="s">
        <v>1422</v>
      </c>
      <c r="M408" s="7">
        <f>IF(ISBLANK($B408),_xlfn.XLOOKUP($A408,'2. TEUs &amp; Activities - EF'!$A$9:$A$190,'2. TEUs &amp; Activities - EF'!$J$9:$J$190),_xlfn.XLOOKUP($B408,'2. TEUs &amp; Activities - EF'!$B$9:$B$190,'2. TEUs &amp; Activities - EF'!$J$9:$J$190))*'3. Pollutant Emissions - EF'!$I408*IF(OR(ISBLANK($E408),$G408="Yes"),1,$E408)*IF($H408="Yes",1,(1-$F408))</f>
        <v>1.0401211764705882E-2</v>
      </c>
      <c r="N408" s="5">
        <f>IF(ISBLANK($B408),_xlfn.XLOOKUP($A408,'2. TEUs &amp; Activities - EF'!$A$9:$A$190,'2. TEUs &amp; Activities - EF'!$M$9:$M$190),_xlfn.XLOOKUP($B408,'2. TEUs &amp; Activities - EF'!$B$9:$B$190,'2. TEUs &amp; Activities - EF'!$M$9:$M$190))*'3. Pollutant Emissions - EF'!$J408*IF(OR(ISBLANK($E408),$G408="Yes"),1,$E408)*IF($H408="Yes",1,(1-$F408))</f>
        <v>2.7176470588235289E-5</v>
      </c>
      <c r="O408" s="130"/>
    </row>
    <row r="409" spans="1:15" ht="15" x14ac:dyDescent="0.25">
      <c r="A409" s="5" t="s">
        <v>1323</v>
      </c>
      <c r="B409" s="7"/>
      <c r="C409" s="13" t="s">
        <v>49</v>
      </c>
      <c r="D409" s="19" t="str">
        <f>IFERROR(IF(C409="No CAS","",INDEX('DEQ Pollutant List'!$B$7:$B$611,MATCH('3. Pollutant Emissions - EF'!C409,'DEQ Pollutant List'!$A$7:$A$611,0))),"")</f>
        <v>Naphthalene</v>
      </c>
      <c r="E409" s="100">
        <v>0</v>
      </c>
      <c r="F409" s="36">
        <v>0</v>
      </c>
      <c r="G409" s="100" t="s">
        <v>1415</v>
      </c>
      <c r="H409" s="36" t="s">
        <v>1415</v>
      </c>
      <c r="I409" s="34">
        <v>2.9999999999999997E-4</v>
      </c>
      <c r="J409" s="11">
        <f t="shared" si="10"/>
        <v>2.9999999999999997E-4</v>
      </c>
      <c r="K409" s="6" t="s">
        <v>1416</v>
      </c>
      <c r="L409" s="20" t="s">
        <v>1422</v>
      </c>
      <c r="M409" s="7">
        <f>IF(ISBLANK($B409),_xlfn.XLOOKUP($A409,'2. TEUs &amp; Activities - EF'!$A$9:$A$190,'2. TEUs &amp; Activities - EF'!$J$9:$J$190),_xlfn.XLOOKUP($B409,'2. TEUs &amp; Activities - EF'!$B$9:$B$190,'2. TEUs &amp; Activities - EF'!$J$9:$J$190))*'3. Pollutant Emissions - EF'!$I409*IF(OR(ISBLANK($E409),$G409="Yes"),1,$E409)*IF($H409="Yes",1,(1-$F409))</f>
        <v>1.8911294117647057E-3</v>
      </c>
      <c r="N409" s="5">
        <f>IF(ISBLANK($B409),_xlfn.XLOOKUP($A409,'2. TEUs &amp; Activities - EF'!$A$9:$A$190,'2. TEUs &amp; Activities - EF'!$M$9:$M$190),_xlfn.XLOOKUP($B409,'2. TEUs &amp; Activities - EF'!$B$9:$B$190,'2. TEUs &amp; Activities - EF'!$M$9:$M$190))*'3. Pollutant Emissions - EF'!$J409*IF(OR(ISBLANK($E409),$G409="Yes"),1,$E409)*IF($H409="Yes",1,(1-$F409))</f>
        <v>4.9411764705882345E-6</v>
      </c>
      <c r="O409" s="130"/>
    </row>
    <row r="410" spans="1:15" ht="15" x14ac:dyDescent="0.25">
      <c r="A410" s="5" t="s">
        <v>1323</v>
      </c>
      <c r="B410" s="7"/>
      <c r="C410" s="13" t="s">
        <v>66</v>
      </c>
      <c r="D410" s="19" t="str">
        <f>IFERROR(IF(C410="No CAS","",INDEX('DEQ Pollutant List'!$B$7:$B$611,MATCH('3. Pollutant Emissions - EF'!C410,'DEQ Pollutant List'!$A$7:$A$611,0))),"")</f>
        <v>Nickel and compounds</v>
      </c>
      <c r="E410" s="100">
        <v>0</v>
      </c>
      <c r="F410" s="36">
        <v>0</v>
      </c>
      <c r="G410" s="100" t="s">
        <v>1415</v>
      </c>
      <c r="H410" s="36" t="s">
        <v>1415</v>
      </c>
      <c r="I410" s="34">
        <v>2.0999999999999999E-3</v>
      </c>
      <c r="J410" s="11">
        <f t="shared" si="10"/>
        <v>2.0999999999999999E-3</v>
      </c>
      <c r="K410" s="6" t="s">
        <v>1416</v>
      </c>
      <c r="L410" s="20" t="s">
        <v>1422</v>
      </c>
      <c r="M410" s="7">
        <f>IF(ISBLANK($B410),_xlfn.XLOOKUP($A410,'2. TEUs &amp; Activities - EF'!$A$9:$A$190,'2. TEUs &amp; Activities - EF'!$J$9:$J$190),_xlfn.XLOOKUP($B410,'2. TEUs &amp; Activities - EF'!$B$9:$B$190,'2. TEUs &amp; Activities - EF'!$J$9:$J$190))*'3. Pollutant Emissions - EF'!$I410*IF(OR(ISBLANK($E410),$G410="Yes"),1,$E410)*IF($H410="Yes",1,(1-$F410))</f>
        <v>1.323790588235294E-2</v>
      </c>
      <c r="N410" s="5">
        <f>IF(ISBLANK($B410),_xlfn.XLOOKUP($A410,'2. TEUs &amp; Activities - EF'!$A$9:$A$190,'2. TEUs &amp; Activities - EF'!$M$9:$M$190),_xlfn.XLOOKUP($B410,'2. TEUs &amp; Activities - EF'!$B$9:$B$190,'2. TEUs &amp; Activities - EF'!$M$9:$M$190))*'3. Pollutant Emissions - EF'!$J410*IF(OR(ISBLANK($E410),$G410="Yes"),1,$E410)*IF($H410="Yes",1,(1-$F410))</f>
        <v>3.458823529411764E-5</v>
      </c>
      <c r="O410" s="130"/>
    </row>
    <row r="411" spans="1:15" ht="15" x14ac:dyDescent="0.25">
      <c r="A411" s="5" t="s">
        <v>1323</v>
      </c>
      <c r="B411" s="7"/>
      <c r="C411" s="13">
        <v>401</v>
      </c>
      <c r="D411" s="19" t="str">
        <f>IFERROR(IF(C411="No CAS","",INDEX('DEQ Pollutant List'!$B$7:$B$611,MATCH('3. Pollutant Emissions - EF'!C411,'DEQ Pollutant List'!$A$7:$A$611,0))),"")</f>
        <v>Polycyclic aromatic hydrocarbons (PAHs)</v>
      </c>
      <c r="E411" s="100">
        <v>0</v>
      </c>
      <c r="F411" s="36">
        <v>0</v>
      </c>
      <c r="G411" s="100" t="s">
        <v>1415</v>
      </c>
      <c r="H411" s="36" t="s">
        <v>1415</v>
      </c>
      <c r="I411" s="34">
        <v>1E-4</v>
      </c>
      <c r="J411" s="11">
        <f t="shared" si="10"/>
        <v>1E-4</v>
      </c>
      <c r="K411" s="6" t="s">
        <v>1416</v>
      </c>
      <c r="L411" s="20" t="s">
        <v>1422</v>
      </c>
      <c r="M411" s="7">
        <f>IF(ISBLANK($B411),_xlfn.XLOOKUP($A411,'2. TEUs &amp; Activities - EF'!$A$9:$A$190,'2. TEUs &amp; Activities - EF'!$J$9:$J$190),_xlfn.XLOOKUP($B411,'2. TEUs &amp; Activities - EF'!$B$9:$B$190,'2. TEUs &amp; Activities - EF'!$J$9:$J$190))*'3. Pollutant Emissions - EF'!$I411*IF(OR(ISBLANK($E411),$G411="Yes"),1,$E411)*IF($H411="Yes",1,(1-$F411))</f>
        <v>6.3037647058823535E-4</v>
      </c>
      <c r="N411" s="5">
        <f>IF(ISBLANK($B411),_xlfn.XLOOKUP($A411,'2. TEUs &amp; Activities - EF'!$A$9:$A$190,'2. TEUs &amp; Activities - EF'!$M$9:$M$190),_xlfn.XLOOKUP($B411,'2. TEUs &amp; Activities - EF'!$B$9:$B$190,'2. TEUs &amp; Activities - EF'!$M$9:$M$190))*'3. Pollutant Emissions - EF'!$J411*IF(OR(ISBLANK($E411),$G411="Yes"),1,$E411)*IF($H411="Yes",1,(1-$F411))</f>
        <v>1.6470588235294116E-6</v>
      </c>
      <c r="O411" s="130"/>
    </row>
    <row r="412" spans="1:15" ht="15" x14ac:dyDescent="0.25">
      <c r="A412" s="5" t="s">
        <v>1323</v>
      </c>
      <c r="B412" s="7"/>
      <c r="C412" s="13" t="s">
        <v>67</v>
      </c>
      <c r="D412" s="19" t="str">
        <f>IFERROR(IF(C412="No CAS","",INDEX('DEQ Pollutant List'!$B$7:$B$611,MATCH('3. Pollutant Emissions - EF'!C412,'DEQ Pollutant List'!$A$7:$A$611,0))),"")</f>
        <v>Selenium and compounds</v>
      </c>
      <c r="E412" s="100">
        <v>0</v>
      </c>
      <c r="F412" s="36">
        <v>0</v>
      </c>
      <c r="G412" s="100" t="s">
        <v>1415</v>
      </c>
      <c r="H412" s="36" t="s">
        <v>1415</v>
      </c>
      <c r="I412" s="34">
        <v>2.4000000000000001E-5</v>
      </c>
      <c r="J412" s="11">
        <f t="shared" si="10"/>
        <v>2.4000000000000001E-5</v>
      </c>
      <c r="K412" s="6" t="s">
        <v>1416</v>
      </c>
      <c r="L412" s="20" t="s">
        <v>1422</v>
      </c>
      <c r="M412" s="7">
        <f>IF(ISBLANK($B412),_xlfn.XLOOKUP($A412,'2. TEUs &amp; Activities - EF'!$A$9:$A$190,'2. TEUs &amp; Activities - EF'!$J$9:$J$190),_xlfn.XLOOKUP($B412,'2. TEUs &amp; Activities - EF'!$B$9:$B$190,'2. TEUs &amp; Activities - EF'!$J$9:$J$190))*'3. Pollutant Emissions - EF'!$I412*IF(OR(ISBLANK($E412),$G412="Yes"),1,$E412)*IF($H412="Yes",1,(1-$F412))</f>
        <v>1.5129035294117647E-4</v>
      </c>
      <c r="N412" s="5">
        <f>IF(ISBLANK($B412),_xlfn.XLOOKUP($A412,'2. TEUs &amp; Activities - EF'!$A$9:$A$190,'2. TEUs &amp; Activities - EF'!$M$9:$M$190),_xlfn.XLOOKUP($B412,'2. TEUs &amp; Activities - EF'!$B$9:$B$190,'2. TEUs &amp; Activities - EF'!$M$9:$M$190))*'3. Pollutant Emissions - EF'!$J412*IF(OR(ISBLANK($E412),$G412="Yes"),1,$E412)*IF($H412="Yes",1,(1-$F412))</f>
        <v>3.9529411764705879E-7</v>
      </c>
      <c r="O412" s="130"/>
    </row>
    <row r="413" spans="1:15" ht="15" x14ac:dyDescent="0.25">
      <c r="A413" s="5" t="s">
        <v>1323</v>
      </c>
      <c r="B413" s="7"/>
      <c r="C413" s="13" t="s">
        <v>68</v>
      </c>
      <c r="D413" s="19" t="str">
        <f>IFERROR(IF(C413="No CAS","",INDEX('DEQ Pollutant List'!$B$7:$B$611,MATCH('3. Pollutant Emissions - EF'!C413,'DEQ Pollutant List'!$A$7:$A$611,0))),"")</f>
        <v>Toluene</v>
      </c>
      <c r="E413" s="100">
        <v>0</v>
      </c>
      <c r="F413" s="36">
        <v>0</v>
      </c>
      <c r="G413" s="100" t="s">
        <v>1415</v>
      </c>
      <c r="H413" s="36" t="s">
        <v>1415</v>
      </c>
      <c r="I413" s="34">
        <v>3.6600000000000001E-2</v>
      </c>
      <c r="J413" s="11">
        <f t="shared" si="10"/>
        <v>3.6600000000000001E-2</v>
      </c>
      <c r="K413" s="6" t="s">
        <v>1416</v>
      </c>
      <c r="L413" s="20" t="s">
        <v>1422</v>
      </c>
      <c r="M413" s="7">
        <f>IF(ISBLANK($B413),_xlfn.XLOOKUP($A413,'2. TEUs &amp; Activities - EF'!$A$9:$A$190,'2. TEUs &amp; Activities - EF'!$J$9:$J$190),_xlfn.XLOOKUP($B413,'2. TEUs &amp; Activities - EF'!$B$9:$B$190,'2. TEUs &amp; Activities - EF'!$J$9:$J$190))*'3. Pollutant Emissions - EF'!$I413*IF(OR(ISBLANK($E413),$G413="Yes"),1,$E413)*IF($H413="Yes",1,(1-$F413))</f>
        <v>0.23071778823529412</v>
      </c>
      <c r="N413" s="5">
        <f>IF(ISBLANK($B413),_xlfn.XLOOKUP($A413,'2. TEUs &amp; Activities - EF'!$A$9:$A$190,'2. TEUs &amp; Activities - EF'!$M$9:$M$190),_xlfn.XLOOKUP($B413,'2. TEUs &amp; Activities - EF'!$B$9:$B$190,'2. TEUs &amp; Activities - EF'!$M$9:$M$190))*'3. Pollutant Emissions - EF'!$J413*IF(OR(ISBLANK($E413),$G413="Yes"),1,$E413)*IF($H413="Yes",1,(1-$F413))</f>
        <v>6.0282352941176459E-4</v>
      </c>
      <c r="O413" s="130"/>
    </row>
    <row r="414" spans="1:15" ht="15" x14ac:dyDescent="0.25">
      <c r="A414" s="5" t="s">
        <v>1323</v>
      </c>
      <c r="B414" s="7"/>
      <c r="C414" s="13" t="s">
        <v>69</v>
      </c>
      <c r="D414" s="19" t="str">
        <f>IFERROR(IF(C414="No CAS","",INDEX('DEQ Pollutant List'!$B$7:$B$611,MATCH('3. Pollutant Emissions - EF'!C414,'DEQ Pollutant List'!$A$7:$A$611,0))),"")</f>
        <v>Vanadium (fume or dust)</v>
      </c>
      <c r="E414" s="100">
        <v>0</v>
      </c>
      <c r="F414" s="36">
        <v>0</v>
      </c>
      <c r="G414" s="100" t="s">
        <v>1415</v>
      </c>
      <c r="H414" s="36" t="s">
        <v>1415</v>
      </c>
      <c r="I414" s="34">
        <v>2.3E-3</v>
      </c>
      <c r="J414" s="11">
        <f t="shared" si="10"/>
        <v>2.3E-3</v>
      </c>
      <c r="K414" s="6" t="s">
        <v>1416</v>
      </c>
      <c r="L414" s="20" t="s">
        <v>1422</v>
      </c>
      <c r="M414" s="7">
        <f>IF(ISBLANK($B414),_xlfn.XLOOKUP($A414,'2. TEUs &amp; Activities - EF'!$A$9:$A$190,'2. TEUs &amp; Activities - EF'!$J$9:$J$190),_xlfn.XLOOKUP($B414,'2. TEUs &amp; Activities - EF'!$B$9:$B$190,'2. TEUs &amp; Activities - EF'!$J$9:$J$190))*'3. Pollutant Emissions - EF'!$I414*IF(OR(ISBLANK($E414),$G414="Yes"),1,$E414)*IF($H414="Yes",1,(1-$F414))</f>
        <v>1.4498658823529411E-2</v>
      </c>
      <c r="N414" s="5">
        <f>IF(ISBLANK($B414),_xlfn.XLOOKUP($A414,'2. TEUs &amp; Activities - EF'!$A$9:$A$190,'2. TEUs &amp; Activities - EF'!$M$9:$M$190),_xlfn.XLOOKUP($B414,'2. TEUs &amp; Activities - EF'!$B$9:$B$190,'2. TEUs &amp; Activities - EF'!$M$9:$M$190))*'3. Pollutant Emissions - EF'!$J414*IF(OR(ISBLANK($E414),$G414="Yes"),1,$E414)*IF($H414="Yes",1,(1-$F414))</f>
        <v>3.7882352941176462E-5</v>
      </c>
      <c r="O414" s="130"/>
    </row>
    <row r="415" spans="1:15" ht="15" x14ac:dyDescent="0.25">
      <c r="A415" s="5" t="s">
        <v>1323</v>
      </c>
      <c r="B415" s="7"/>
      <c r="C415" s="13" t="s">
        <v>70</v>
      </c>
      <c r="D415" s="19" t="str">
        <f>IFERROR(IF(C415="No CAS","",INDEX('DEQ Pollutant List'!$B$7:$B$611,MATCH('3. Pollutant Emissions - EF'!C415,'DEQ Pollutant List'!$A$7:$A$611,0))),"")</f>
        <v>Xylene (mixture), including m-xylene, o-xylene, p-xylene</v>
      </c>
      <c r="E415" s="100">
        <v>0</v>
      </c>
      <c r="F415" s="36">
        <v>0</v>
      </c>
      <c r="G415" s="100" t="s">
        <v>1415</v>
      </c>
      <c r="H415" s="36" t="s">
        <v>1415</v>
      </c>
      <c r="I415" s="34">
        <v>2.7199999999999998E-2</v>
      </c>
      <c r="J415" s="11">
        <f t="shared" si="10"/>
        <v>2.7199999999999998E-2</v>
      </c>
      <c r="K415" s="6" t="s">
        <v>1416</v>
      </c>
      <c r="L415" s="20" t="s">
        <v>1422</v>
      </c>
      <c r="M415" s="7">
        <f>IF(ISBLANK($B415),_xlfn.XLOOKUP($A415,'2. TEUs &amp; Activities - EF'!$A$9:$A$190,'2. TEUs &amp; Activities - EF'!$J$9:$J$190),_xlfn.XLOOKUP($B415,'2. TEUs &amp; Activities - EF'!$B$9:$B$190,'2. TEUs &amp; Activities - EF'!$J$9:$J$190))*'3. Pollutant Emissions - EF'!$I415*IF(OR(ISBLANK($E415),$G415="Yes"),1,$E415)*IF($H415="Yes",1,(1-$F415))</f>
        <v>0.17146239999999999</v>
      </c>
      <c r="N415" s="5">
        <f>IF(ISBLANK($B415),_xlfn.XLOOKUP($A415,'2. TEUs &amp; Activities - EF'!$A$9:$A$190,'2. TEUs &amp; Activities - EF'!$M$9:$M$190),_xlfn.XLOOKUP($B415,'2. TEUs &amp; Activities - EF'!$B$9:$B$190,'2. TEUs &amp; Activities - EF'!$M$9:$M$190))*'3. Pollutant Emissions - EF'!$J415*IF(OR(ISBLANK($E415),$G415="Yes"),1,$E415)*IF($H415="Yes",1,(1-$F415))</f>
        <v>4.4799999999999994E-4</v>
      </c>
      <c r="O415" s="130"/>
    </row>
    <row r="416" spans="1:15" ht="15" x14ac:dyDescent="0.25">
      <c r="A416" s="5" t="s">
        <v>1323</v>
      </c>
      <c r="B416" s="7"/>
      <c r="C416" s="13" t="s">
        <v>71</v>
      </c>
      <c r="D416" s="19" t="str">
        <f>IFERROR(IF(C416="No CAS","",INDEX('DEQ Pollutant List'!$B$7:$B$611,MATCH('3. Pollutant Emissions - EF'!C416,'DEQ Pollutant List'!$A$7:$A$611,0))),"")</f>
        <v>Zinc and compounds</v>
      </c>
      <c r="E416" s="100">
        <v>0</v>
      </c>
      <c r="F416" s="36">
        <v>0</v>
      </c>
      <c r="G416" s="100" t="s">
        <v>1415</v>
      </c>
      <c r="H416" s="36" t="s">
        <v>1415</v>
      </c>
      <c r="I416" s="34">
        <v>2.9000000000000001E-2</v>
      </c>
      <c r="J416" s="11">
        <f t="shared" si="10"/>
        <v>2.9000000000000001E-2</v>
      </c>
      <c r="K416" s="6" t="s">
        <v>1416</v>
      </c>
      <c r="L416" s="20" t="s">
        <v>1422</v>
      </c>
      <c r="M416" s="7">
        <f>IF(ISBLANK($B416),_xlfn.XLOOKUP($A416,'2. TEUs &amp; Activities - EF'!$A$9:$A$190,'2. TEUs &amp; Activities - EF'!$J$9:$J$190),_xlfn.XLOOKUP($B416,'2. TEUs &amp; Activities - EF'!$B$9:$B$190,'2. TEUs &amp; Activities - EF'!$J$9:$J$190))*'3. Pollutant Emissions - EF'!$I416*IF(OR(ISBLANK($E416),$G416="Yes"),1,$E416)*IF($H416="Yes",1,(1-$F416))</f>
        <v>0.18280917647058822</v>
      </c>
      <c r="N416" s="5">
        <f>IF(ISBLANK($B416),_xlfn.XLOOKUP($A416,'2. TEUs &amp; Activities - EF'!$A$9:$A$190,'2. TEUs &amp; Activities - EF'!$M$9:$M$190),_xlfn.XLOOKUP($B416,'2. TEUs &amp; Activities - EF'!$B$9:$B$190,'2. TEUs &amp; Activities - EF'!$M$9:$M$190))*'3. Pollutant Emissions - EF'!$J416*IF(OR(ISBLANK($E416),$G416="Yes"),1,$E416)*IF($H416="Yes",1,(1-$F416))</f>
        <v>4.7764705882352937E-4</v>
      </c>
      <c r="O416" s="130"/>
    </row>
    <row r="417" spans="1:15" ht="15" x14ac:dyDescent="0.25">
      <c r="A417" s="5"/>
      <c r="B417" s="7"/>
      <c r="C417" s="13"/>
      <c r="D417" s="19" t="str">
        <f>IFERROR(IF(C417="No CAS","",INDEX('DEQ Pollutant List'!$B$7:$B$611,MATCH('3. Pollutant Emissions - EF'!C417,'DEQ Pollutant List'!$A$7:$A$611,0))),"")</f>
        <v/>
      </c>
      <c r="E417" s="100"/>
      <c r="F417" s="36"/>
      <c r="G417" s="100"/>
      <c r="H417" s="36"/>
      <c r="I417" s="34"/>
      <c r="J417" s="11"/>
      <c r="K417" s="6"/>
      <c r="L417" s="20"/>
      <c r="M417" s="7">
        <f>IF(ISBLANK($B417),_xlfn.XLOOKUP($A417,'2. TEUs &amp; Activities - EF'!$A$9:$A$190,'2. TEUs &amp; Activities - EF'!$J$9:$J$190),_xlfn.XLOOKUP($B417,'2. TEUs &amp; Activities - EF'!$B$9:$B$190,'2. TEUs &amp; Activities - EF'!$J$9:$J$190))*'3. Pollutant Emissions - EF'!$I417*IF(OR(ISBLANK($E417),$G417="Yes"),1,$E417)*IF($H417="Yes",1,(1-$F417))</f>
        <v>0</v>
      </c>
      <c r="N417" s="5">
        <f>IF(ISBLANK($B417),_xlfn.XLOOKUP($A417,'2. TEUs &amp; Activities - EF'!$A$9:$A$190,'2. TEUs &amp; Activities - EF'!$M$9:$M$190),_xlfn.XLOOKUP($B417,'2. TEUs &amp; Activities - EF'!$B$9:$B$190,'2. TEUs &amp; Activities - EF'!$M$9:$M$190))*'3. Pollutant Emissions - EF'!$J417*IF(OR(ISBLANK($E417),$G417="Yes"),1,$E417)*IF($H417="Yes",1,(1-$F417))</f>
        <v>0</v>
      </c>
      <c r="O417" s="130"/>
    </row>
    <row r="418" spans="1:15" ht="15" x14ac:dyDescent="0.25">
      <c r="A418" s="5" t="s">
        <v>1324</v>
      </c>
      <c r="B418" s="7"/>
      <c r="C418" s="13" t="s">
        <v>50</v>
      </c>
      <c r="D418" s="19" t="str">
        <f>IFERROR(IF(C418="No CAS","",INDEX('DEQ Pollutant List'!$B$7:$B$611,MATCH('3. Pollutant Emissions - EF'!C418,'DEQ Pollutant List'!$A$7:$A$611,0))),"")</f>
        <v>Acetaldehyde</v>
      </c>
      <c r="E418" s="100">
        <v>0</v>
      </c>
      <c r="F418" s="36">
        <v>0</v>
      </c>
      <c r="G418" s="100" t="s">
        <v>1415</v>
      </c>
      <c r="H418" s="36" t="s">
        <v>1415</v>
      </c>
      <c r="I418" s="34">
        <v>4.3E-3</v>
      </c>
      <c r="J418" s="11">
        <f t="shared" ref="J418:J443" si="11">I418</f>
        <v>4.3E-3</v>
      </c>
      <c r="K418" s="6" t="s">
        <v>1416</v>
      </c>
      <c r="L418" s="20" t="s">
        <v>1422</v>
      </c>
      <c r="M418" s="7">
        <f>IF(ISBLANK($B418),_xlfn.XLOOKUP($A418,'2. TEUs &amp; Activities - EF'!$A$9:$A$190,'2. TEUs &amp; Activities - EF'!$J$9:$J$190),_xlfn.XLOOKUP($B418,'2. TEUs &amp; Activities - EF'!$B$9:$B$190,'2. TEUs &amp; Activities - EF'!$J$9:$J$190))*'3. Pollutant Emissions - EF'!$I418*IF(OR(ISBLANK($E418),$G418="Yes"),1,$E418)*IF($H418="Yes",1,(1-$F418))</f>
        <v>1.1078823529411766E-2</v>
      </c>
      <c r="N418" s="5">
        <f>IF(ISBLANK($B418),_xlfn.XLOOKUP($A418,'2. TEUs &amp; Activities - EF'!$A$9:$A$190,'2. TEUs &amp; Activities - EF'!$M$9:$M$190),_xlfn.XLOOKUP($B418,'2. TEUs &amp; Activities - EF'!$B$9:$B$190,'2. TEUs &amp; Activities - EF'!$M$9:$M$190))*'3. Pollutant Emissions - EF'!$J418*IF(OR(ISBLANK($E418),$G418="Yes"),1,$E418)*IF($H418="Yes",1,(1-$F418))</f>
        <v>3.0352941176470584E-5</v>
      </c>
      <c r="O418" s="130"/>
    </row>
    <row r="419" spans="1:15" ht="15" x14ac:dyDescent="0.25">
      <c r="A419" s="5" t="s">
        <v>1324</v>
      </c>
      <c r="B419" s="7"/>
      <c r="C419" s="13" t="s">
        <v>51</v>
      </c>
      <c r="D419" s="19" t="str">
        <f>IFERROR(IF(C419="No CAS","",INDEX('DEQ Pollutant List'!$B$7:$B$611,MATCH('3. Pollutant Emissions - EF'!C419,'DEQ Pollutant List'!$A$7:$A$611,0))),"")</f>
        <v>Acrolein</v>
      </c>
      <c r="E419" s="100">
        <v>0</v>
      </c>
      <c r="F419" s="36">
        <v>0</v>
      </c>
      <c r="G419" s="100" t="s">
        <v>1415</v>
      </c>
      <c r="H419" s="36" t="s">
        <v>1415</v>
      </c>
      <c r="I419" s="34">
        <v>2.7000000000000001E-3</v>
      </c>
      <c r="J419" s="11">
        <f t="shared" si="11"/>
        <v>2.7000000000000001E-3</v>
      </c>
      <c r="K419" s="6" t="s">
        <v>1416</v>
      </c>
      <c r="L419" s="20" t="s">
        <v>1422</v>
      </c>
      <c r="M419" s="7">
        <f>IF(ISBLANK($B419),_xlfn.XLOOKUP($A419,'2. TEUs &amp; Activities - EF'!$A$9:$A$190,'2. TEUs &amp; Activities - EF'!$J$9:$J$190),_xlfn.XLOOKUP($B419,'2. TEUs &amp; Activities - EF'!$B$9:$B$190,'2. TEUs &amp; Activities - EF'!$J$9:$J$190))*'3. Pollutant Emissions - EF'!$I419*IF(OR(ISBLANK($E419),$G419="Yes"),1,$E419)*IF($H419="Yes",1,(1-$F419))</f>
        <v>6.9564705882352949E-3</v>
      </c>
      <c r="N419" s="5">
        <f>IF(ISBLANK($B419),_xlfn.XLOOKUP($A419,'2. TEUs &amp; Activities - EF'!$A$9:$A$190,'2. TEUs &amp; Activities - EF'!$M$9:$M$190),_xlfn.XLOOKUP($B419,'2. TEUs &amp; Activities - EF'!$B$9:$B$190,'2. TEUs &amp; Activities - EF'!$M$9:$M$190))*'3. Pollutant Emissions - EF'!$J419*IF(OR(ISBLANK($E419),$G419="Yes"),1,$E419)*IF($H419="Yes",1,(1-$F419))</f>
        <v>1.9058823529411764E-5</v>
      </c>
      <c r="O419" s="130"/>
    </row>
    <row r="420" spans="1:15" ht="15" x14ac:dyDescent="0.25">
      <c r="A420" s="5" t="s">
        <v>1324</v>
      </c>
      <c r="B420" s="7"/>
      <c r="C420" s="13" t="s">
        <v>52</v>
      </c>
      <c r="D420" s="19" t="str">
        <f>IFERROR(IF(C420="No CAS","",INDEX('DEQ Pollutant List'!$B$7:$B$611,MATCH('3. Pollutant Emissions - EF'!C420,'DEQ Pollutant List'!$A$7:$A$611,0))),"")</f>
        <v>Ammonia</v>
      </c>
      <c r="E420" s="100">
        <v>0</v>
      </c>
      <c r="F420" s="36">
        <v>0</v>
      </c>
      <c r="G420" s="100" t="s">
        <v>1415</v>
      </c>
      <c r="H420" s="36" t="s">
        <v>1415</v>
      </c>
      <c r="I420" s="34">
        <v>3.2</v>
      </c>
      <c r="J420" s="11">
        <f t="shared" si="11"/>
        <v>3.2</v>
      </c>
      <c r="K420" s="6" t="s">
        <v>1416</v>
      </c>
      <c r="L420" s="20" t="s">
        <v>1422</v>
      </c>
      <c r="M420" s="7">
        <f>IF(ISBLANK($B420),_xlfn.XLOOKUP($A420,'2. TEUs &amp; Activities - EF'!$A$9:$A$190,'2. TEUs &amp; Activities - EF'!$J$9:$J$190),_xlfn.XLOOKUP($B420,'2. TEUs &amp; Activities - EF'!$B$9:$B$190,'2. TEUs &amp; Activities - EF'!$J$9:$J$190))*'3. Pollutant Emissions - EF'!$I420*IF(OR(ISBLANK($E420),$G420="Yes"),1,$E420)*IF($H420="Yes",1,(1-$F420))</f>
        <v>8.2447058823529424</v>
      </c>
      <c r="N420" s="5">
        <f>IF(ISBLANK($B420),_xlfn.XLOOKUP($A420,'2. TEUs &amp; Activities - EF'!$A$9:$A$190,'2. TEUs &amp; Activities - EF'!$M$9:$M$190),_xlfn.XLOOKUP($B420,'2. TEUs &amp; Activities - EF'!$B$9:$B$190,'2. TEUs &amp; Activities - EF'!$M$9:$M$190))*'3. Pollutant Emissions - EF'!$J420*IF(OR(ISBLANK($E420),$G420="Yes"),1,$E420)*IF($H420="Yes",1,(1-$F420))</f>
        <v>2.2588235294117645E-2</v>
      </c>
      <c r="O420" s="130"/>
    </row>
    <row r="421" spans="1:15" ht="15" x14ac:dyDescent="0.25">
      <c r="A421" s="5" t="s">
        <v>1324</v>
      </c>
      <c r="B421" s="7"/>
      <c r="C421" s="13" t="s">
        <v>53</v>
      </c>
      <c r="D421" s="19" t="str">
        <f>IFERROR(IF(C421="No CAS","",INDEX('DEQ Pollutant List'!$B$7:$B$611,MATCH('3. Pollutant Emissions - EF'!C421,'DEQ Pollutant List'!$A$7:$A$611,0))),"")</f>
        <v>Arsenic and compounds</v>
      </c>
      <c r="E421" s="100">
        <v>0</v>
      </c>
      <c r="F421" s="36">
        <v>0</v>
      </c>
      <c r="G421" s="100" t="s">
        <v>1415</v>
      </c>
      <c r="H421" s="36" t="s">
        <v>1415</v>
      </c>
      <c r="I421" s="34">
        <v>2.0000000000000001E-4</v>
      </c>
      <c r="J421" s="11">
        <f t="shared" si="11"/>
        <v>2.0000000000000001E-4</v>
      </c>
      <c r="K421" s="6" t="s">
        <v>1416</v>
      </c>
      <c r="L421" s="20" t="s">
        <v>1422</v>
      </c>
      <c r="M421" s="7">
        <f>IF(ISBLANK($B421),_xlfn.XLOOKUP($A421,'2. TEUs &amp; Activities - EF'!$A$9:$A$190,'2. TEUs &amp; Activities - EF'!$J$9:$J$190),_xlfn.XLOOKUP($B421,'2. TEUs &amp; Activities - EF'!$B$9:$B$190,'2. TEUs &amp; Activities - EF'!$J$9:$J$190))*'3. Pollutant Emissions - EF'!$I421*IF(OR(ISBLANK($E421),$G421="Yes"),1,$E421)*IF($H421="Yes",1,(1-$F421))</f>
        <v>5.1529411764705889E-4</v>
      </c>
      <c r="N421" s="5">
        <f>IF(ISBLANK($B421),_xlfn.XLOOKUP($A421,'2. TEUs &amp; Activities - EF'!$A$9:$A$190,'2. TEUs &amp; Activities - EF'!$M$9:$M$190),_xlfn.XLOOKUP($B421,'2. TEUs &amp; Activities - EF'!$B$9:$B$190,'2. TEUs &amp; Activities - EF'!$M$9:$M$190))*'3. Pollutant Emissions - EF'!$J421*IF(OR(ISBLANK($E421),$G421="Yes"),1,$E421)*IF($H421="Yes",1,(1-$F421))</f>
        <v>1.4117647058823529E-6</v>
      </c>
      <c r="O421" s="130"/>
    </row>
    <row r="422" spans="1:15" ht="15" x14ac:dyDescent="0.25">
      <c r="A422" s="5" t="s">
        <v>1324</v>
      </c>
      <c r="B422" s="7"/>
      <c r="C422" s="13" t="s">
        <v>54</v>
      </c>
      <c r="D422" s="19" t="str">
        <f>IFERROR(IF(C422="No CAS","",INDEX('DEQ Pollutant List'!$B$7:$B$611,MATCH('3. Pollutant Emissions - EF'!C422,'DEQ Pollutant List'!$A$7:$A$611,0))),"")</f>
        <v>Barium and compounds</v>
      </c>
      <c r="E422" s="100">
        <v>0</v>
      </c>
      <c r="F422" s="36">
        <v>0</v>
      </c>
      <c r="G422" s="100" t="s">
        <v>1415</v>
      </c>
      <c r="H422" s="36" t="s">
        <v>1415</v>
      </c>
      <c r="I422" s="34">
        <v>4.4000000000000003E-3</v>
      </c>
      <c r="J422" s="11">
        <f t="shared" si="11"/>
        <v>4.4000000000000003E-3</v>
      </c>
      <c r="K422" s="6" t="s">
        <v>1416</v>
      </c>
      <c r="L422" s="20" t="s">
        <v>1422</v>
      </c>
      <c r="M422" s="7">
        <f>IF(ISBLANK($B422),_xlfn.XLOOKUP($A422,'2. TEUs &amp; Activities - EF'!$A$9:$A$190,'2. TEUs &amp; Activities - EF'!$J$9:$J$190),_xlfn.XLOOKUP($B422,'2. TEUs &amp; Activities - EF'!$B$9:$B$190,'2. TEUs &amp; Activities - EF'!$J$9:$J$190))*'3. Pollutant Emissions - EF'!$I422*IF(OR(ISBLANK($E422),$G422="Yes"),1,$E422)*IF($H422="Yes",1,(1-$F422))</f>
        <v>1.1336470588235295E-2</v>
      </c>
      <c r="N422" s="5">
        <f>IF(ISBLANK($B422),_xlfn.XLOOKUP($A422,'2. TEUs &amp; Activities - EF'!$A$9:$A$190,'2. TEUs &amp; Activities - EF'!$M$9:$M$190),_xlfn.XLOOKUP($B422,'2. TEUs &amp; Activities - EF'!$B$9:$B$190,'2. TEUs &amp; Activities - EF'!$M$9:$M$190))*'3. Pollutant Emissions - EF'!$J422*IF(OR(ISBLANK($E422),$G422="Yes"),1,$E422)*IF($H422="Yes",1,(1-$F422))</f>
        <v>3.1058823529411765E-5</v>
      </c>
      <c r="O422" s="130"/>
    </row>
    <row r="423" spans="1:15" ht="15" x14ac:dyDescent="0.25">
      <c r="A423" s="5" t="s">
        <v>1324</v>
      </c>
      <c r="B423" s="7"/>
      <c r="C423" s="13" t="s">
        <v>46</v>
      </c>
      <c r="D423" s="19" t="str">
        <f>IFERROR(IF(C423="No CAS","",INDEX('DEQ Pollutant List'!$B$7:$B$611,MATCH('3. Pollutant Emissions - EF'!C423,'DEQ Pollutant List'!$A$7:$A$611,0))),"")</f>
        <v>Benzene</v>
      </c>
      <c r="E423" s="100">
        <v>0</v>
      </c>
      <c r="F423" s="36">
        <v>0</v>
      </c>
      <c r="G423" s="100" t="s">
        <v>1415</v>
      </c>
      <c r="H423" s="36" t="s">
        <v>1415</v>
      </c>
      <c r="I423" s="34">
        <v>8.0000000000000002E-3</v>
      </c>
      <c r="J423" s="11">
        <f t="shared" si="11"/>
        <v>8.0000000000000002E-3</v>
      </c>
      <c r="K423" s="6" t="s">
        <v>1416</v>
      </c>
      <c r="L423" s="20" t="s">
        <v>1422</v>
      </c>
      <c r="M423" s="7">
        <f>IF(ISBLANK($B423),_xlfn.XLOOKUP($A423,'2. TEUs &amp; Activities - EF'!$A$9:$A$190,'2. TEUs &amp; Activities - EF'!$J$9:$J$190),_xlfn.XLOOKUP($B423,'2. TEUs &amp; Activities - EF'!$B$9:$B$190,'2. TEUs &amp; Activities - EF'!$J$9:$J$190))*'3. Pollutant Emissions - EF'!$I423*IF(OR(ISBLANK($E423),$G423="Yes"),1,$E423)*IF($H423="Yes",1,(1-$F423))</f>
        <v>2.0611764705882354E-2</v>
      </c>
      <c r="N423" s="5">
        <f>IF(ISBLANK($B423),_xlfn.XLOOKUP($A423,'2. TEUs &amp; Activities - EF'!$A$9:$A$190,'2. TEUs &amp; Activities - EF'!$M$9:$M$190),_xlfn.XLOOKUP($B423,'2. TEUs &amp; Activities - EF'!$B$9:$B$190,'2. TEUs &amp; Activities - EF'!$M$9:$M$190))*'3. Pollutant Emissions - EF'!$J423*IF(OR(ISBLANK($E423),$G423="Yes"),1,$E423)*IF($H423="Yes",1,(1-$F423))</f>
        <v>5.6470588235294113E-5</v>
      </c>
      <c r="O423" s="130"/>
    </row>
    <row r="424" spans="1:15" ht="15" x14ac:dyDescent="0.25">
      <c r="A424" s="5" t="s">
        <v>1324</v>
      </c>
      <c r="B424" s="7"/>
      <c r="C424" s="13" t="s">
        <v>55</v>
      </c>
      <c r="D424" s="19" t="str">
        <f>IFERROR(IF(C424="No CAS","",INDEX('DEQ Pollutant List'!$B$7:$B$611,MATCH('3. Pollutant Emissions - EF'!C424,'DEQ Pollutant List'!$A$7:$A$611,0))),"")</f>
        <v>Beryllium and compounds</v>
      </c>
      <c r="E424" s="100">
        <v>0</v>
      </c>
      <c r="F424" s="36">
        <v>0</v>
      </c>
      <c r="G424" s="100" t="s">
        <v>1415</v>
      </c>
      <c r="H424" s="36" t="s">
        <v>1415</v>
      </c>
      <c r="I424" s="34">
        <v>1.2E-5</v>
      </c>
      <c r="J424" s="11">
        <f t="shared" si="11"/>
        <v>1.2E-5</v>
      </c>
      <c r="K424" s="6" t="s">
        <v>1416</v>
      </c>
      <c r="L424" s="20" t="s">
        <v>1422</v>
      </c>
      <c r="M424" s="7">
        <f>IF(ISBLANK($B424),_xlfn.XLOOKUP($A424,'2. TEUs &amp; Activities - EF'!$A$9:$A$190,'2. TEUs &amp; Activities - EF'!$J$9:$J$190),_xlfn.XLOOKUP($B424,'2. TEUs &amp; Activities - EF'!$B$9:$B$190,'2. TEUs &amp; Activities - EF'!$J$9:$J$190))*'3. Pollutant Emissions - EF'!$I424*IF(OR(ISBLANK($E424),$G424="Yes"),1,$E424)*IF($H424="Yes",1,(1-$F424))</f>
        <v>3.091764705882353E-5</v>
      </c>
      <c r="N424" s="5">
        <f>IF(ISBLANK($B424),_xlfn.XLOOKUP($A424,'2. TEUs &amp; Activities - EF'!$A$9:$A$190,'2. TEUs &amp; Activities - EF'!$M$9:$M$190),_xlfn.XLOOKUP($B424,'2. TEUs &amp; Activities - EF'!$B$9:$B$190,'2. TEUs &amp; Activities - EF'!$M$9:$M$190))*'3. Pollutant Emissions - EF'!$J424*IF(OR(ISBLANK($E424),$G424="Yes"),1,$E424)*IF($H424="Yes",1,(1-$F424))</f>
        <v>8.4705882352941172E-8</v>
      </c>
      <c r="O424" s="130"/>
    </row>
    <row r="425" spans="1:15" ht="15" x14ac:dyDescent="0.25">
      <c r="A425" s="5" t="s">
        <v>1324</v>
      </c>
      <c r="B425" s="7"/>
      <c r="C425" s="13" t="s">
        <v>56</v>
      </c>
      <c r="D425" s="19" t="str">
        <f>IFERROR(IF(C425="No CAS","",INDEX('DEQ Pollutant List'!$B$7:$B$611,MATCH('3. Pollutant Emissions - EF'!C425,'DEQ Pollutant List'!$A$7:$A$611,0))),"")</f>
        <v>Cadmium and compounds</v>
      </c>
      <c r="E425" s="100">
        <v>0</v>
      </c>
      <c r="F425" s="36">
        <v>0</v>
      </c>
      <c r="G425" s="100" t="s">
        <v>1415</v>
      </c>
      <c r="H425" s="36" t="s">
        <v>1415</v>
      </c>
      <c r="I425" s="34">
        <v>1.1000000000000001E-3</v>
      </c>
      <c r="J425" s="11">
        <f t="shared" si="11"/>
        <v>1.1000000000000001E-3</v>
      </c>
      <c r="K425" s="6" t="s">
        <v>1416</v>
      </c>
      <c r="L425" s="20" t="s">
        <v>1422</v>
      </c>
      <c r="M425" s="7">
        <f>IF(ISBLANK($B425),_xlfn.XLOOKUP($A425,'2. TEUs &amp; Activities - EF'!$A$9:$A$190,'2. TEUs &amp; Activities - EF'!$J$9:$J$190),_xlfn.XLOOKUP($B425,'2. TEUs &amp; Activities - EF'!$B$9:$B$190,'2. TEUs &amp; Activities - EF'!$J$9:$J$190))*'3. Pollutant Emissions - EF'!$I425*IF(OR(ISBLANK($E425),$G425="Yes"),1,$E425)*IF($H425="Yes",1,(1-$F425))</f>
        <v>2.8341176470588238E-3</v>
      </c>
      <c r="N425" s="5">
        <f>IF(ISBLANK($B425),_xlfn.XLOOKUP($A425,'2. TEUs &amp; Activities - EF'!$A$9:$A$190,'2. TEUs &amp; Activities - EF'!$M$9:$M$190),_xlfn.XLOOKUP($B425,'2. TEUs &amp; Activities - EF'!$B$9:$B$190,'2. TEUs &amp; Activities - EF'!$M$9:$M$190))*'3. Pollutant Emissions - EF'!$J425*IF(OR(ISBLANK($E425),$G425="Yes"),1,$E425)*IF($H425="Yes",1,(1-$F425))</f>
        <v>7.7647058823529412E-6</v>
      </c>
      <c r="O425" s="130"/>
    </row>
    <row r="426" spans="1:15" ht="15" x14ac:dyDescent="0.25">
      <c r="A426" s="5" t="s">
        <v>1324</v>
      </c>
      <c r="B426" s="7"/>
      <c r="C426" s="13" t="s">
        <v>57</v>
      </c>
      <c r="D426" s="19" t="str">
        <f>IFERROR(IF(C426="No CAS","",INDEX('DEQ Pollutant List'!$B$7:$B$611,MATCH('3. Pollutant Emissions - EF'!C426,'DEQ Pollutant List'!$A$7:$A$611,0))),"")</f>
        <v>Chromium VI, chromate and dichromate particulate</v>
      </c>
      <c r="E426" s="100">
        <v>0</v>
      </c>
      <c r="F426" s="36">
        <v>0</v>
      </c>
      <c r="G426" s="100" t="s">
        <v>1415</v>
      </c>
      <c r="H426" s="36" t="s">
        <v>1415</v>
      </c>
      <c r="I426" s="34">
        <v>1.4E-3</v>
      </c>
      <c r="J426" s="11">
        <f t="shared" si="11"/>
        <v>1.4E-3</v>
      </c>
      <c r="K426" s="6" t="s">
        <v>1416</v>
      </c>
      <c r="L426" s="20" t="s">
        <v>1422</v>
      </c>
      <c r="M426" s="7">
        <f>IF(ISBLANK($B426),_xlfn.XLOOKUP($A426,'2. TEUs &amp; Activities - EF'!$A$9:$A$190,'2. TEUs &amp; Activities - EF'!$J$9:$J$190),_xlfn.XLOOKUP($B426,'2. TEUs &amp; Activities - EF'!$B$9:$B$190,'2. TEUs &amp; Activities - EF'!$J$9:$J$190))*'3. Pollutant Emissions - EF'!$I426*IF(OR(ISBLANK($E426),$G426="Yes"),1,$E426)*IF($H426="Yes",1,(1-$F426))</f>
        <v>3.607058823529412E-3</v>
      </c>
      <c r="N426" s="5">
        <f>IF(ISBLANK($B426),_xlfn.XLOOKUP($A426,'2. TEUs &amp; Activities - EF'!$A$9:$A$190,'2. TEUs &amp; Activities - EF'!$M$9:$M$190),_xlfn.XLOOKUP($B426,'2. TEUs &amp; Activities - EF'!$B$9:$B$190,'2. TEUs &amp; Activities - EF'!$M$9:$M$190))*'3. Pollutant Emissions - EF'!$J426*IF(OR(ISBLANK($E426),$G426="Yes"),1,$E426)*IF($H426="Yes",1,(1-$F426))</f>
        <v>9.882352941176469E-6</v>
      </c>
      <c r="O426" s="130"/>
    </row>
    <row r="427" spans="1:15" ht="15" x14ac:dyDescent="0.25">
      <c r="A427" s="5" t="s">
        <v>1324</v>
      </c>
      <c r="B427" s="7"/>
      <c r="C427" s="13" t="s">
        <v>58</v>
      </c>
      <c r="D427" s="19" t="str">
        <f>IFERROR(IF(C427="No CAS","",INDEX('DEQ Pollutant List'!$B$7:$B$611,MATCH('3. Pollutant Emissions - EF'!C427,'DEQ Pollutant List'!$A$7:$A$611,0))),"")</f>
        <v>Cobalt and compounds</v>
      </c>
      <c r="E427" s="100">
        <v>0</v>
      </c>
      <c r="F427" s="36">
        <v>0</v>
      </c>
      <c r="G427" s="100" t="s">
        <v>1415</v>
      </c>
      <c r="H427" s="36" t="s">
        <v>1415</v>
      </c>
      <c r="I427" s="34">
        <v>8.3999999999999995E-5</v>
      </c>
      <c r="J427" s="11">
        <f t="shared" si="11"/>
        <v>8.3999999999999995E-5</v>
      </c>
      <c r="K427" s="6" t="s">
        <v>1416</v>
      </c>
      <c r="L427" s="20" t="s">
        <v>1422</v>
      </c>
      <c r="M427" s="7">
        <f>IF(ISBLANK($B427),_xlfn.XLOOKUP($A427,'2. TEUs &amp; Activities - EF'!$A$9:$A$190,'2. TEUs &amp; Activities - EF'!$J$9:$J$190),_xlfn.XLOOKUP($B427,'2. TEUs &amp; Activities - EF'!$B$9:$B$190,'2. TEUs &amp; Activities - EF'!$J$9:$J$190))*'3. Pollutant Emissions - EF'!$I427*IF(OR(ISBLANK($E427),$G427="Yes"),1,$E427)*IF($H427="Yes",1,(1-$F427))</f>
        <v>2.1642352941176471E-4</v>
      </c>
      <c r="N427" s="5">
        <f>IF(ISBLANK($B427),_xlfn.XLOOKUP($A427,'2. TEUs &amp; Activities - EF'!$A$9:$A$190,'2. TEUs &amp; Activities - EF'!$M$9:$M$190),_xlfn.XLOOKUP($B427,'2. TEUs &amp; Activities - EF'!$B$9:$B$190,'2. TEUs &amp; Activities - EF'!$M$9:$M$190))*'3. Pollutant Emissions - EF'!$J427*IF(OR(ISBLANK($E427),$G427="Yes"),1,$E427)*IF($H427="Yes",1,(1-$F427))</f>
        <v>5.9294117647058815E-7</v>
      </c>
      <c r="O427" s="130"/>
    </row>
    <row r="428" spans="1:15" ht="15" x14ac:dyDescent="0.25">
      <c r="A428" s="5" t="s">
        <v>1324</v>
      </c>
      <c r="B428" s="7"/>
      <c r="C428" s="13" t="s">
        <v>59</v>
      </c>
      <c r="D428" s="19" t="str">
        <f>IFERROR(IF(C428="No CAS","",INDEX('DEQ Pollutant List'!$B$7:$B$611,MATCH('3. Pollutant Emissions - EF'!C428,'DEQ Pollutant List'!$A$7:$A$611,0))),"")</f>
        <v>Copper and compounds</v>
      </c>
      <c r="E428" s="100">
        <v>0</v>
      </c>
      <c r="F428" s="36">
        <v>0</v>
      </c>
      <c r="G428" s="100" t="s">
        <v>1415</v>
      </c>
      <c r="H428" s="36" t="s">
        <v>1415</v>
      </c>
      <c r="I428" s="34">
        <v>8.4999999999999995E-4</v>
      </c>
      <c r="J428" s="11">
        <f t="shared" si="11"/>
        <v>8.4999999999999995E-4</v>
      </c>
      <c r="K428" s="6" t="s">
        <v>1416</v>
      </c>
      <c r="L428" s="20" t="s">
        <v>1422</v>
      </c>
      <c r="M428" s="7">
        <f>IF(ISBLANK($B428),_xlfn.XLOOKUP($A428,'2. TEUs &amp; Activities - EF'!$A$9:$A$190,'2. TEUs &amp; Activities - EF'!$J$9:$J$190),_xlfn.XLOOKUP($B428,'2. TEUs &amp; Activities - EF'!$B$9:$B$190,'2. TEUs &amp; Activities - EF'!$J$9:$J$190))*'3. Pollutant Emissions - EF'!$I428*IF(OR(ISBLANK($E428),$G428="Yes"),1,$E428)*IF($H428="Yes",1,(1-$F428))</f>
        <v>2.1900000000000001E-3</v>
      </c>
      <c r="N428" s="5">
        <f>IF(ISBLANK($B428),_xlfn.XLOOKUP($A428,'2. TEUs &amp; Activities - EF'!$A$9:$A$190,'2. TEUs &amp; Activities - EF'!$M$9:$M$190),_xlfn.XLOOKUP($B428,'2. TEUs &amp; Activities - EF'!$B$9:$B$190,'2. TEUs &amp; Activities - EF'!$M$9:$M$190))*'3. Pollutant Emissions - EF'!$J428*IF(OR(ISBLANK($E428),$G428="Yes"),1,$E428)*IF($H428="Yes",1,(1-$F428))</f>
        <v>5.9999999999999993E-6</v>
      </c>
      <c r="O428" s="130"/>
    </row>
    <row r="429" spans="1:15" ht="15" x14ac:dyDescent="0.25">
      <c r="A429" s="5" t="s">
        <v>1324</v>
      </c>
      <c r="B429" s="7"/>
      <c r="C429" s="13" t="s">
        <v>60</v>
      </c>
      <c r="D429" s="19" t="str">
        <f>IFERROR(IF(C429="No CAS","",INDEX('DEQ Pollutant List'!$B$7:$B$611,MATCH('3. Pollutant Emissions - EF'!C429,'DEQ Pollutant List'!$A$7:$A$611,0))),"")</f>
        <v>Ethyl benzene</v>
      </c>
      <c r="E429" s="100">
        <v>0</v>
      </c>
      <c r="F429" s="36">
        <v>0</v>
      </c>
      <c r="G429" s="100" t="s">
        <v>1415</v>
      </c>
      <c r="H429" s="36" t="s">
        <v>1415</v>
      </c>
      <c r="I429" s="34">
        <v>9.4999999999999998E-3</v>
      </c>
      <c r="J429" s="11">
        <f t="shared" si="11"/>
        <v>9.4999999999999998E-3</v>
      </c>
      <c r="K429" s="6" t="s">
        <v>1416</v>
      </c>
      <c r="L429" s="20" t="s">
        <v>1422</v>
      </c>
      <c r="M429" s="7">
        <f>IF(ISBLANK($B429),_xlfn.XLOOKUP($A429,'2. TEUs &amp; Activities - EF'!$A$9:$A$190,'2. TEUs &amp; Activities - EF'!$J$9:$J$190),_xlfn.XLOOKUP($B429,'2. TEUs &amp; Activities - EF'!$B$9:$B$190,'2. TEUs &amp; Activities - EF'!$J$9:$J$190))*'3. Pollutant Emissions - EF'!$I429*IF(OR(ISBLANK($E429),$G429="Yes"),1,$E429)*IF($H429="Yes",1,(1-$F429))</f>
        <v>2.4476470588235294E-2</v>
      </c>
      <c r="N429" s="5">
        <f>IF(ISBLANK($B429),_xlfn.XLOOKUP($A429,'2. TEUs &amp; Activities - EF'!$A$9:$A$190,'2. TEUs &amp; Activities - EF'!$M$9:$M$190),_xlfn.XLOOKUP($B429,'2. TEUs &amp; Activities - EF'!$B$9:$B$190,'2. TEUs &amp; Activities - EF'!$M$9:$M$190))*'3. Pollutant Emissions - EF'!$J429*IF(OR(ISBLANK($E429),$G429="Yes"),1,$E429)*IF($H429="Yes",1,(1-$F429))</f>
        <v>6.7058823529411759E-5</v>
      </c>
      <c r="O429" s="130"/>
    </row>
    <row r="430" spans="1:15" ht="15" x14ac:dyDescent="0.25">
      <c r="A430" s="5" t="s">
        <v>1324</v>
      </c>
      <c r="B430" s="7"/>
      <c r="C430" s="13" t="s">
        <v>47</v>
      </c>
      <c r="D430" s="19" t="str">
        <f>IFERROR(IF(C430="No CAS","",INDEX('DEQ Pollutant List'!$B$7:$B$611,MATCH('3. Pollutant Emissions - EF'!C430,'DEQ Pollutant List'!$A$7:$A$611,0))),"")</f>
        <v>Formaldehyde</v>
      </c>
      <c r="E430" s="100">
        <v>0</v>
      </c>
      <c r="F430" s="36">
        <v>0</v>
      </c>
      <c r="G430" s="100" t="s">
        <v>1415</v>
      </c>
      <c r="H430" s="36" t="s">
        <v>1415</v>
      </c>
      <c r="I430" s="34">
        <v>1.7000000000000001E-2</v>
      </c>
      <c r="J430" s="11">
        <f t="shared" si="11"/>
        <v>1.7000000000000001E-2</v>
      </c>
      <c r="K430" s="6" t="s">
        <v>1416</v>
      </c>
      <c r="L430" s="20" t="s">
        <v>1422</v>
      </c>
      <c r="M430" s="7">
        <f>IF(ISBLANK($B430),_xlfn.XLOOKUP($A430,'2. TEUs &amp; Activities - EF'!$A$9:$A$190,'2. TEUs &amp; Activities - EF'!$J$9:$J$190),_xlfn.XLOOKUP($B430,'2. TEUs &amp; Activities - EF'!$B$9:$B$190,'2. TEUs &amp; Activities - EF'!$J$9:$J$190))*'3. Pollutant Emissions - EF'!$I430*IF(OR(ISBLANK($E430),$G430="Yes"),1,$E430)*IF($H430="Yes",1,(1-$F430))</f>
        <v>4.3800000000000006E-2</v>
      </c>
      <c r="N430" s="5">
        <f>IF(ISBLANK($B430),_xlfn.XLOOKUP($A430,'2. TEUs &amp; Activities - EF'!$A$9:$A$190,'2. TEUs &amp; Activities - EF'!$M$9:$M$190),_xlfn.XLOOKUP($B430,'2. TEUs &amp; Activities - EF'!$B$9:$B$190,'2. TEUs &amp; Activities - EF'!$M$9:$M$190))*'3. Pollutant Emissions - EF'!$J430*IF(OR(ISBLANK($E430),$G430="Yes"),1,$E430)*IF($H430="Yes",1,(1-$F430))</f>
        <v>1.2E-4</v>
      </c>
      <c r="O430" s="130"/>
    </row>
    <row r="431" spans="1:15" ht="15" x14ac:dyDescent="0.25">
      <c r="A431" s="5" t="s">
        <v>1324</v>
      </c>
      <c r="B431" s="7"/>
      <c r="C431" s="13" t="s">
        <v>61</v>
      </c>
      <c r="D431" s="19" t="str">
        <f>IFERROR(IF(C431="No CAS","",INDEX('DEQ Pollutant List'!$B$7:$B$611,MATCH('3. Pollutant Emissions - EF'!C431,'DEQ Pollutant List'!$A$7:$A$611,0))),"")</f>
        <v>Hexane</v>
      </c>
      <c r="E431" s="100">
        <v>0</v>
      </c>
      <c r="F431" s="36">
        <v>0</v>
      </c>
      <c r="G431" s="100" t="s">
        <v>1415</v>
      </c>
      <c r="H431" s="36" t="s">
        <v>1415</v>
      </c>
      <c r="I431" s="34">
        <v>6.3E-3</v>
      </c>
      <c r="J431" s="11">
        <f t="shared" si="11"/>
        <v>6.3E-3</v>
      </c>
      <c r="K431" s="6" t="s">
        <v>1416</v>
      </c>
      <c r="L431" s="20" t="s">
        <v>1422</v>
      </c>
      <c r="M431" s="7">
        <f>IF(ISBLANK($B431),_xlfn.XLOOKUP($A431,'2. TEUs &amp; Activities - EF'!$A$9:$A$190,'2. TEUs &amp; Activities - EF'!$J$9:$J$190),_xlfn.XLOOKUP($B431,'2. TEUs &amp; Activities - EF'!$B$9:$B$190,'2. TEUs &amp; Activities - EF'!$J$9:$J$190))*'3. Pollutant Emissions - EF'!$I431*IF(OR(ISBLANK($E431),$G431="Yes"),1,$E431)*IF($H431="Yes",1,(1-$F431))</f>
        <v>1.6231764705882355E-2</v>
      </c>
      <c r="N431" s="5">
        <f>IF(ISBLANK($B431),_xlfn.XLOOKUP($A431,'2. TEUs &amp; Activities - EF'!$A$9:$A$190,'2. TEUs &amp; Activities - EF'!$M$9:$M$190),_xlfn.XLOOKUP($B431,'2. TEUs &amp; Activities - EF'!$B$9:$B$190,'2. TEUs &amp; Activities - EF'!$M$9:$M$190))*'3. Pollutant Emissions - EF'!$J431*IF(OR(ISBLANK($E431),$G431="Yes"),1,$E431)*IF($H431="Yes",1,(1-$F431))</f>
        <v>4.4470588235294112E-5</v>
      </c>
      <c r="O431" s="130"/>
    </row>
    <row r="432" spans="1:15" ht="15" x14ac:dyDescent="0.25">
      <c r="A432" s="5" t="s">
        <v>1324</v>
      </c>
      <c r="B432" s="7"/>
      <c r="C432" s="13" t="s">
        <v>62</v>
      </c>
      <c r="D432" s="19" t="str">
        <f>IFERROR(IF(C432="No CAS","",INDEX('DEQ Pollutant List'!$B$7:$B$611,MATCH('3. Pollutant Emissions - EF'!C432,'DEQ Pollutant List'!$A$7:$A$611,0))),"")</f>
        <v>Lead and compounds</v>
      </c>
      <c r="E432" s="100">
        <v>0</v>
      </c>
      <c r="F432" s="36">
        <v>0</v>
      </c>
      <c r="G432" s="100" t="s">
        <v>1415</v>
      </c>
      <c r="H432" s="36" t="s">
        <v>1415</v>
      </c>
      <c r="I432" s="34">
        <v>5.0000000000000001E-4</v>
      </c>
      <c r="J432" s="11">
        <f t="shared" si="11"/>
        <v>5.0000000000000001E-4</v>
      </c>
      <c r="K432" s="6" t="s">
        <v>1416</v>
      </c>
      <c r="L432" s="20" t="s">
        <v>1422</v>
      </c>
      <c r="M432" s="7">
        <f>IF(ISBLANK($B432),_xlfn.XLOOKUP($A432,'2. TEUs &amp; Activities - EF'!$A$9:$A$190,'2. TEUs &amp; Activities - EF'!$J$9:$J$190),_xlfn.XLOOKUP($B432,'2. TEUs &amp; Activities - EF'!$B$9:$B$190,'2. TEUs &amp; Activities - EF'!$J$9:$J$190))*'3. Pollutant Emissions - EF'!$I432*IF(OR(ISBLANK($E432),$G432="Yes"),1,$E432)*IF($H432="Yes",1,(1-$F432))</f>
        <v>1.2882352941176471E-3</v>
      </c>
      <c r="N432" s="5">
        <f>IF(ISBLANK($B432),_xlfn.XLOOKUP($A432,'2. TEUs &amp; Activities - EF'!$A$9:$A$190,'2. TEUs &amp; Activities - EF'!$M$9:$M$190),_xlfn.XLOOKUP($B432,'2. TEUs &amp; Activities - EF'!$B$9:$B$190,'2. TEUs &amp; Activities - EF'!$M$9:$M$190))*'3. Pollutant Emissions - EF'!$J432*IF(OR(ISBLANK($E432),$G432="Yes"),1,$E432)*IF($H432="Yes",1,(1-$F432))</f>
        <v>3.529411764705882E-6</v>
      </c>
      <c r="O432" s="130"/>
    </row>
    <row r="433" spans="1:15" ht="15" x14ac:dyDescent="0.25">
      <c r="A433" s="5" t="s">
        <v>1324</v>
      </c>
      <c r="B433" s="7"/>
      <c r="C433" s="13" t="s">
        <v>63</v>
      </c>
      <c r="D433" s="19" t="str">
        <f>IFERROR(IF(C433="No CAS","",INDEX('DEQ Pollutant List'!$B$7:$B$611,MATCH('3. Pollutant Emissions - EF'!C433,'DEQ Pollutant List'!$A$7:$A$611,0))),"")</f>
        <v>Manganese and compounds</v>
      </c>
      <c r="E433" s="100">
        <v>0</v>
      </c>
      <c r="F433" s="36">
        <v>0</v>
      </c>
      <c r="G433" s="100" t="s">
        <v>1415</v>
      </c>
      <c r="H433" s="36" t="s">
        <v>1415</v>
      </c>
      <c r="I433" s="34">
        <v>3.8000000000000002E-4</v>
      </c>
      <c r="J433" s="11">
        <f t="shared" si="11"/>
        <v>3.8000000000000002E-4</v>
      </c>
      <c r="K433" s="6" t="s">
        <v>1416</v>
      </c>
      <c r="L433" s="20" t="s">
        <v>1422</v>
      </c>
      <c r="M433" s="7">
        <f>IF(ISBLANK($B433),_xlfn.XLOOKUP($A433,'2. TEUs &amp; Activities - EF'!$A$9:$A$190,'2. TEUs &amp; Activities - EF'!$J$9:$J$190),_xlfn.XLOOKUP($B433,'2. TEUs &amp; Activities - EF'!$B$9:$B$190,'2. TEUs &amp; Activities - EF'!$J$9:$J$190))*'3. Pollutant Emissions - EF'!$I433*IF(OR(ISBLANK($E433),$G433="Yes"),1,$E433)*IF($H433="Yes",1,(1-$F433))</f>
        <v>9.7905882352941186E-4</v>
      </c>
      <c r="N433" s="5">
        <f>IF(ISBLANK($B433),_xlfn.XLOOKUP($A433,'2. TEUs &amp; Activities - EF'!$A$9:$A$190,'2. TEUs &amp; Activities - EF'!$M$9:$M$190),_xlfn.XLOOKUP($B433,'2. TEUs &amp; Activities - EF'!$B$9:$B$190,'2. TEUs &amp; Activities - EF'!$M$9:$M$190))*'3. Pollutant Emissions - EF'!$J433*IF(OR(ISBLANK($E433),$G433="Yes"),1,$E433)*IF($H433="Yes",1,(1-$F433))</f>
        <v>2.6823529411764706E-6</v>
      </c>
      <c r="O433" s="130"/>
    </row>
    <row r="434" spans="1:15" ht="15" x14ac:dyDescent="0.25">
      <c r="A434" s="5" t="s">
        <v>1324</v>
      </c>
      <c r="B434" s="7"/>
      <c r="C434" s="13" t="s">
        <v>64</v>
      </c>
      <c r="D434" s="19" t="str">
        <f>IFERROR(IF(C434="No CAS","",INDEX('DEQ Pollutant List'!$B$7:$B$611,MATCH('3. Pollutant Emissions - EF'!C434,'DEQ Pollutant List'!$A$7:$A$611,0))),"")</f>
        <v>Mercury and compounds</v>
      </c>
      <c r="E434" s="100">
        <v>0</v>
      </c>
      <c r="F434" s="36">
        <v>0</v>
      </c>
      <c r="G434" s="100" t="s">
        <v>1415</v>
      </c>
      <c r="H434" s="36" t="s">
        <v>1415</v>
      </c>
      <c r="I434" s="34">
        <v>2.5999999999999998E-4</v>
      </c>
      <c r="J434" s="11">
        <f t="shared" si="11"/>
        <v>2.5999999999999998E-4</v>
      </c>
      <c r="K434" s="6" t="s">
        <v>1416</v>
      </c>
      <c r="L434" s="20" t="s">
        <v>1422</v>
      </c>
      <c r="M434" s="7">
        <f>IF(ISBLANK($B434),_xlfn.XLOOKUP($A434,'2. TEUs &amp; Activities - EF'!$A$9:$A$190,'2. TEUs &amp; Activities - EF'!$J$9:$J$190),_xlfn.XLOOKUP($B434,'2. TEUs &amp; Activities - EF'!$B$9:$B$190,'2. TEUs &amp; Activities - EF'!$J$9:$J$190))*'3. Pollutant Emissions - EF'!$I434*IF(OR(ISBLANK($E434),$G434="Yes"),1,$E434)*IF($H434="Yes",1,(1-$F434))</f>
        <v>6.6988235294117651E-4</v>
      </c>
      <c r="N434" s="5">
        <f>IF(ISBLANK($B434),_xlfn.XLOOKUP($A434,'2. TEUs &amp; Activities - EF'!$A$9:$A$190,'2. TEUs &amp; Activities - EF'!$M$9:$M$190),_xlfn.XLOOKUP($B434,'2. TEUs &amp; Activities - EF'!$B$9:$B$190,'2. TEUs &amp; Activities - EF'!$M$9:$M$190))*'3. Pollutant Emissions - EF'!$J434*IF(OR(ISBLANK($E434),$G434="Yes"),1,$E434)*IF($H434="Yes",1,(1-$F434))</f>
        <v>1.8352941176470586E-6</v>
      </c>
      <c r="O434" s="130"/>
    </row>
    <row r="435" spans="1:15" ht="15" x14ac:dyDescent="0.25">
      <c r="A435" s="5" t="s">
        <v>1324</v>
      </c>
      <c r="B435" s="7"/>
      <c r="C435" s="13" t="s">
        <v>65</v>
      </c>
      <c r="D435" s="19" t="str">
        <f>IFERROR(IF(C435="No CAS","",INDEX('DEQ Pollutant List'!$B$7:$B$611,MATCH('3. Pollutant Emissions - EF'!C435,'DEQ Pollutant List'!$A$7:$A$611,0))),"")</f>
        <v>Molybdenum trioxide</v>
      </c>
      <c r="E435" s="100">
        <v>0</v>
      </c>
      <c r="F435" s="36">
        <v>0</v>
      </c>
      <c r="G435" s="100" t="s">
        <v>1415</v>
      </c>
      <c r="H435" s="36" t="s">
        <v>1415</v>
      </c>
      <c r="I435" s="34">
        <v>1.65E-3</v>
      </c>
      <c r="J435" s="11">
        <f t="shared" si="11"/>
        <v>1.65E-3</v>
      </c>
      <c r="K435" s="6" t="s">
        <v>1416</v>
      </c>
      <c r="L435" s="20" t="s">
        <v>1422</v>
      </c>
      <c r="M435" s="7">
        <f>IF(ISBLANK($B435),_xlfn.XLOOKUP($A435,'2. TEUs &amp; Activities - EF'!$A$9:$A$190,'2. TEUs &amp; Activities - EF'!$J$9:$J$190),_xlfn.XLOOKUP($B435,'2. TEUs &amp; Activities - EF'!$B$9:$B$190,'2. TEUs &amp; Activities - EF'!$J$9:$J$190))*'3. Pollutant Emissions - EF'!$I435*IF(OR(ISBLANK($E435),$G435="Yes"),1,$E435)*IF($H435="Yes",1,(1-$F435))</f>
        <v>4.2511764705882357E-3</v>
      </c>
      <c r="N435" s="5">
        <f>IF(ISBLANK($B435),_xlfn.XLOOKUP($A435,'2. TEUs &amp; Activities - EF'!$A$9:$A$190,'2. TEUs &amp; Activities - EF'!$M$9:$M$190),_xlfn.XLOOKUP($B435,'2. TEUs &amp; Activities - EF'!$B$9:$B$190,'2. TEUs &amp; Activities - EF'!$M$9:$M$190))*'3. Pollutant Emissions - EF'!$J435*IF(OR(ISBLANK($E435),$G435="Yes"),1,$E435)*IF($H435="Yes",1,(1-$F435))</f>
        <v>1.164705882352941E-5</v>
      </c>
      <c r="O435" s="130"/>
    </row>
    <row r="436" spans="1:15" ht="15" x14ac:dyDescent="0.25">
      <c r="A436" s="5" t="s">
        <v>1324</v>
      </c>
      <c r="B436" s="7"/>
      <c r="C436" s="13" t="s">
        <v>49</v>
      </c>
      <c r="D436" s="19" t="str">
        <f>IFERROR(IF(C436="No CAS","",INDEX('DEQ Pollutant List'!$B$7:$B$611,MATCH('3. Pollutant Emissions - EF'!C436,'DEQ Pollutant List'!$A$7:$A$611,0))),"")</f>
        <v>Naphthalene</v>
      </c>
      <c r="E436" s="100">
        <v>0</v>
      </c>
      <c r="F436" s="36">
        <v>0</v>
      </c>
      <c r="G436" s="100" t="s">
        <v>1415</v>
      </c>
      <c r="H436" s="36" t="s">
        <v>1415</v>
      </c>
      <c r="I436" s="34">
        <v>2.9999999999999997E-4</v>
      </c>
      <c r="J436" s="11">
        <f t="shared" si="11"/>
        <v>2.9999999999999997E-4</v>
      </c>
      <c r="K436" s="6" t="s">
        <v>1416</v>
      </c>
      <c r="L436" s="20" t="s">
        <v>1422</v>
      </c>
      <c r="M436" s="7">
        <f>IF(ISBLANK($B436),_xlfn.XLOOKUP($A436,'2. TEUs &amp; Activities - EF'!$A$9:$A$190,'2. TEUs &amp; Activities - EF'!$J$9:$J$190),_xlfn.XLOOKUP($B436,'2. TEUs &amp; Activities - EF'!$B$9:$B$190,'2. TEUs &amp; Activities - EF'!$J$9:$J$190))*'3. Pollutant Emissions - EF'!$I436*IF(OR(ISBLANK($E436),$G436="Yes"),1,$E436)*IF($H436="Yes",1,(1-$F436))</f>
        <v>7.7294117647058822E-4</v>
      </c>
      <c r="N436" s="5">
        <f>IF(ISBLANK($B436),_xlfn.XLOOKUP($A436,'2. TEUs &amp; Activities - EF'!$A$9:$A$190,'2. TEUs &amp; Activities - EF'!$M$9:$M$190),_xlfn.XLOOKUP($B436,'2. TEUs &amp; Activities - EF'!$B$9:$B$190,'2. TEUs &amp; Activities - EF'!$M$9:$M$190))*'3. Pollutant Emissions - EF'!$J436*IF(OR(ISBLANK($E436),$G436="Yes"),1,$E436)*IF($H436="Yes",1,(1-$F436))</f>
        <v>2.1176470588235291E-6</v>
      </c>
      <c r="O436" s="130"/>
    </row>
    <row r="437" spans="1:15" ht="15" x14ac:dyDescent="0.25">
      <c r="A437" s="5" t="s">
        <v>1324</v>
      </c>
      <c r="B437" s="7"/>
      <c r="C437" s="13" t="s">
        <v>66</v>
      </c>
      <c r="D437" s="19" t="str">
        <f>IFERROR(IF(C437="No CAS","",INDEX('DEQ Pollutant List'!$B$7:$B$611,MATCH('3. Pollutant Emissions - EF'!C437,'DEQ Pollutant List'!$A$7:$A$611,0))),"")</f>
        <v>Nickel and compounds</v>
      </c>
      <c r="E437" s="100">
        <v>0</v>
      </c>
      <c r="F437" s="36">
        <v>0</v>
      </c>
      <c r="G437" s="100" t="s">
        <v>1415</v>
      </c>
      <c r="H437" s="36" t="s">
        <v>1415</v>
      </c>
      <c r="I437" s="34">
        <v>2.0999999999999999E-3</v>
      </c>
      <c r="J437" s="11">
        <f t="shared" si="11"/>
        <v>2.0999999999999999E-3</v>
      </c>
      <c r="K437" s="6" t="s">
        <v>1416</v>
      </c>
      <c r="L437" s="20" t="s">
        <v>1422</v>
      </c>
      <c r="M437" s="7">
        <f>IF(ISBLANK($B437),_xlfn.XLOOKUP($A437,'2. TEUs &amp; Activities - EF'!$A$9:$A$190,'2. TEUs &amp; Activities - EF'!$J$9:$J$190),_xlfn.XLOOKUP($B437,'2. TEUs &amp; Activities - EF'!$B$9:$B$190,'2. TEUs &amp; Activities - EF'!$J$9:$J$190))*'3. Pollutant Emissions - EF'!$I437*IF(OR(ISBLANK($E437),$G437="Yes"),1,$E437)*IF($H437="Yes",1,(1-$F437))</f>
        <v>5.4105882352941176E-3</v>
      </c>
      <c r="N437" s="5">
        <f>IF(ISBLANK($B437),_xlfn.XLOOKUP($A437,'2. TEUs &amp; Activities - EF'!$A$9:$A$190,'2. TEUs &amp; Activities - EF'!$M$9:$M$190),_xlfn.XLOOKUP($B437,'2. TEUs &amp; Activities - EF'!$B$9:$B$190,'2. TEUs &amp; Activities - EF'!$M$9:$M$190))*'3. Pollutant Emissions - EF'!$J437*IF(OR(ISBLANK($E437),$G437="Yes"),1,$E437)*IF($H437="Yes",1,(1-$F437))</f>
        <v>1.4823529411764704E-5</v>
      </c>
      <c r="O437" s="130"/>
    </row>
    <row r="438" spans="1:15" ht="15" x14ac:dyDescent="0.25">
      <c r="A438" s="5" t="s">
        <v>1324</v>
      </c>
      <c r="B438" s="7"/>
      <c r="C438" s="13">
        <v>401</v>
      </c>
      <c r="D438" s="19" t="str">
        <f>IFERROR(IF(C438="No CAS","",INDEX('DEQ Pollutant List'!$B$7:$B$611,MATCH('3. Pollutant Emissions - EF'!C438,'DEQ Pollutant List'!$A$7:$A$611,0))),"")</f>
        <v>Polycyclic aromatic hydrocarbons (PAHs)</v>
      </c>
      <c r="E438" s="100">
        <v>0</v>
      </c>
      <c r="F438" s="36">
        <v>0</v>
      </c>
      <c r="G438" s="100" t="s">
        <v>1415</v>
      </c>
      <c r="H438" s="36" t="s">
        <v>1415</v>
      </c>
      <c r="I438" s="34">
        <v>1E-4</v>
      </c>
      <c r="J438" s="11">
        <f t="shared" si="11"/>
        <v>1E-4</v>
      </c>
      <c r="K438" s="6" t="s">
        <v>1416</v>
      </c>
      <c r="L438" s="20" t="s">
        <v>1422</v>
      </c>
      <c r="M438" s="7">
        <f>IF(ISBLANK($B438),_xlfn.XLOOKUP($A438,'2. TEUs &amp; Activities - EF'!$A$9:$A$190,'2. TEUs &amp; Activities - EF'!$J$9:$J$190),_xlfn.XLOOKUP($B438,'2. TEUs &amp; Activities - EF'!$B$9:$B$190,'2. TEUs &amp; Activities - EF'!$J$9:$J$190))*'3. Pollutant Emissions - EF'!$I438*IF(OR(ISBLANK($E438),$G438="Yes"),1,$E438)*IF($H438="Yes",1,(1-$F438))</f>
        <v>2.5764705882352944E-4</v>
      </c>
      <c r="N438" s="5">
        <f>IF(ISBLANK($B438),_xlfn.XLOOKUP($A438,'2. TEUs &amp; Activities - EF'!$A$9:$A$190,'2. TEUs &amp; Activities - EF'!$M$9:$M$190),_xlfn.XLOOKUP($B438,'2. TEUs &amp; Activities - EF'!$B$9:$B$190,'2. TEUs &amp; Activities - EF'!$M$9:$M$190))*'3. Pollutant Emissions - EF'!$J438*IF(OR(ISBLANK($E438),$G438="Yes"),1,$E438)*IF($H438="Yes",1,(1-$F438))</f>
        <v>7.0588235294117645E-7</v>
      </c>
      <c r="O438" s="130"/>
    </row>
    <row r="439" spans="1:15" ht="15" x14ac:dyDescent="0.25">
      <c r="A439" s="5" t="s">
        <v>1324</v>
      </c>
      <c r="B439" s="7"/>
      <c r="C439" s="13" t="s">
        <v>67</v>
      </c>
      <c r="D439" s="19" t="str">
        <f>IFERROR(IF(C439="No CAS","",INDEX('DEQ Pollutant List'!$B$7:$B$611,MATCH('3. Pollutant Emissions - EF'!C439,'DEQ Pollutant List'!$A$7:$A$611,0))),"")</f>
        <v>Selenium and compounds</v>
      </c>
      <c r="E439" s="100">
        <v>0</v>
      </c>
      <c r="F439" s="36">
        <v>0</v>
      </c>
      <c r="G439" s="100" t="s">
        <v>1415</v>
      </c>
      <c r="H439" s="36" t="s">
        <v>1415</v>
      </c>
      <c r="I439" s="34">
        <v>2.4000000000000001E-5</v>
      </c>
      <c r="J439" s="11">
        <f t="shared" si="11"/>
        <v>2.4000000000000001E-5</v>
      </c>
      <c r="K439" s="6" t="s">
        <v>1416</v>
      </c>
      <c r="L439" s="20" t="s">
        <v>1422</v>
      </c>
      <c r="M439" s="7">
        <f>IF(ISBLANK($B439),_xlfn.XLOOKUP($A439,'2. TEUs &amp; Activities - EF'!$A$9:$A$190,'2. TEUs &amp; Activities - EF'!$J$9:$J$190),_xlfn.XLOOKUP($B439,'2. TEUs &amp; Activities - EF'!$B$9:$B$190,'2. TEUs &amp; Activities - EF'!$J$9:$J$190))*'3. Pollutant Emissions - EF'!$I439*IF(OR(ISBLANK($E439),$G439="Yes"),1,$E439)*IF($H439="Yes",1,(1-$F439))</f>
        <v>6.183529411764706E-5</v>
      </c>
      <c r="N439" s="5">
        <f>IF(ISBLANK($B439),_xlfn.XLOOKUP($A439,'2. TEUs &amp; Activities - EF'!$A$9:$A$190,'2. TEUs &amp; Activities - EF'!$M$9:$M$190),_xlfn.XLOOKUP($B439,'2. TEUs &amp; Activities - EF'!$B$9:$B$190,'2. TEUs &amp; Activities - EF'!$M$9:$M$190))*'3. Pollutant Emissions - EF'!$J439*IF(OR(ISBLANK($E439),$G439="Yes"),1,$E439)*IF($H439="Yes",1,(1-$F439))</f>
        <v>1.6941176470588234E-7</v>
      </c>
      <c r="O439" s="130"/>
    </row>
    <row r="440" spans="1:15" ht="15" x14ac:dyDescent="0.25">
      <c r="A440" s="5" t="s">
        <v>1324</v>
      </c>
      <c r="B440" s="7"/>
      <c r="C440" s="13" t="s">
        <v>68</v>
      </c>
      <c r="D440" s="19" t="str">
        <f>IFERROR(IF(C440="No CAS","",INDEX('DEQ Pollutant List'!$B$7:$B$611,MATCH('3. Pollutant Emissions - EF'!C440,'DEQ Pollutant List'!$A$7:$A$611,0))),"")</f>
        <v>Toluene</v>
      </c>
      <c r="E440" s="100">
        <v>0</v>
      </c>
      <c r="F440" s="36">
        <v>0</v>
      </c>
      <c r="G440" s="100" t="s">
        <v>1415</v>
      </c>
      <c r="H440" s="36" t="s">
        <v>1415</v>
      </c>
      <c r="I440" s="34">
        <v>3.6600000000000001E-2</v>
      </c>
      <c r="J440" s="11">
        <f t="shared" si="11"/>
        <v>3.6600000000000001E-2</v>
      </c>
      <c r="K440" s="6" t="s">
        <v>1416</v>
      </c>
      <c r="L440" s="20" t="s">
        <v>1422</v>
      </c>
      <c r="M440" s="7">
        <f>IF(ISBLANK($B440),_xlfn.XLOOKUP($A440,'2. TEUs &amp; Activities - EF'!$A$9:$A$190,'2. TEUs &amp; Activities - EF'!$J$9:$J$190),_xlfn.XLOOKUP($B440,'2. TEUs &amp; Activities - EF'!$B$9:$B$190,'2. TEUs &amp; Activities - EF'!$J$9:$J$190))*'3. Pollutant Emissions - EF'!$I440*IF(OR(ISBLANK($E440),$G440="Yes"),1,$E440)*IF($H440="Yes",1,(1-$F440))</f>
        <v>9.4298823529411768E-2</v>
      </c>
      <c r="N440" s="5">
        <f>IF(ISBLANK($B440),_xlfn.XLOOKUP($A440,'2. TEUs &amp; Activities - EF'!$A$9:$A$190,'2. TEUs &amp; Activities - EF'!$M$9:$M$190),_xlfn.XLOOKUP($B440,'2. TEUs &amp; Activities - EF'!$B$9:$B$190,'2. TEUs &amp; Activities - EF'!$M$9:$M$190))*'3. Pollutant Emissions - EF'!$J440*IF(OR(ISBLANK($E440),$G440="Yes"),1,$E440)*IF($H440="Yes",1,(1-$F440))</f>
        <v>2.5835294117647058E-4</v>
      </c>
      <c r="O440" s="130"/>
    </row>
    <row r="441" spans="1:15" ht="15" x14ac:dyDescent="0.25">
      <c r="A441" s="5" t="s">
        <v>1324</v>
      </c>
      <c r="B441" s="7"/>
      <c r="C441" s="13" t="s">
        <v>69</v>
      </c>
      <c r="D441" s="19" t="str">
        <f>IFERROR(IF(C441="No CAS","",INDEX('DEQ Pollutant List'!$B$7:$B$611,MATCH('3. Pollutant Emissions - EF'!C441,'DEQ Pollutant List'!$A$7:$A$611,0))),"")</f>
        <v>Vanadium (fume or dust)</v>
      </c>
      <c r="E441" s="100">
        <v>0</v>
      </c>
      <c r="F441" s="36">
        <v>0</v>
      </c>
      <c r="G441" s="100" t="s">
        <v>1415</v>
      </c>
      <c r="H441" s="36" t="s">
        <v>1415</v>
      </c>
      <c r="I441" s="34">
        <v>2.3E-3</v>
      </c>
      <c r="J441" s="11">
        <f t="shared" si="11"/>
        <v>2.3E-3</v>
      </c>
      <c r="K441" s="6" t="s">
        <v>1416</v>
      </c>
      <c r="L441" s="20" t="s">
        <v>1422</v>
      </c>
      <c r="M441" s="7">
        <f>IF(ISBLANK($B441),_xlfn.XLOOKUP($A441,'2. TEUs &amp; Activities - EF'!$A$9:$A$190,'2. TEUs &amp; Activities - EF'!$J$9:$J$190),_xlfn.XLOOKUP($B441,'2. TEUs &amp; Activities - EF'!$B$9:$B$190,'2. TEUs &amp; Activities - EF'!$J$9:$J$190))*'3. Pollutant Emissions - EF'!$I441*IF(OR(ISBLANK($E441),$G441="Yes"),1,$E441)*IF($H441="Yes",1,(1-$F441))</f>
        <v>5.9258823529411767E-3</v>
      </c>
      <c r="N441" s="5">
        <f>IF(ISBLANK($B441),_xlfn.XLOOKUP($A441,'2. TEUs &amp; Activities - EF'!$A$9:$A$190,'2. TEUs &amp; Activities - EF'!$M$9:$M$190),_xlfn.XLOOKUP($B441,'2. TEUs &amp; Activities - EF'!$B$9:$B$190,'2. TEUs &amp; Activities - EF'!$M$9:$M$190))*'3. Pollutant Emissions - EF'!$J441*IF(OR(ISBLANK($E441),$G441="Yes"),1,$E441)*IF($H441="Yes",1,(1-$F441))</f>
        <v>1.6235294117647056E-5</v>
      </c>
      <c r="O441" s="130"/>
    </row>
    <row r="442" spans="1:15" ht="15" x14ac:dyDescent="0.25">
      <c r="A442" s="5" t="s">
        <v>1324</v>
      </c>
      <c r="B442" s="7"/>
      <c r="C442" s="13" t="s">
        <v>70</v>
      </c>
      <c r="D442" s="19" t="str">
        <f>IFERROR(IF(C442="No CAS","",INDEX('DEQ Pollutant List'!$B$7:$B$611,MATCH('3. Pollutant Emissions - EF'!C442,'DEQ Pollutant List'!$A$7:$A$611,0))),"")</f>
        <v>Xylene (mixture), including m-xylene, o-xylene, p-xylene</v>
      </c>
      <c r="E442" s="100">
        <v>0</v>
      </c>
      <c r="F442" s="36">
        <v>0</v>
      </c>
      <c r="G442" s="100" t="s">
        <v>1415</v>
      </c>
      <c r="H442" s="36" t="s">
        <v>1415</v>
      </c>
      <c r="I442" s="34">
        <v>2.7199999999999998E-2</v>
      </c>
      <c r="J442" s="11">
        <f t="shared" si="11"/>
        <v>2.7199999999999998E-2</v>
      </c>
      <c r="K442" s="6" t="s">
        <v>1416</v>
      </c>
      <c r="L442" s="20" t="s">
        <v>1422</v>
      </c>
      <c r="M442" s="7">
        <f>IF(ISBLANK($B442),_xlfn.XLOOKUP($A442,'2. TEUs &amp; Activities - EF'!$A$9:$A$190,'2. TEUs &amp; Activities - EF'!$J$9:$J$190),_xlfn.XLOOKUP($B442,'2. TEUs &amp; Activities - EF'!$B$9:$B$190,'2. TEUs &amp; Activities - EF'!$J$9:$J$190))*'3. Pollutant Emissions - EF'!$I442*IF(OR(ISBLANK($E442),$G442="Yes"),1,$E442)*IF($H442="Yes",1,(1-$F442))</f>
        <v>7.0080000000000003E-2</v>
      </c>
      <c r="N442" s="5">
        <f>IF(ISBLANK($B442),_xlfn.XLOOKUP($A442,'2. TEUs &amp; Activities - EF'!$A$9:$A$190,'2. TEUs &amp; Activities - EF'!$M$9:$M$190),_xlfn.XLOOKUP($B442,'2. TEUs &amp; Activities - EF'!$B$9:$B$190,'2. TEUs &amp; Activities - EF'!$M$9:$M$190))*'3. Pollutant Emissions - EF'!$J442*IF(OR(ISBLANK($E442),$G442="Yes"),1,$E442)*IF($H442="Yes",1,(1-$F442))</f>
        <v>1.9199999999999998E-4</v>
      </c>
      <c r="O442" s="130"/>
    </row>
    <row r="443" spans="1:15" ht="15" x14ac:dyDescent="0.25">
      <c r="A443" s="5" t="s">
        <v>1324</v>
      </c>
      <c r="B443" s="7"/>
      <c r="C443" s="13" t="s">
        <v>71</v>
      </c>
      <c r="D443" s="19" t="str">
        <f>IFERROR(IF(C443="No CAS","",INDEX('DEQ Pollutant List'!$B$7:$B$611,MATCH('3. Pollutant Emissions - EF'!C443,'DEQ Pollutant List'!$A$7:$A$611,0))),"")</f>
        <v>Zinc and compounds</v>
      </c>
      <c r="E443" s="100">
        <v>0</v>
      </c>
      <c r="F443" s="36">
        <v>0</v>
      </c>
      <c r="G443" s="100" t="s">
        <v>1415</v>
      </c>
      <c r="H443" s="36" t="s">
        <v>1415</v>
      </c>
      <c r="I443" s="34">
        <v>2.9000000000000001E-2</v>
      </c>
      <c r="J443" s="11">
        <f t="shared" si="11"/>
        <v>2.9000000000000001E-2</v>
      </c>
      <c r="K443" s="6" t="s">
        <v>1416</v>
      </c>
      <c r="L443" s="20" t="s">
        <v>1422</v>
      </c>
      <c r="M443" s="7">
        <f>IF(ISBLANK($B443),_xlfn.XLOOKUP($A443,'2. TEUs &amp; Activities - EF'!$A$9:$A$190,'2. TEUs &amp; Activities - EF'!$J$9:$J$190),_xlfn.XLOOKUP($B443,'2. TEUs &amp; Activities - EF'!$B$9:$B$190,'2. TEUs &amp; Activities - EF'!$J$9:$J$190))*'3. Pollutant Emissions - EF'!$I443*IF(OR(ISBLANK($E443),$G443="Yes"),1,$E443)*IF($H443="Yes",1,(1-$F443))</f>
        <v>7.4717647058823541E-2</v>
      </c>
      <c r="N443" s="5">
        <f>IF(ISBLANK($B443),_xlfn.XLOOKUP($A443,'2. TEUs &amp; Activities - EF'!$A$9:$A$190,'2. TEUs &amp; Activities - EF'!$M$9:$M$190),_xlfn.XLOOKUP($B443,'2. TEUs &amp; Activities - EF'!$B$9:$B$190,'2. TEUs &amp; Activities - EF'!$M$9:$M$190))*'3. Pollutant Emissions - EF'!$J443*IF(OR(ISBLANK($E443),$G443="Yes"),1,$E443)*IF($H443="Yes",1,(1-$F443))</f>
        <v>2.0470588235294116E-4</v>
      </c>
      <c r="O443" s="130"/>
    </row>
    <row r="444" spans="1:15" ht="15" x14ac:dyDescent="0.25">
      <c r="A444" s="5"/>
      <c r="B444" s="7"/>
      <c r="C444" s="13"/>
      <c r="D444" s="19" t="str">
        <f>IFERROR(IF(C444="No CAS","",INDEX('DEQ Pollutant List'!$B$7:$B$611,MATCH('3. Pollutant Emissions - EF'!C444,'DEQ Pollutant List'!$A$7:$A$611,0))),"")</f>
        <v/>
      </c>
      <c r="E444" s="100"/>
      <c r="F444" s="36"/>
      <c r="G444" s="100"/>
      <c r="H444" s="36"/>
      <c r="I444" s="34"/>
      <c r="J444" s="11"/>
      <c r="K444" s="6"/>
      <c r="L444" s="20"/>
      <c r="M444" s="7">
        <f>IF(ISBLANK($B444),_xlfn.XLOOKUP($A444,'2. TEUs &amp; Activities - EF'!$A$9:$A$190,'2. TEUs &amp; Activities - EF'!$J$9:$J$190),_xlfn.XLOOKUP($B444,'2. TEUs &amp; Activities - EF'!$B$9:$B$190,'2. TEUs &amp; Activities - EF'!$J$9:$J$190))*'3. Pollutant Emissions - EF'!$I444*IF(OR(ISBLANK($E444),$G444="Yes"),1,$E444)*IF($H444="Yes",1,(1-$F444))</f>
        <v>0</v>
      </c>
      <c r="N444" s="5">
        <f>IF(ISBLANK($B444),_xlfn.XLOOKUP($A444,'2. TEUs &amp; Activities - EF'!$A$9:$A$190,'2. TEUs &amp; Activities - EF'!$M$9:$M$190),_xlfn.XLOOKUP($B444,'2. TEUs &amp; Activities - EF'!$B$9:$B$190,'2. TEUs &amp; Activities - EF'!$M$9:$M$190))*'3. Pollutant Emissions - EF'!$J444*IF(OR(ISBLANK($E444),$G444="Yes"),1,$E444)*IF($H444="Yes",1,(1-$F444))</f>
        <v>0</v>
      </c>
      <c r="O444" s="130"/>
    </row>
    <row r="445" spans="1:15" ht="15" x14ac:dyDescent="0.25">
      <c r="A445" s="5" t="s">
        <v>1325</v>
      </c>
      <c r="B445" s="7"/>
      <c r="C445" s="13" t="s">
        <v>50</v>
      </c>
      <c r="D445" s="19" t="str">
        <f>IFERROR(IF(C445="No CAS","",INDEX('DEQ Pollutant List'!$B$7:$B$611,MATCH('3. Pollutant Emissions - EF'!C445,'DEQ Pollutant List'!$A$7:$A$611,0))),"")</f>
        <v>Acetaldehyde</v>
      </c>
      <c r="E445" s="100">
        <v>0</v>
      </c>
      <c r="F445" s="36">
        <v>0</v>
      </c>
      <c r="G445" s="100" t="s">
        <v>1415</v>
      </c>
      <c r="H445" s="36" t="s">
        <v>1415</v>
      </c>
      <c r="I445" s="34">
        <v>4.3E-3</v>
      </c>
      <c r="J445" s="11">
        <f t="shared" ref="J445:J470" si="12">I445</f>
        <v>4.3E-3</v>
      </c>
      <c r="K445" s="6" t="s">
        <v>1416</v>
      </c>
      <c r="L445" s="20" t="s">
        <v>1422</v>
      </c>
      <c r="M445" s="7">
        <f>IF(ISBLANK($B445),_xlfn.XLOOKUP($A445,'2. TEUs &amp; Activities - EF'!$A$9:$A$190,'2. TEUs &amp; Activities - EF'!$J$9:$J$190),_xlfn.XLOOKUP($B445,'2. TEUs &amp; Activities - EF'!$B$9:$B$190,'2. TEUs &amp; Activities - EF'!$J$9:$J$190))*'3. Pollutant Emissions - EF'!$I445*IF(OR(ISBLANK($E445),$G445="Yes"),1,$E445)*IF($H445="Yes",1,(1-$F445))</f>
        <v>3.6929411764705884E-2</v>
      </c>
      <c r="N445" s="5">
        <f>IF(ISBLANK($B445),_xlfn.XLOOKUP($A445,'2. TEUs &amp; Activities - EF'!$A$9:$A$190,'2. TEUs &amp; Activities - EF'!$M$9:$M$190),_xlfn.XLOOKUP($B445,'2. TEUs &amp; Activities - EF'!$B$9:$B$190,'2. TEUs &amp; Activities - EF'!$M$9:$M$190))*'3. Pollutant Emissions - EF'!$J445*IF(OR(ISBLANK($E445),$G445="Yes"),1,$E445)*IF($H445="Yes",1,(1-$F445))</f>
        <v>1.011764705882353E-4</v>
      </c>
      <c r="O445" s="130"/>
    </row>
    <row r="446" spans="1:15" ht="15" x14ac:dyDescent="0.25">
      <c r="A446" s="5" t="s">
        <v>1325</v>
      </c>
      <c r="B446" s="7"/>
      <c r="C446" s="13" t="s">
        <v>51</v>
      </c>
      <c r="D446" s="19" t="str">
        <f>IFERROR(IF(C446="No CAS","",INDEX('DEQ Pollutant List'!$B$7:$B$611,MATCH('3. Pollutant Emissions - EF'!C446,'DEQ Pollutant List'!$A$7:$A$611,0))),"")</f>
        <v>Acrolein</v>
      </c>
      <c r="E446" s="100">
        <v>0</v>
      </c>
      <c r="F446" s="36">
        <v>0</v>
      </c>
      <c r="G446" s="100" t="s">
        <v>1415</v>
      </c>
      <c r="H446" s="36" t="s">
        <v>1415</v>
      </c>
      <c r="I446" s="34">
        <v>2.7000000000000001E-3</v>
      </c>
      <c r="J446" s="11">
        <f t="shared" si="12"/>
        <v>2.7000000000000001E-3</v>
      </c>
      <c r="K446" s="6" t="s">
        <v>1416</v>
      </c>
      <c r="L446" s="20" t="s">
        <v>1422</v>
      </c>
      <c r="M446" s="7">
        <f>IF(ISBLANK($B446),_xlfn.XLOOKUP($A446,'2. TEUs &amp; Activities - EF'!$A$9:$A$190,'2. TEUs &amp; Activities - EF'!$J$9:$J$190),_xlfn.XLOOKUP($B446,'2. TEUs &amp; Activities - EF'!$B$9:$B$190,'2. TEUs &amp; Activities - EF'!$J$9:$J$190))*'3. Pollutant Emissions - EF'!$I446*IF(OR(ISBLANK($E446),$G446="Yes"),1,$E446)*IF($H446="Yes",1,(1-$F446))</f>
        <v>2.3188235294117648E-2</v>
      </c>
      <c r="N446" s="5">
        <f>IF(ISBLANK($B446),_xlfn.XLOOKUP($A446,'2. TEUs &amp; Activities - EF'!$A$9:$A$190,'2. TEUs &amp; Activities - EF'!$M$9:$M$190),_xlfn.XLOOKUP($B446,'2. TEUs &amp; Activities - EF'!$B$9:$B$190,'2. TEUs &amp; Activities - EF'!$M$9:$M$190))*'3. Pollutant Emissions - EF'!$J446*IF(OR(ISBLANK($E446),$G446="Yes"),1,$E446)*IF($H446="Yes",1,(1-$F446))</f>
        <v>6.352941176470589E-5</v>
      </c>
      <c r="O446" s="130"/>
    </row>
    <row r="447" spans="1:15" ht="15" x14ac:dyDescent="0.25">
      <c r="A447" s="5" t="s">
        <v>1325</v>
      </c>
      <c r="B447" s="7"/>
      <c r="C447" s="13" t="s">
        <v>52</v>
      </c>
      <c r="D447" s="19" t="str">
        <f>IFERROR(IF(C447="No CAS","",INDEX('DEQ Pollutant List'!$B$7:$B$611,MATCH('3. Pollutant Emissions - EF'!C447,'DEQ Pollutant List'!$A$7:$A$611,0))),"")</f>
        <v>Ammonia</v>
      </c>
      <c r="E447" s="100">
        <v>0</v>
      </c>
      <c r="F447" s="36">
        <v>0</v>
      </c>
      <c r="G447" s="100" t="s">
        <v>1415</v>
      </c>
      <c r="H447" s="36" t="s">
        <v>1415</v>
      </c>
      <c r="I447" s="34">
        <v>3.2</v>
      </c>
      <c r="J447" s="11">
        <f t="shared" si="12"/>
        <v>3.2</v>
      </c>
      <c r="K447" s="6" t="s">
        <v>1416</v>
      </c>
      <c r="L447" s="20" t="s">
        <v>1422</v>
      </c>
      <c r="M447" s="7">
        <f>IF(ISBLANK($B447),_xlfn.XLOOKUP($A447,'2. TEUs &amp; Activities - EF'!$A$9:$A$190,'2. TEUs &amp; Activities - EF'!$J$9:$J$190),_xlfn.XLOOKUP($B447,'2. TEUs &amp; Activities - EF'!$B$9:$B$190,'2. TEUs &amp; Activities - EF'!$J$9:$J$190))*'3. Pollutant Emissions - EF'!$I447*IF(OR(ISBLANK($E447),$G447="Yes"),1,$E447)*IF($H447="Yes",1,(1-$F447))</f>
        <v>27.482352941176472</v>
      </c>
      <c r="N447" s="5">
        <f>IF(ISBLANK($B447),_xlfn.XLOOKUP($A447,'2. TEUs &amp; Activities - EF'!$A$9:$A$190,'2. TEUs &amp; Activities - EF'!$M$9:$M$190),_xlfn.XLOOKUP($B447,'2. TEUs &amp; Activities - EF'!$B$9:$B$190,'2. TEUs &amp; Activities - EF'!$M$9:$M$190))*'3. Pollutant Emissions - EF'!$J447*IF(OR(ISBLANK($E447),$G447="Yes"),1,$E447)*IF($H447="Yes",1,(1-$F447))</f>
        <v>7.5294117647058831E-2</v>
      </c>
      <c r="O447" s="130"/>
    </row>
    <row r="448" spans="1:15" ht="15" x14ac:dyDescent="0.25">
      <c r="A448" s="5" t="s">
        <v>1325</v>
      </c>
      <c r="B448" s="7"/>
      <c r="C448" s="13" t="s">
        <v>53</v>
      </c>
      <c r="D448" s="19" t="str">
        <f>IFERROR(IF(C448="No CAS","",INDEX('DEQ Pollutant List'!$B$7:$B$611,MATCH('3. Pollutant Emissions - EF'!C448,'DEQ Pollutant List'!$A$7:$A$611,0))),"")</f>
        <v>Arsenic and compounds</v>
      </c>
      <c r="E448" s="100">
        <v>0</v>
      </c>
      <c r="F448" s="36">
        <v>0</v>
      </c>
      <c r="G448" s="100" t="s">
        <v>1415</v>
      </c>
      <c r="H448" s="36" t="s">
        <v>1415</v>
      </c>
      <c r="I448" s="34">
        <v>2.0000000000000001E-4</v>
      </c>
      <c r="J448" s="11">
        <f t="shared" si="12"/>
        <v>2.0000000000000001E-4</v>
      </c>
      <c r="K448" s="6" t="s">
        <v>1416</v>
      </c>
      <c r="L448" s="20" t="s">
        <v>1422</v>
      </c>
      <c r="M448" s="7">
        <f>IF(ISBLANK($B448),_xlfn.XLOOKUP($A448,'2. TEUs &amp; Activities - EF'!$A$9:$A$190,'2. TEUs &amp; Activities - EF'!$J$9:$J$190),_xlfn.XLOOKUP($B448,'2. TEUs &amp; Activities - EF'!$B$9:$B$190,'2. TEUs &amp; Activities - EF'!$J$9:$J$190))*'3. Pollutant Emissions - EF'!$I448*IF(OR(ISBLANK($E448),$G448="Yes"),1,$E448)*IF($H448="Yes",1,(1-$F448))</f>
        <v>1.7176470588235295E-3</v>
      </c>
      <c r="N448" s="5">
        <f>IF(ISBLANK($B448),_xlfn.XLOOKUP($A448,'2. TEUs &amp; Activities - EF'!$A$9:$A$190,'2. TEUs &amp; Activities - EF'!$M$9:$M$190),_xlfn.XLOOKUP($B448,'2. TEUs &amp; Activities - EF'!$B$9:$B$190,'2. TEUs &amp; Activities - EF'!$M$9:$M$190))*'3. Pollutant Emissions - EF'!$J448*IF(OR(ISBLANK($E448),$G448="Yes"),1,$E448)*IF($H448="Yes",1,(1-$F448))</f>
        <v>4.7058823529411769E-6</v>
      </c>
      <c r="O448" s="130"/>
    </row>
    <row r="449" spans="1:15" ht="15" x14ac:dyDescent="0.25">
      <c r="A449" s="5" t="s">
        <v>1325</v>
      </c>
      <c r="B449" s="7"/>
      <c r="C449" s="13" t="s">
        <v>54</v>
      </c>
      <c r="D449" s="19" t="str">
        <f>IFERROR(IF(C449="No CAS","",INDEX('DEQ Pollutant List'!$B$7:$B$611,MATCH('3. Pollutant Emissions - EF'!C449,'DEQ Pollutant List'!$A$7:$A$611,0))),"")</f>
        <v>Barium and compounds</v>
      </c>
      <c r="E449" s="100">
        <v>0</v>
      </c>
      <c r="F449" s="36">
        <v>0</v>
      </c>
      <c r="G449" s="100" t="s">
        <v>1415</v>
      </c>
      <c r="H449" s="36" t="s">
        <v>1415</v>
      </c>
      <c r="I449" s="34">
        <v>4.4000000000000003E-3</v>
      </c>
      <c r="J449" s="11">
        <f t="shared" si="12"/>
        <v>4.4000000000000003E-3</v>
      </c>
      <c r="K449" s="6" t="s">
        <v>1416</v>
      </c>
      <c r="L449" s="20" t="s">
        <v>1422</v>
      </c>
      <c r="M449" s="7">
        <f>IF(ISBLANK($B449),_xlfn.XLOOKUP($A449,'2. TEUs &amp; Activities - EF'!$A$9:$A$190,'2. TEUs &amp; Activities - EF'!$J$9:$J$190),_xlfn.XLOOKUP($B449,'2. TEUs &amp; Activities - EF'!$B$9:$B$190,'2. TEUs &amp; Activities - EF'!$J$9:$J$190))*'3. Pollutant Emissions - EF'!$I449*IF(OR(ISBLANK($E449),$G449="Yes"),1,$E449)*IF($H449="Yes",1,(1-$F449))</f>
        <v>3.778823529411765E-2</v>
      </c>
      <c r="N449" s="5">
        <f>IF(ISBLANK($B449),_xlfn.XLOOKUP($A449,'2. TEUs &amp; Activities - EF'!$A$9:$A$190,'2. TEUs &amp; Activities - EF'!$M$9:$M$190),_xlfn.XLOOKUP($B449,'2. TEUs &amp; Activities - EF'!$B$9:$B$190,'2. TEUs &amp; Activities - EF'!$M$9:$M$190))*'3. Pollutant Emissions - EF'!$J449*IF(OR(ISBLANK($E449),$G449="Yes"),1,$E449)*IF($H449="Yes",1,(1-$F449))</f>
        <v>1.0352941176470589E-4</v>
      </c>
      <c r="O449" s="130"/>
    </row>
    <row r="450" spans="1:15" ht="15" x14ac:dyDescent="0.25">
      <c r="A450" s="5" t="s">
        <v>1325</v>
      </c>
      <c r="B450" s="7"/>
      <c r="C450" s="13" t="s">
        <v>46</v>
      </c>
      <c r="D450" s="19" t="str">
        <f>IFERROR(IF(C450="No CAS","",INDEX('DEQ Pollutant List'!$B$7:$B$611,MATCH('3. Pollutant Emissions - EF'!C450,'DEQ Pollutant List'!$A$7:$A$611,0))),"")</f>
        <v>Benzene</v>
      </c>
      <c r="E450" s="100">
        <v>0</v>
      </c>
      <c r="F450" s="36">
        <v>0</v>
      </c>
      <c r="G450" s="100" t="s">
        <v>1415</v>
      </c>
      <c r="H450" s="36" t="s">
        <v>1415</v>
      </c>
      <c r="I450" s="34">
        <v>8.0000000000000002E-3</v>
      </c>
      <c r="J450" s="11">
        <f t="shared" si="12"/>
        <v>8.0000000000000002E-3</v>
      </c>
      <c r="K450" s="6" t="s">
        <v>1416</v>
      </c>
      <c r="L450" s="20" t="s">
        <v>1422</v>
      </c>
      <c r="M450" s="7">
        <f>IF(ISBLANK($B450),_xlfn.XLOOKUP($A450,'2. TEUs &amp; Activities - EF'!$A$9:$A$190,'2. TEUs &amp; Activities - EF'!$J$9:$J$190),_xlfn.XLOOKUP($B450,'2. TEUs &amp; Activities - EF'!$B$9:$B$190,'2. TEUs &amp; Activities - EF'!$J$9:$J$190))*'3. Pollutant Emissions - EF'!$I450*IF(OR(ISBLANK($E450),$G450="Yes"),1,$E450)*IF($H450="Yes",1,(1-$F450))</f>
        <v>6.8705882352941172E-2</v>
      </c>
      <c r="N450" s="5">
        <f>IF(ISBLANK($B450),_xlfn.XLOOKUP($A450,'2. TEUs &amp; Activities - EF'!$A$9:$A$190,'2. TEUs &amp; Activities - EF'!$M$9:$M$190),_xlfn.XLOOKUP($B450,'2. TEUs &amp; Activities - EF'!$B$9:$B$190,'2. TEUs &amp; Activities - EF'!$M$9:$M$190))*'3. Pollutant Emissions - EF'!$J450*IF(OR(ISBLANK($E450),$G450="Yes"),1,$E450)*IF($H450="Yes",1,(1-$F450))</f>
        <v>1.8823529411764707E-4</v>
      </c>
      <c r="O450" s="130"/>
    </row>
    <row r="451" spans="1:15" ht="15" x14ac:dyDescent="0.25">
      <c r="A451" s="5" t="s">
        <v>1325</v>
      </c>
      <c r="B451" s="7"/>
      <c r="C451" s="13" t="s">
        <v>55</v>
      </c>
      <c r="D451" s="19" t="str">
        <f>IFERROR(IF(C451="No CAS","",INDEX('DEQ Pollutant List'!$B$7:$B$611,MATCH('3. Pollutant Emissions - EF'!C451,'DEQ Pollutant List'!$A$7:$A$611,0))),"")</f>
        <v>Beryllium and compounds</v>
      </c>
      <c r="E451" s="100">
        <v>0</v>
      </c>
      <c r="F451" s="36">
        <v>0</v>
      </c>
      <c r="G451" s="100" t="s">
        <v>1415</v>
      </c>
      <c r="H451" s="36" t="s">
        <v>1415</v>
      </c>
      <c r="I451" s="34">
        <v>1.2E-5</v>
      </c>
      <c r="J451" s="11">
        <f t="shared" si="12"/>
        <v>1.2E-5</v>
      </c>
      <c r="K451" s="6" t="s">
        <v>1416</v>
      </c>
      <c r="L451" s="20" t="s">
        <v>1422</v>
      </c>
      <c r="M451" s="7">
        <f>IF(ISBLANK($B451),_xlfn.XLOOKUP($A451,'2. TEUs &amp; Activities - EF'!$A$9:$A$190,'2. TEUs &amp; Activities - EF'!$J$9:$J$190),_xlfn.XLOOKUP($B451,'2. TEUs &amp; Activities - EF'!$B$9:$B$190,'2. TEUs &amp; Activities - EF'!$J$9:$J$190))*'3. Pollutant Emissions - EF'!$I451*IF(OR(ISBLANK($E451),$G451="Yes"),1,$E451)*IF($H451="Yes",1,(1-$F451))</f>
        <v>1.0305882352941177E-4</v>
      </c>
      <c r="N451" s="5">
        <f>IF(ISBLANK($B451),_xlfn.XLOOKUP($A451,'2. TEUs &amp; Activities - EF'!$A$9:$A$190,'2. TEUs &amp; Activities - EF'!$M$9:$M$190),_xlfn.XLOOKUP($B451,'2. TEUs &amp; Activities - EF'!$B$9:$B$190,'2. TEUs &amp; Activities - EF'!$M$9:$M$190))*'3. Pollutant Emissions - EF'!$J451*IF(OR(ISBLANK($E451),$G451="Yes"),1,$E451)*IF($H451="Yes",1,(1-$F451))</f>
        <v>2.8235294117647059E-7</v>
      </c>
      <c r="O451" s="130"/>
    </row>
    <row r="452" spans="1:15" ht="15" x14ac:dyDescent="0.25">
      <c r="A452" s="5" t="s">
        <v>1325</v>
      </c>
      <c r="B452" s="7"/>
      <c r="C452" s="13" t="s">
        <v>56</v>
      </c>
      <c r="D452" s="19" t="str">
        <f>IFERROR(IF(C452="No CAS","",INDEX('DEQ Pollutant List'!$B$7:$B$611,MATCH('3. Pollutant Emissions - EF'!C452,'DEQ Pollutant List'!$A$7:$A$611,0))),"")</f>
        <v>Cadmium and compounds</v>
      </c>
      <c r="E452" s="100">
        <v>0</v>
      </c>
      <c r="F452" s="36">
        <v>0</v>
      </c>
      <c r="G452" s="100" t="s">
        <v>1415</v>
      </c>
      <c r="H452" s="36" t="s">
        <v>1415</v>
      </c>
      <c r="I452" s="34">
        <v>1.1000000000000001E-3</v>
      </c>
      <c r="J452" s="11">
        <f t="shared" si="12"/>
        <v>1.1000000000000001E-3</v>
      </c>
      <c r="K452" s="6" t="s">
        <v>1416</v>
      </c>
      <c r="L452" s="20" t="s">
        <v>1422</v>
      </c>
      <c r="M452" s="7">
        <f>IF(ISBLANK($B452),_xlfn.XLOOKUP($A452,'2. TEUs &amp; Activities - EF'!$A$9:$A$190,'2. TEUs &amp; Activities - EF'!$J$9:$J$190),_xlfn.XLOOKUP($B452,'2. TEUs &amp; Activities - EF'!$B$9:$B$190,'2. TEUs &amp; Activities - EF'!$J$9:$J$190))*'3. Pollutant Emissions - EF'!$I452*IF(OR(ISBLANK($E452),$G452="Yes"),1,$E452)*IF($H452="Yes",1,(1-$F452))</f>
        <v>9.4470588235294126E-3</v>
      </c>
      <c r="N452" s="5">
        <f>IF(ISBLANK($B452),_xlfn.XLOOKUP($A452,'2. TEUs &amp; Activities - EF'!$A$9:$A$190,'2. TEUs &amp; Activities - EF'!$M$9:$M$190),_xlfn.XLOOKUP($B452,'2. TEUs &amp; Activities - EF'!$B$9:$B$190,'2. TEUs &amp; Activities - EF'!$M$9:$M$190))*'3. Pollutant Emissions - EF'!$J452*IF(OR(ISBLANK($E452),$G452="Yes"),1,$E452)*IF($H452="Yes",1,(1-$F452))</f>
        <v>2.5882352941176472E-5</v>
      </c>
      <c r="O452" s="130"/>
    </row>
    <row r="453" spans="1:15" ht="15" x14ac:dyDescent="0.25">
      <c r="A453" s="5" t="s">
        <v>1325</v>
      </c>
      <c r="B453" s="7"/>
      <c r="C453" s="13" t="s">
        <v>57</v>
      </c>
      <c r="D453" s="19" t="str">
        <f>IFERROR(IF(C453="No CAS","",INDEX('DEQ Pollutant List'!$B$7:$B$611,MATCH('3. Pollutant Emissions - EF'!C453,'DEQ Pollutant List'!$A$7:$A$611,0))),"")</f>
        <v>Chromium VI, chromate and dichromate particulate</v>
      </c>
      <c r="E453" s="100">
        <v>0</v>
      </c>
      <c r="F453" s="36">
        <v>0</v>
      </c>
      <c r="G453" s="100" t="s">
        <v>1415</v>
      </c>
      <c r="H453" s="36" t="s">
        <v>1415</v>
      </c>
      <c r="I453" s="34">
        <v>1.4E-3</v>
      </c>
      <c r="J453" s="11">
        <f t="shared" si="12"/>
        <v>1.4E-3</v>
      </c>
      <c r="K453" s="6" t="s">
        <v>1416</v>
      </c>
      <c r="L453" s="20" t="s">
        <v>1422</v>
      </c>
      <c r="M453" s="7">
        <f>IF(ISBLANK($B453),_xlfn.XLOOKUP($A453,'2. TEUs &amp; Activities - EF'!$A$9:$A$190,'2. TEUs &amp; Activities - EF'!$J$9:$J$190),_xlfn.XLOOKUP($B453,'2. TEUs &amp; Activities - EF'!$B$9:$B$190,'2. TEUs &amp; Activities - EF'!$J$9:$J$190))*'3. Pollutant Emissions - EF'!$I453*IF(OR(ISBLANK($E453),$G453="Yes"),1,$E453)*IF($H453="Yes",1,(1-$F453))</f>
        <v>1.2023529411764705E-2</v>
      </c>
      <c r="N453" s="5">
        <f>IF(ISBLANK($B453),_xlfn.XLOOKUP($A453,'2. TEUs &amp; Activities - EF'!$A$9:$A$190,'2. TEUs &amp; Activities - EF'!$M$9:$M$190),_xlfn.XLOOKUP($B453,'2. TEUs &amp; Activities - EF'!$B$9:$B$190,'2. TEUs &amp; Activities - EF'!$M$9:$M$190))*'3. Pollutant Emissions - EF'!$J453*IF(OR(ISBLANK($E453),$G453="Yes"),1,$E453)*IF($H453="Yes",1,(1-$F453))</f>
        <v>3.2941176470588232E-5</v>
      </c>
      <c r="O453" s="130"/>
    </row>
    <row r="454" spans="1:15" ht="15" x14ac:dyDescent="0.25">
      <c r="A454" s="5" t="s">
        <v>1325</v>
      </c>
      <c r="B454" s="7"/>
      <c r="C454" s="13" t="s">
        <v>58</v>
      </c>
      <c r="D454" s="19" t="str">
        <f>IFERROR(IF(C454="No CAS","",INDEX('DEQ Pollutant List'!$B$7:$B$611,MATCH('3. Pollutant Emissions - EF'!C454,'DEQ Pollutant List'!$A$7:$A$611,0))),"")</f>
        <v>Cobalt and compounds</v>
      </c>
      <c r="E454" s="100">
        <v>0</v>
      </c>
      <c r="F454" s="36">
        <v>0</v>
      </c>
      <c r="G454" s="100" t="s">
        <v>1415</v>
      </c>
      <c r="H454" s="36" t="s">
        <v>1415</v>
      </c>
      <c r="I454" s="34">
        <v>8.3999999999999995E-5</v>
      </c>
      <c r="J454" s="11">
        <f t="shared" si="12"/>
        <v>8.3999999999999995E-5</v>
      </c>
      <c r="K454" s="6" t="s">
        <v>1416</v>
      </c>
      <c r="L454" s="20" t="s">
        <v>1422</v>
      </c>
      <c r="M454" s="7">
        <f>IF(ISBLANK($B454),_xlfn.XLOOKUP($A454,'2. TEUs &amp; Activities - EF'!$A$9:$A$190,'2. TEUs &amp; Activities - EF'!$J$9:$J$190),_xlfn.XLOOKUP($B454,'2. TEUs &amp; Activities - EF'!$B$9:$B$190,'2. TEUs &amp; Activities - EF'!$J$9:$J$190))*'3. Pollutant Emissions - EF'!$I454*IF(OR(ISBLANK($E454),$G454="Yes"),1,$E454)*IF($H454="Yes",1,(1-$F454))</f>
        <v>7.2141176470588231E-4</v>
      </c>
      <c r="N454" s="5">
        <f>IF(ISBLANK($B454),_xlfn.XLOOKUP($A454,'2. TEUs &amp; Activities - EF'!$A$9:$A$190,'2. TEUs &amp; Activities - EF'!$M$9:$M$190),_xlfn.XLOOKUP($B454,'2. TEUs &amp; Activities - EF'!$B$9:$B$190,'2. TEUs &amp; Activities - EF'!$M$9:$M$190))*'3. Pollutant Emissions - EF'!$J454*IF(OR(ISBLANK($E454),$G454="Yes"),1,$E454)*IF($H454="Yes",1,(1-$F454))</f>
        <v>1.976470588235294E-6</v>
      </c>
      <c r="O454" s="130"/>
    </row>
    <row r="455" spans="1:15" ht="15" x14ac:dyDescent="0.25">
      <c r="A455" s="5" t="s">
        <v>1325</v>
      </c>
      <c r="B455" s="7"/>
      <c r="C455" s="13" t="s">
        <v>59</v>
      </c>
      <c r="D455" s="19" t="str">
        <f>IFERROR(IF(C455="No CAS","",INDEX('DEQ Pollutant List'!$B$7:$B$611,MATCH('3. Pollutant Emissions - EF'!C455,'DEQ Pollutant List'!$A$7:$A$611,0))),"")</f>
        <v>Copper and compounds</v>
      </c>
      <c r="E455" s="100">
        <v>0</v>
      </c>
      <c r="F455" s="36">
        <v>0</v>
      </c>
      <c r="G455" s="100" t="s">
        <v>1415</v>
      </c>
      <c r="H455" s="36" t="s">
        <v>1415</v>
      </c>
      <c r="I455" s="34">
        <v>8.4999999999999995E-4</v>
      </c>
      <c r="J455" s="11">
        <f t="shared" si="12"/>
        <v>8.4999999999999995E-4</v>
      </c>
      <c r="K455" s="6" t="s">
        <v>1416</v>
      </c>
      <c r="L455" s="20" t="s">
        <v>1422</v>
      </c>
      <c r="M455" s="7">
        <f>IF(ISBLANK($B455),_xlfn.XLOOKUP($A455,'2. TEUs &amp; Activities - EF'!$A$9:$A$190,'2. TEUs &amp; Activities - EF'!$J$9:$J$190),_xlfn.XLOOKUP($B455,'2. TEUs &amp; Activities - EF'!$B$9:$B$190,'2. TEUs &amp; Activities - EF'!$J$9:$J$190))*'3. Pollutant Emissions - EF'!$I455*IF(OR(ISBLANK($E455),$G455="Yes"),1,$E455)*IF($H455="Yes",1,(1-$F455))</f>
        <v>7.2999999999999992E-3</v>
      </c>
      <c r="N455" s="5">
        <f>IF(ISBLANK($B455),_xlfn.XLOOKUP($A455,'2. TEUs &amp; Activities - EF'!$A$9:$A$190,'2. TEUs &amp; Activities - EF'!$M$9:$M$190),_xlfn.XLOOKUP($B455,'2. TEUs &amp; Activities - EF'!$B$9:$B$190,'2. TEUs &amp; Activities - EF'!$M$9:$M$190))*'3. Pollutant Emissions - EF'!$J455*IF(OR(ISBLANK($E455),$G455="Yes"),1,$E455)*IF($H455="Yes",1,(1-$F455))</f>
        <v>1.9999999999999998E-5</v>
      </c>
      <c r="O455" s="130"/>
    </row>
    <row r="456" spans="1:15" ht="15" x14ac:dyDescent="0.25">
      <c r="A456" s="5" t="s">
        <v>1325</v>
      </c>
      <c r="B456" s="7"/>
      <c r="C456" s="13" t="s">
        <v>60</v>
      </c>
      <c r="D456" s="19" t="str">
        <f>IFERROR(IF(C456="No CAS","",INDEX('DEQ Pollutant List'!$B$7:$B$611,MATCH('3. Pollutant Emissions - EF'!C456,'DEQ Pollutant List'!$A$7:$A$611,0))),"")</f>
        <v>Ethyl benzene</v>
      </c>
      <c r="E456" s="100">
        <v>0</v>
      </c>
      <c r="F456" s="36">
        <v>0</v>
      </c>
      <c r="G456" s="100" t="s">
        <v>1415</v>
      </c>
      <c r="H456" s="36" t="s">
        <v>1415</v>
      </c>
      <c r="I456" s="34">
        <v>9.4999999999999998E-3</v>
      </c>
      <c r="J456" s="11">
        <f t="shared" si="12"/>
        <v>9.4999999999999998E-3</v>
      </c>
      <c r="K456" s="6" t="s">
        <v>1416</v>
      </c>
      <c r="L456" s="20" t="s">
        <v>1422</v>
      </c>
      <c r="M456" s="7">
        <f>IF(ISBLANK($B456),_xlfn.XLOOKUP($A456,'2. TEUs &amp; Activities - EF'!$A$9:$A$190,'2. TEUs &amp; Activities - EF'!$J$9:$J$190),_xlfn.XLOOKUP($B456,'2. TEUs &amp; Activities - EF'!$B$9:$B$190,'2. TEUs &amp; Activities - EF'!$J$9:$J$190))*'3. Pollutant Emissions - EF'!$I456*IF(OR(ISBLANK($E456),$G456="Yes"),1,$E456)*IF($H456="Yes",1,(1-$F456))</f>
        <v>8.1588235294117642E-2</v>
      </c>
      <c r="N456" s="5">
        <f>IF(ISBLANK($B456),_xlfn.XLOOKUP($A456,'2. TEUs &amp; Activities - EF'!$A$9:$A$190,'2. TEUs &amp; Activities - EF'!$M$9:$M$190),_xlfn.XLOOKUP($B456,'2. TEUs &amp; Activities - EF'!$B$9:$B$190,'2. TEUs &amp; Activities - EF'!$M$9:$M$190))*'3. Pollutant Emissions - EF'!$J456*IF(OR(ISBLANK($E456),$G456="Yes"),1,$E456)*IF($H456="Yes",1,(1-$F456))</f>
        <v>2.2352941176470586E-4</v>
      </c>
      <c r="O456" s="130"/>
    </row>
    <row r="457" spans="1:15" ht="15" x14ac:dyDescent="0.25">
      <c r="A457" s="5" t="s">
        <v>1325</v>
      </c>
      <c r="B457" s="7"/>
      <c r="C457" s="13" t="s">
        <v>47</v>
      </c>
      <c r="D457" s="19" t="str">
        <f>IFERROR(IF(C457="No CAS","",INDEX('DEQ Pollutant List'!$B$7:$B$611,MATCH('3. Pollutant Emissions - EF'!C457,'DEQ Pollutant List'!$A$7:$A$611,0))),"")</f>
        <v>Formaldehyde</v>
      </c>
      <c r="E457" s="100">
        <v>0</v>
      </c>
      <c r="F457" s="36">
        <v>0</v>
      </c>
      <c r="G457" s="100" t="s">
        <v>1415</v>
      </c>
      <c r="H457" s="36" t="s">
        <v>1415</v>
      </c>
      <c r="I457" s="34">
        <v>1.7000000000000001E-2</v>
      </c>
      <c r="J457" s="11">
        <f t="shared" si="12"/>
        <v>1.7000000000000001E-2</v>
      </c>
      <c r="K457" s="6" t="s">
        <v>1416</v>
      </c>
      <c r="L457" s="20" t="s">
        <v>1422</v>
      </c>
      <c r="M457" s="7">
        <f>IF(ISBLANK($B457),_xlfn.XLOOKUP($A457,'2. TEUs &amp; Activities - EF'!$A$9:$A$190,'2. TEUs &amp; Activities - EF'!$J$9:$J$190),_xlfn.XLOOKUP($B457,'2. TEUs &amp; Activities - EF'!$B$9:$B$190,'2. TEUs &amp; Activities - EF'!$J$9:$J$190))*'3. Pollutant Emissions - EF'!$I457*IF(OR(ISBLANK($E457),$G457="Yes"),1,$E457)*IF($H457="Yes",1,(1-$F457))</f>
        <v>0.14600000000000002</v>
      </c>
      <c r="N457" s="5">
        <f>IF(ISBLANK($B457),_xlfn.XLOOKUP($A457,'2. TEUs &amp; Activities - EF'!$A$9:$A$190,'2. TEUs &amp; Activities - EF'!$M$9:$M$190),_xlfn.XLOOKUP($B457,'2. TEUs &amp; Activities - EF'!$B$9:$B$190,'2. TEUs &amp; Activities - EF'!$M$9:$M$190))*'3. Pollutant Emissions - EF'!$J457*IF(OR(ISBLANK($E457),$G457="Yes"),1,$E457)*IF($H457="Yes",1,(1-$F457))</f>
        <v>4.0000000000000002E-4</v>
      </c>
      <c r="O457" s="130"/>
    </row>
    <row r="458" spans="1:15" ht="15" x14ac:dyDescent="0.25">
      <c r="A458" s="5" t="s">
        <v>1325</v>
      </c>
      <c r="B458" s="7"/>
      <c r="C458" s="13" t="s">
        <v>61</v>
      </c>
      <c r="D458" s="19" t="str">
        <f>IFERROR(IF(C458="No CAS","",INDEX('DEQ Pollutant List'!$B$7:$B$611,MATCH('3. Pollutant Emissions - EF'!C458,'DEQ Pollutant List'!$A$7:$A$611,0))),"")</f>
        <v>Hexane</v>
      </c>
      <c r="E458" s="100">
        <v>0</v>
      </c>
      <c r="F458" s="36">
        <v>0</v>
      </c>
      <c r="G458" s="100" t="s">
        <v>1415</v>
      </c>
      <c r="H458" s="36" t="s">
        <v>1415</v>
      </c>
      <c r="I458" s="34">
        <v>6.3E-3</v>
      </c>
      <c r="J458" s="11">
        <f t="shared" si="12"/>
        <v>6.3E-3</v>
      </c>
      <c r="K458" s="6" t="s">
        <v>1416</v>
      </c>
      <c r="L458" s="20" t="s">
        <v>1422</v>
      </c>
      <c r="M458" s="7">
        <f>IF(ISBLANK($B458),_xlfn.XLOOKUP($A458,'2. TEUs &amp; Activities - EF'!$A$9:$A$190,'2. TEUs &amp; Activities - EF'!$J$9:$J$190),_xlfn.XLOOKUP($B458,'2. TEUs &amp; Activities - EF'!$B$9:$B$190,'2. TEUs &amp; Activities - EF'!$J$9:$J$190))*'3. Pollutant Emissions - EF'!$I458*IF(OR(ISBLANK($E458),$G458="Yes"),1,$E458)*IF($H458="Yes",1,(1-$F458))</f>
        <v>5.4105882352941177E-2</v>
      </c>
      <c r="N458" s="5">
        <f>IF(ISBLANK($B458),_xlfn.XLOOKUP($A458,'2. TEUs &amp; Activities - EF'!$A$9:$A$190,'2. TEUs &amp; Activities - EF'!$M$9:$M$190),_xlfn.XLOOKUP($B458,'2. TEUs &amp; Activities - EF'!$B$9:$B$190,'2. TEUs &amp; Activities - EF'!$M$9:$M$190))*'3. Pollutant Emissions - EF'!$J458*IF(OR(ISBLANK($E458),$G458="Yes"),1,$E458)*IF($H458="Yes",1,(1-$F458))</f>
        <v>1.4823529411764705E-4</v>
      </c>
      <c r="O458" s="130"/>
    </row>
    <row r="459" spans="1:15" ht="15" x14ac:dyDescent="0.25">
      <c r="A459" s="5" t="s">
        <v>1325</v>
      </c>
      <c r="B459" s="7"/>
      <c r="C459" s="13" t="s">
        <v>62</v>
      </c>
      <c r="D459" s="19" t="str">
        <f>IFERROR(IF(C459="No CAS","",INDEX('DEQ Pollutant List'!$B$7:$B$611,MATCH('3. Pollutant Emissions - EF'!C459,'DEQ Pollutant List'!$A$7:$A$611,0))),"")</f>
        <v>Lead and compounds</v>
      </c>
      <c r="E459" s="100">
        <v>0</v>
      </c>
      <c r="F459" s="36">
        <v>0</v>
      </c>
      <c r="G459" s="100" t="s">
        <v>1415</v>
      </c>
      <c r="H459" s="36" t="s">
        <v>1415</v>
      </c>
      <c r="I459" s="34">
        <v>5.0000000000000001E-4</v>
      </c>
      <c r="J459" s="11">
        <f t="shared" si="12"/>
        <v>5.0000000000000001E-4</v>
      </c>
      <c r="K459" s="6" t="s">
        <v>1416</v>
      </c>
      <c r="L459" s="20" t="s">
        <v>1422</v>
      </c>
      <c r="M459" s="7">
        <f>IF(ISBLANK($B459),_xlfn.XLOOKUP($A459,'2. TEUs &amp; Activities - EF'!$A$9:$A$190,'2. TEUs &amp; Activities - EF'!$J$9:$J$190),_xlfn.XLOOKUP($B459,'2. TEUs &amp; Activities - EF'!$B$9:$B$190,'2. TEUs &amp; Activities - EF'!$J$9:$J$190))*'3. Pollutant Emissions - EF'!$I459*IF(OR(ISBLANK($E459),$G459="Yes"),1,$E459)*IF($H459="Yes",1,(1-$F459))</f>
        <v>4.2941176470588233E-3</v>
      </c>
      <c r="N459" s="5">
        <f>IF(ISBLANK($B459),_xlfn.XLOOKUP($A459,'2. TEUs &amp; Activities - EF'!$A$9:$A$190,'2. TEUs &amp; Activities - EF'!$M$9:$M$190),_xlfn.XLOOKUP($B459,'2. TEUs &amp; Activities - EF'!$B$9:$B$190,'2. TEUs &amp; Activities - EF'!$M$9:$M$190))*'3. Pollutant Emissions - EF'!$J459*IF(OR(ISBLANK($E459),$G459="Yes"),1,$E459)*IF($H459="Yes",1,(1-$F459))</f>
        <v>1.1764705882352942E-5</v>
      </c>
      <c r="O459" s="130"/>
    </row>
    <row r="460" spans="1:15" ht="15" x14ac:dyDescent="0.25">
      <c r="A460" s="5" t="s">
        <v>1325</v>
      </c>
      <c r="B460" s="7"/>
      <c r="C460" s="13" t="s">
        <v>63</v>
      </c>
      <c r="D460" s="19" t="str">
        <f>IFERROR(IF(C460="No CAS","",INDEX('DEQ Pollutant List'!$B$7:$B$611,MATCH('3. Pollutant Emissions - EF'!C460,'DEQ Pollutant List'!$A$7:$A$611,0))),"")</f>
        <v>Manganese and compounds</v>
      </c>
      <c r="E460" s="100">
        <v>0</v>
      </c>
      <c r="F460" s="36">
        <v>0</v>
      </c>
      <c r="G460" s="100" t="s">
        <v>1415</v>
      </c>
      <c r="H460" s="36" t="s">
        <v>1415</v>
      </c>
      <c r="I460" s="34">
        <v>3.8000000000000002E-4</v>
      </c>
      <c r="J460" s="11">
        <f t="shared" si="12"/>
        <v>3.8000000000000002E-4</v>
      </c>
      <c r="K460" s="6" t="s">
        <v>1416</v>
      </c>
      <c r="L460" s="20" t="s">
        <v>1422</v>
      </c>
      <c r="M460" s="7">
        <f>IF(ISBLANK($B460),_xlfn.XLOOKUP($A460,'2. TEUs &amp; Activities - EF'!$A$9:$A$190,'2. TEUs &amp; Activities - EF'!$J$9:$J$190),_xlfn.XLOOKUP($B460,'2. TEUs &amp; Activities - EF'!$B$9:$B$190,'2. TEUs &amp; Activities - EF'!$J$9:$J$190))*'3. Pollutant Emissions - EF'!$I460*IF(OR(ISBLANK($E460),$G460="Yes"),1,$E460)*IF($H460="Yes",1,(1-$F460))</f>
        <v>3.2635294117647059E-3</v>
      </c>
      <c r="N460" s="5">
        <f>IF(ISBLANK($B460),_xlfn.XLOOKUP($A460,'2. TEUs &amp; Activities - EF'!$A$9:$A$190,'2. TEUs &amp; Activities - EF'!$M$9:$M$190),_xlfn.XLOOKUP($B460,'2. TEUs &amp; Activities - EF'!$B$9:$B$190,'2. TEUs &amp; Activities - EF'!$M$9:$M$190))*'3. Pollutant Emissions - EF'!$J460*IF(OR(ISBLANK($E460),$G460="Yes"),1,$E460)*IF($H460="Yes",1,(1-$F460))</f>
        <v>8.9411764705882352E-6</v>
      </c>
      <c r="O460" s="130"/>
    </row>
    <row r="461" spans="1:15" ht="15" x14ac:dyDescent="0.25">
      <c r="A461" s="5" t="s">
        <v>1325</v>
      </c>
      <c r="B461" s="7"/>
      <c r="C461" s="13" t="s">
        <v>64</v>
      </c>
      <c r="D461" s="19" t="str">
        <f>IFERROR(IF(C461="No CAS","",INDEX('DEQ Pollutant List'!$B$7:$B$611,MATCH('3. Pollutant Emissions - EF'!C461,'DEQ Pollutant List'!$A$7:$A$611,0))),"")</f>
        <v>Mercury and compounds</v>
      </c>
      <c r="E461" s="100">
        <v>0</v>
      </c>
      <c r="F461" s="36">
        <v>0</v>
      </c>
      <c r="G461" s="100" t="s">
        <v>1415</v>
      </c>
      <c r="H461" s="36" t="s">
        <v>1415</v>
      </c>
      <c r="I461" s="34">
        <v>2.5999999999999998E-4</v>
      </c>
      <c r="J461" s="11">
        <f t="shared" si="12"/>
        <v>2.5999999999999998E-4</v>
      </c>
      <c r="K461" s="6" t="s">
        <v>1416</v>
      </c>
      <c r="L461" s="20" t="s">
        <v>1422</v>
      </c>
      <c r="M461" s="7">
        <f>IF(ISBLANK($B461),_xlfn.XLOOKUP($A461,'2. TEUs &amp; Activities - EF'!$A$9:$A$190,'2. TEUs &amp; Activities - EF'!$J$9:$J$190),_xlfn.XLOOKUP($B461,'2. TEUs &amp; Activities - EF'!$B$9:$B$190,'2. TEUs &amp; Activities - EF'!$J$9:$J$190))*'3. Pollutant Emissions - EF'!$I461*IF(OR(ISBLANK($E461),$G461="Yes"),1,$E461)*IF($H461="Yes",1,(1-$F461))</f>
        <v>2.2329411764705881E-3</v>
      </c>
      <c r="N461" s="5">
        <f>IF(ISBLANK($B461),_xlfn.XLOOKUP($A461,'2. TEUs &amp; Activities - EF'!$A$9:$A$190,'2. TEUs &amp; Activities - EF'!$M$9:$M$190),_xlfn.XLOOKUP($B461,'2. TEUs &amp; Activities - EF'!$B$9:$B$190,'2. TEUs &amp; Activities - EF'!$M$9:$M$190))*'3. Pollutant Emissions - EF'!$J461*IF(OR(ISBLANK($E461),$G461="Yes"),1,$E461)*IF($H461="Yes",1,(1-$F461))</f>
        <v>6.1176470588235285E-6</v>
      </c>
      <c r="O461" s="130"/>
    </row>
    <row r="462" spans="1:15" ht="15" x14ac:dyDescent="0.25">
      <c r="A462" s="5" t="s">
        <v>1325</v>
      </c>
      <c r="B462" s="7"/>
      <c r="C462" s="13" t="s">
        <v>65</v>
      </c>
      <c r="D462" s="19" t="str">
        <f>IFERROR(IF(C462="No CAS","",INDEX('DEQ Pollutant List'!$B$7:$B$611,MATCH('3. Pollutant Emissions - EF'!C462,'DEQ Pollutant List'!$A$7:$A$611,0))),"")</f>
        <v>Molybdenum trioxide</v>
      </c>
      <c r="E462" s="100">
        <v>0</v>
      </c>
      <c r="F462" s="36">
        <v>0</v>
      </c>
      <c r="G462" s="100" t="s">
        <v>1415</v>
      </c>
      <c r="H462" s="36" t="s">
        <v>1415</v>
      </c>
      <c r="I462" s="34">
        <v>1.65E-3</v>
      </c>
      <c r="J462" s="11">
        <f t="shared" si="12"/>
        <v>1.65E-3</v>
      </c>
      <c r="K462" s="6" t="s">
        <v>1416</v>
      </c>
      <c r="L462" s="20" t="s">
        <v>1422</v>
      </c>
      <c r="M462" s="7">
        <f>IF(ISBLANK($B462),_xlfn.XLOOKUP($A462,'2. TEUs &amp; Activities - EF'!$A$9:$A$190,'2. TEUs &amp; Activities - EF'!$J$9:$J$190),_xlfn.XLOOKUP($B462,'2. TEUs &amp; Activities - EF'!$B$9:$B$190,'2. TEUs &amp; Activities - EF'!$J$9:$J$190))*'3. Pollutant Emissions - EF'!$I462*IF(OR(ISBLANK($E462),$G462="Yes"),1,$E462)*IF($H462="Yes",1,(1-$F462))</f>
        <v>1.4170588235294117E-2</v>
      </c>
      <c r="N462" s="5">
        <f>IF(ISBLANK($B462),_xlfn.XLOOKUP($A462,'2. TEUs &amp; Activities - EF'!$A$9:$A$190,'2. TEUs &amp; Activities - EF'!$M$9:$M$190),_xlfn.XLOOKUP($B462,'2. TEUs &amp; Activities - EF'!$B$9:$B$190,'2. TEUs &amp; Activities - EF'!$M$9:$M$190))*'3. Pollutant Emissions - EF'!$J462*IF(OR(ISBLANK($E462),$G462="Yes"),1,$E462)*IF($H462="Yes",1,(1-$F462))</f>
        <v>3.8823529411764702E-5</v>
      </c>
      <c r="O462" s="130"/>
    </row>
    <row r="463" spans="1:15" ht="15" x14ac:dyDescent="0.25">
      <c r="A463" s="5" t="s">
        <v>1325</v>
      </c>
      <c r="B463" s="7"/>
      <c r="C463" s="13" t="s">
        <v>49</v>
      </c>
      <c r="D463" s="19" t="str">
        <f>IFERROR(IF(C463="No CAS","",INDEX('DEQ Pollutant List'!$B$7:$B$611,MATCH('3. Pollutant Emissions - EF'!C463,'DEQ Pollutant List'!$A$7:$A$611,0))),"")</f>
        <v>Naphthalene</v>
      </c>
      <c r="E463" s="100">
        <v>0</v>
      </c>
      <c r="F463" s="36">
        <v>0</v>
      </c>
      <c r="G463" s="100" t="s">
        <v>1415</v>
      </c>
      <c r="H463" s="36" t="s">
        <v>1415</v>
      </c>
      <c r="I463" s="34">
        <v>2.9999999999999997E-4</v>
      </c>
      <c r="J463" s="11">
        <f t="shared" si="12"/>
        <v>2.9999999999999997E-4</v>
      </c>
      <c r="K463" s="6" t="s">
        <v>1416</v>
      </c>
      <c r="L463" s="20" t="s">
        <v>1422</v>
      </c>
      <c r="M463" s="7">
        <f>IF(ISBLANK($B463),_xlfn.XLOOKUP($A463,'2. TEUs &amp; Activities - EF'!$A$9:$A$190,'2. TEUs &amp; Activities - EF'!$J$9:$J$190),_xlfn.XLOOKUP($B463,'2. TEUs &amp; Activities - EF'!$B$9:$B$190,'2. TEUs &amp; Activities - EF'!$J$9:$J$190))*'3. Pollutant Emissions - EF'!$I463*IF(OR(ISBLANK($E463),$G463="Yes"),1,$E463)*IF($H463="Yes",1,(1-$F463))</f>
        <v>2.5764705882352938E-3</v>
      </c>
      <c r="N463" s="5">
        <f>IF(ISBLANK($B463),_xlfn.XLOOKUP($A463,'2. TEUs &amp; Activities - EF'!$A$9:$A$190,'2. TEUs &amp; Activities - EF'!$M$9:$M$190),_xlfn.XLOOKUP($B463,'2. TEUs &amp; Activities - EF'!$B$9:$B$190,'2. TEUs &amp; Activities - EF'!$M$9:$M$190))*'3. Pollutant Emissions - EF'!$J463*IF(OR(ISBLANK($E463),$G463="Yes"),1,$E463)*IF($H463="Yes",1,(1-$F463))</f>
        <v>7.0588235294117641E-6</v>
      </c>
      <c r="O463" s="130"/>
    </row>
    <row r="464" spans="1:15" ht="15" x14ac:dyDescent="0.25">
      <c r="A464" s="5" t="s">
        <v>1325</v>
      </c>
      <c r="B464" s="7"/>
      <c r="C464" s="13" t="s">
        <v>66</v>
      </c>
      <c r="D464" s="19" t="str">
        <f>IFERROR(IF(C464="No CAS","",INDEX('DEQ Pollutant List'!$B$7:$B$611,MATCH('3. Pollutant Emissions - EF'!C464,'DEQ Pollutant List'!$A$7:$A$611,0))),"")</f>
        <v>Nickel and compounds</v>
      </c>
      <c r="E464" s="100">
        <v>0</v>
      </c>
      <c r="F464" s="36">
        <v>0</v>
      </c>
      <c r="G464" s="100" t="s">
        <v>1415</v>
      </c>
      <c r="H464" s="36" t="s">
        <v>1415</v>
      </c>
      <c r="I464" s="34">
        <v>2.0999999999999999E-3</v>
      </c>
      <c r="J464" s="11">
        <f t="shared" si="12"/>
        <v>2.0999999999999999E-3</v>
      </c>
      <c r="K464" s="6" t="s">
        <v>1416</v>
      </c>
      <c r="L464" s="20" t="s">
        <v>1422</v>
      </c>
      <c r="M464" s="7">
        <f>IF(ISBLANK($B464),_xlfn.XLOOKUP($A464,'2. TEUs &amp; Activities - EF'!$A$9:$A$190,'2. TEUs &amp; Activities - EF'!$J$9:$J$190),_xlfn.XLOOKUP($B464,'2. TEUs &amp; Activities - EF'!$B$9:$B$190,'2. TEUs &amp; Activities - EF'!$J$9:$J$190))*'3. Pollutant Emissions - EF'!$I464*IF(OR(ISBLANK($E464),$G464="Yes"),1,$E464)*IF($H464="Yes",1,(1-$F464))</f>
        <v>1.8035294117647056E-2</v>
      </c>
      <c r="N464" s="5">
        <f>IF(ISBLANK($B464),_xlfn.XLOOKUP($A464,'2. TEUs &amp; Activities - EF'!$A$9:$A$190,'2. TEUs &amp; Activities - EF'!$M$9:$M$190),_xlfn.XLOOKUP($B464,'2. TEUs &amp; Activities - EF'!$B$9:$B$190,'2. TEUs &amp; Activities - EF'!$M$9:$M$190))*'3. Pollutant Emissions - EF'!$J464*IF(OR(ISBLANK($E464),$G464="Yes"),1,$E464)*IF($H464="Yes",1,(1-$F464))</f>
        <v>4.9411764705882349E-5</v>
      </c>
      <c r="O464" s="130"/>
    </row>
    <row r="465" spans="1:15" ht="15" x14ac:dyDescent="0.25">
      <c r="A465" s="5" t="s">
        <v>1325</v>
      </c>
      <c r="B465" s="7"/>
      <c r="C465" s="13">
        <v>401</v>
      </c>
      <c r="D465" s="19" t="str">
        <f>IFERROR(IF(C465="No CAS","",INDEX('DEQ Pollutant List'!$B$7:$B$611,MATCH('3. Pollutant Emissions - EF'!C465,'DEQ Pollutant List'!$A$7:$A$611,0))),"")</f>
        <v>Polycyclic aromatic hydrocarbons (PAHs)</v>
      </c>
      <c r="E465" s="100">
        <v>0</v>
      </c>
      <c r="F465" s="36">
        <v>0</v>
      </c>
      <c r="G465" s="100" t="s">
        <v>1415</v>
      </c>
      <c r="H465" s="36" t="s">
        <v>1415</v>
      </c>
      <c r="I465" s="34">
        <v>1E-4</v>
      </c>
      <c r="J465" s="11">
        <f t="shared" si="12"/>
        <v>1E-4</v>
      </c>
      <c r="K465" s="6" t="s">
        <v>1416</v>
      </c>
      <c r="L465" s="20" t="s">
        <v>1422</v>
      </c>
      <c r="M465" s="7">
        <f>IF(ISBLANK($B465),_xlfn.XLOOKUP($A465,'2. TEUs &amp; Activities - EF'!$A$9:$A$190,'2. TEUs &amp; Activities - EF'!$J$9:$J$190),_xlfn.XLOOKUP($B465,'2. TEUs &amp; Activities - EF'!$B$9:$B$190,'2. TEUs &amp; Activities - EF'!$J$9:$J$190))*'3. Pollutant Emissions - EF'!$I465*IF(OR(ISBLANK($E465),$G465="Yes"),1,$E465)*IF($H465="Yes",1,(1-$F465))</f>
        <v>8.5882352941176474E-4</v>
      </c>
      <c r="N465" s="5">
        <f>IF(ISBLANK($B465),_xlfn.XLOOKUP($A465,'2. TEUs &amp; Activities - EF'!$A$9:$A$190,'2. TEUs &amp; Activities - EF'!$M$9:$M$190),_xlfn.XLOOKUP($B465,'2. TEUs &amp; Activities - EF'!$B$9:$B$190,'2. TEUs &amp; Activities - EF'!$M$9:$M$190))*'3. Pollutant Emissions - EF'!$J465*IF(OR(ISBLANK($E465),$G465="Yes"),1,$E465)*IF($H465="Yes",1,(1-$F465))</f>
        <v>2.3529411764705885E-6</v>
      </c>
      <c r="O465" s="130"/>
    </row>
    <row r="466" spans="1:15" ht="15" x14ac:dyDescent="0.25">
      <c r="A466" s="5" t="s">
        <v>1325</v>
      </c>
      <c r="B466" s="7"/>
      <c r="C466" s="13" t="s">
        <v>67</v>
      </c>
      <c r="D466" s="19" t="str">
        <f>IFERROR(IF(C466="No CAS","",INDEX('DEQ Pollutant List'!$B$7:$B$611,MATCH('3. Pollutant Emissions - EF'!C466,'DEQ Pollutant List'!$A$7:$A$611,0))),"")</f>
        <v>Selenium and compounds</v>
      </c>
      <c r="E466" s="100">
        <v>0</v>
      </c>
      <c r="F466" s="36">
        <v>0</v>
      </c>
      <c r="G466" s="100" t="s">
        <v>1415</v>
      </c>
      <c r="H466" s="36" t="s">
        <v>1415</v>
      </c>
      <c r="I466" s="34">
        <v>2.4000000000000001E-5</v>
      </c>
      <c r="J466" s="11">
        <f t="shared" si="12"/>
        <v>2.4000000000000001E-5</v>
      </c>
      <c r="K466" s="6" t="s">
        <v>1416</v>
      </c>
      <c r="L466" s="20" t="s">
        <v>1422</v>
      </c>
      <c r="M466" s="7">
        <f>IF(ISBLANK($B466),_xlfn.XLOOKUP($A466,'2. TEUs &amp; Activities - EF'!$A$9:$A$190,'2. TEUs &amp; Activities - EF'!$J$9:$J$190),_xlfn.XLOOKUP($B466,'2. TEUs &amp; Activities - EF'!$B$9:$B$190,'2. TEUs &amp; Activities - EF'!$J$9:$J$190))*'3. Pollutant Emissions - EF'!$I466*IF(OR(ISBLANK($E466),$G466="Yes"),1,$E466)*IF($H466="Yes",1,(1-$F466))</f>
        <v>2.0611764705882353E-4</v>
      </c>
      <c r="N466" s="5">
        <f>IF(ISBLANK($B466),_xlfn.XLOOKUP($A466,'2. TEUs &amp; Activities - EF'!$A$9:$A$190,'2. TEUs &amp; Activities - EF'!$M$9:$M$190),_xlfn.XLOOKUP($B466,'2. TEUs &amp; Activities - EF'!$B$9:$B$190,'2. TEUs &amp; Activities - EF'!$M$9:$M$190))*'3. Pollutant Emissions - EF'!$J466*IF(OR(ISBLANK($E466),$G466="Yes"),1,$E466)*IF($H466="Yes",1,(1-$F466))</f>
        <v>5.6470588235294118E-7</v>
      </c>
      <c r="O466" s="130"/>
    </row>
    <row r="467" spans="1:15" ht="15" x14ac:dyDescent="0.25">
      <c r="A467" s="5" t="s">
        <v>1325</v>
      </c>
      <c r="B467" s="7"/>
      <c r="C467" s="13" t="s">
        <v>68</v>
      </c>
      <c r="D467" s="19" t="str">
        <f>IFERROR(IF(C467="No CAS","",INDEX('DEQ Pollutant List'!$B$7:$B$611,MATCH('3. Pollutant Emissions - EF'!C467,'DEQ Pollutant List'!$A$7:$A$611,0))),"")</f>
        <v>Toluene</v>
      </c>
      <c r="E467" s="100">
        <v>0</v>
      </c>
      <c r="F467" s="36">
        <v>0</v>
      </c>
      <c r="G467" s="100" t="s">
        <v>1415</v>
      </c>
      <c r="H467" s="36" t="s">
        <v>1415</v>
      </c>
      <c r="I467" s="34">
        <v>3.6600000000000001E-2</v>
      </c>
      <c r="J467" s="11">
        <f t="shared" si="12"/>
        <v>3.6600000000000001E-2</v>
      </c>
      <c r="K467" s="6" t="s">
        <v>1416</v>
      </c>
      <c r="L467" s="20" t="s">
        <v>1422</v>
      </c>
      <c r="M467" s="7">
        <f>IF(ISBLANK($B467),_xlfn.XLOOKUP($A467,'2. TEUs &amp; Activities - EF'!$A$9:$A$190,'2. TEUs &amp; Activities - EF'!$J$9:$J$190),_xlfn.XLOOKUP($B467,'2. TEUs &amp; Activities - EF'!$B$9:$B$190,'2. TEUs &amp; Activities - EF'!$J$9:$J$190))*'3. Pollutant Emissions - EF'!$I467*IF(OR(ISBLANK($E467),$G467="Yes"),1,$E467)*IF($H467="Yes",1,(1-$F467))</f>
        <v>0.31432941176470586</v>
      </c>
      <c r="N467" s="5">
        <f>IF(ISBLANK($B467),_xlfn.XLOOKUP($A467,'2. TEUs &amp; Activities - EF'!$A$9:$A$190,'2. TEUs &amp; Activities - EF'!$M$9:$M$190),_xlfn.XLOOKUP($B467,'2. TEUs &amp; Activities - EF'!$B$9:$B$190,'2. TEUs &amp; Activities - EF'!$M$9:$M$190))*'3. Pollutant Emissions - EF'!$J467*IF(OR(ISBLANK($E467),$G467="Yes"),1,$E467)*IF($H467="Yes",1,(1-$F467))</f>
        <v>8.6117647058823533E-4</v>
      </c>
      <c r="O467" s="130"/>
    </row>
    <row r="468" spans="1:15" ht="15" x14ac:dyDescent="0.25">
      <c r="A468" s="5" t="s">
        <v>1325</v>
      </c>
      <c r="B468" s="7"/>
      <c r="C468" s="13" t="s">
        <v>69</v>
      </c>
      <c r="D468" s="19" t="str">
        <f>IFERROR(IF(C468="No CAS","",INDEX('DEQ Pollutant List'!$B$7:$B$611,MATCH('3. Pollutant Emissions - EF'!C468,'DEQ Pollutant List'!$A$7:$A$611,0))),"")</f>
        <v>Vanadium (fume or dust)</v>
      </c>
      <c r="E468" s="100">
        <v>0</v>
      </c>
      <c r="F468" s="36">
        <v>0</v>
      </c>
      <c r="G468" s="100" t="s">
        <v>1415</v>
      </c>
      <c r="H468" s="36" t="s">
        <v>1415</v>
      </c>
      <c r="I468" s="34">
        <v>2.3E-3</v>
      </c>
      <c r="J468" s="11">
        <f t="shared" si="12"/>
        <v>2.3E-3</v>
      </c>
      <c r="K468" s="6" t="s">
        <v>1416</v>
      </c>
      <c r="L468" s="20" t="s">
        <v>1422</v>
      </c>
      <c r="M468" s="7">
        <f>IF(ISBLANK($B468),_xlfn.XLOOKUP($A468,'2. TEUs &amp; Activities - EF'!$A$9:$A$190,'2. TEUs &amp; Activities - EF'!$J$9:$J$190),_xlfn.XLOOKUP($B468,'2. TEUs &amp; Activities - EF'!$B$9:$B$190,'2. TEUs &amp; Activities - EF'!$J$9:$J$190))*'3. Pollutant Emissions - EF'!$I468*IF(OR(ISBLANK($E468),$G468="Yes"),1,$E468)*IF($H468="Yes",1,(1-$F468))</f>
        <v>1.9752941176470588E-2</v>
      </c>
      <c r="N468" s="5">
        <f>IF(ISBLANK($B468),_xlfn.XLOOKUP($A468,'2. TEUs &amp; Activities - EF'!$A$9:$A$190,'2. TEUs &amp; Activities - EF'!$M$9:$M$190),_xlfn.XLOOKUP($B468,'2. TEUs &amp; Activities - EF'!$B$9:$B$190,'2. TEUs &amp; Activities - EF'!$M$9:$M$190))*'3. Pollutant Emissions - EF'!$J468*IF(OR(ISBLANK($E468),$G468="Yes"),1,$E468)*IF($H468="Yes",1,(1-$F468))</f>
        <v>5.4117647058823525E-5</v>
      </c>
      <c r="O468" s="130"/>
    </row>
    <row r="469" spans="1:15" ht="15" x14ac:dyDescent="0.25">
      <c r="A469" s="5" t="s">
        <v>1325</v>
      </c>
      <c r="B469" s="7"/>
      <c r="C469" s="13" t="s">
        <v>70</v>
      </c>
      <c r="D469" s="19" t="str">
        <f>IFERROR(IF(C469="No CAS","",INDEX('DEQ Pollutant List'!$B$7:$B$611,MATCH('3. Pollutant Emissions - EF'!C469,'DEQ Pollutant List'!$A$7:$A$611,0))),"")</f>
        <v>Xylene (mixture), including m-xylene, o-xylene, p-xylene</v>
      </c>
      <c r="E469" s="100">
        <v>0</v>
      </c>
      <c r="F469" s="36">
        <v>0</v>
      </c>
      <c r="G469" s="100" t="s">
        <v>1415</v>
      </c>
      <c r="H469" s="36" t="s">
        <v>1415</v>
      </c>
      <c r="I469" s="34">
        <v>2.7199999999999998E-2</v>
      </c>
      <c r="J469" s="11">
        <f t="shared" si="12"/>
        <v>2.7199999999999998E-2</v>
      </c>
      <c r="K469" s="6" t="s">
        <v>1416</v>
      </c>
      <c r="L469" s="20" t="s">
        <v>1422</v>
      </c>
      <c r="M469" s="7">
        <f>IF(ISBLANK($B469),_xlfn.XLOOKUP($A469,'2. TEUs &amp; Activities - EF'!$A$9:$A$190,'2. TEUs &amp; Activities - EF'!$J$9:$J$190),_xlfn.XLOOKUP($B469,'2. TEUs &amp; Activities - EF'!$B$9:$B$190,'2. TEUs &amp; Activities - EF'!$J$9:$J$190))*'3. Pollutant Emissions - EF'!$I469*IF(OR(ISBLANK($E469),$G469="Yes"),1,$E469)*IF($H469="Yes",1,(1-$F469))</f>
        <v>0.23359999999999997</v>
      </c>
      <c r="N469" s="5">
        <f>IF(ISBLANK($B469),_xlfn.XLOOKUP($A469,'2. TEUs &amp; Activities - EF'!$A$9:$A$190,'2. TEUs &amp; Activities - EF'!$M$9:$M$190),_xlfn.XLOOKUP($B469,'2. TEUs &amp; Activities - EF'!$B$9:$B$190,'2. TEUs &amp; Activities - EF'!$M$9:$M$190))*'3. Pollutant Emissions - EF'!$J469*IF(OR(ISBLANK($E469),$G469="Yes"),1,$E469)*IF($H469="Yes",1,(1-$F469))</f>
        <v>6.3999999999999994E-4</v>
      </c>
      <c r="O469" s="130"/>
    </row>
    <row r="470" spans="1:15" ht="15" x14ac:dyDescent="0.25">
      <c r="A470" s="5" t="s">
        <v>1325</v>
      </c>
      <c r="B470" s="7"/>
      <c r="C470" s="13" t="s">
        <v>71</v>
      </c>
      <c r="D470" s="19" t="str">
        <f>IFERROR(IF(C470="No CAS","",INDEX('DEQ Pollutant List'!$B$7:$B$611,MATCH('3. Pollutant Emissions - EF'!C470,'DEQ Pollutant List'!$A$7:$A$611,0))),"")</f>
        <v>Zinc and compounds</v>
      </c>
      <c r="E470" s="100">
        <v>0</v>
      </c>
      <c r="F470" s="36">
        <v>0</v>
      </c>
      <c r="G470" s="100" t="s">
        <v>1415</v>
      </c>
      <c r="H470" s="36" t="s">
        <v>1415</v>
      </c>
      <c r="I470" s="34">
        <v>2.9000000000000001E-2</v>
      </c>
      <c r="J470" s="11">
        <f t="shared" si="12"/>
        <v>2.9000000000000001E-2</v>
      </c>
      <c r="K470" s="6" t="s">
        <v>1416</v>
      </c>
      <c r="L470" s="20" t="s">
        <v>1422</v>
      </c>
      <c r="M470" s="7">
        <f>IF(ISBLANK($B470),_xlfn.XLOOKUP($A470,'2. TEUs &amp; Activities - EF'!$A$9:$A$190,'2. TEUs &amp; Activities - EF'!$J$9:$J$190),_xlfn.XLOOKUP($B470,'2. TEUs &amp; Activities - EF'!$B$9:$B$190,'2. TEUs &amp; Activities - EF'!$J$9:$J$190))*'3. Pollutant Emissions - EF'!$I470*IF(OR(ISBLANK($E470),$G470="Yes"),1,$E470)*IF($H470="Yes",1,(1-$F470))</f>
        <v>0.24905882352941178</v>
      </c>
      <c r="N470" s="5">
        <f>IF(ISBLANK($B470),_xlfn.XLOOKUP($A470,'2. TEUs &amp; Activities - EF'!$A$9:$A$190,'2. TEUs &amp; Activities - EF'!$M$9:$M$190),_xlfn.XLOOKUP($B470,'2. TEUs &amp; Activities - EF'!$B$9:$B$190,'2. TEUs &amp; Activities - EF'!$M$9:$M$190))*'3. Pollutant Emissions - EF'!$J470*IF(OR(ISBLANK($E470),$G470="Yes"),1,$E470)*IF($H470="Yes",1,(1-$F470))</f>
        <v>6.8235294117647064E-4</v>
      </c>
      <c r="O470" s="130"/>
    </row>
    <row r="471" spans="1:15" ht="15" x14ac:dyDescent="0.25">
      <c r="A471" s="5"/>
      <c r="B471" s="7"/>
      <c r="C471" s="13"/>
      <c r="D471" s="19"/>
      <c r="E471" s="100"/>
      <c r="F471" s="36"/>
      <c r="G471" s="100"/>
      <c r="H471" s="36"/>
      <c r="I471" s="34"/>
      <c r="J471" s="11"/>
      <c r="K471" s="6"/>
      <c r="L471" s="20"/>
      <c r="M471" s="7"/>
      <c r="N471" s="5"/>
      <c r="O471" s="130"/>
    </row>
    <row r="472" spans="1:15" ht="15" x14ac:dyDescent="0.25">
      <c r="A472" s="5" t="s">
        <v>1537</v>
      </c>
      <c r="B472" s="7"/>
      <c r="C472" s="13" t="s">
        <v>229</v>
      </c>
      <c r="D472" s="19" t="str">
        <f>IFERROR(IF(C472="No CAS","",INDEX('DEQ Pollutant List'!$B$7:$B$611,MATCH('3. Pollutant Emissions - EF'!C472,'DEQ Pollutant List'!$A$7:$A$611,0))),"")</f>
        <v>1,3-Butadiene</v>
      </c>
      <c r="E472" s="100">
        <v>0</v>
      </c>
      <c r="F472" s="36">
        <v>0</v>
      </c>
      <c r="G472" s="100" t="s">
        <v>1415</v>
      </c>
      <c r="H472" s="36" t="s">
        <v>1415</v>
      </c>
      <c r="I472" s="34">
        <v>0.21740000000000001</v>
      </c>
      <c r="J472" s="11">
        <f t="shared" ref="J472:J521" si="13">I472</f>
        <v>0.21740000000000001</v>
      </c>
      <c r="K472" s="6" t="s">
        <v>1417</v>
      </c>
      <c r="L472" s="20" t="s">
        <v>1423</v>
      </c>
      <c r="M472" s="7">
        <f>IF(ISBLANK($B472),_xlfn.XLOOKUP($A472,'2. TEUs &amp; Activities - EF'!$A$9:$A$190,'2. TEUs &amp; Activities - EF'!$J$9:$J$190),_xlfn.XLOOKUP($B472,'2. TEUs &amp; Activities - EF'!$B$9:$B$190,'2. TEUs &amp; Activities - EF'!$J$9:$J$190))*'3. Pollutant Emissions - EF'!$I472*IF(OR(ISBLANK($E472),$G472="Yes"),1,$E472)*IF($H472="Yes",1,(1-$F472))</f>
        <v>7.8264E-2</v>
      </c>
      <c r="N472" s="5">
        <f>IF(ISBLANK($B472),_xlfn.XLOOKUP($A472,'2. TEUs &amp; Activities - EF'!$A$9:$A$190,'2. TEUs &amp; Activities - EF'!$M$9:$M$190),_xlfn.XLOOKUP($B472,'2. TEUs &amp; Activities - EF'!$B$9:$B$190,'2. TEUs &amp; Activities - EF'!$M$9:$M$190))*'3. Pollutant Emissions - EF'!$J472*IF(OR(ISBLANK($E472),$G472="Yes"),1,$E472)*IF($H472="Yes",1,(1-$F472))</f>
        <v>1.8783360000000002E-2</v>
      </c>
      <c r="O472" s="130"/>
    </row>
    <row r="473" spans="1:15" ht="15" x14ac:dyDescent="0.25">
      <c r="A473" s="5" t="s">
        <v>1537</v>
      </c>
      <c r="B473" s="7"/>
      <c r="C473" s="13" t="s">
        <v>116</v>
      </c>
      <c r="D473" s="19" t="str">
        <f>IFERROR(IF(C473="No CAS","",INDEX('DEQ Pollutant List'!$B$7:$B$611,MATCH('3. Pollutant Emissions - EF'!C473,'DEQ Pollutant List'!$A$7:$A$611,0))),"")</f>
        <v>2-Methyl naphthalene</v>
      </c>
      <c r="E473" s="100">
        <v>0</v>
      </c>
      <c r="F473" s="36">
        <v>0</v>
      </c>
      <c r="G473" s="100" t="s">
        <v>1415</v>
      </c>
      <c r="H473" s="36" t="s">
        <v>1415</v>
      </c>
      <c r="I473" s="34">
        <v>1.2297907414592798E-2</v>
      </c>
      <c r="J473" s="11">
        <f t="shared" si="13"/>
        <v>1.2297907414592798E-2</v>
      </c>
      <c r="K473" s="6" t="s">
        <v>1417</v>
      </c>
      <c r="L473" s="20" t="s">
        <v>1423</v>
      </c>
      <c r="M473" s="7">
        <f>IF(ISBLANK($B473),_xlfn.XLOOKUP($A473,'2. TEUs &amp; Activities - EF'!$A$9:$A$190,'2. TEUs &amp; Activities - EF'!$J$9:$J$190),_xlfn.XLOOKUP($B473,'2. TEUs &amp; Activities - EF'!$B$9:$B$190,'2. TEUs &amp; Activities - EF'!$J$9:$J$190))*'3. Pollutant Emissions - EF'!$I473*IF(OR(ISBLANK($E473),$G473="Yes"),1,$E473)*IF($H473="Yes",1,(1-$F473))</f>
        <v>4.4272466692534072E-3</v>
      </c>
      <c r="N473" s="5">
        <f>IF(ISBLANK($B473),_xlfn.XLOOKUP($A473,'2. TEUs &amp; Activities - EF'!$A$9:$A$190,'2. TEUs &amp; Activities - EF'!$M$9:$M$190),_xlfn.XLOOKUP($B473,'2. TEUs &amp; Activities - EF'!$B$9:$B$190,'2. TEUs &amp; Activities - EF'!$M$9:$M$190))*'3. Pollutant Emissions - EF'!$J473*IF(OR(ISBLANK($E473),$G473="Yes"),1,$E473)*IF($H473="Yes",1,(1-$F473))</f>
        <v>1.0625392006208178E-3</v>
      </c>
      <c r="O473" s="130"/>
    </row>
    <row r="474" spans="1:15" ht="15" x14ac:dyDescent="0.25">
      <c r="A474" s="5" t="s">
        <v>1537</v>
      </c>
      <c r="B474" s="7"/>
      <c r="C474" s="13" t="s">
        <v>119</v>
      </c>
      <c r="D474" s="19" t="str">
        <f>IFERROR(IF(C474="No CAS","",INDEX('DEQ Pollutant List'!$B$7:$B$611,MATCH('3. Pollutant Emissions - EF'!C474,'DEQ Pollutant List'!$A$7:$A$611,0))),"")</f>
        <v>Acenaphthene</v>
      </c>
      <c r="E474" s="100">
        <v>0</v>
      </c>
      <c r="F474" s="36">
        <v>0</v>
      </c>
      <c r="G474" s="100" t="s">
        <v>1415</v>
      </c>
      <c r="H474" s="36" t="s">
        <v>1415</v>
      </c>
      <c r="I474" s="34">
        <v>7.3461430796324472E-4</v>
      </c>
      <c r="J474" s="11">
        <f t="shared" si="13"/>
        <v>7.3461430796324472E-4</v>
      </c>
      <c r="K474" s="6" t="s">
        <v>1417</v>
      </c>
      <c r="L474" s="20" t="s">
        <v>1423</v>
      </c>
      <c r="M474" s="7">
        <f>IF(ISBLANK($B474),_xlfn.XLOOKUP($A474,'2. TEUs &amp; Activities - EF'!$A$9:$A$190,'2. TEUs &amp; Activities - EF'!$J$9:$J$190),_xlfn.XLOOKUP($B474,'2. TEUs &amp; Activities - EF'!$B$9:$B$190,'2. TEUs &amp; Activities - EF'!$J$9:$J$190))*'3. Pollutant Emissions - EF'!$I474*IF(OR(ISBLANK($E474),$G474="Yes"),1,$E474)*IF($H474="Yes",1,(1-$F474))</f>
        <v>2.6446115086676809E-4</v>
      </c>
      <c r="N474" s="5">
        <f>IF(ISBLANK($B474),_xlfn.XLOOKUP($A474,'2. TEUs &amp; Activities - EF'!$A$9:$A$190,'2. TEUs &amp; Activities - EF'!$M$9:$M$190),_xlfn.XLOOKUP($B474,'2. TEUs &amp; Activities - EF'!$B$9:$B$190,'2. TEUs &amp; Activities - EF'!$M$9:$M$190))*'3. Pollutant Emissions - EF'!$J474*IF(OR(ISBLANK($E474),$G474="Yes"),1,$E474)*IF($H474="Yes",1,(1-$F474))</f>
        <v>6.3470676208024349E-5</v>
      </c>
      <c r="O474" s="130"/>
    </row>
    <row r="475" spans="1:15" ht="15" x14ac:dyDescent="0.25">
      <c r="A475" s="5" t="s">
        <v>1537</v>
      </c>
      <c r="B475" s="7"/>
      <c r="C475" s="13" t="s">
        <v>120</v>
      </c>
      <c r="D475" s="19" t="str">
        <f>IFERROR(IF(C475="No CAS","",INDEX('DEQ Pollutant List'!$B$7:$B$611,MATCH('3. Pollutant Emissions - EF'!C475,'DEQ Pollutant List'!$A$7:$A$611,0))),"")</f>
        <v>Acenaphthylene</v>
      </c>
      <c r="E475" s="100">
        <v>0</v>
      </c>
      <c r="F475" s="36">
        <v>0</v>
      </c>
      <c r="G475" s="100" t="s">
        <v>1415</v>
      </c>
      <c r="H475" s="36" t="s">
        <v>1415</v>
      </c>
      <c r="I475" s="34">
        <v>8.0981637303101373E-4</v>
      </c>
      <c r="J475" s="11">
        <f t="shared" si="13"/>
        <v>8.0981637303101373E-4</v>
      </c>
      <c r="K475" s="6" t="s">
        <v>1417</v>
      </c>
      <c r="L475" s="20" t="s">
        <v>1423</v>
      </c>
      <c r="M475" s="7">
        <f>IF(ISBLANK($B475),_xlfn.XLOOKUP($A475,'2. TEUs &amp; Activities - EF'!$A$9:$A$190,'2. TEUs &amp; Activities - EF'!$J$9:$J$190),_xlfn.XLOOKUP($B475,'2. TEUs &amp; Activities - EF'!$B$9:$B$190,'2. TEUs &amp; Activities - EF'!$J$9:$J$190))*'3. Pollutant Emissions - EF'!$I475*IF(OR(ISBLANK($E475),$G475="Yes"),1,$E475)*IF($H475="Yes",1,(1-$F475))</f>
        <v>2.9153389429116495E-4</v>
      </c>
      <c r="N475" s="5">
        <f>IF(ISBLANK($B475),_xlfn.XLOOKUP($A475,'2. TEUs &amp; Activities - EF'!$A$9:$A$190,'2. TEUs &amp; Activities - EF'!$M$9:$M$190),_xlfn.XLOOKUP($B475,'2. TEUs &amp; Activities - EF'!$B$9:$B$190,'2. TEUs &amp; Activities - EF'!$M$9:$M$190))*'3. Pollutant Emissions - EF'!$J475*IF(OR(ISBLANK($E475),$G475="Yes"),1,$E475)*IF($H475="Yes",1,(1-$F475))</f>
        <v>6.9968134629879583E-5</v>
      </c>
      <c r="O475" s="130"/>
    </row>
    <row r="476" spans="1:15" ht="15" x14ac:dyDescent="0.25">
      <c r="A476" s="5" t="s">
        <v>1537</v>
      </c>
      <c r="B476" s="7"/>
      <c r="C476" s="13" t="s">
        <v>50</v>
      </c>
      <c r="D476" s="19" t="str">
        <f>IFERROR(IF(C476="No CAS","",INDEX('DEQ Pollutant List'!$B$7:$B$611,MATCH('3. Pollutant Emissions - EF'!C476,'DEQ Pollutant List'!$A$7:$A$611,0))),"")</f>
        <v>Acetaldehyde</v>
      </c>
      <c r="E476" s="100">
        <v>0</v>
      </c>
      <c r="F476" s="36">
        <v>0</v>
      </c>
      <c r="G476" s="100" t="s">
        <v>1415</v>
      </c>
      <c r="H476" s="36" t="s">
        <v>1415</v>
      </c>
      <c r="I476" s="34">
        <v>0.7833</v>
      </c>
      <c r="J476" s="11">
        <f t="shared" si="13"/>
        <v>0.7833</v>
      </c>
      <c r="K476" s="6" t="s">
        <v>1417</v>
      </c>
      <c r="L476" s="20" t="s">
        <v>1423</v>
      </c>
      <c r="M476" s="7">
        <f>IF(ISBLANK($B476),_xlfn.XLOOKUP($A476,'2. TEUs &amp; Activities - EF'!$A$9:$A$190,'2. TEUs &amp; Activities - EF'!$J$9:$J$190),_xlfn.XLOOKUP($B476,'2. TEUs &amp; Activities - EF'!$B$9:$B$190,'2. TEUs &amp; Activities - EF'!$J$9:$J$190))*'3. Pollutant Emissions - EF'!$I476*IF(OR(ISBLANK($E476),$G476="Yes"),1,$E476)*IF($H476="Yes",1,(1-$F476))</f>
        <v>0.28198799999999996</v>
      </c>
      <c r="N476" s="5">
        <f>IF(ISBLANK($B476),_xlfn.XLOOKUP($A476,'2. TEUs &amp; Activities - EF'!$A$9:$A$190,'2. TEUs &amp; Activities - EF'!$M$9:$M$190),_xlfn.XLOOKUP($B476,'2. TEUs &amp; Activities - EF'!$B$9:$B$190,'2. TEUs &amp; Activities - EF'!$M$9:$M$190))*'3. Pollutant Emissions - EF'!$J476*IF(OR(ISBLANK($E476),$G476="Yes"),1,$E476)*IF($H476="Yes",1,(1-$F476))</f>
        <v>6.7677120000000007E-2</v>
      </c>
      <c r="O476" s="130"/>
    </row>
    <row r="477" spans="1:15" ht="15" x14ac:dyDescent="0.25">
      <c r="A477" s="5" t="s">
        <v>1537</v>
      </c>
      <c r="B477" s="7"/>
      <c r="C477" s="13" t="s">
        <v>51</v>
      </c>
      <c r="D477" s="19" t="str">
        <f>IFERROR(IF(C477="No CAS","",INDEX('DEQ Pollutant List'!$B$7:$B$611,MATCH('3. Pollutant Emissions - EF'!C477,'DEQ Pollutant List'!$A$7:$A$611,0))),"")</f>
        <v>Acrolein</v>
      </c>
      <c r="E477" s="100">
        <v>0</v>
      </c>
      <c r="F477" s="36">
        <v>0</v>
      </c>
      <c r="G477" s="100" t="s">
        <v>1415</v>
      </c>
      <c r="H477" s="36" t="s">
        <v>1415</v>
      </c>
      <c r="I477" s="34">
        <v>3.39E-2</v>
      </c>
      <c r="J477" s="11">
        <f t="shared" si="13"/>
        <v>3.39E-2</v>
      </c>
      <c r="K477" s="6" t="s">
        <v>1417</v>
      </c>
      <c r="L477" s="20" t="s">
        <v>1423</v>
      </c>
      <c r="M477" s="7">
        <f>IF(ISBLANK($B477),_xlfn.XLOOKUP($A477,'2. TEUs &amp; Activities - EF'!$A$9:$A$190,'2. TEUs &amp; Activities - EF'!$J$9:$J$190),_xlfn.XLOOKUP($B477,'2. TEUs &amp; Activities - EF'!$B$9:$B$190,'2. TEUs &amp; Activities - EF'!$J$9:$J$190))*'3. Pollutant Emissions - EF'!$I477*IF(OR(ISBLANK($E477),$G477="Yes"),1,$E477)*IF($H477="Yes",1,(1-$F477))</f>
        <v>1.2204E-2</v>
      </c>
      <c r="N477" s="5">
        <f>IF(ISBLANK($B477),_xlfn.XLOOKUP($A477,'2. TEUs &amp; Activities - EF'!$A$9:$A$190,'2. TEUs &amp; Activities - EF'!$M$9:$M$190),_xlfn.XLOOKUP($B477,'2. TEUs &amp; Activities - EF'!$B$9:$B$190,'2. TEUs &amp; Activities - EF'!$M$9:$M$190))*'3. Pollutant Emissions - EF'!$J477*IF(OR(ISBLANK($E477),$G477="Yes"),1,$E477)*IF($H477="Yes",1,(1-$F477))</f>
        <v>2.92896E-3</v>
      </c>
      <c r="O477" s="130"/>
    </row>
    <row r="478" spans="1:15" ht="15" x14ac:dyDescent="0.25">
      <c r="A478" s="5" t="s">
        <v>1537</v>
      </c>
      <c r="B478" s="7"/>
      <c r="C478" s="13" t="s">
        <v>52</v>
      </c>
      <c r="D478" s="19" t="str">
        <f>IFERROR(IF(C478="No CAS","",INDEX('DEQ Pollutant List'!$B$7:$B$611,MATCH('3. Pollutant Emissions - EF'!C478,'DEQ Pollutant List'!$A$7:$A$611,0))),"")</f>
        <v>Ammonia</v>
      </c>
      <c r="E478" s="100">
        <v>0</v>
      </c>
      <c r="F478" s="36">
        <v>0</v>
      </c>
      <c r="G478" s="100" t="s">
        <v>1415</v>
      </c>
      <c r="H478" s="36" t="s">
        <v>1415</v>
      </c>
      <c r="I478" s="34">
        <v>2.9</v>
      </c>
      <c r="J478" s="11">
        <f t="shared" si="13"/>
        <v>2.9</v>
      </c>
      <c r="K478" s="6" t="s">
        <v>1417</v>
      </c>
      <c r="L478" s="20" t="s">
        <v>1423</v>
      </c>
      <c r="M478" s="7">
        <f>IF(ISBLANK($B478),_xlfn.XLOOKUP($A478,'2. TEUs &amp; Activities - EF'!$A$9:$A$190,'2. TEUs &amp; Activities - EF'!$J$9:$J$190),_xlfn.XLOOKUP($B478,'2. TEUs &amp; Activities - EF'!$B$9:$B$190,'2. TEUs &amp; Activities - EF'!$J$9:$J$190))*'3. Pollutant Emissions - EF'!$I478*IF(OR(ISBLANK($E478),$G478="Yes"),1,$E478)*IF($H478="Yes",1,(1-$F478))</f>
        <v>1.044</v>
      </c>
      <c r="N478" s="5">
        <f>IF(ISBLANK($B478),_xlfn.XLOOKUP($A478,'2. TEUs &amp; Activities - EF'!$A$9:$A$190,'2. TEUs &amp; Activities - EF'!$M$9:$M$190),_xlfn.XLOOKUP($B478,'2. TEUs &amp; Activities - EF'!$B$9:$B$190,'2. TEUs &amp; Activities - EF'!$M$9:$M$190))*'3. Pollutant Emissions - EF'!$J478*IF(OR(ISBLANK($E478),$G478="Yes"),1,$E478)*IF($H478="Yes",1,(1-$F478))</f>
        <v>0.25056</v>
      </c>
      <c r="O478" s="130"/>
    </row>
    <row r="479" spans="1:15" ht="15" x14ac:dyDescent="0.25">
      <c r="A479" s="5" t="s">
        <v>1537</v>
      </c>
      <c r="B479" s="7"/>
      <c r="C479" s="13" t="s">
        <v>121</v>
      </c>
      <c r="D479" s="19" t="str">
        <f>IFERROR(IF(C479="No CAS","",INDEX('DEQ Pollutant List'!$B$7:$B$611,MATCH('3. Pollutant Emissions - EF'!C479,'DEQ Pollutant List'!$A$7:$A$611,0))),"")</f>
        <v>Anthracene</v>
      </c>
      <c r="E479" s="100">
        <v>0</v>
      </c>
      <c r="F479" s="36">
        <v>0</v>
      </c>
      <c r="G479" s="100" t="s">
        <v>1415</v>
      </c>
      <c r="H479" s="36" t="s">
        <v>1415</v>
      </c>
      <c r="I479" s="34">
        <v>4.5209000937094504E-4</v>
      </c>
      <c r="J479" s="11">
        <f t="shared" si="13"/>
        <v>4.5209000937094504E-4</v>
      </c>
      <c r="K479" s="6" t="s">
        <v>1417</v>
      </c>
      <c r="L479" s="20" t="s">
        <v>1423</v>
      </c>
      <c r="M479" s="7">
        <f>IF(ISBLANK($B479),_xlfn.XLOOKUP($A479,'2. TEUs &amp; Activities - EF'!$A$9:$A$190,'2. TEUs &amp; Activities - EF'!$J$9:$J$190),_xlfn.XLOOKUP($B479,'2. TEUs &amp; Activities - EF'!$B$9:$B$190,'2. TEUs &amp; Activities - EF'!$J$9:$J$190))*'3. Pollutant Emissions - EF'!$I479*IF(OR(ISBLANK($E479),$G479="Yes"),1,$E479)*IF($H479="Yes",1,(1-$F479))</f>
        <v>1.6275240337354019E-4</v>
      </c>
      <c r="N479" s="5">
        <f>IF(ISBLANK($B479),_xlfn.XLOOKUP($A479,'2. TEUs &amp; Activities - EF'!$A$9:$A$190,'2. TEUs &amp; Activities - EF'!$M$9:$M$190),_xlfn.XLOOKUP($B479,'2. TEUs &amp; Activities - EF'!$B$9:$B$190,'2. TEUs &amp; Activities - EF'!$M$9:$M$190))*'3. Pollutant Emissions - EF'!$J479*IF(OR(ISBLANK($E479),$G479="Yes"),1,$E479)*IF($H479="Yes",1,(1-$F479))</f>
        <v>3.9060576809649654E-5</v>
      </c>
      <c r="O479" s="130"/>
    </row>
    <row r="480" spans="1:15" ht="15" x14ac:dyDescent="0.25">
      <c r="A480" s="5" t="s">
        <v>1537</v>
      </c>
      <c r="B480" s="7"/>
      <c r="C480" s="13" t="s">
        <v>112</v>
      </c>
      <c r="D480" s="19" t="str">
        <f>IFERROR(IF(C480="No CAS","",INDEX('DEQ Pollutant List'!$B$7:$B$611,MATCH('3. Pollutant Emissions - EF'!C480,'DEQ Pollutant List'!$A$7:$A$611,0))),"")</f>
        <v>Antimony and compounds</v>
      </c>
      <c r="E480" s="100">
        <v>0</v>
      </c>
      <c r="F480" s="36">
        <v>0</v>
      </c>
      <c r="G480" s="100" t="s">
        <v>1415</v>
      </c>
      <c r="H480" s="36" t="s">
        <v>1415</v>
      </c>
      <c r="I480" s="34">
        <v>3.1818727304855452E-4</v>
      </c>
      <c r="J480" s="11">
        <f t="shared" si="13"/>
        <v>3.1818727304855452E-4</v>
      </c>
      <c r="K480" s="6" t="s">
        <v>1417</v>
      </c>
      <c r="L480" s="20" t="s">
        <v>1423</v>
      </c>
      <c r="M480" s="7">
        <f>IF(ISBLANK($B480),_xlfn.XLOOKUP($A480,'2. TEUs &amp; Activities - EF'!$A$9:$A$190,'2. TEUs &amp; Activities - EF'!$J$9:$J$190),_xlfn.XLOOKUP($B480,'2. TEUs &amp; Activities - EF'!$B$9:$B$190,'2. TEUs &amp; Activities - EF'!$J$9:$J$190))*'3. Pollutant Emissions - EF'!$I480*IF(OR(ISBLANK($E480),$G480="Yes"),1,$E480)*IF($H480="Yes",1,(1-$F480))</f>
        <v>1.1454741829747962E-4</v>
      </c>
      <c r="N480" s="5">
        <f>IF(ISBLANK($B480),_xlfn.XLOOKUP($A480,'2. TEUs &amp; Activities - EF'!$A$9:$A$190,'2. TEUs &amp; Activities - EF'!$M$9:$M$190),_xlfn.XLOOKUP($B480,'2. TEUs &amp; Activities - EF'!$B$9:$B$190,'2. TEUs &amp; Activities - EF'!$M$9:$M$190))*'3. Pollutant Emissions - EF'!$J480*IF(OR(ISBLANK($E480),$G480="Yes"),1,$E480)*IF($H480="Yes",1,(1-$F480))</f>
        <v>2.7491380391395112E-5</v>
      </c>
      <c r="O480" s="130"/>
    </row>
    <row r="481" spans="1:15" ht="15" x14ac:dyDescent="0.25">
      <c r="A481" s="5" t="s">
        <v>1537</v>
      </c>
      <c r="B481" s="7"/>
      <c r="C481" s="13" t="s">
        <v>53</v>
      </c>
      <c r="D481" s="19" t="str">
        <f>IFERROR(IF(C481="No CAS","",INDEX('DEQ Pollutant List'!$B$7:$B$611,MATCH('3. Pollutant Emissions - EF'!C481,'DEQ Pollutant List'!$A$7:$A$611,0))),"")</f>
        <v>Arsenic and compounds</v>
      </c>
      <c r="E481" s="100">
        <v>0</v>
      </c>
      <c r="F481" s="36">
        <v>0</v>
      </c>
      <c r="G481" s="100" t="s">
        <v>1415</v>
      </c>
      <c r="H481" s="36" t="s">
        <v>1415</v>
      </c>
      <c r="I481" s="34">
        <v>2.7685267838269253E-4</v>
      </c>
      <c r="J481" s="11">
        <f t="shared" si="13"/>
        <v>2.7685267838269253E-4</v>
      </c>
      <c r="K481" s="6" t="s">
        <v>1417</v>
      </c>
      <c r="L481" s="20" t="s">
        <v>1423</v>
      </c>
      <c r="M481" s="7">
        <f>IF(ISBLANK($B481),_xlfn.XLOOKUP($A481,'2. TEUs &amp; Activities - EF'!$A$9:$A$190,'2. TEUs &amp; Activities - EF'!$J$9:$J$190),_xlfn.XLOOKUP($B481,'2. TEUs &amp; Activities - EF'!$B$9:$B$190,'2. TEUs &amp; Activities - EF'!$J$9:$J$190))*'3. Pollutant Emissions - EF'!$I481*IF(OR(ISBLANK($E481),$G481="Yes"),1,$E481)*IF($H481="Yes",1,(1-$F481))</f>
        <v>9.9666964217769312E-5</v>
      </c>
      <c r="N481" s="5">
        <f>IF(ISBLANK($B481),_xlfn.XLOOKUP($A481,'2. TEUs &amp; Activities - EF'!$A$9:$A$190,'2. TEUs &amp; Activities - EF'!$M$9:$M$190),_xlfn.XLOOKUP($B481,'2. TEUs &amp; Activities - EF'!$B$9:$B$190,'2. TEUs &amp; Activities - EF'!$M$9:$M$190))*'3. Pollutant Emissions - EF'!$J481*IF(OR(ISBLANK($E481),$G481="Yes"),1,$E481)*IF($H481="Yes",1,(1-$F481))</f>
        <v>2.3920071412264636E-5</v>
      </c>
      <c r="O481" s="130"/>
    </row>
    <row r="482" spans="1:15" ht="15" x14ac:dyDescent="0.25">
      <c r="A482" s="5" t="s">
        <v>1537</v>
      </c>
      <c r="B482" s="7"/>
      <c r="C482" s="13" t="s">
        <v>54</v>
      </c>
      <c r="D482" s="19" t="str">
        <f>IFERROR(IF(C482="No CAS","",INDEX('DEQ Pollutant List'!$B$7:$B$611,MATCH('3. Pollutant Emissions - EF'!C482,'DEQ Pollutant List'!$A$7:$A$611,0))),"")</f>
        <v>Barium and compounds</v>
      </c>
      <c r="E482" s="100">
        <v>0</v>
      </c>
      <c r="F482" s="36">
        <v>0</v>
      </c>
      <c r="G482" s="100" t="s">
        <v>1415</v>
      </c>
      <c r="H482" s="36" t="s">
        <v>1415</v>
      </c>
      <c r="I482" s="34">
        <v>3.7389334939055331E-4</v>
      </c>
      <c r="J482" s="11">
        <f t="shared" si="13"/>
        <v>3.7389334939055331E-4</v>
      </c>
      <c r="K482" s="6" t="s">
        <v>1417</v>
      </c>
      <c r="L482" s="20" t="s">
        <v>1423</v>
      </c>
      <c r="M482" s="7">
        <f>IF(ISBLANK($B482),_xlfn.XLOOKUP($A482,'2. TEUs &amp; Activities - EF'!$A$9:$A$190,'2. TEUs &amp; Activities - EF'!$J$9:$J$190),_xlfn.XLOOKUP($B482,'2. TEUs &amp; Activities - EF'!$B$9:$B$190,'2. TEUs &amp; Activities - EF'!$J$9:$J$190))*'3. Pollutant Emissions - EF'!$I482*IF(OR(ISBLANK($E482),$G482="Yes"),1,$E482)*IF($H482="Yes",1,(1-$F482))</f>
        <v>1.3460160578059919E-4</v>
      </c>
      <c r="N482" s="5">
        <f>IF(ISBLANK($B482),_xlfn.XLOOKUP($A482,'2. TEUs &amp; Activities - EF'!$A$9:$A$190,'2. TEUs &amp; Activities - EF'!$M$9:$M$190),_xlfn.XLOOKUP($B482,'2. TEUs &amp; Activities - EF'!$B$9:$B$190,'2. TEUs &amp; Activities - EF'!$M$9:$M$190))*'3. Pollutant Emissions - EF'!$J482*IF(OR(ISBLANK($E482),$G482="Yes"),1,$E482)*IF($H482="Yes",1,(1-$F482))</f>
        <v>3.2304385387343811E-5</v>
      </c>
      <c r="O482" s="130"/>
    </row>
    <row r="483" spans="1:15" ht="15" x14ac:dyDescent="0.25">
      <c r="A483" s="5" t="s">
        <v>1537</v>
      </c>
      <c r="B483" s="7"/>
      <c r="C483" s="13" t="s">
        <v>122</v>
      </c>
      <c r="D483" s="19" t="str">
        <f>IFERROR(IF(C483="No CAS","",INDEX('DEQ Pollutant List'!$B$7:$B$611,MATCH('3. Pollutant Emissions - EF'!C483,'DEQ Pollutant List'!$A$7:$A$611,0))),"")</f>
        <v>Benz[a]anthracene</v>
      </c>
      <c r="E483" s="100">
        <v>0</v>
      </c>
      <c r="F483" s="36">
        <v>0</v>
      </c>
      <c r="G483" s="100" t="s">
        <v>1415</v>
      </c>
      <c r="H483" s="36" t="s">
        <v>1415</v>
      </c>
      <c r="I483" s="34">
        <v>4.8541323701614526E-5</v>
      </c>
      <c r="J483" s="11">
        <f t="shared" si="13"/>
        <v>4.8541323701614526E-5</v>
      </c>
      <c r="K483" s="6" t="s">
        <v>1417</v>
      </c>
      <c r="L483" s="20" t="s">
        <v>1423</v>
      </c>
      <c r="M483" s="7">
        <f>IF(ISBLANK($B483),_xlfn.XLOOKUP($A483,'2. TEUs &amp; Activities - EF'!$A$9:$A$190,'2. TEUs &amp; Activities - EF'!$J$9:$J$190),_xlfn.XLOOKUP($B483,'2. TEUs &amp; Activities - EF'!$B$9:$B$190,'2. TEUs &amp; Activities - EF'!$J$9:$J$190))*'3. Pollutant Emissions - EF'!$I483*IF(OR(ISBLANK($E483),$G483="Yes"),1,$E483)*IF($H483="Yes",1,(1-$F483))</f>
        <v>1.7474876532581227E-5</v>
      </c>
      <c r="N483" s="5">
        <f>IF(ISBLANK($B483),_xlfn.XLOOKUP($A483,'2. TEUs &amp; Activities - EF'!$A$9:$A$190,'2. TEUs &amp; Activities - EF'!$M$9:$M$190),_xlfn.XLOOKUP($B483,'2. TEUs &amp; Activities - EF'!$B$9:$B$190,'2. TEUs &amp; Activities - EF'!$M$9:$M$190))*'3. Pollutant Emissions - EF'!$J483*IF(OR(ISBLANK($E483),$G483="Yes"),1,$E483)*IF($H483="Yes",1,(1-$F483))</f>
        <v>4.1939703678194957E-6</v>
      </c>
      <c r="O483" s="130"/>
    </row>
    <row r="484" spans="1:15" ht="15" x14ac:dyDescent="0.25">
      <c r="A484" s="5" t="s">
        <v>1537</v>
      </c>
      <c r="B484" s="7"/>
      <c r="C484" s="13" t="s">
        <v>46</v>
      </c>
      <c r="D484" s="19" t="str">
        <f>IFERROR(IF(C484="No CAS","",INDEX('DEQ Pollutant List'!$B$7:$B$611,MATCH('3. Pollutant Emissions - EF'!C484,'DEQ Pollutant List'!$A$7:$A$611,0))),"")</f>
        <v>Benzene</v>
      </c>
      <c r="E484" s="100">
        <v>0</v>
      </c>
      <c r="F484" s="36">
        <v>0</v>
      </c>
      <c r="G484" s="100" t="s">
        <v>1415</v>
      </c>
      <c r="H484" s="36" t="s">
        <v>1415</v>
      </c>
      <c r="I484" s="34">
        <v>0.18629999999999999</v>
      </c>
      <c r="J484" s="11">
        <f t="shared" si="13"/>
        <v>0.18629999999999999</v>
      </c>
      <c r="K484" s="6" t="s">
        <v>1417</v>
      </c>
      <c r="L484" s="20" t="s">
        <v>1423</v>
      </c>
      <c r="M484" s="7">
        <f>IF(ISBLANK($B484),_xlfn.XLOOKUP($A484,'2. TEUs &amp; Activities - EF'!$A$9:$A$190,'2. TEUs &amp; Activities - EF'!$J$9:$J$190),_xlfn.XLOOKUP($B484,'2. TEUs &amp; Activities - EF'!$B$9:$B$190,'2. TEUs &amp; Activities - EF'!$J$9:$J$190))*'3. Pollutant Emissions - EF'!$I484*IF(OR(ISBLANK($E484),$G484="Yes"),1,$E484)*IF($H484="Yes",1,(1-$F484))</f>
        <v>6.7067999999999989E-2</v>
      </c>
      <c r="N484" s="5">
        <f>IF(ISBLANK($B484),_xlfn.XLOOKUP($A484,'2. TEUs &amp; Activities - EF'!$A$9:$A$190,'2. TEUs &amp; Activities - EF'!$M$9:$M$190),_xlfn.XLOOKUP($B484,'2. TEUs &amp; Activities - EF'!$B$9:$B$190,'2. TEUs &amp; Activities - EF'!$M$9:$M$190))*'3. Pollutant Emissions - EF'!$J484*IF(OR(ISBLANK($E484),$G484="Yes"),1,$E484)*IF($H484="Yes",1,(1-$F484))</f>
        <v>1.6096320000000001E-2</v>
      </c>
      <c r="O484" s="130"/>
    </row>
    <row r="485" spans="1:15" ht="15" x14ac:dyDescent="0.25">
      <c r="A485" s="5" t="s">
        <v>1537</v>
      </c>
      <c r="B485" s="7"/>
      <c r="C485" s="13" t="s">
        <v>48</v>
      </c>
      <c r="D485" s="19" t="str">
        <f>IFERROR(IF(C485="No CAS","",INDEX('DEQ Pollutant List'!$B$7:$B$611,MATCH('3. Pollutant Emissions - EF'!C485,'DEQ Pollutant List'!$A$7:$A$611,0))),"")</f>
        <v>Benzo[a]pyrene</v>
      </c>
      <c r="E485" s="100">
        <v>0</v>
      </c>
      <c r="F485" s="36">
        <v>0</v>
      </c>
      <c r="G485" s="100" t="s">
        <v>1415</v>
      </c>
      <c r="H485" s="36" t="s">
        <v>1415</v>
      </c>
      <c r="I485" s="34">
        <v>1.4385237354722992E-5</v>
      </c>
      <c r="J485" s="11">
        <f t="shared" si="13"/>
        <v>1.4385237354722992E-5</v>
      </c>
      <c r="K485" s="6" t="s">
        <v>1417</v>
      </c>
      <c r="L485" s="20" t="s">
        <v>1423</v>
      </c>
      <c r="M485" s="7">
        <f>IF(ISBLANK($B485),_xlfn.XLOOKUP($A485,'2. TEUs &amp; Activities - EF'!$A$9:$A$190,'2. TEUs &amp; Activities - EF'!$J$9:$J$190),_xlfn.XLOOKUP($B485,'2. TEUs &amp; Activities - EF'!$B$9:$B$190,'2. TEUs &amp; Activities - EF'!$J$9:$J$190))*'3. Pollutant Emissions - EF'!$I485*IF(OR(ISBLANK($E485),$G485="Yes"),1,$E485)*IF($H485="Yes",1,(1-$F485))</f>
        <v>5.1786854477002772E-6</v>
      </c>
      <c r="N485" s="5">
        <f>IF(ISBLANK($B485),_xlfn.XLOOKUP($A485,'2. TEUs &amp; Activities - EF'!$A$9:$A$190,'2. TEUs &amp; Activities - EF'!$M$9:$M$190),_xlfn.XLOOKUP($B485,'2. TEUs &amp; Activities - EF'!$B$9:$B$190,'2. TEUs &amp; Activities - EF'!$M$9:$M$190))*'3. Pollutant Emissions - EF'!$J485*IF(OR(ISBLANK($E485),$G485="Yes"),1,$E485)*IF($H485="Yes",1,(1-$F485))</f>
        <v>1.2428845074480667E-6</v>
      </c>
      <c r="O485" s="130"/>
    </row>
    <row r="486" spans="1:15" ht="15" x14ac:dyDescent="0.25">
      <c r="A486" s="5" t="s">
        <v>1537</v>
      </c>
      <c r="B486" s="7"/>
      <c r="C486" s="13" t="s">
        <v>123</v>
      </c>
      <c r="D486" s="19" t="str">
        <f>IFERROR(IF(C486="No CAS","",INDEX('DEQ Pollutant List'!$B$7:$B$611,MATCH('3. Pollutant Emissions - EF'!C486,'DEQ Pollutant List'!$A$7:$A$611,0))),"")</f>
        <v>Benzo[b]fluoranthene</v>
      </c>
      <c r="E486" s="100">
        <v>0</v>
      </c>
      <c r="F486" s="36">
        <v>0</v>
      </c>
      <c r="G486" s="100" t="s">
        <v>1415</v>
      </c>
      <c r="H486" s="36" t="s">
        <v>1415</v>
      </c>
      <c r="I486" s="34">
        <v>4.4353578135943152E-5</v>
      </c>
      <c r="J486" s="11">
        <f t="shared" si="13"/>
        <v>4.4353578135943152E-5</v>
      </c>
      <c r="K486" s="6" t="s">
        <v>1417</v>
      </c>
      <c r="L486" s="20" t="s">
        <v>1423</v>
      </c>
      <c r="M486" s="7">
        <f>IF(ISBLANK($B486),_xlfn.XLOOKUP($A486,'2. TEUs &amp; Activities - EF'!$A$9:$A$190,'2. TEUs &amp; Activities - EF'!$J$9:$J$190),_xlfn.XLOOKUP($B486,'2. TEUs &amp; Activities - EF'!$B$9:$B$190,'2. TEUs &amp; Activities - EF'!$J$9:$J$190))*'3. Pollutant Emissions - EF'!$I486*IF(OR(ISBLANK($E486),$G486="Yes"),1,$E486)*IF($H486="Yes",1,(1-$F486))</f>
        <v>1.5967288128939535E-5</v>
      </c>
      <c r="N486" s="5">
        <f>IF(ISBLANK($B486),_xlfn.XLOOKUP($A486,'2. TEUs &amp; Activities - EF'!$A$9:$A$190,'2. TEUs &amp; Activities - EF'!$M$9:$M$190),_xlfn.XLOOKUP($B486,'2. TEUs &amp; Activities - EF'!$B$9:$B$190,'2. TEUs &amp; Activities - EF'!$M$9:$M$190))*'3. Pollutant Emissions - EF'!$J486*IF(OR(ISBLANK($E486),$G486="Yes"),1,$E486)*IF($H486="Yes",1,(1-$F486))</f>
        <v>3.8321491509454886E-6</v>
      </c>
      <c r="O486" s="130"/>
    </row>
    <row r="487" spans="1:15" ht="15" x14ac:dyDescent="0.25">
      <c r="A487" s="5" t="s">
        <v>1537</v>
      </c>
      <c r="B487" s="7"/>
      <c r="C487" s="13" t="s">
        <v>124</v>
      </c>
      <c r="D487" s="19" t="str">
        <f>IFERROR(IF(C487="No CAS","",INDEX('DEQ Pollutant List'!$B$7:$B$611,MATCH('3. Pollutant Emissions - EF'!C487,'DEQ Pollutant List'!$A$7:$A$611,0))),"")</f>
        <v>Benzo[e]pyrene</v>
      </c>
      <c r="E487" s="100">
        <v>0</v>
      </c>
      <c r="F487" s="36">
        <v>0</v>
      </c>
      <c r="G487" s="100" t="s">
        <v>1415</v>
      </c>
      <c r="H487" s="36" t="s">
        <v>1415</v>
      </c>
      <c r="I487" s="34">
        <v>3.2868294417433586E-5</v>
      </c>
      <c r="J487" s="11">
        <f t="shared" si="13"/>
        <v>3.2868294417433586E-5</v>
      </c>
      <c r="K487" s="6" t="s">
        <v>1417</v>
      </c>
      <c r="L487" s="20" t="s">
        <v>1423</v>
      </c>
      <c r="M487" s="7">
        <f>IF(ISBLANK($B487),_xlfn.XLOOKUP($A487,'2. TEUs &amp; Activities - EF'!$A$9:$A$190,'2. TEUs &amp; Activities - EF'!$J$9:$J$190),_xlfn.XLOOKUP($B487,'2. TEUs &amp; Activities - EF'!$B$9:$B$190,'2. TEUs &amp; Activities - EF'!$J$9:$J$190))*'3. Pollutant Emissions - EF'!$I487*IF(OR(ISBLANK($E487),$G487="Yes"),1,$E487)*IF($H487="Yes",1,(1-$F487))</f>
        <v>1.1832585990276091E-5</v>
      </c>
      <c r="N487" s="5">
        <f>IF(ISBLANK($B487),_xlfn.XLOOKUP($A487,'2. TEUs &amp; Activities - EF'!$A$9:$A$190,'2. TEUs &amp; Activities - EF'!$M$9:$M$190),_xlfn.XLOOKUP($B487,'2. TEUs &amp; Activities - EF'!$B$9:$B$190,'2. TEUs &amp; Activities - EF'!$M$9:$M$190))*'3. Pollutant Emissions - EF'!$J487*IF(OR(ISBLANK($E487),$G487="Yes"),1,$E487)*IF($H487="Yes",1,(1-$F487))</f>
        <v>2.8398206376662618E-6</v>
      </c>
      <c r="O487" s="130"/>
    </row>
    <row r="488" spans="1:15" ht="15" x14ac:dyDescent="0.25">
      <c r="A488" s="5" t="s">
        <v>1537</v>
      </c>
      <c r="B488" s="7"/>
      <c r="C488" s="13" t="s">
        <v>125</v>
      </c>
      <c r="D488" s="19" t="str">
        <f>IFERROR(IF(C488="No CAS","",INDEX('DEQ Pollutant List'!$B$7:$B$611,MATCH('3. Pollutant Emissions - EF'!C488,'DEQ Pollutant List'!$A$7:$A$611,0))),"")</f>
        <v>Benzo[g,h,i]perylene</v>
      </c>
      <c r="E488" s="100">
        <v>0</v>
      </c>
      <c r="F488" s="36">
        <v>0</v>
      </c>
      <c r="G488" s="100" t="s">
        <v>1415</v>
      </c>
      <c r="H488" s="36" t="s">
        <v>1415</v>
      </c>
      <c r="I488" s="34">
        <v>2.187429870630113E-5</v>
      </c>
      <c r="J488" s="11">
        <f t="shared" si="13"/>
        <v>2.187429870630113E-5</v>
      </c>
      <c r="K488" s="6" t="s">
        <v>1417</v>
      </c>
      <c r="L488" s="20" t="s">
        <v>1423</v>
      </c>
      <c r="M488" s="7">
        <f>IF(ISBLANK($B488),_xlfn.XLOOKUP($A488,'2. TEUs &amp; Activities - EF'!$A$9:$A$190,'2. TEUs &amp; Activities - EF'!$J$9:$J$190),_xlfn.XLOOKUP($B488,'2. TEUs &amp; Activities - EF'!$B$9:$B$190,'2. TEUs &amp; Activities - EF'!$J$9:$J$190))*'3. Pollutant Emissions - EF'!$I488*IF(OR(ISBLANK($E488),$G488="Yes"),1,$E488)*IF($H488="Yes",1,(1-$F488))</f>
        <v>7.8747475342684061E-6</v>
      </c>
      <c r="N488" s="5">
        <f>IF(ISBLANK($B488),_xlfn.XLOOKUP($A488,'2. TEUs &amp; Activities - EF'!$A$9:$A$190,'2. TEUs &amp; Activities - EF'!$M$9:$M$190),_xlfn.XLOOKUP($B488,'2. TEUs &amp; Activities - EF'!$B$9:$B$190,'2. TEUs &amp; Activities - EF'!$M$9:$M$190))*'3. Pollutant Emissions - EF'!$J488*IF(OR(ISBLANK($E488),$G488="Yes"),1,$E488)*IF($H488="Yes",1,(1-$F488))</f>
        <v>1.8899394082244177E-6</v>
      </c>
      <c r="O488" s="130"/>
    </row>
    <row r="489" spans="1:15" ht="15" x14ac:dyDescent="0.25">
      <c r="A489" s="5" t="s">
        <v>1537</v>
      </c>
      <c r="B489" s="7"/>
      <c r="C489" s="13" t="s">
        <v>127</v>
      </c>
      <c r="D489" s="19" t="str">
        <f>IFERROR(IF(C489="No CAS","",INDEX('DEQ Pollutant List'!$B$7:$B$611,MATCH('3. Pollutant Emissions - EF'!C489,'DEQ Pollutant List'!$A$7:$A$611,0))),"")</f>
        <v>Benzo[k]fluoranthene</v>
      </c>
      <c r="E489" s="100">
        <v>0</v>
      </c>
      <c r="F489" s="36">
        <v>0</v>
      </c>
      <c r="G489" s="100" t="s">
        <v>1415</v>
      </c>
      <c r="H489" s="36" t="s">
        <v>1415</v>
      </c>
      <c r="I489" s="34">
        <v>1.3054358967800315E-5</v>
      </c>
      <c r="J489" s="11">
        <f t="shared" si="13"/>
        <v>1.3054358967800315E-5</v>
      </c>
      <c r="K489" s="6" t="s">
        <v>1417</v>
      </c>
      <c r="L489" s="20" t="s">
        <v>1423</v>
      </c>
      <c r="M489" s="7">
        <f>IF(ISBLANK($B489),_xlfn.XLOOKUP($A489,'2. TEUs &amp; Activities - EF'!$A$9:$A$190,'2. TEUs &amp; Activities - EF'!$J$9:$J$190),_xlfn.XLOOKUP($B489,'2. TEUs &amp; Activities - EF'!$B$9:$B$190,'2. TEUs &amp; Activities - EF'!$J$9:$J$190))*'3. Pollutant Emissions - EF'!$I489*IF(OR(ISBLANK($E489),$G489="Yes"),1,$E489)*IF($H489="Yes",1,(1-$F489))</f>
        <v>4.6995692284081128E-6</v>
      </c>
      <c r="N489" s="5">
        <f>IF(ISBLANK($B489),_xlfn.XLOOKUP($A489,'2. TEUs &amp; Activities - EF'!$A$9:$A$190,'2. TEUs &amp; Activities - EF'!$M$9:$M$190),_xlfn.XLOOKUP($B489,'2. TEUs &amp; Activities - EF'!$B$9:$B$190,'2. TEUs &amp; Activities - EF'!$M$9:$M$190))*'3. Pollutant Emissions - EF'!$J489*IF(OR(ISBLANK($E489),$G489="Yes"),1,$E489)*IF($H489="Yes",1,(1-$F489))</f>
        <v>1.1278966148179471E-6</v>
      </c>
      <c r="O489" s="130"/>
    </row>
    <row r="490" spans="1:15" ht="15" x14ac:dyDescent="0.25">
      <c r="A490" s="5" t="s">
        <v>1537</v>
      </c>
      <c r="B490" s="7"/>
      <c r="C490" s="13" t="s">
        <v>55</v>
      </c>
      <c r="D490" s="19" t="str">
        <f>IFERROR(IF(C490="No CAS","",INDEX('DEQ Pollutant List'!$B$7:$B$611,MATCH('3. Pollutant Emissions - EF'!C490,'DEQ Pollutant List'!$A$7:$A$611,0))),"")</f>
        <v>Beryllium and compounds</v>
      </c>
      <c r="E490" s="100">
        <v>0</v>
      </c>
      <c r="F490" s="36">
        <v>0</v>
      </c>
      <c r="G490" s="100" t="s">
        <v>1415</v>
      </c>
      <c r="H490" s="36" t="s">
        <v>1415</v>
      </c>
      <c r="I490" s="34">
        <v>4.7708462766464961E-6</v>
      </c>
      <c r="J490" s="11">
        <f t="shared" si="13"/>
        <v>4.7708462766464961E-6</v>
      </c>
      <c r="K490" s="6" t="s">
        <v>1417</v>
      </c>
      <c r="L490" s="20" t="s">
        <v>1423</v>
      </c>
      <c r="M490" s="7">
        <f>IF(ISBLANK($B490),_xlfn.XLOOKUP($A490,'2. TEUs &amp; Activities - EF'!$A$9:$A$190,'2. TEUs &amp; Activities - EF'!$J$9:$J$190),_xlfn.XLOOKUP($B490,'2. TEUs &amp; Activities - EF'!$B$9:$B$190,'2. TEUs &amp; Activities - EF'!$J$9:$J$190))*'3. Pollutant Emissions - EF'!$I490*IF(OR(ISBLANK($E490),$G490="Yes"),1,$E490)*IF($H490="Yes",1,(1-$F490))</f>
        <v>1.7175046595927385E-6</v>
      </c>
      <c r="N490" s="5">
        <f>IF(ISBLANK($B490),_xlfn.XLOOKUP($A490,'2. TEUs &amp; Activities - EF'!$A$9:$A$190,'2. TEUs &amp; Activities - EF'!$M$9:$M$190),_xlfn.XLOOKUP($B490,'2. TEUs &amp; Activities - EF'!$B$9:$B$190,'2. TEUs &amp; Activities - EF'!$M$9:$M$190))*'3. Pollutant Emissions - EF'!$J490*IF(OR(ISBLANK($E490),$G490="Yes"),1,$E490)*IF($H490="Yes",1,(1-$F490))</f>
        <v>4.1220111830225728E-7</v>
      </c>
      <c r="O490" s="130"/>
    </row>
    <row r="491" spans="1:15" ht="15" x14ac:dyDescent="0.25">
      <c r="A491" s="5" t="s">
        <v>1537</v>
      </c>
      <c r="B491" s="7"/>
      <c r="C491" s="13" t="s">
        <v>56</v>
      </c>
      <c r="D491" s="19" t="str">
        <f>IFERROR(IF(C491="No CAS","",INDEX('DEQ Pollutant List'!$B$7:$B$611,MATCH('3. Pollutant Emissions - EF'!C491,'DEQ Pollutant List'!$A$7:$A$611,0))),"")</f>
        <v>Cadmium and compounds</v>
      </c>
      <c r="E491" s="100">
        <v>0</v>
      </c>
      <c r="F491" s="36">
        <v>0</v>
      </c>
      <c r="G491" s="100" t="s">
        <v>1415</v>
      </c>
      <c r="H491" s="36" t="s">
        <v>1415</v>
      </c>
      <c r="I491" s="34">
        <v>8.0778295781549296E-5</v>
      </c>
      <c r="J491" s="11">
        <f t="shared" si="13"/>
        <v>8.0778295781549296E-5</v>
      </c>
      <c r="K491" s="6" t="s">
        <v>1417</v>
      </c>
      <c r="L491" s="20" t="s">
        <v>1423</v>
      </c>
      <c r="M491" s="7">
        <f>IF(ISBLANK($B491),_xlfn.XLOOKUP($A491,'2. TEUs &amp; Activities - EF'!$A$9:$A$190,'2. TEUs &amp; Activities - EF'!$J$9:$J$190),_xlfn.XLOOKUP($B491,'2. TEUs &amp; Activities - EF'!$B$9:$B$190,'2. TEUs &amp; Activities - EF'!$J$9:$J$190))*'3. Pollutant Emissions - EF'!$I491*IF(OR(ISBLANK($E491),$G491="Yes"),1,$E491)*IF($H491="Yes",1,(1-$F491))</f>
        <v>2.9080186481357746E-5</v>
      </c>
      <c r="N491" s="5">
        <f>IF(ISBLANK($B491),_xlfn.XLOOKUP($A491,'2. TEUs &amp; Activities - EF'!$A$9:$A$190,'2. TEUs &amp; Activities - EF'!$M$9:$M$190),_xlfn.XLOOKUP($B491,'2. TEUs &amp; Activities - EF'!$B$9:$B$190,'2. TEUs &amp; Activities - EF'!$M$9:$M$190))*'3. Pollutant Emissions - EF'!$J491*IF(OR(ISBLANK($E491),$G491="Yes"),1,$E491)*IF($H491="Yes",1,(1-$F491))</f>
        <v>6.9792447555258599E-6</v>
      </c>
      <c r="O491" s="130"/>
    </row>
    <row r="492" spans="1:15" ht="15" x14ac:dyDescent="0.25">
      <c r="A492" s="5" t="s">
        <v>1537</v>
      </c>
      <c r="B492" s="7"/>
      <c r="C492" s="13" t="s">
        <v>88</v>
      </c>
      <c r="D492" s="19" t="str">
        <f>IFERROR(IF(C492="No CAS","",INDEX('DEQ Pollutant List'!$B$7:$B$611,MATCH('3. Pollutant Emissions - EF'!C492,'DEQ Pollutant List'!$A$7:$A$611,0))),"")</f>
        <v>Chlorobenzene</v>
      </c>
      <c r="E492" s="100">
        <v>0</v>
      </c>
      <c r="F492" s="36">
        <v>0</v>
      </c>
      <c r="G492" s="100" t="s">
        <v>1415</v>
      </c>
      <c r="H492" s="36" t="s">
        <v>1415</v>
      </c>
      <c r="I492" s="34">
        <v>2.0000000000000001E-4</v>
      </c>
      <c r="J492" s="11">
        <f t="shared" si="13"/>
        <v>2.0000000000000001E-4</v>
      </c>
      <c r="K492" s="6" t="s">
        <v>1417</v>
      </c>
      <c r="L492" s="20" t="s">
        <v>1423</v>
      </c>
      <c r="M492" s="7">
        <f>IF(ISBLANK($B492),_xlfn.XLOOKUP($A492,'2. TEUs &amp; Activities - EF'!$A$9:$A$190,'2. TEUs &amp; Activities - EF'!$J$9:$J$190),_xlfn.XLOOKUP($B492,'2. TEUs &amp; Activities - EF'!$B$9:$B$190,'2. TEUs &amp; Activities - EF'!$J$9:$J$190))*'3. Pollutant Emissions - EF'!$I492*IF(OR(ISBLANK($E492),$G492="Yes"),1,$E492)*IF($H492="Yes",1,(1-$F492))</f>
        <v>7.2000000000000002E-5</v>
      </c>
      <c r="N492" s="5">
        <f>IF(ISBLANK($B492),_xlfn.XLOOKUP($A492,'2. TEUs &amp; Activities - EF'!$A$9:$A$190,'2. TEUs &amp; Activities - EF'!$M$9:$M$190),_xlfn.XLOOKUP($B492,'2. TEUs &amp; Activities - EF'!$B$9:$B$190,'2. TEUs &amp; Activities - EF'!$M$9:$M$190))*'3. Pollutant Emissions - EF'!$J492*IF(OR(ISBLANK($E492),$G492="Yes"),1,$E492)*IF($H492="Yes",1,(1-$F492))</f>
        <v>1.7280000000000001E-5</v>
      </c>
      <c r="O492" s="130"/>
    </row>
    <row r="493" spans="1:15" ht="15" x14ac:dyDescent="0.25">
      <c r="A493" s="5" t="s">
        <v>1537</v>
      </c>
      <c r="B493" s="7"/>
      <c r="C493" s="13" t="s">
        <v>57</v>
      </c>
      <c r="D493" s="19" t="str">
        <f>IFERROR(IF(C493="No CAS","",INDEX('DEQ Pollutant List'!$B$7:$B$611,MATCH('3. Pollutant Emissions - EF'!C493,'DEQ Pollutant List'!$A$7:$A$611,0))),"")</f>
        <v>Chromium VI, chromate and dichromate particulate</v>
      </c>
      <c r="E493" s="100">
        <v>0</v>
      </c>
      <c r="F493" s="36">
        <v>0</v>
      </c>
      <c r="G493" s="100" t="s">
        <v>1415</v>
      </c>
      <c r="H493" s="36" t="s">
        <v>1415</v>
      </c>
      <c r="I493" s="34">
        <v>6.3144459628541096E-5</v>
      </c>
      <c r="J493" s="11">
        <f t="shared" si="13"/>
        <v>6.3144459628541096E-5</v>
      </c>
      <c r="K493" s="6" t="s">
        <v>1417</v>
      </c>
      <c r="L493" s="20" t="s">
        <v>1423</v>
      </c>
      <c r="M493" s="7">
        <f>IF(ISBLANK($B493),_xlfn.XLOOKUP($A493,'2. TEUs &amp; Activities - EF'!$A$9:$A$190,'2. TEUs &amp; Activities - EF'!$J$9:$J$190),_xlfn.XLOOKUP($B493,'2. TEUs &amp; Activities - EF'!$B$9:$B$190,'2. TEUs &amp; Activities - EF'!$J$9:$J$190))*'3. Pollutant Emissions - EF'!$I493*IF(OR(ISBLANK($E493),$G493="Yes"),1,$E493)*IF($H493="Yes",1,(1-$F493))</f>
        <v>2.2732005466274794E-5</v>
      </c>
      <c r="N493" s="5">
        <f>IF(ISBLANK($B493),_xlfn.XLOOKUP($A493,'2. TEUs &amp; Activities - EF'!$A$9:$A$190,'2. TEUs &amp; Activities - EF'!$M$9:$M$190),_xlfn.XLOOKUP($B493,'2. TEUs &amp; Activities - EF'!$B$9:$B$190,'2. TEUs &amp; Activities - EF'!$M$9:$M$190))*'3. Pollutant Emissions - EF'!$J493*IF(OR(ISBLANK($E493),$G493="Yes"),1,$E493)*IF($H493="Yes",1,(1-$F493))</f>
        <v>5.4556813119059506E-6</v>
      </c>
      <c r="O493" s="130"/>
    </row>
    <row r="494" spans="1:15" ht="15" x14ac:dyDescent="0.25">
      <c r="A494" s="5" t="s">
        <v>1537</v>
      </c>
      <c r="B494" s="7"/>
      <c r="C494" s="13" t="s">
        <v>128</v>
      </c>
      <c r="D494" s="19" t="str">
        <f>IFERROR(IF(C494="No CAS","",INDEX('DEQ Pollutant List'!$B$7:$B$611,MATCH('3. Pollutant Emissions - EF'!C494,'DEQ Pollutant List'!$A$7:$A$611,0))),"")</f>
        <v>Chrysene</v>
      </c>
      <c r="E494" s="100">
        <v>0</v>
      </c>
      <c r="F494" s="36">
        <v>0</v>
      </c>
      <c r="G494" s="100" t="s">
        <v>1415</v>
      </c>
      <c r="H494" s="36" t="s">
        <v>1415</v>
      </c>
      <c r="I494" s="34">
        <v>6.6999913157770699E-5</v>
      </c>
      <c r="J494" s="11">
        <f t="shared" si="13"/>
        <v>6.6999913157770699E-5</v>
      </c>
      <c r="K494" s="6" t="s">
        <v>1417</v>
      </c>
      <c r="L494" s="20" t="s">
        <v>1423</v>
      </c>
      <c r="M494" s="7">
        <f>IF(ISBLANK($B494),_xlfn.XLOOKUP($A494,'2. TEUs &amp; Activities - EF'!$A$9:$A$190,'2. TEUs &amp; Activities - EF'!$J$9:$J$190),_xlfn.XLOOKUP($B494,'2. TEUs &amp; Activities - EF'!$B$9:$B$190,'2. TEUs &amp; Activities - EF'!$J$9:$J$190))*'3. Pollutant Emissions - EF'!$I494*IF(OR(ISBLANK($E494),$G494="Yes"),1,$E494)*IF($H494="Yes",1,(1-$F494))</f>
        <v>2.4119968736797452E-5</v>
      </c>
      <c r="N494" s="5">
        <f>IF(ISBLANK($B494),_xlfn.XLOOKUP($A494,'2. TEUs &amp; Activities - EF'!$A$9:$A$190,'2. TEUs &amp; Activities - EF'!$M$9:$M$190),_xlfn.XLOOKUP($B494,'2. TEUs &amp; Activities - EF'!$B$9:$B$190,'2. TEUs &amp; Activities - EF'!$M$9:$M$190))*'3. Pollutant Emissions - EF'!$J494*IF(OR(ISBLANK($E494),$G494="Yes"),1,$E494)*IF($H494="Yes",1,(1-$F494))</f>
        <v>5.7887924968313885E-6</v>
      </c>
      <c r="O494" s="130"/>
    </row>
    <row r="495" spans="1:15" ht="15" x14ac:dyDescent="0.25">
      <c r="A495" s="5" t="s">
        <v>1537</v>
      </c>
      <c r="B495" s="7"/>
      <c r="C495" s="13" t="s">
        <v>58</v>
      </c>
      <c r="D495" s="19" t="str">
        <f>IFERROR(IF(C495="No CAS","",INDEX('DEQ Pollutant List'!$B$7:$B$611,MATCH('3. Pollutant Emissions - EF'!C495,'DEQ Pollutant List'!$A$7:$A$611,0))),"")</f>
        <v>Cobalt and compounds</v>
      </c>
      <c r="E495" s="100">
        <v>0</v>
      </c>
      <c r="F495" s="36">
        <v>0</v>
      </c>
      <c r="G495" s="100" t="s">
        <v>1415</v>
      </c>
      <c r="H495" s="36" t="s">
        <v>1415</v>
      </c>
      <c r="I495" s="34">
        <v>1.5751137782235815E-5</v>
      </c>
      <c r="J495" s="11">
        <f t="shared" si="13"/>
        <v>1.5751137782235815E-5</v>
      </c>
      <c r="K495" s="6" t="s">
        <v>1417</v>
      </c>
      <c r="L495" s="20" t="s">
        <v>1423</v>
      </c>
      <c r="M495" s="7">
        <f>IF(ISBLANK($B495),_xlfn.XLOOKUP($A495,'2. TEUs &amp; Activities - EF'!$A$9:$A$190,'2. TEUs &amp; Activities - EF'!$J$9:$J$190),_xlfn.XLOOKUP($B495,'2. TEUs &amp; Activities - EF'!$B$9:$B$190,'2. TEUs &amp; Activities - EF'!$J$9:$J$190))*'3. Pollutant Emissions - EF'!$I495*IF(OR(ISBLANK($E495),$G495="Yes"),1,$E495)*IF($H495="Yes",1,(1-$F495))</f>
        <v>5.6704096016048929E-6</v>
      </c>
      <c r="N495" s="5">
        <f>IF(ISBLANK($B495),_xlfn.XLOOKUP($A495,'2. TEUs &amp; Activities - EF'!$A$9:$A$190,'2. TEUs &amp; Activities - EF'!$M$9:$M$190),_xlfn.XLOOKUP($B495,'2. TEUs &amp; Activities - EF'!$B$9:$B$190,'2. TEUs &amp; Activities - EF'!$M$9:$M$190))*'3. Pollutant Emissions - EF'!$J495*IF(OR(ISBLANK($E495),$G495="Yes"),1,$E495)*IF($H495="Yes",1,(1-$F495))</f>
        <v>1.3608983043851744E-6</v>
      </c>
      <c r="O495" s="130"/>
    </row>
    <row r="496" spans="1:15" ht="15" x14ac:dyDescent="0.25">
      <c r="A496" s="5" t="s">
        <v>1537</v>
      </c>
      <c r="B496" s="7"/>
      <c r="C496" s="13" t="s">
        <v>59</v>
      </c>
      <c r="D496" s="19" t="str">
        <f>IFERROR(IF(C496="No CAS","",INDEX('DEQ Pollutant List'!$B$7:$B$611,MATCH('3. Pollutant Emissions - EF'!C496,'DEQ Pollutant List'!$A$7:$A$611,0))),"")</f>
        <v>Copper and compounds</v>
      </c>
      <c r="E496" s="100">
        <v>0</v>
      </c>
      <c r="F496" s="36">
        <v>0</v>
      </c>
      <c r="G496" s="100" t="s">
        <v>1415</v>
      </c>
      <c r="H496" s="36" t="s">
        <v>1415</v>
      </c>
      <c r="I496" s="34">
        <v>5.0213520825554141E-4</v>
      </c>
      <c r="J496" s="11">
        <f t="shared" si="13"/>
        <v>5.0213520825554141E-4</v>
      </c>
      <c r="K496" s="6" t="s">
        <v>1417</v>
      </c>
      <c r="L496" s="20" t="s">
        <v>1423</v>
      </c>
      <c r="M496" s="7">
        <f>IF(ISBLANK($B496),_xlfn.XLOOKUP($A496,'2. TEUs &amp; Activities - EF'!$A$9:$A$190,'2. TEUs &amp; Activities - EF'!$J$9:$J$190),_xlfn.XLOOKUP($B496,'2. TEUs &amp; Activities - EF'!$B$9:$B$190,'2. TEUs &amp; Activities - EF'!$J$9:$J$190))*'3. Pollutant Emissions - EF'!$I496*IF(OR(ISBLANK($E496),$G496="Yes"),1,$E496)*IF($H496="Yes",1,(1-$F496))</f>
        <v>1.807686749719949E-4</v>
      </c>
      <c r="N496" s="5">
        <f>IF(ISBLANK($B496),_xlfn.XLOOKUP($A496,'2. TEUs &amp; Activities - EF'!$A$9:$A$190,'2. TEUs &amp; Activities - EF'!$M$9:$M$190),_xlfn.XLOOKUP($B496,'2. TEUs &amp; Activities - EF'!$B$9:$B$190,'2. TEUs &amp; Activities - EF'!$M$9:$M$190))*'3. Pollutant Emissions - EF'!$J496*IF(OR(ISBLANK($E496),$G496="Yes"),1,$E496)*IF($H496="Yes",1,(1-$F496))</f>
        <v>4.3384481993278782E-5</v>
      </c>
      <c r="O496" s="130"/>
    </row>
    <row r="497" spans="1:15" ht="15" x14ac:dyDescent="0.25">
      <c r="A497" s="5" t="s">
        <v>1537</v>
      </c>
      <c r="B497" s="7"/>
      <c r="C497" s="13" t="s">
        <v>608</v>
      </c>
      <c r="D497" s="19" t="str">
        <f>IFERROR(IF(C497="No CAS","",INDEX('DEQ Pollutant List'!$B$7:$B$611,MATCH('3. Pollutant Emissions - EF'!C497,'DEQ Pollutant List'!$A$7:$A$611,0))),"")</f>
        <v>Dibenz[a,h]anthracene</v>
      </c>
      <c r="E497" s="100">
        <v>0</v>
      </c>
      <c r="F497" s="36">
        <v>0</v>
      </c>
      <c r="G497" s="100" t="s">
        <v>1415</v>
      </c>
      <c r="H497" s="36" t="s">
        <v>1415</v>
      </c>
      <c r="I497" s="34">
        <v>1.0369866679621714E-6</v>
      </c>
      <c r="J497" s="11">
        <f t="shared" si="13"/>
        <v>1.0369866679621714E-6</v>
      </c>
      <c r="K497" s="6" t="s">
        <v>1417</v>
      </c>
      <c r="L497" s="20" t="s">
        <v>1423</v>
      </c>
      <c r="M497" s="7">
        <f>IF(ISBLANK($B497),_xlfn.XLOOKUP($A497,'2. TEUs &amp; Activities - EF'!$A$9:$A$190,'2. TEUs &amp; Activities - EF'!$J$9:$J$190),_xlfn.XLOOKUP($B497,'2. TEUs &amp; Activities - EF'!$B$9:$B$190,'2. TEUs &amp; Activities - EF'!$J$9:$J$190))*'3. Pollutant Emissions - EF'!$I497*IF(OR(ISBLANK($E497),$G497="Yes"),1,$E497)*IF($H497="Yes",1,(1-$F497))</f>
        <v>3.733152004663817E-7</v>
      </c>
      <c r="N497" s="5">
        <f>IF(ISBLANK($B497),_xlfn.XLOOKUP($A497,'2. TEUs &amp; Activities - EF'!$A$9:$A$190,'2. TEUs &amp; Activities - EF'!$M$9:$M$190),_xlfn.XLOOKUP($B497,'2. TEUs &amp; Activities - EF'!$B$9:$B$190,'2. TEUs &amp; Activities - EF'!$M$9:$M$190))*'3. Pollutant Emissions - EF'!$J497*IF(OR(ISBLANK($E497),$G497="Yes"),1,$E497)*IF($H497="Yes",1,(1-$F497))</f>
        <v>8.9595648111931616E-8</v>
      </c>
      <c r="O497" s="130"/>
    </row>
    <row r="498" spans="1:15" ht="15" x14ac:dyDescent="0.25">
      <c r="A498" s="5" t="s">
        <v>1537</v>
      </c>
      <c r="B498" s="7"/>
      <c r="C498" s="13">
        <v>200</v>
      </c>
      <c r="D498" s="19" t="str">
        <f>IFERROR(IF(C498="No CAS","",INDEX('DEQ Pollutant List'!$B$7:$B$611,MATCH('3. Pollutant Emissions - EF'!C498,'DEQ Pollutant List'!$A$7:$A$611,0))),"")</f>
        <v>Diesel particulate matter</v>
      </c>
      <c r="E498" s="100">
        <v>0</v>
      </c>
      <c r="F498" s="36">
        <v>0</v>
      </c>
      <c r="G498" s="100" t="s">
        <v>1415</v>
      </c>
      <c r="H498" s="36" t="s">
        <v>1415</v>
      </c>
      <c r="I498" s="34">
        <v>16.9752457004105</v>
      </c>
      <c r="J498" s="11">
        <f t="shared" si="13"/>
        <v>16.9752457004105</v>
      </c>
      <c r="K498" s="6" t="s">
        <v>1417</v>
      </c>
      <c r="L498" s="20" t="s">
        <v>1423</v>
      </c>
      <c r="M498" s="7">
        <f>IF(ISBLANK($B498),_xlfn.XLOOKUP($A498,'2. TEUs &amp; Activities - EF'!$A$9:$A$190,'2. TEUs &amp; Activities - EF'!$J$9:$J$190),_xlfn.XLOOKUP($B498,'2. TEUs &amp; Activities - EF'!$B$9:$B$190,'2. TEUs &amp; Activities - EF'!$J$9:$J$190))*'3. Pollutant Emissions - EF'!$I498*IF(OR(ISBLANK($E498),$G498="Yes"),1,$E498)*IF($H498="Yes",1,(1-$F498))</f>
        <v>6.1110884521477802</v>
      </c>
      <c r="N498" s="5">
        <f>IF(ISBLANK($B498),_xlfn.XLOOKUP($A498,'2. TEUs &amp; Activities - EF'!$A$9:$A$190,'2. TEUs &amp; Activities - EF'!$M$9:$M$190),_xlfn.XLOOKUP($B498,'2. TEUs &amp; Activities - EF'!$B$9:$B$190,'2. TEUs &amp; Activities - EF'!$M$9:$M$190))*'3. Pollutant Emissions - EF'!$J498*IF(OR(ISBLANK($E498),$G498="Yes"),1,$E498)*IF($H498="Yes",1,(1-$F498))</f>
        <v>1.4666612285154672</v>
      </c>
      <c r="O498" s="130"/>
    </row>
    <row r="499" spans="1:15" ht="15" x14ac:dyDescent="0.25">
      <c r="A499" s="5" t="s">
        <v>1537</v>
      </c>
      <c r="B499" s="7"/>
      <c r="C499" s="13" t="s">
        <v>60</v>
      </c>
      <c r="D499" s="19" t="str">
        <f>IFERROR(IF(C499="No CAS","",INDEX('DEQ Pollutant List'!$B$7:$B$611,MATCH('3. Pollutant Emissions - EF'!C499,'DEQ Pollutant List'!$A$7:$A$611,0))),"")</f>
        <v>Ethyl benzene</v>
      </c>
      <c r="E499" s="100">
        <v>0</v>
      </c>
      <c r="F499" s="36">
        <v>0</v>
      </c>
      <c r="G499" s="100" t="s">
        <v>1415</v>
      </c>
      <c r="H499" s="36" t="s">
        <v>1415</v>
      </c>
      <c r="I499" s="34">
        <v>1.09E-2</v>
      </c>
      <c r="J499" s="11">
        <f t="shared" si="13"/>
        <v>1.09E-2</v>
      </c>
      <c r="K499" s="6" t="s">
        <v>1417</v>
      </c>
      <c r="L499" s="20" t="s">
        <v>1423</v>
      </c>
      <c r="M499" s="7">
        <f>IF(ISBLANK($B499),_xlfn.XLOOKUP($A499,'2. TEUs &amp; Activities - EF'!$A$9:$A$190,'2. TEUs &amp; Activities - EF'!$J$9:$J$190),_xlfn.XLOOKUP($B499,'2. TEUs &amp; Activities - EF'!$B$9:$B$190,'2. TEUs &amp; Activities - EF'!$J$9:$J$190))*'3. Pollutant Emissions - EF'!$I499*IF(OR(ISBLANK($E499),$G499="Yes"),1,$E499)*IF($H499="Yes",1,(1-$F499))</f>
        <v>3.9239999999999995E-3</v>
      </c>
      <c r="N499" s="5">
        <f>IF(ISBLANK($B499),_xlfn.XLOOKUP($A499,'2. TEUs &amp; Activities - EF'!$A$9:$A$190,'2. TEUs &amp; Activities - EF'!$M$9:$M$190),_xlfn.XLOOKUP($B499,'2. TEUs &amp; Activities - EF'!$B$9:$B$190,'2. TEUs &amp; Activities - EF'!$M$9:$M$190))*'3. Pollutant Emissions - EF'!$J499*IF(OR(ISBLANK($E499),$G499="Yes"),1,$E499)*IF($H499="Yes",1,(1-$F499))</f>
        <v>9.4176000000000004E-4</v>
      </c>
      <c r="O499" s="130"/>
    </row>
    <row r="500" spans="1:15" ht="15" x14ac:dyDescent="0.25">
      <c r="A500" s="5" t="s">
        <v>1537</v>
      </c>
      <c r="B500" s="7"/>
      <c r="C500" s="13" t="s">
        <v>129</v>
      </c>
      <c r="D500" s="19" t="str">
        <f>IFERROR(IF(C500="No CAS","",INDEX('DEQ Pollutant List'!$B$7:$B$611,MATCH('3. Pollutant Emissions - EF'!C500,'DEQ Pollutant List'!$A$7:$A$611,0))),"")</f>
        <v>Fluoranthene</v>
      </c>
      <c r="E500" s="100">
        <v>0</v>
      </c>
      <c r="F500" s="36">
        <v>0</v>
      </c>
      <c r="G500" s="100" t="s">
        <v>1415</v>
      </c>
      <c r="H500" s="36" t="s">
        <v>1415</v>
      </c>
      <c r="I500" s="34">
        <v>3.6995325890908364E-4</v>
      </c>
      <c r="J500" s="11">
        <f t="shared" si="13"/>
        <v>3.6995325890908364E-4</v>
      </c>
      <c r="K500" s="6" t="s">
        <v>1417</v>
      </c>
      <c r="L500" s="20" t="s">
        <v>1423</v>
      </c>
      <c r="M500" s="7">
        <f>IF(ISBLANK($B500),_xlfn.XLOOKUP($A500,'2. TEUs &amp; Activities - EF'!$A$9:$A$190,'2. TEUs &amp; Activities - EF'!$J$9:$J$190),_xlfn.XLOOKUP($B500,'2. TEUs &amp; Activities - EF'!$B$9:$B$190,'2. TEUs &amp; Activities - EF'!$J$9:$J$190))*'3. Pollutant Emissions - EF'!$I500*IF(OR(ISBLANK($E500),$G500="Yes"),1,$E500)*IF($H500="Yes",1,(1-$F500))</f>
        <v>1.331831732072701E-4</v>
      </c>
      <c r="N500" s="5">
        <f>IF(ISBLANK($B500),_xlfn.XLOOKUP($A500,'2. TEUs &amp; Activities - EF'!$A$9:$A$190,'2. TEUs &amp; Activities - EF'!$M$9:$M$190),_xlfn.XLOOKUP($B500,'2. TEUs &amp; Activities - EF'!$B$9:$B$190,'2. TEUs &amp; Activities - EF'!$M$9:$M$190))*'3. Pollutant Emissions - EF'!$J500*IF(OR(ISBLANK($E500),$G500="Yes"),1,$E500)*IF($H500="Yes",1,(1-$F500))</f>
        <v>3.1963961569744827E-5</v>
      </c>
      <c r="O500" s="130"/>
    </row>
    <row r="501" spans="1:15" ht="15" x14ac:dyDescent="0.25">
      <c r="A501" s="5" t="s">
        <v>1537</v>
      </c>
      <c r="B501" s="7"/>
      <c r="C501" s="13" t="s">
        <v>130</v>
      </c>
      <c r="D501" s="19" t="str">
        <f>IFERROR(IF(C501="No CAS","",INDEX('DEQ Pollutant List'!$B$7:$B$611,MATCH('3. Pollutant Emissions - EF'!C501,'DEQ Pollutant List'!$A$7:$A$611,0))),"")</f>
        <v>Fluorene</v>
      </c>
      <c r="E501" s="100">
        <v>0</v>
      </c>
      <c r="F501" s="36">
        <v>0</v>
      </c>
      <c r="G501" s="100" t="s">
        <v>1415</v>
      </c>
      <c r="H501" s="36" t="s">
        <v>1415</v>
      </c>
      <c r="I501" s="34">
        <v>2.1843972782305239E-3</v>
      </c>
      <c r="J501" s="11">
        <f t="shared" si="13"/>
        <v>2.1843972782305239E-3</v>
      </c>
      <c r="K501" s="6" t="s">
        <v>1417</v>
      </c>
      <c r="L501" s="20" t="s">
        <v>1423</v>
      </c>
      <c r="M501" s="7">
        <f>IF(ISBLANK($B501),_xlfn.XLOOKUP($A501,'2. TEUs &amp; Activities - EF'!$A$9:$A$190,'2. TEUs &amp; Activities - EF'!$J$9:$J$190),_xlfn.XLOOKUP($B501,'2. TEUs &amp; Activities - EF'!$B$9:$B$190,'2. TEUs &amp; Activities - EF'!$J$9:$J$190))*'3. Pollutant Emissions - EF'!$I501*IF(OR(ISBLANK($E501),$G501="Yes"),1,$E501)*IF($H501="Yes",1,(1-$F501))</f>
        <v>7.8638302016298856E-4</v>
      </c>
      <c r="N501" s="5">
        <f>IF(ISBLANK($B501),_xlfn.XLOOKUP($A501,'2. TEUs &amp; Activities - EF'!$A$9:$A$190,'2. TEUs &amp; Activities - EF'!$M$9:$M$190),_xlfn.XLOOKUP($B501,'2. TEUs &amp; Activities - EF'!$B$9:$B$190,'2. TEUs &amp; Activities - EF'!$M$9:$M$190))*'3. Pollutant Emissions - EF'!$J501*IF(OR(ISBLANK($E501),$G501="Yes"),1,$E501)*IF($H501="Yes",1,(1-$F501))</f>
        <v>1.8873192483911727E-4</v>
      </c>
      <c r="O501" s="130"/>
    </row>
    <row r="502" spans="1:15" ht="15" x14ac:dyDescent="0.25">
      <c r="A502" s="5" t="s">
        <v>1537</v>
      </c>
      <c r="B502" s="7"/>
      <c r="C502" s="13" t="s">
        <v>47</v>
      </c>
      <c r="D502" s="19" t="str">
        <f>IFERROR(IF(C502="No CAS","",INDEX('DEQ Pollutant List'!$B$7:$B$611,MATCH('3. Pollutant Emissions - EF'!C502,'DEQ Pollutant List'!$A$7:$A$611,0))),"")</f>
        <v>Formaldehyde</v>
      </c>
      <c r="E502" s="100">
        <v>0</v>
      </c>
      <c r="F502" s="36">
        <v>0</v>
      </c>
      <c r="G502" s="100" t="s">
        <v>1415</v>
      </c>
      <c r="H502" s="36" t="s">
        <v>1415</v>
      </c>
      <c r="I502" s="34">
        <v>2.7130627655139485</v>
      </c>
      <c r="J502" s="11">
        <f t="shared" si="13"/>
        <v>2.7130627655139485</v>
      </c>
      <c r="K502" s="6" t="s">
        <v>1417</v>
      </c>
      <c r="L502" s="20" t="s">
        <v>1423</v>
      </c>
      <c r="M502" s="7">
        <f>IF(ISBLANK($B502),_xlfn.XLOOKUP($A502,'2. TEUs &amp; Activities - EF'!$A$9:$A$190,'2. TEUs &amp; Activities - EF'!$J$9:$J$190),_xlfn.XLOOKUP($B502,'2. TEUs &amp; Activities - EF'!$B$9:$B$190,'2. TEUs &amp; Activities - EF'!$J$9:$J$190))*'3. Pollutant Emissions - EF'!$I502*IF(OR(ISBLANK($E502),$G502="Yes"),1,$E502)*IF($H502="Yes",1,(1-$F502))</f>
        <v>0.97670259558502148</v>
      </c>
      <c r="N502" s="5">
        <f>IF(ISBLANK($B502),_xlfn.XLOOKUP($A502,'2. TEUs &amp; Activities - EF'!$A$9:$A$190,'2. TEUs &amp; Activities - EF'!$M$9:$M$190),_xlfn.XLOOKUP($B502,'2. TEUs &amp; Activities - EF'!$B$9:$B$190,'2. TEUs &amp; Activities - EF'!$M$9:$M$190))*'3. Pollutant Emissions - EF'!$J502*IF(OR(ISBLANK($E502),$G502="Yes"),1,$E502)*IF($H502="Yes",1,(1-$F502))</f>
        <v>0.23440862294040515</v>
      </c>
      <c r="O502" s="130"/>
    </row>
    <row r="503" spans="1:15" ht="15" x14ac:dyDescent="0.25">
      <c r="A503" s="5" t="s">
        <v>1537</v>
      </c>
      <c r="B503" s="7"/>
      <c r="C503" s="13" t="s">
        <v>61</v>
      </c>
      <c r="D503" s="19" t="str">
        <f>IFERROR(IF(C503="No CAS","",INDEX('DEQ Pollutant List'!$B$7:$B$611,MATCH('3. Pollutant Emissions - EF'!C503,'DEQ Pollutant List'!$A$7:$A$611,0))),"")</f>
        <v>Hexane</v>
      </c>
      <c r="E503" s="100">
        <v>0</v>
      </c>
      <c r="F503" s="36">
        <v>0</v>
      </c>
      <c r="G503" s="100" t="s">
        <v>1415</v>
      </c>
      <c r="H503" s="36" t="s">
        <v>1415</v>
      </c>
      <c r="I503" s="34">
        <v>2.69E-2</v>
      </c>
      <c r="J503" s="11">
        <f t="shared" si="13"/>
        <v>2.69E-2</v>
      </c>
      <c r="K503" s="6" t="s">
        <v>1417</v>
      </c>
      <c r="L503" s="20" t="s">
        <v>1423</v>
      </c>
      <c r="M503" s="7">
        <f>IF(ISBLANK($B503),_xlfn.XLOOKUP($A503,'2. TEUs &amp; Activities - EF'!$A$9:$A$190,'2. TEUs &amp; Activities - EF'!$J$9:$J$190),_xlfn.XLOOKUP($B503,'2. TEUs &amp; Activities - EF'!$B$9:$B$190,'2. TEUs &amp; Activities - EF'!$J$9:$J$190))*'3. Pollutant Emissions - EF'!$I503*IF(OR(ISBLANK($E503),$G503="Yes"),1,$E503)*IF($H503="Yes",1,(1-$F503))</f>
        <v>9.6839999999999999E-3</v>
      </c>
      <c r="N503" s="5">
        <f>IF(ISBLANK($B503),_xlfn.XLOOKUP($A503,'2. TEUs &amp; Activities - EF'!$A$9:$A$190,'2. TEUs &amp; Activities - EF'!$M$9:$M$190),_xlfn.XLOOKUP($B503,'2. TEUs &amp; Activities - EF'!$B$9:$B$190,'2. TEUs &amp; Activities - EF'!$M$9:$M$190))*'3. Pollutant Emissions - EF'!$J503*IF(OR(ISBLANK($E503),$G503="Yes"),1,$E503)*IF($H503="Yes",1,(1-$F503))</f>
        <v>2.32416E-3</v>
      </c>
      <c r="O503" s="130"/>
    </row>
    <row r="504" spans="1:15" ht="15" x14ac:dyDescent="0.25">
      <c r="A504" s="5" t="s">
        <v>1537</v>
      </c>
      <c r="B504" s="7"/>
      <c r="C504" s="13" t="s">
        <v>97</v>
      </c>
      <c r="D504" s="19" t="str">
        <f>IFERROR(IF(C504="No CAS","",INDEX('DEQ Pollutant List'!$B$7:$B$611,MATCH('3. Pollutant Emissions - EF'!C504,'DEQ Pollutant List'!$A$7:$A$611,0))),"")</f>
        <v>Hydrochloric acid</v>
      </c>
      <c r="E504" s="100">
        <v>0</v>
      </c>
      <c r="F504" s="36">
        <v>0</v>
      </c>
      <c r="G504" s="100" t="s">
        <v>1415</v>
      </c>
      <c r="H504" s="36" t="s">
        <v>1415</v>
      </c>
      <c r="I504" s="34">
        <v>0.18629999999999999</v>
      </c>
      <c r="J504" s="11">
        <f t="shared" si="13"/>
        <v>0.18629999999999999</v>
      </c>
      <c r="K504" s="6" t="s">
        <v>1417</v>
      </c>
      <c r="L504" s="20" t="s">
        <v>1423</v>
      </c>
      <c r="M504" s="7">
        <f>IF(ISBLANK($B504),_xlfn.XLOOKUP($A504,'2. TEUs &amp; Activities - EF'!$A$9:$A$190,'2. TEUs &amp; Activities - EF'!$J$9:$J$190),_xlfn.XLOOKUP($B504,'2. TEUs &amp; Activities - EF'!$B$9:$B$190,'2. TEUs &amp; Activities - EF'!$J$9:$J$190))*'3. Pollutant Emissions - EF'!$I504*IF(OR(ISBLANK($E504),$G504="Yes"),1,$E504)*IF($H504="Yes",1,(1-$F504))</f>
        <v>6.7067999999999989E-2</v>
      </c>
      <c r="N504" s="5">
        <f>IF(ISBLANK($B504),_xlfn.XLOOKUP($A504,'2. TEUs &amp; Activities - EF'!$A$9:$A$190,'2. TEUs &amp; Activities - EF'!$M$9:$M$190),_xlfn.XLOOKUP($B504,'2. TEUs &amp; Activities - EF'!$B$9:$B$190,'2. TEUs &amp; Activities - EF'!$M$9:$M$190))*'3. Pollutant Emissions - EF'!$J504*IF(OR(ISBLANK($E504),$G504="Yes"),1,$E504)*IF($H504="Yes",1,(1-$F504))</f>
        <v>1.6096320000000001E-2</v>
      </c>
      <c r="O504" s="130"/>
    </row>
    <row r="505" spans="1:15" ht="15" x14ac:dyDescent="0.25">
      <c r="A505" s="5" t="s">
        <v>1537</v>
      </c>
      <c r="B505" s="7"/>
      <c r="C505" s="13" t="s">
        <v>131</v>
      </c>
      <c r="D505" s="19" t="str">
        <f>IFERROR(IF(C505="No CAS","",INDEX('DEQ Pollutant List'!$B$7:$B$611,MATCH('3. Pollutant Emissions - EF'!C505,'DEQ Pollutant List'!$A$7:$A$611,0))),"")</f>
        <v>Indeno[1,2,3-cd]pyrene</v>
      </c>
      <c r="E505" s="100">
        <v>0</v>
      </c>
      <c r="F505" s="36">
        <v>0</v>
      </c>
      <c r="G505" s="100" t="s">
        <v>1415</v>
      </c>
      <c r="H505" s="36" t="s">
        <v>1415</v>
      </c>
      <c r="I505" s="34">
        <v>1.0710973550430282E-5</v>
      </c>
      <c r="J505" s="11">
        <f t="shared" si="13"/>
        <v>1.0710973550430282E-5</v>
      </c>
      <c r="K505" s="6" t="s">
        <v>1417</v>
      </c>
      <c r="L505" s="20" t="s">
        <v>1423</v>
      </c>
      <c r="M505" s="7">
        <f>IF(ISBLANK($B505),_xlfn.XLOOKUP($A505,'2. TEUs &amp; Activities - EF'!$A$9:$A$190,'2. TEUs &amp; Activities - EF'!$J$9:$J$190),_xlfn.XLOOKUP($B505,'2. TEUs &amp; Activities - EF'!$B$9:$B$190,'2. TEUs &amp; Activities - EF'!$J$9:$J$190))*'3. Pollutant Emissions - EF'!$I505*IF(OR(ISBLANK($E505),$G505="Yes"),1,$E505)*IF($H505="Yes",1,(1-$F505))</f>
        <v>3.8559504781549013E-6</v>
      </c>
      <c r="N505" s="5">
        <f>IF(ISBLANK($B505),_xlfn.XLOOKUP($A505,'2. TEUs &amp; Activities - EF'!$A$9:$A$190,'2. TEUs &amp; Activities - EF'!$M$9:$M$190),_xlfn.XLOOKUP($B505,'2. TEUs &amp; Activities - EF'!$B$9:$B$190,'2. TEUs &amp; Activities - EF'!$M$9:$M$190))*'3. Pollutant Emissions - EF'!$J505*IF(OR(ISBLANK($E505),$G505="Yes"),1,$E505)*IF($H505="Yes",1,(1-$F505))</f>
        <v>9.2542811475717639E-7</v>
      </c>
      <c r="O505" s="130"/>
    </row>
    <row r="506" spans="1:15" ht="15" x14ac:dyDescent="0.25">
      <c r="A506" s="5" t="s">
        <v>1537</v>
      </c>
      <c r="B506" s="7"/>
      <c r="C506" s="13" t="s">
        <v>62</v>
      </c>
      <c r="D506" s="19" t="str">
        <f>IFERROR(IF(C506="No CAS","",INDEX('DEQ Pollutant List'!$B$7:$B$611,MATCH('3. Pollutant Emissions - EF'!C506,'DEQ Pollutant List'!$A$7:$A$611,0))),"")</f>
        <v>Lead and compounds</v>
      </c>
      <c r="E506" s="100">
        <v>0</v>
      </c>
      <c r="F506" s="36">
        <v>0</v>
      </c>
      <c r="G506" s="100" t="s">
        <v>1415</v>
      </c>
      <c r="H506" s="36" t="s">
        <v>1415</v>
      </c>
      <c r="I506" s="34">
        <v>3.636715317945822E-4</v>
      </c>
      <c r="J506" s="11">
        <f t="shared" si="13"/>
        <v>3.636715317945822E-4</v>
      </c>
      <c r="K506" s="6" t="s">
        <v>1417</v>
      </c>
      <c r="L506" s="20" t="s">
        <v>1423</v>
      </c>
      <c r="M506" s="7">
        <f>IF(ISBLANK($B506),_xlfn.XLOOKUP($A506,'2. TEUs &amp; Activities - EF'!$A$9:$A$190,'2. TEUs &amp; Activities - EF'!$J$9:$J$190),_xlfn.XLOOKUP($B506,'2. TEUs &amp; Activities - EF'!$B$9:$B$190,'2. TEUs &amp; Activities - EF'!$J$9:$J$190))*'3. Pollutant Emissions - EF'!$I506*IF(OR(ISBLANK($E506),$G506="Yes"),1,$E506)*IF($H506="Yes",1,(1-$F506))</f>
        <v>1.3092175144604958E-4</v>
      </c>
      <c r="N506" s="5">
        <f>IF(ISBLANK($B506),_xlfn.XLOOKUP($A506,'2. TEUs &amp; Activities - EF'!$A$9:$A$190,'2. TEUs &amp; Activities - EF'!$M$9:$M$190),_xlfn.XLOOKUP($B506,'2. TEUs &amp; Activities - EF'!$B$9:$B$190,'2. TEUs &amp; Activities - EF'!$M$9:$M$190))*'3. Pollutant Emissions - EF'!$J506*IF(OR(ISBLANK($E506),$G506="Yes"),1,$E506)*IF($H506="Yes",1,(1-$F506))</f>
        <v>3.1421220347051907E-5</v>
      </c>
      <c r="O506" s="130"/>
    </row>
    <row r="507" spans="1:15" ht="15" x14ac:dyDescent="0.25">
      <c r="A507" s="5" t="s">
        <v>1537</v>
      </c>
      <c r="B507" s="7"/>
      <c r="C507" s="13" t="s">
        <v>63</v>
      </c>
      <c r="D507" s="19" t="str">
        <f>IFERROR(IF(C507="No CAS","",INDEX('DEQ Pollutant List'!$B$7:$B$611,MATCH('3. Pollutant Emissions - EF'!C507,'DEQ Pollutant List'!$A$7:$A$611,0))),"")</f>
        <v>Manganese and compounds</v>
      </c>
      <c r="E507" s="100">
        <v>0</v>
      </c>
      <c r="F507" s="36">
        <v>0</v>
      </c>
      <c r="G507" s="100" t="s">
        <v>1415</v>
      </c>
      <c r="H507" s="36" t="s">
        <v>1415</v>
      </c>
      <c r="I507" s="34">
        <v>4.1991264918956304E-4</v>
      </c>
      <c r="J507" s="11">
        <f t="shared" si="13"/>
        <v>4.1991264918956304E-4</v>
      </c>
      <c r="K507" s="6" t="s">
        <v>1417</v>
      </c>
      <c r="L507" s="20" t="s">
        <v>1423</v>
      </c>
      <c r="M507" s="7">
        <f>IF(ISBLANK($B507),_xlfn.XLOOKUP($A507,'2. TEUs &amp; Activities - EF'!$A$9:$A$190,'2. TEUs &amp; Activities - EF'!$J$9:$J$190),_xlfn.XLOOKUP($B507,'2. TEUs &amp; Activities - EF'!$B$9:$B$190,'2. TEUs &amp; Activities - EF'!$J$9:$J$190))*'3. Pollutant Emissions - EF'!$I507*IF(OR(ISBLANK($E507),$G507="Yes"),1,$E507)*IF($H507="Yes",1,(1-$F507))</f>
        <v>1.511685537082427E-4</v>
      </c>
      <c r="N507" s="5">
        <f>IF(ISBLANK($B507),_xlfn.XLOOKUP($A507,'2. TEUs &amp; Activities - EF'!$A$9:$A$190,'2. TEUs &amp; Activities - EF'!$M$9:$M$190),_xlfn.XLOOKUP($B507,'2. TEUs &amp; Activities - EF'!$B$9:$B$190,'2. TEUs &amp; Activities - EF'!$M$9:$M$190))*'3. Pollutant Emissions - EF'!$J507*IF(OR(ISBLANK($E507),$G507="Yes"),1,$E507)*IF($H507="Yes",1,(1-$F507))</f>
        <v>3.6280452889978251E-5</v>
      </c>
      <c r="O507" s="130"/>
    </row>
    <row r="508" spans="1:15" ht="15" x14ac:dyDescent="0.25">
      <c r="A508" s="5" t="s">
        <v>1537</v>
      </c>
      <c r="B508" s="7"/>
      <c r="C508" s="13" t="s">
        <v>64</v>
      </c>
      <c r="D508" s="19" t="str">
        <f>IFERROR(IF(C508="No CAS","",INDEX('DEQ Pollutant List'!$B$7:$B$611,MATCH('3. Pollutant Emissions - EF'!C508,'DEQ Pollutant List'!$A$7:$A$611,0))),"")</f>
        <v>Mercury and compounds</v>
      </c>
      <c r="E508" s="100">
        <v>0</v>
      </c>
      <c r="F508" s="36">
        <v>0</v>
      </c>
      <c r="G508" s="100" t="s">
        <v>1415</v>
      </c>
      <c r="H508" s="36" t="s">
        <v>1415</v>
      </c>
      <c r="I508" s="34">
        <v>1.5107336534301277E-5</v>
      </c>
      <c r="J508" s="11">
        <f t="shared" si="13"/>
        <v>1.5107336534301277E-5</v>
      </c>
      <c r="K508" s="6" t="s">
        <v>1417</v>
      </c>
      <c r="L508" s="20" t="s">
        <v>1423</v>
      </c>
      <c r="M508" s="7">
        <f>IF(ISBLANK($B508),_xlfn.XLOOKUP($A508,'2. TEUs &amp; Activities - EF'!$A$9:$A$190,'2. TEUs &amp; Activities - EF'!$J$9:$J$190),_xlfn.XLOOKUP($B508,'2. TEUs &amp; Activities - EF'!$B$9:$B$190,'2. TEUs &amp; Activities - EF'!$J$9:$J$190))*'3. Pollutant Emissions - EF'!$I508*IF(OR(ISBLANK($E508),$G508="Yes"),1,$E508)*IF($H508="Yes",1,(1-$F508))</f>
        <v>5.4386411523484593E-6</v>
      </c>
      <c r="N508" s="5">
        <f>IF(ISBLANK($B508),_xlfn.XLOOKUP($A508,'2. TEUs &amp; Activities - EF'!$A$9:$A$190,'2. TEUs &amp; Activities - EF'!$M$9:$M$190),_xlfn.XLOOKUP($B508,'2. TEUs &amp; Activities - EF'!$B$9:$B$190,'2. TEUs &amp; Activities - EF'!$M$9:$M$190))*'3. Pollutant Emissions - EF'!$J508*IF(OR(ISBLANK($E508),$G508="Yes"),1,$E508)*IF($H508="Yes",1,(1-$F508))</f>
        <v>1.3052738765636305E-6</v>
      </c>
      <c r="O508" s="130"/>
    </row>
    <row r="509" spans="1:15" ht="15" x14ac:dyDescent="0.25">
      <c r="A509" s="5" t="s">
        <v>1537</v>
      </c>
      <c r="B509" s="7"/>
      <c r="C509" s="13" t="s">
        <v>49</v>
      </c>
      <c r="D509" s="19" t="str">
        <f>IFERROR(IF(C509="No CAS","",INDEX('DEQ Pollutant List'!$B$7:$B$611,MATCH('3. Pollutant Emissions - EF'!C509,'DEQ Pollutant List'!$A$7:$A$611,0))),"")</f>
        <v>Naphthalene</v>
      </c>
      <c r="E509" s="100">
        <v>0</v>
      </c>
      <c r="F509" s="36">
        <v>0</v>
      </c>
      <c r="G509" s="100" t="s">
        <v>1415</v>
      </c>
      <c r="H509" s="36" t="s">
        <v>1415</v>
      </c>
      <c r="I509" s="34">
        <v>2.6352391113998751E-2</v>
      </c>
      <c r="J509" s="11">
        <f t="shared" si="13"/>
        <v>2.6352391113998751E-2</v>
      </c>
      <c r="K509" s="6" t="s">
        <v>1417</v>
      </c>
      <c r="L509" s="20" t="s">
        <v>1423</v>
      </c>
      <c r="M509" s="7">
        <f>IF(ISBLANK($B509),_xlfn.XLOOKUP($A509,'2. TEUs &amp; Activities - EF'!$A$9:$A$190,'2. TEUs &amp; Activities - EF'!$J$9:$J$190),_xlfn.XLOOKUP($B509,'2. TEUs &amp; Activities - EF'!$B$9:$B$190,'2. TEUs &amp; Activities - EF'!$J$9:$J$190))*'3. Pollutant Emissions - EF'!$I509*IF(OR(ISBLANK($E509),$G509="Yes"),1,$E509)*IF($H509="Yes",1,(1-$F509))</f>
        <v>9.4868608010395504E-3</v>
      </c>
      <c r="N509" s="5">
        <f>IF(ISBLANK($B509),_xlfn.XLOOKUP($A509,'2. TEUs &amp; Activities - EF'!$A$9:$A$190,'2. TEUs &amp; Activities - EF'!$M$9:$M$190),_xlfn.XLOOKUP($B509,'2. TEUs &amp; Activities - EF'!$B$9:$B$190,'2. TEUs &amp; Activities - EF'!$M$9:$M$190))*'3. Pollutant Emissions - EF'!$J509*IF(OR(ISBLANK($E509),$G509="Yes"),1,$E509)*IF($H509="Yes",1,(1-$F509))</f>
        <v>2.276846592249492E-3</v>
      </c>
      <c r="O509" s="130">
        <f>IFERROR(IF(OR($C509="",$C509="No CAS"),INDEX('DEQ Pollutant List'!$D$7:$D$611,MATCH($D509,'DEQ Pollutant List'!$B$7:$B$611,0)),INDEX('DEQ Pollutant List'!$D$7:$D$611,MATCH($C509,'DEQ Pollutant List'!$A$7:$A$611,0))),"")</f>
        <v>428</v>
      </c>
    </row>
    <row r="510" spans="1:15" ht="15" x14ac:dyDescent="0.25">
      <c r="A510" s="5" t="s">
        <v>1537</v>
      </c>
      <c r="B510" s="7"/>
      <c r="C510" s="13" t="s">
        <v>66</v>
      </c>
      <c r="D510" s="19" t="str">
        <f>IFERROR(IF(C510="No CAS","",INDEX('DEQ Pollutant List'!$B$7:$B$611,MATCH('3. Pollutant Emissions - EF'!C510,'DEQ Pollutant List'!$A$7:$A$611,0))),"")</f>
        <v>Nickel and compounds</v>
      </c>
      <c r="E510" s="100">
        <v>0</v>
      </c>
      <c r="F510" s="36">
        <v>0</v>
      </c>
      <c r="G510" s="100" t="s">
        <v>1415</v>
      </c>
      <c r="H510" s="36" t="s">
        <v>1415</v>
      </c>
      <c r="I510" s="34">
        <v>1.8222934133210207E-4</v>
      </c>
      <c r="J510" s="11">
        <f t="shared" si="13"/>
        <v>1.8222934133210207E-4</v>
      </c>
      <c r="K510" s="6" t="s">
        <v>1417</v>
      </c>
      <c r="L510" s="20" t="s">
        <v>1423</v>
      </c>
      <c r="M510" s="7">
        <f>IF(ISBLANK($B510),_xlfn.XLOOKUP($A510,'2. TEUs &amp; Activities - EF'!$A$9:$A$190,'2. TEUs &amp; Activities - EF'!$J$9:$J$190),_xlfn.XLOOKUP($B510,'2. TEUs &amp; Activities - EF'!$B$9:$B$190,'2. TEUs &amp; Activities - EF'!$J$9:$J$190))*'3. Pollutant Emissions - EF'!$I510*IF(OR(ISBLANK($E510),$G510="Yes"),1,$E510)*IF($H510="Yes",1,(1-$F510))</f>
        <v>6.5602562879556739E-5</v>
      </c>
      <c r="N510" s="5">
        <f>IF(ISBLANK($B510),_xlfn.XLOOKUP($A510,'2. TEUs &amp; Activities - EF'!$A$9:$A$190,'2. TEUs &amp; Activities - EF'!$M$9:$M$190),_xlfn.XLOOKUP($B510,'2. TEUs &amp; Activities - EF'!$B$9:$B$190,'2. TEUs &amp; Activities - EF'!$M$9:$M$190))*'3. Pollutant Emissions - EF'!$J510*IF(OR(ISBLANK($E510),$G510="Yes"),1,$E510)*IF($H510="Yes",1,(1-$F510))</f>
        <v>1.5744615091093619E-5</v>
      </c>
      <c r="O510" s="130">
        <f>IFERROR(IF(OR($C510="",$C510="No CAS"),INDEX('DEQ Pollutant List'!$D$7:$D$611,MATCH($D510,'DEQ Pollutant List'!$B$7:$B$611,0)),INDEX('DEQ Pollutant List'!$D$7:$D$611,MATCH($C510,'DEQ Pollutant List'!$A$7:$A$611,0))),"")</f>
        <v>364</v>
      </c>
    </row>
    <row r="511" spans="1:15" ht="15" x14ac:dyDescent="0.25">
      <c r="A511" s="5" t="s">
        <v>1537</v>
      </c>
      <c r="B511" s="7"/>
      <c r="C511" s="13" t="s">
        <v>132</v>
      </c>
      <c r="D511" s="19" t="str">
        <f>IFERROR(IF(C511="No CAS","",INDEX('DEQ Pollutant List'!$B$7:$B$611,MATCH('3. Pollutant Emissions - EF'!C511,'DEQ Pollutant List'!$A$7:$A$611,0))),"")</f>
        <v>Perylene</v>
      </c>
      <c r="E511" s="100">
        <v>0</v>
      </c>
      <c r="F511" s="36">
        <v>0</v>
      </c>
      <c r="G511" s="100" t="s">
        <v>1415</v>
      </c>
      <c r="H511" s="36" t="s">
        <v>1415</v>
      </c>
      <c r="I511" s="34">
        <v>1.1782465534251089E-6</v>
      </c>
      <c r="J511" s="11">
        <f t="shared" si="13"/>
        <v>1.1782465534251089E-6</v>
      </c>
      <c r="K511" s="6" t="s">
        <v>1417</v>
      </c>
      <c r="L511" s="20" t="s">
        <v>1423</v>
      </c>
      <c r="M511" s="7">
        <f>IF(ISBLANK($B511),_xlfn.XLOOKUP($A511,'2. TEUs &amp; Activities - EF'!$A$9:$A$190,'2. TEUs &amp; Activities - EF'!$J$9:$J$190),_xlfn.XLOOKUP($B511,'2. TEUs &amp; Activities - EF'!$B$9:$B$190,'2. TEUs &amp; Activities - EF'!$J$9:$J$190))*'3. Pollutant Emissions - EF'!$I511*IF(OR(ISBLANK($E511),$G511="Yes"),1,$E511)*IF($H511="Yes",1,(1-$F511))</f>
        <v>4.2416875923303916E-7</v>
      </c>
      <c r="N511" s="5">
        <f>IF(ISBLANK($B511),_xlfn.XLOOKUP($A511,'2. TEUs &amp; Activities - EF'!$A$9:$A$190,'2. TEUs &amp; Activities - EF'!$M$9:$M$190),_xlfn.XLOOKUP($B511,'2. TEUs &amp; Activities - EF'!$B$9:$B$190,'2. TEUs &amp; Activities - EF'!$M$9:$M$190))*'3. Pollutant Emissions - EF'!$J511*IF(OR(ISBLANK($E511),$G511="Yes"),1,$E511)*IF($H511="Yes",1,(1-$F511))</f>
        <v>1.0180050221592942E-7</v>
      </c>
      <c r="O511" s="130">
        <f>IFERROR(IF(OR($C511="",$C511="No CAS"),INDEX('DEQ Pollutant List'!$D$7:$D$611,MATCH($D511,'DEQ Pollutant List'!$B$7:$B$611,0)),INDEX('DEQ Pollutant List'!$D$7:$D$611,MATCH($C511,'DEQ Pollutant List'!$A$7:$A$611,0))),"")</f>
        <v>429</v>
      </c>
    </row>
    <row r="512" spans="1:15" ht="15" x14ac:dyDescent="0.25">
      <c r="A512" s="5" t="s">
        <v>1537</v>
      </c>
      <c r="B512" s="7"/>
      <c r="C512" s="13" t="s">
        <v>133</v>
      </c>
      <c r="D512" s="19" t="str">
        <f>IFERROR(IF(C512="No CAS","",INDEX('DEQ Pollutant List'!$B$7:$B$611,MATCH('3. Pollutant Emissions - EF'!C512,'DEQ Pollutant List'!$A$7:$A$611,0))),"")</f>
        <v>Phenanthrene</v>
      </c>
      <c r="E512" s="100">
        <v>0</v>
      </c>
      <c r="F512" s="36">
        <v>0</v>
      </c>
      <c r="G512" s="100" t="s">
        <v>1415</v>
      </c>
      <c r="H512" s="36" t="s">
        <v>1415</v>
      </c>
      <c r="I512" s="34">
        <v>4.5419465326501894E-3</v>
      </c>
      <c r="J512" s="11">
        <f t="shared" si="13"/>
        <v>4.5419465326501894E-3</v>
      </c>
      <c r="K512" s="6" t="s">
        <v>1417</v>
      </c>
      <c r="L512" s="20" t="s">
        <v>1423</v>
      </c>
      <c r="M512" s="7">
        <f>IF(ISBLANK($B512),_xlfn.XLOOKUP($A512,'2. TEUs &amp; Activities - EF'!$A$9:$A$190,'2. TEUs &amp; Activities - EF'!$J$9:$J$190),_xlfn.XLOOKUP($B512,'2. TEUs &amp; Activities - EF'!$B$9:$B$190,'2. TEUs &amp; Activities - EF'!$J$9:$J$190))*'3. Pollutant Emissions - EF'!$I512*IF(OR(ISBLANK($E512),$G512="Yes"),1,$E512)*IF($H512="Yes",1,(1-$F512))</f>
        <v>1.6351007517540681E-3</v>
      </c>
      <c r="N512" s="5">
        <f>IF(ISBLANK($B512),_xlfn.XLOOKUP($A512,'2. TEUs &amp; Activities - EF'!$A$9:$A$190,'2. TEUs &amp; Activities - EF'!$M$9:$M$190),_xlfn.XLOOKUP($B512,'2. TEUs &amp; Activities - EF'!$B$9:$B$190,'2. TEUs &amp; Activities - EF'!$M$9:$M$190))*'3. Pollutant Emissions - EF'!$J512*IF(OR(ISBLANK($E512),$G512="Yes"),1,$E512)*IF($H512="Yes",1,(1-$F512))</f>
        <v>3.9242418042097639E-4</v>
      </c>
      <c r="O512" s="130">
        <f>IFERROR(IF(OR($C512="",$C512="No CAS"),INDEX('DEQ Pollutant List'!$D$7:$D$611,MATCH($D512,'DEQ Pollutant List'!$B$7:$B$611,0)),INDEX('DEQ Pollutant List'!$D$7:$D$611,MATCH($C512,'DEQ Pollutant List'!$A$7:$A$611,0))),"")</f>
        <v>430</v>
      </c>
    </row>
    <row r="513" spans="1:15" ht="15" x14ac:dyDescent="0.25">
      <c r="A513" s="5" t="s">
        <v>1537</v>
      </c>
      <c r="B513" s="7"/>
      <c r="C513" s="13">
        <v>504</v>
      </c>
      <c r="D513" s="19" t="str">
        <f>IFERROR(IF(C513="No CAS","",INDEX('DEQ Pollutant List'!$B$7:$B$611,MATCH('3. Pollutant Emissions - EF'!C513,'DEQ Pollutant List'!$A$7:$A$611,0))),"")</f>
        <v>Phosphorus and compounds</v>
      </c>
      <c r="E513" s="100">
        <v>0</v>
      </c>
      <c r="F513" s="36">
        <v>0</v>
      </c>
      <c r="G513" s="100" t="s">
        <v>1415</v>
      </c>
      <c r="H513" s="36" t="s">
        <v>1415</v>
      </c>
      <c r="I513" s="34">
        <v>8.4039857312420349E-3</v>
      </c>
      <c r="J513" s="11">
        <f t="shared" si="13"/>
        <v>8.4039857312420349E-3</v>
      </c>
      <c r="K513" s="6" t="s">
        <v>1417</v>
      </c>
      <c r="L513" s="20" t="s">
        <v>1423</v>
      </c>
      <c r="M513" s="7">
        <f>IF(ISBLANK($B513),_xlfn.XLOOKUP($A513,'2. TEUs &amp; Activities - EF'!$A$9:$A$190,'2. TEUs &amp; Activities - EF'!$J$9:$J$190),_xlfn.XLOOKUP($B513,'2. TEUs &amp; Activities - EF'!$B$9:$B$190,'2. TEUs &amp; Activities - EF'!$J$9:$J$190))*'3. Pollutant Emissions - EF'!$I513*IF(OR(ISBLANK($E513),$G513="Yes"),1,$E513)*IF($H513="Yes",1,(1-$F513))</f>
        <v>3.0254348632471327E-3</v>
      </c>
      <c r="N513" s="5">
        <f>IF(ISBLANK($B513),_xlfn.XLOOKUP($A513,'2. TEUs &amp; Activities - EF'!$A$9:$A$190,'2. TEUs &amp; Activities - EF'!$M$9:$M$190),_xlfn.XLOOKUP($B513,'2. TEUs &amp; Activities - EF'!$B$9:$B$190,'2. TEUs &amp; Activities - EF'!$M$9:$M$190))*'3. Pollutant Emissions - EF'!$J513*IF(OR(ISBLANK($E513),$G513="Yes"),1,$E513)*IF($H513="Yes",1,(1-$F513))</f>
        <v>7.261043671793119E-4</v>
      </c>
      <c r="O513" s="130">
        <f>IFERROR(IF(OR($C513="",$C513="No CAS"),INDEX('DEQ Pollutant List'!$D$7:$D$611,MATCH($D513,'DEQ Pollutant List'!$B$7:$B$611,0)),INDEX('DEQ Pollutant List'!$D$7:$D$611,MATCH($C513,'DEQ Pollutant List'!$A$7:$A$611,0))),"")</f>
        <v>504</v>
      </c>
    </row>
    <row r="514" spans="1:15" ht="15" x14ac:dyDescent="0.25">
      <c r="A514" s="5" t="s">
        <v>1537</v>
      </c>
      <c r="B514" s="7"/>
      <c r="C514" s="13" t="s">
        <v>1105</v>
      </c>
      <c r="D514" s="19" t="str">
        <f>IFERROR(IF(C514="No CAS","",INDEX('DEQ Pollutant List'!$B$7:$B$611,MATCH('3. Pollutant Emissions - EF'!C514,'DEQ Pollutant List'!$A$7:$A$611,0))),"")</f>
        <v>Propylene</v>
      </c>
      <c r="E514" s="100">
        <v>0</v>
      </c>
      <c r="F514" s="36">
        <v>0</v>
      </c>
      <c r="G514" s="100" t="s">
        <v>1415</v>
      </c>
      <c r="H514" s="36" t="s">
        <v>1415</v>
      </c>
      <c r="I514" s="34">
        <v>0.47</v>
      </c>
      <c r="J514" s="11">
        <f t="shared" si="13"/>
        <v>0.47</v>
      </c>
      <c r="K514" s="6" t="s">
        <v>1417</v>
      </c>
      <c r="L514" s="20" t="s">
        <v>1423</v>
      </c>
      <c r="M514" s="7">
        <f>IF(ISBLANK($B514),_xlfn.XLOOKUP($A514,'2. TEUs &amp; Activities - EF'!$A$9:$A$190,'2. TEUs &amp; Activities - EF'!$J$9:$J$190),_xlfn.XLOOKUP($B514,'2. TEUs &amp; Activities - EF'!$B$9:$B$190,'2. TEUs &amp; Activities - EF'!$J$9:$J$190))*'3. Pollutant Emissions - EF'!$I514*IF(OR(ISBLANK($E514),$G514="Yes"),1,$E514)*IF($H514="Yes",1,(1-$F514))</f>
        <v>0.16919999999999999</v>
      </c>
      <c r="N514" s="5">
        <f>IF(ISBLANK($B514),_xlfn.XLOOKUP($A514,'2. TEUs &amp; Activities - EF'!$A$9:$A$190,'2. TEUs &amp; Activities - EF'!$M$9:$M$190),_xlfn.XLOOKUP($B514,'2. TEUs &amp; Activities - EF'!$B$9:$B$190,'2. TEUs &amp; Activities - EF'!$M$9:$M$190))*'3. Pollutant Emissions - EF'!$J514*IF(OR(ISBLANK($E514),$G514="Yes"),1,$E514)*IF($H514="Yes",1,(1-$F514))</f>
        <v>4.0607999999999998E-2</v>
      </c>
      <c r="O514" s="130">
        <f>IFERROR(IF(OR($C514="",$C514="No CAS"),INDEX('DEQ Pollutant List'!$D$7:$D$611,MATCH($D514,'DEQ Pollutant List'!$B$7:$B$611,0)),INDEX('DEQ Pollutant List'!$D$7:$D$611,MATCH($C514,'DEQ Pollutant List'!$A$7:$A$611,0))),"")</f>
        <v>561</v>
      </c>
    </row>
    <row r="515" spans="1:15" ht="15" x14ac:dyDescent="0.25">
      <c r="A515" s="5" t="s">
        <v>1537</v>
      </c>
      <c r="B515" s="7"/>
      <c r="C515" s="13" t="s">
        <v>134</v>
      </c>
      <c r="D515" s="19" t="str">
        <f>IFERROR(IF(C515="No CAS","",INDEX('DEQ Pollutant List'!$B$7:$B$611,MATCH('3. Pollutant Emissions - EF'!C515,'DEQ Pollutant List'!$A$7:$A$611,0))),"")</f>
        <v>Pyrene</v>
      </c>
      <c r="E515" s="100">
        <v>0</v>
      </c>
      <c r="F515" s="36">
        <v>0</v>
      </c>
      <c r="G515" s="100" t="s">
        <v>1415</v>
      </c>
      <c r="H515" s="36" t="s">
        <v>1415</v>
      </c>
      <c r="I515" s="34">
        <v>1.25E-3</v>
      </c>
      <c r="J515" s="11">
        <f t="shared" si="13"/>
        <v>1.25E-3</v>
      </c>
      <c r="K515" s="6" t="s">
        <v>1417</v>
      </c>
      <c r="L515" s="20" t="s">
        <v>1423</v>
      </c>
      <c r="M515" s="7">
        <f>IF(ISBLANK($B515),_xlfn.XLOOKUP($A515,'2. TEUs &amp; Activities - EF'!$A$9:$A$190,'2. TEUs &amp; Activities - EF'!$J$9:$J$190),_xlfn.XLOOKUP($B515,'2. TEUs &amp; Activities - EF'!$B$9:$B$190,'2. TEUs &amp; Activities - EF'!$J$9:$J$190))*'3. Pollutant Emissions - EF'!$I515*IF(OR(ISBLANK($E515),$G515="Yes"),1,$E515)*IF($H515="Yes",1,(1-$F515))</f>
        <v>4.4999999999999999E-4</v>
      </c>
      <c r="N515" s="5">
        <f>IF(ISBLANK($B515),_xlfn.XLOOKUP($A515,'2. TEUs &amp; Activities - EF'!$A$9:$A$190,'2. TEUs &amp; Activities - EF'!$M$9:$M$190),_xlfn.XLOOKUP($B515,'2. TEUs &amp; Activities - EF'!$B$9:$B$190,'2. TEUs &amp; Activities - EF'!$M$9:$M$190))*'3. Pollutant Emissions - EF'!$J515*IF(OR(ISBLANK($E515),$G515="Yes"),1,$E515)*IF($H515="Yes",1,(1-$F515))</f>
        <v>1.0800000000000001E-4</v>
      </c>
      <c r="O515" s="130">
        <f>IFERROR(IF(OR($C515="",$C515="No CAS"),INDEX('DEQ Pollutant List'!$D$7:$D$611,MATCH($D515,'DEQ Pollutant List'!$B$7:$B$611,0)),INDEX('DEQ Pollutant List'!$D$7:$D$611,MATCH($C515,'DEQ Pollutant List'!$A$7:$A$611,0))),"")</f>
        <v>431</v>
      </c>
    </row>
    <row r="516" spans="1:15" ht="15" x14ac:dyDescent="0.25">
      <c r="A516" s="5" t="s">
        <v>1537</v>
      </c>
      <c r="B516" s="7"/>
      <c r="C516" s="13" t="s">
        <v>67</v>
      </c>
      <c r="D516" s="19" t="str">
        <f>IFERROR(IF(C516="No CAS","",INDEX('DEQ Pollutant List'!$B$7:$B$611,MATCH('3. Pollutant Emissions - EF'!C516,'DEQ Pollutant List'!$A$7:$A$611,0))),"")</f>
        <v>Selenium and compounds</v>
      </c>
      <c r="E516" s="100">
        <v>0</v>
      </c>
      <c r="F516" s="36">
        <v>0</v>
      </c>
      <c r="G516" s="100" t="s">
        <v>1415</v>
      </c>
      <c r="H516" s="36" t="s">
        <v>1415</v>
      </c>
      <c r="I516" s="34">
        <v>3.7638267956703413E-4</v>
      </c>
      <c r="J516" s="11">
        <f t="shared" si="13"/>
        <v>3.7638267956703413E-4</v>
      </c>
      <c r="K516" s="6" t="s">
        <v>1417</v>
      </c>
      <c r="L516" s="20" t="s">
        <v>1423</v>
      </c>
      <c r="M516" s="7">
        <f>IF(ISBLANK($B516),_xlfn.XLOOKUP($A516,'2. TEUs &amp; Activities - EF'!$A$9:$A$190,'2. TEUs &amp; Activities - EF'!$J$9:$J$190),_xlfn.XLOOKUP($B516,'2. TEUs &amp; Activities - EF'!$B$9:$B$190,'2. TEUs &amp; Activities - EF'!$J$9:$J$190))*'3. Pollutant Emissions - EF'!$I516*IF(OR(ISBLANK($E516),$G516="Yes"),1,$E516)*IF($H516="Yes",1,(1-$F516))</f>
        <v>1.3549776464413229E-4</v>
      </c>
      <c r="N516" s="5">
        <f>IF(ISBLANK($B516),_xlfn.XLOOKUP($A516,'2. TEUs &amp; Activities - EF'!$A$9:$A$190,'2. TEUs &amp; Activities - EF'!$M$9:$M$190),_xlfn.XLOOKUP($B516,'2. TEUs &amp; Activities - EF'!$B$9:$B$190,'2. TEUs &amp; Activities - EF'!$M$9:$M$190))*'3. Pollutant Emissions - EF'!$J516*IF(OR(ISBLANK($E516),$G516="Yes"),1,$E516)*IF($H516="Yes",1,(1-$F516))</f>
        <v>3.2519463514591751E-5</v>
      </c>
      <c r="O516" s="130">
        <f>IFERROR(IF(OR($C516="",$C516="No CAS"),INDEX('DEQ Pollutant List'!$D$7:$D$611,MATCH($D516,'DEQ Pollutant List'!$B$7:$B$611,0)),INDEX('DEQ Pollutant List'!$D$7:$D$611,MATCH($C516,'DEQ Pollutant List'!$A$7:$A$611,0))),"")</f>
        <v>575</v>
      </c>
    </row>
    <row r="517" spans="1:15" ht="15" x14ac:dyDescent="0.25">
      <c r="A517" s="5" t="s">
        <v>1537</v>
      </c>
      <c r="B517" s="7"/>
      <c r="C517" s="13" t="s">
        <v>113</v>
      </c>
      <c r="D517" s="19" t="str">
        <f>IFERROR(IF(C517="No CAS","",INDEX('DEQ Pollutant List'!$B$7:$B$611,MATCH('3. Pollutant Emissions - EF'!C517,'DEQ Pollutant List'!$A$7:$A$611,0))),"")</f>
        <v>Silver and compounds</v>
      </c>
      <c r="E517" s="100">
        <v>0</v>
      </c>
      <c r="F517" s="36">
        <v>0</v>
      </c>
      <c r="G517" s="100" t="s">
        <v>1415</v>
      </c>
      <c r="H517" s="36" t="s">
        <v>1415</v>
      </c>
      <c r="I517" s="34">
        <v>4.8013014217323475E-5</v>
      </c>
      <c r="J517" s="11">
        <f t="shared" si="13"/>
        <v>4.8013014217323475E-5</v>
      </c>
      <c r="K517" s="6" t="s">
        <v>1417</v>
      </c>
      <c r="L517" s="20" t="s">
        <v>1423</v>
      </c>
      <c r="M517" s="7">
        <f>IF(ISBLANK($B517),_xlfn.XLOOKUP($A517,'2. TEUs &amp; Activities - EF'!$A$9:$A$190,'2. TEUs &amp; Activities - EF'!$J$9:$J$190),_xlfn.XLOOKUP($B517,'2. TEUs &amp; Activities - EF'!$B$9:$B$190,'2. TEUs &amp; Activities - EF'!$J$9:$J$190))*'3. Pollutant Emissions - EF'!$I517*IF(OR(ISBLANK($E517),$G517="Yes"),1,$E517)*IF($H517="Yes",1,(1-$F517))</f>
        <v>1.7284685118236451E-5</v>
      </c>
      <c r="N517" s="5">
        <f>IF(ISBLANK($B517),_xlfn.XLOOKUP($A517,'2. TEUs &amp; Activities - EF'!$A$9:$A$190,'2. TEUs &amp; Activities - EF'!$M$9:$M$190),_xlfn.XLOOKUP($B517,'2. TEUs &amp; Activities - EF'!$B$9:$B$190,'2. TEUs &amp; Activities - EF'!$M$9:$M$190))*'3. Pollutant Emissions - EF'!$J517*IF(OR(ISBLANK($E517),$G517="Yes"),1,$E517)*IF($H517="Yes",1,(1-$F517))</f>
        <v>4.1483244283767482E-6</v>
      </c>
      <c r="O517" s="130">
        <f>IFERROR(IF(OR($C517="",$C517="No CAS"),INDEX('DEQ Pollutant List'!$D$7:$D$611,MATCH($D517,'DEQ Pollutant List'!$B$7:$B$611,0)),INDEX('DEQ Pollutant List'!$D$7:$D$611,MATCH($C517,'DEQ Pollutant List'!$A$7:$A$611,0))),"")</f>
        <v>580</v>
      </c>
    </row>
    <row r="518" spans="1:15" ht="15" x14ac:dyDescent="0.25">
      <c r="A518" s="5" t="s">
        <v>1537</v>
      </c>
      <c r="B518" s="7"/>
      <c r="C518" s="13" t="s">
        <v>114</v>
      </c>
      <c r="D518" s="19" t="str">
        <f>IFERROR(IF(C518="No CAS","",INDEX('DEQ Pollutant List'!$B$7:$B$611,MATCH('3. Pollutant Emissions - EF'!C518,'DEQ Pollutant List'!$A$7:$A$611,0))),"")</f>
        <v>Thallium and compounds</v>
      </c>
      <c r="E518" s="100">
        <v>0</v>
      </c>
      <c r="F518" s="36">
        <v>0</v>
      </c>
      <c r="G518" s="100" t="s">
        <v>1415</v>
      </c>
      <c r="H518" s="36" t="s">
        <v>1415</v>
      </c>
      <c r="I518" s="34">
        <v>2.4009368143584827E-4</v>
      </c>
      <c r="J518" s="11">
        <f t="shared" si="13"/>
        <v>2.4009368143584827E-4</v>
      </c>
      <c r="K518" s="6" t="s">
        <v>1417</v>
      </c>
      <c r="L518" s="20" t="s">
        <v>1423</v>
      </c>
      <c r="M518" s="7">
        <f>IF(ISBLANK($B518),_xlfn.XLOOKUP($A518,'2. TEUs &amp; Activities - EF'!$A$9:$A$190,'2. TEUs &amp; Activities - EF'!$J$9:$J$190),_xlfn.XLOOKUP($B518,'2. TEUs &amp; Activities - EF'!$B$9:$B$190,'2. TEUs &amp; Activities - EF'!$J$9:$J$190))*'3. Pollutant Emissions - EF'!$I518*IF(OR(ISBLANK($E518),$G518="Yes"),1,$E518)*IF($H518="Yes",1,(1-$F518))</f>
        <v>8.6433725316905377E-5</v>
      </c>
      <c r="N518" s="5">
        <f>IF(ISBLANK($B518),_xlfn.XLOOKUP($A518,'2. TEUs &amp; Activities - EF'!$A$9:$A$190,'2. TEUs &amp; Activities - EF'!$M$9:$M$190),_xlfn.XLOOKUP($B518,'2. TEUs &amp; Activities - EF'!$B$9:$B$190,'2. TEUs &amp; Activities - EF'!$M$9:$M$190))*'3. Pollutant Emissions - EF'!$J518*IF(OR(ISBLANK($E518),$G518="Yes"),1,$E518)*IF($H518="Yes",1,(1-$F518))</f>
        <v>2.0744094076057291E-5</v>
      </c>
      <c r="O518" s="130">
        <f>IFERROR(IF(OR($C518="",$C518="No CAS"),INDEX('DEQ Pollutant List'!$D$7:$D$611,MATCH($D518,'DEQ Pollutant List'!$B$7:$B$611,0)),INDEX('DEQ Pollutant List'!$D$7:$D$611,MATCH($C518,'DEQ Pollutant List'!$A$7:$A$611,0))),"")</f>
        <v>595</v>
      </c>
    </row>
    <row r="519" spans="1:15" ht="15" x14ac:dyDescent="0.25">
      <c r="A519" s="5" t="s">
        <v>1537</v>
      </c>
      <c r="B519" s="7"/>
      <c r="C519" s="13" t="s">
        <v>68</v>
      </c>
      <c r="D519" s="19" t="str">
        <f>IFERROR(IF(C519="No CAS","",INDEX('DEQ Pollutant List'!$B$7:$B$611,MATCH('3. Pollutant Emissions - EF'!C519,'DEQ Pollutant List'!$A$7:$A$611,0))),"")</f>
        <v>Toluene</v>
      </c>
      <c r="E519" s="100">
        <v>0</v>
      </c>
      <c r="F519" s="36">
        <v>0</v>
      </c>
      <c r="G519" s="100" t="s">
        <v>1415</v>
      </c>
      <c r="H519" s="36" t="s">
        <v>1415</v>
      </c>
      <c r="I519" s="34">
        <v>0.10539999999999999</v>
      </c>
      <c r="J519" s="11">
        <f t="shared" si="13"/>
        <v>0.10539999999999999</v>
      </c>
      <c r="K519" s="6" t="s">
        <v>1417</v>
      </c>
      <c r="L519" s="20" t="s">
        <v>1423</v>
      </c>
      <c r="M519" s="7">
        <f>IF(ISBLANK($B519),_xlfn.XLOOKUP($A519,'2. TEUs &amp; Activities - EF'!$A$9:$A$190,'2. TEUs &amp; Activities - EF'!$J$9:$J$190),_xlfn.XLOOKUP($B519,'2. TEUs &amp; Activities - EF'!$B$9:$B$190,'2. TEUs &amp; Activities - EF'!$J$9:$J$190))*'3. Pollutant Emissions - EF'!$I519*IF(OR(ISBLANK($E519),$G519="Yes"),1,$E519)*IF($H519="Yes",1,(1-$F519))</f>
        <v>3.7943999999999999E-2</v>
      </c>
      <c r="N519" s="5">
        <f>IF(ISBLANK($B519),_xlfn.XLOOKUP($A519,'2. TEUs &amp; Activities - EF'!$A$9:$A$190,'2. TEUs &amp; Activities - EF'!$M$9:$M$190),_xlfn.XLOOKUP($B519,'2. TEUs &amp; Activities - EF'!$B$9:$B$190,'2. TEUs &amp; Activities - EF'!$M$9:$M$190))*'3. Pollutant Emissions - EF'!$J519*IF(OR(ISBLANK($E519),$G519="Yes"),1,$E519)*IF($H519="Yes",1,(1-$F519))</f>
        <v>9.1065599999999997E-3</v>
      </c>
      <c r="O519" s="130">
        <f>IFERROR(IF(OR($C519="",$C519="No CAS"),INDEX('DEQ Pollutant List'!$D$7:$D$611,MATCH($D519,'DEQ Pollutant List'!$B$7:$B$611,0)),INDEX('DEQ Pollutant List'!$D$7:$D$611,MATCH($C519,'DEQ Pollutant List'!$A$7:$A$611,0))),"")</f>
        <v>600</v>
      </c>
    </row>
    <row r="520" spans="1:15" ht="15" x14ac:dyDescent="0.25">
      <c r="A520" s="5" t="s">
        <v>1537</v>
      </c>
      <c r="B520" s="7"/>
      <c r="C520" s="13" t="s">
        <v>70</v>
      </c>
      <c r="D520" s="19" t="str">
        <f>IFERROR(IF(C520="No CAS","",INDEX('DEQ Pollutant List'!$B$7:$B$611,MATCH('3. Pollutant Emissions - EF'!C520,'DEQ Pollutant List'!$A$7:$A$611,0))),"")</f>
        <v>Xylene (mixture), including m-xylene, o-xylene, p-xylene</v>
      </c>
      <c r="E520" s="100">
        <v>0</v>
      </c>
      <c r="F520" s="36">
        <v>0</v>
      </c>
      <c r="G520" s="100" t="s">
        <v>1415</v>
      </c>
      <c r="H520" s="36" t="s">
        <v>1415</v>
      </c>
      <c r="I520" s="34">
        <v>4.24E-2</v>
      </c>
      <c r="J520" s="11">
        <f t="shared" si="13"/>
        <v>4.24E-2</v>
      </c>
      <c r="K520" s="6" t="s">
        <v>1417</v>
      </c>
      <c r="L520" s="20" t="s">
        <v>1423</v>
      </c>
      <c r="M520" s="7">
        <f>IF(ISBLANK($B520),_xlfn.XLOOKUP($A520,'2. TEUs &amp; Activities - EF'!$A$9:$A$190,'2. TEUs &amp; Activities - EF'!$J$9:$J$190),_xlfn.XLOOKUP($B520,'2. TEUs &amp; Activities - EF'!$B$9:$B$190,'2. TEUs &amp; Activities - EF'!$J$9:$J$190))*'3. Pollutant Emissions - EF'!$I520*IF(OR(ISBLANK($E520),$G520="Yes"),1,$E520)*IF($H520="Yes",1,(1-$F520))</f>
        <v>1.5264E-2</v>
      </c>
      <c r="N520" s="5">
        <f>IF(ISBLANK($B520),_xlfn.XLOOKUP($A520,'2. TEUs &amp; Activities - EF'!$A$9:$A$190,'2. TEUs &amp; Activities - EF'!$M$9:$M$190),_xlfn.XLOOKUP($B520,'2. TEUs &amp; Activities - EF'!$B$9:$B$190,'2. TEUs &amp; Activities - EF'!$M$9:$M$190))*'3. Pollutant Emissions - EF'!$J520*IF(OR(ISBLANK($E520),$G520="Yes"),1,$E520)*IF($H520="Yes",1,(1-$F520))</f>
        <v>3.6633600000000001E-3</v>
      </c>
      <c r="O520" s="130">
        <f>IFERROR(IF(OR($C520="",$C520="No CAS"),INDEX('DEQ Pollutant List'!$D$7:$D$611,MATCH($D520,'DEQ Pollutant List'!$B$7:$B$611,0)),INDEX('DEQ Pollutant List'!$D$7:$D$611,MATCH($C520,'DEQ Pollutant List'!$A$7:$A$611,0))),"")</f>
        <v>628</v>
      </c>
    </row>
    <row r="521" spans="1:15" ht="15" x14ac:dyDescent="0.25">
      <c r="A521" s="5" t="s">
        <v>1537</v>
      </c>
      <c r="B521" s="7"/>
      <c r="C521" s="13" t="s">
        <v>71</v>
      </c>
      <c r="D521" s="19" t="str">
        <f>IFERROR(IF(C521="No CAS","",INDEX('DEQ Pollutant List'!$B$7:$B$611,MATCH('3. Pollutant Emissions - EF'!C521,'DEQ Pollutant List'!$A$7:$A$611,0))),"")</f>
        <v>Zinc and compounds</v>
      </c>
      <c r="E521" s="100">
        <v>0</v>
      </c>
      <c r="F521" s="36">
        <v>0</v>
      </c>
      <c r="G521" s="100" t="s">
        <v>1415</v>
      </c>
      <c r="H521" s="36" t="s">
        <v>1415</v>
      </c>
      <c r="I521" s="34">
        <v>5.2261769021193245E-3</v>
      </c>
      <c r="J521" s="11">
        <f t="shared" si="13"/>
        <v>5.2261769021193245E-3</v>
      </c>
      <c r="K521" s="6" t="s">
        <v>1417</v>
      </c>
      <c r="L521" s="20" t="s">
        <v>1423</v>
      </c>
      <c r="M521" s="7">
        <f>IF(ISBLANK($B521),_xlfn.XLOOKUP($A521,'2. TEUs &amp; Activities - EF'!$A$9:$A$190,'2. TEUs &amp; Activities - EF'!$J$9:$J$190),_xlfn.XLOOKUP($B521,'2. TEUs &amp; Activities - EF'!$B$9:$B$190,'2. TEUs &amp; Activities - EF'!$J$9:$J$190))*'3. Pollutant Emissions - EF'!$I521*IF(OR(ISBLANK($E521),$G521="Yes"),1,$E521)*IF($H521="Yes",1,(1-$F521))</f>
        <v>1.8814236847629567E-3</v>
      </c>
      <c r="N521" s="5">
        <f>IF(ISBLANK($B521),_xlfn.XLOOKUP($A521,'2. TEUs &amp; Activities - EF'!$A$9:$A$190,'2. TEUs &amp; Activities - EF'!$M$9:$M$190),_xlfn.XLOOKUP($B521,'2. TEUs &amp; Activities - EF'!$B$9:$B$190,'2. TEUs &amp; Activities - EF'!$M$9:$M$190))*'3. Pollutant Emissions - EF'!$J521*IF(OR(ISBLANK($E521),$G521="Yes"),1,$E521)*IF($H521="Yes",1,(1-$F521))</f>
        <v>4.5154168434310965E-4</v>
      </c>
      <c r="O521" s="130">
        <f>IFERROR(IF(OR($C521="",$C521="No CAS"),INDEX('DEQ Pollutant List'!$D$7:$D$611,MATCH($D521,'DEQ Pollutant List'!$B$7:$B$611,0)),INDEX('DEQ Pollutant List'!$D$7:$D$611,MATCH($C521,'DEQ Pollutant List'!$A$7:$A$611,0))),"")</f>
        <v>632</v>
      </c>
    </row>
    <row r="522" spans="1:15" ht="15" x14ac:dyDescent="0.25">
      <c r="A522" s="5"/>
      <c r="B522" s="7"/>
      <c r="C522" s="13"/>
      <c r="D522" s="19" t="str">
        <f>IFERROR(IF(C522="No CAS","",INDEX('DEQ Pollutant List'!$B$7:$B$611,MATCH('3. Pollutant Emissions - EF'!C522,'DEQ Pollutant List'!$A$7:$A$611,0))),"")</f>
        <v/>
      </c>
      <c r="E522" s="100"/>
      <c r="F522" s="36"/>
      <c r="G522" s="100"/>
      <c r="H522" s="36"/>
      <c r="I522" s="34"/>
      <c r="J522" s="11"/>
      <c r="K522" s="6"/>
      <c r="L522" s="20"/>
      <c r="M522" s="7">
        <f>IF(ISBLANK($B522),_xlfn.XLOOKUP($A522,'2. TEUs &amp; Activities - EF'!$A$9:$A$190,'2. TEUs &amp; Activities - EF'!$J$9:$J$190),_xlfn.XLOOKUP($B522,'2. TEUs &amp; Activities - EF'!$B$9:$B$190,'2. TEUs &amp; Activities - EF'!$J$9:$J$190))*'3. Pollutant Emissions - EF'!$I522*IF(OR(ISBLANK($E522),$G522="Yes"),1,$E522)*IF($H522="Yes",1,(1-$F522))</f>
        <v>0</v>
      </c>
      <c r="N522" s="5">
        <f>IF(ISBLANK($B522),_xlfn.XLOOKUP($A522,'2. TEUs &amp; Activities - EF'!$A$9:$A$190,'2. TEUs &amp; Activities - EF'!$M$9:$M$190),_xlfn.XLOOKUP($B522,'2. TEUs &amp; Activities - EF'!$B$9:$B$190,'2. TEUs &amp; Activities - EF'!$M$9:$M$190))*'3. Pollutant Emissions - EF'!$J522*IF(OR(ISBLANK($E522),$G522="Yes"),1,$E522)*IF($H522="Yes",1,(1-$F522))</f>
        <v>0</v>
      </c>
      <c r="O522" s="130" t="str">
        <f>IFERROR(IF(OR($C522="",$C522="No CAS"),INDEX('DEQ Pollutant List'!$D$7:$D$611,MATCH($D522,'DEQ Pollutant List'!$B$7:$B$611,0)),INDEX('DEQ Pollutant List'!$D$7:$D$611,MATCH($C522,'DEQ Pollutant List'!$A$7:$A$611,0))),"")</f>
        <v/>
      </c>
    </row>
    <row r="523" spans="1:15" ht="15" x14ac:dyDescent="0.25">
      <c r="A523" s="5" t="s">
        <v>1542</v>
      </c>
      <c r="B523" s="7"/>
      <c r="C523" s="13" t="s">
        <v>186</v>
      </c>
      <c r="D523" s="19" t="str">
        <f>IFERROR(IF(C523="No CAS","",INDEX('DEQ Pollutant List'!$B$7:$B$611,MATCH('3. Pollutant Emissions - EF'!C523,'DEQ Pollutant List'!$A$7:$A$611,0))),"")</f>
        <v>1,1,2,2-Tetrachloroethane</v>
      </c>
      <c r="E523" s="100">
        <v>0</v>
      </c>
      <c r="F523" s="36">
        <v>0</v>
      </c>
      <c r="G523" s="100" t="s">
        <v>1415</v>
      </c>
      <c r="H523" s="36" t="s">
        <v>1415</v>
      </c>
      <c r="I523" s="34">
        <v>4.0800000000000003E-2</v>
      </c>
      <c r="J523" s="11">
        <f t="shared" ref="J523:J557" si="14">I523</f>
        <v>4.0800000000000003E-2</v>
      </c>
      <c r="K523" s="6" t="s">
        <v>1418</v>
      </c>
      <c r="L523" s="20" t="s">
        <v>1587</v>
      </c>
      <c r="M523" s="7">
        <f>IF(ISBLANK($B523),_xlfn.XLOOKUP($A523,'2. TEUs &amp; Activities - EF'!$A$9:$A$190,'2. TEUs &amp; Activities - EF'!$J$9:$J$190),_xlfn.XLOOKUP($B523,'2. TEUs &amp; Activities - EF'!$B$9:$B$190,'2. TEUs &amp; Activities - EF'!$J$9:$J$190))*'3. Pollutant Emissions - EF'!$I523*IF(OR(ISBLANK($E523),$G523="Yes"),1,$E523)*IF($H523="Yes",1,(1-$F523))</f>
        <v>6.0098399999999998E-3</v>
      </c>
      <c r="N523" s="5">
        <f>IF(ISBLANK($B523),_xlfn.XLOOKUP($A523,'2. TEUs &amp; Activities - EF'!$A$9:$A$190,'2. TEUs &amp; Activities - EF'!$M$9:$M$190),_xlfn.XLOOKUP($B523,'2. TEUs &amp; Activities - EF'!$B$9:$B$190,'2. TEUs &amp; Activities - EF'!$M$9:$M$190))*'3. Pollutant Emissions - EF'!$J523*IF(OR(ISBLANK($E523),$G523="Yes"),1,$E523)*IF($H523="Yes",1,(1-$F523))</f>
        <v>1.4423615999999998E-3</v>
      </c>
      <c r="O523" s="130">
        <f>IFERROR(IF(OR($C523="",$C523="No CAS"),INDEX('DEQ Pollutant List'!$D$7:$D$611,MATCH($D523,'DEQ Pollutant List'!$B$7:$B$611,0)),INDEX('DEQ Pollutant List'!$D$7:$D$611,MATCH($C523,'DEQ Pollutant List'!$A$7:$A$611,0))),"")</f>
        <v>594</v>
      </c>
    </row>
    <row r="524" spans="1:15" ht="15" x14ac:dyDescent="0.25">
      <c r="A524" s="5" t="s">
        <v>1542</v>
      </c>
      <c r="B524" s="7"/>
      <c r="C524" s="13" t="s">
        <v>188</v>
      </c>
      <c r="D524" s="19" t="str">
        <f>IFERROR(IF(C524="No CAS","",INDEX('DEQ Pollutant List'!$B$7:$B$611,MATCH('3. Pollutant Emissions - EF'!C524,'DEQ Pollutant List'!$A$7:$A$611,0))),"")</f>
        <v>1,1,2-Trichloroethane (vinyl trichloride)</v>
      </c>
      <c r="E524" s="100">
        <v>0</v>
      </c>
      <c r="F524" s="36">
        <v>0</v>
      </c>
      <c r="G524" s="100" t="s">
        <v>1415</v>
      </c>
      <c r="H524" s="36" t="s">
        <v>1415</v>
      </c>
      <c r="I524" s="34">
        <v>3.2399999999999998E-2</v>
      </c>
      <c r="J524" s="11">
        <f t="shared" si="14"/>
        <v>3.2399999999999998E-2</v>
      </c>
      <c r="K524" s="6" t="s">
        <v>1418</v>
      </c>
      <c r="L524" s="20" t="s">
        <v>1587</v>
      </c>
      <c r="M524" s="7">
        <f>IF(ISBLANK($B524),_xlfn.XLOOKUP($A524,'2. TEUs &amp; Activities - EF'!$A$9:$A$190,'2. TEUs &amp; Activities - EF'!$J$9:$J$190),_xlfn.XLOOKUP($B524,'2. TEUs &amp; Activities - EF'!$B$9:$B$190,'2. TEUs &amp; Activities - EF'!$J$9:$J$190))*'3. Pollutant Emissions - EF'!$I524*IF(OR(ISBLANK($E524),$G524="Yes"),1,$E524)*IF($H524="Yes",1,(1-$F524))</f>
        <v>4.7725199999999997E-3</v>
      </c>
      <c r="N524" s="5">
        <f>IF(ISBLANK($B524),_xlfn.XLOOKUP($A524,'2. TEUs &amp; Activities - EF'!$A$9:$A$190,'2. TEUs &amp; Activities - EF'!$M$9:$M$190),_xlfn.XLOOKUP($B524,'2. TEUs &amp; Activities - EF'!$B$9:$B$190,'2. TEUs &amp; Activities - EF'!$M$9:$M$190))*'3. Pollutant Emissions - EF'!$J524*IF(OR(ISBLANK($E524),$G524="Yes"),1,$E524)*IF($H524="Yes",1,(1-$F524))</f>
        <v>1.1454047999999997E-3</v>
      </c>
      <c r="O524" s="130">
        <f>IFERROR(IF(OR($C524="",$C524="No CAS"),INDEX('DEQ Pollutant List'!$D$7:$D$611,MATCH($D524,'DEQ Pollutant List'!$B$7:$B$611,0)),INDEX('DEQ Pollutant List'!$D$7:$D$611,MATCH($C524,'DEQ Pollutant List'!$A$7:$A$611,0))),"")</f>
        <v>607</v>
      </c>
    </row>
    <row r="525" spans="1:15" ht="15" x14ac:dyDescent="0.25">
      <c r="A525" s="5" t="s">
        <v>1542</v>
      </c>
      <c r="B525" s="7"/>
      <c r="C525" s="13" t="s">
        <v>172</v>
      </c>
      <c r="D525" s="19" t="str">
        <f>IFERROR(IF(C525="No CAS","",INDEX('DEQ Pollutant List'!$B$7:$B$611,MATCH('3. Pollutant Emissions - EF'!C525,'DEQ Pollutant List'!$A$7:$A$611,0))),"")</f>
        <v>1,2,4-Trimethylbenzene</v>
      </c>
      <c r="E525" s="100">
        <v>0</v>
      </c>
      <c r="F525" s="36">
        <v>0</v>
      </c>
      <c r="G525" s="100" t="s">
        <v>1415</v>
      </c>
      <c r="H525" s="36" t="s">
        <v>1415</v>
      </c>
      <c r="I525" s="34">
        <v>1.46E-2</v>
      </c>
      <c r="J525" s="11">
        <f t="shared" si="14"/>
        <v>1.46E-2</v>
      </c>
      <c r="K525" s="6" t="s">
        <v>1418</v>
      </c>
      <c r="L525" s="20" t="s">
        <v>1587</v>
      </c>
      <c r="M525" s="7">
        <f>IF(ISBLANK($B525),_xlfn.XLOOKUP($A525,'2. TEUs &amp; Activities - EF'!$A$9:$A$190,'2. TEUs &amp; Activities - EF'!$J$9:$J$190),_xlfn.XLOOKUP($B525,'2. TEUs &amp; Activities - EF'!$B$9:$B$190,'2. TEUs &amp; Activities - EF'!$J$9:$J$190))*'3. Pollutant Emissions - EF'!$I525*IF(OR(ISBLANK($E525),$G525="Yes"),1,$E525)*IF($H525="Yes",1,(1-$F525))</f>
        <v>2.15058E-3</v>
      </c>
      <c r="N525" s="5">
        <f>IF(ISBLANK($B525),_xlfn.XLOOKUP($A525,'2. TEUs &amp; Activities - EF'!$A$9:$A$190,'2. TEUs &amp; Activities - EF'!$M$9:$M$190),_xlfn.XLOOKUP($B525,'2. TEUs &amp; Activities - EF'!$B$9:$B$190,'2. TEUs &amp; Activities - EF'!$M$9:$M$190))*'3. Pollutant Emissions - EF'!$J525*IF(OR(ISBLANK($E525),$G525="Yes"),1,$E525)*IF($H525="Yes",1,(1-$F525))</f>
        <v>5.1613919999999995E-4</v>
      </c>
      <c r="O525" s="130">
        <f>IFERROR(IF(OR($C525="",$C525="No CAS"),INDEX('DEQ Pollutant List'!$D$7:$D$611,MATCH($D525,'DEQ Pollutant List'!$B$7:$B$611,0)),INDEX('DEQ Pollutant List'!$D$7:$D$611,MATCH($C525,'DEQ Pollutant List'!$A$7:$A$611,0))),"")</f>
        <v>614</v>
      </c>
    </row>
    <row r="526" spans="1:15" ht="15" x14ac:dyDescent="0.25">
      <c r="A526" s="5" t="s">
        <v>1542</v>
      </c>
      <c r="B526" s="7"/>
      <c r="C526" s="13" t="s">
        <v>73</v>
      </c>
      <c r="D526" s="19" t="str">
        <f>IFERROR(IF(C526="No CAS","",INDEX('DEQ Pollutant List'!$B$7:$B$611,MATCH('3. Pollutant Emissions - EF'!C526,'DEQ Pollutant List'!$A$7:$A$611,0))),"")</f>
        <v>1,2-Dichloropropane (propylene dichloride)</v>
      </c>
      <c r="E526" s="100">
        <v>0</v>
      </c>
      <c r="F526" s="36">
        <v>0</v>
      </c>
      <c r="G526" s="100" t="s">
        <v>1415</v>
      </c>
      <c r="H526" s="36" t="s">
        <v>1415</v>
      </c>
      <c r="I526" s="34">
        <v>2.7400000000000001E-2</v>
      </c>
      <c r="J526" s="11">
        <f t="shared" si="14"/>
        <v>2.7400000000000001E-2</v>
      </c>
      <c r="K526" s="6" t="s">
        <v>1418</v>
      </c>
      <c r="L526" s="20" t="s">
        <v>1587</v>
      </c>
      <c r="M526" s="7">
        <f>IF(ISBLANK($B526),_xlfn.XLOOKUP($A526,'2. TEUs &amp; Activities - EF'!$A$9:$A$190,'2. TEUs &amp; Activities - EF'!$J$9:$J$190),_xlfn.XLOOKUP($B526,'2. TEUs &amp; Activities - EF'!$B$9:$B$190,'2. TEUs &amp; Activities - EF'!$J$9:$J$190))*'3. Pollutant Emissions - EF'!$I526*IF(OR(ISBLANK($E526),$G526="Yes"),1,$E526)*IF($H526="Yes",1,(1-$F526))</f>
        <v>4.0360199999999995E-3</v>
      </c>
      <c r="N526" s="5">
        <f>IF(ISBLANK($B526),_xlfn.XLOOKUP($A526,'2. TEUs &amp; Activities - EF'!$A$9:$A$190,'2. TEUs &amp; Activities - EF'!$M$9:$M$190),_xlfn.XLOOKUP($B526,'2. TEUs &amp; Activities - EF'!$B$9:$B$190,'2. TEUs &amp; Activities - EF'!$M$9:$M$190))*'3. Pollutant Emissions - EF'!$J526*IF(OR(ISBLANK($E526),$G526="Yes"),1,$E526)*IF($H526="Yes",1,(1-$F526))</f>
        <v>9.686447999999999E-4</v>
      </c>
      <c r="O526" s="130">
        <f>IFERROR(IF(OR($C526="",$C526="No CAS"),INDEX('DEQ Pollutant List'!$D$7:$D$611,MATCH($D526,'DEQ Pollutant List'!$B$7:$B$611,0)),INDEX('DEQ Pollutant List'!$D$7:$D$611,MATCH($C526,'DEQ Pollutant List'!$A$7:$A$611,0))),"")</f>
        <v>195</v>
      </c>
    </row>
    <row r="527" spans="1:15" ht="15" x14ac:dyDescent="0.25">
      <c r="A527" s="5" t="s">
        <v>1542</v>
      </c>
      <c r="B527" s="7"/>
      <c r="C527" s="13" t="s">
        <v>229</v>
      </c>
      <c r="D527" s="19" t="str">
        <f>IFERROR(IF(C527="No CAS","",INDEX('DEQ Pollutant List'!$B$7:$B$611,MATCH('3. Pollutant Emissions - EF'!C527,'DEQ Pollutant List'!$A$7:$A$611,0))),"")</f>
        <v>1,3-Butadiene</v>
      </c>
      <c r="E527" s="100">
        <v>0</v>
      </c>
      <c r="F527" s="36">
        <v>0</v>
      </c>
      <c r="G527" s="100" t="s">
        <v>1415</v>
      </c>
      <c r="H527" s="36" t="s">
        <v>1415</v>
      </c>
      <c r="I527" s="34">
        <v>0.27200000000000002</v>
      </c>
      <c r="J527" s="11">
        <f t="shared" si="14"/>
        <v>0.27200000000000002</v>
      </c>
      <c r="K527" s="6" t="s">
        <v>1418</v>
      </c>
      <c r="L527" s="20" t="s">
        <v>1587</v>
      </c>
      <c r="M527" s="7">
        <f>IF(ISBLANK($B527),_xlfn.XLOOKUP($A527,'2. TEUs &amp; Activities - EF'!$A$9:$A$190,'2. TEUs &amp; Activities - EF'!$J$9:$J$190),_xlfn.XLOOKUP($B527,'2. TEUs &amp; Activities - EF'!$B$9:$B$190,'2. TEUs &amp; Activities - EF'!$J$9:$J$190))*'3. Pollutant Emissions - EF'!$I527*IF(OR(ISBLANK($E527),$G527="Yes"),1,$E527)*IF($H527="Yes",1,(1-$F527))</f>
        <v>4.00656E-2</v>
      </c>
      <c r="N527" s="5">
        <f>IF(ISBLANK($B527),_xlfn.XLOOKUP($A527,'2. TEUs &amp; Activities - EF'!$A$9:$A$190,'2. TEUs &amp; Activities - EF'!$M$9:$M$190),_xlfn.XLOOKUP($B527,'2. TEUs &amp; Activities - EF'!$B$9:$B$190,'2. TEUs &amp; Activities - EF'!$M$9:$M$190))*'3. Pollutant Emissions - EF'!$J527*IF(OR(ISBLANK($E527),$G527="Yes"),1,$E527)*IF($H527="Yes",1,(1-$F527))</f>
        <v>9.615743999999999E-3</v>
      </c>
      <c r="O527" s="130">
        <f>IFERROR(IF(OR($C527="",$C527="No CAS"),INDEX('DEQ Pollutant List'!$D$7:$D$611,MATCH($D527,'DEQ Pollutant List'!$B$7:$B$611,0)),INDEX('DEQ Pollutant List'!$D$7:$D$611,MATCH($C527,'DEQ Pollutant List'!$A$7:$A$611,0))),"")</f>
        <v>75</v>
      </c>
    </row>
    <row r="528" spans="1:15" ht="15" x14ac:dyDescent="0.25">
      <c r="A528" s="5" t="s">
        <v>1542</v>
      </c>
      <c r="B528" s="7"/>
      <c r="C528" s="13" t="s">
        <v>233</v>
      </c>
      <c r="D528" s="19" t="str">
        <f>IFERROR(IF(C528="No CAS","",INDEX('DEQ Pollutant List'!$B$7:$B$611,MATCH('3. Pollutant Emissions - EF'!C528,'DEQ Pollutant List'!$A$7:$A$611,0))),"")</f>
        <v>1,3-Dichloropropene</v>
      </c>
      <c r="E528" s="100">
        <v>0</v>
      </c>
      <c r="F528" s="36">
        <v>0</v>
      </c>
      <c r="G528" s="100" t="s">
        <v>1415</v>
      </c>
      <c r="H528" s="36" t="s">
        <v>1415</v>
      </c>
      <c r="I528" s="34">
        <v>2.69E-2</v>
      </c>
      <c r="J528" s="11">
        <f t="shared" si="14"/>
        <v>2.69E-2</v>
      </c>
      <c r="K528" s="6" t="s">
        <v>1418</v>
      </c>
      <c r="L528" s="20" t="s">
        <v>1587</v>
      </c>
      <c r="M528" s="7">
        <f>IF(ISBLANK($B528),_xlfn.XLOOKUP($A528,'2. TEUs &amp; Activities - EF'!$A$9:$A$190,'2. TEUs &amp; Activities - EF'!$J$9:$J$190),_xlfn.XLOOKUP($B528,'2. TEUs &amp; Activities - EF'!$B$9:$B$190,'2. TEUs &amp; Activities - EF'!$J$9:$J$190))*'3. Pollutant Emissions - EF'!$I528*IF(OR(ISBLANK($E528),$G528="Yes"),1,$E528)*IF($H528="Yes",1,(1-$F528))</f>
        <v>3.9623699999999998E-3</v>
      </c>
      <c r="N528" s="5">
        <f>IF(ISBLANK($B528),_xlfn.XLOOKUP($A528,'2. TEUs &amp; Activities - EF'!$A$9:$A$190,'2. TEUs &amp; Activities - EF'!$M$9:$M$190),_xlfn.XLOOKUP($B528,'2. TEUs &amp; Activities - EF'!$B$9:$B$190,'2. TEUs &amp; Activities - EF'!$M$9:$M$190))*'3. Pollutant Emissions - EF'!$J528*IF(OR(ISBLANK($E528),$G528="Yes"),1,$E528)*IF($H528="Yes",1,(1-$F528))</f>
        <v>9.509687999999999E-4</v>
      </c>
      <c r="O528" s="130">
        <f>IFERROR(IF(OR($C528="",$C528="No CAS"),INDEX('DEQ Pollutant List'!$D$7:$D$611,MATCH($D528,'DEQ Pollutant List'!$B$7:$B$611,0)),INDEX('DEQ Pollutant List'!$D$7:$D$611,MATCH($C528,'DEQ Pollutant List'!$A$7:$A$611,0))),"")</f>
        <v>196</v>
      </c>
    </row>
    <row r="529" spans="1:15" ht="15" x14ac:dyDescent="0.25">
      <c r="A529" s="5" t="s">
        <v>1542</v>
      </c>
      <c r="B529" s="7"/>
      <c r="C529" s="13" t="s">
        <v>116</v>
      </c>
      <c r="D529" s="19" t="str">
        <f>IFERROR(IF(C529="No CAS","",INDEX('DEQ Pollutant List'!$B$7:$B$611,MATCH('3. Pollutant Emissions - EF'!C529,'DEQ Pollutant List'!$A$7:$A$611,0))),"")</f>
        <v>2-Methyl naphthalene</v>
      </c>
      <c r="E529" s="100">
        <v>0</v>
      </c>
      <c r="F529" s="36">
        <v>0</v>
      </c>
      <c r="G529" s="100" t="s">
        <v>1415</v>
      </c>
      <c r="H529" s="36" t="s">
        <v>1415</v>
      </c>
      <c r="I529" s="34">
        <v>3.39E-2</v>
      </c>
      <c r="J529" s="11">
        <f t="shared" si="14"/>
        <v>3.39E-2</v>
      </c>
      <c r="K529" s="6" t="s">
        <v>1418</v>
      </c>
      <c r="L529" s="20" t="s">
        <v>1587</v>
      </c>
      <c r="M529" s="7">
        <f>IF(ISBLANK($B529),_xlfn.XLOOKUP($A529,'2. TEUs &amp; Activities - EF'!$A$9:$A$190,'2. TEUs &amp; Activities - EF'!$J$9:$J$190),_xlfn.XLOOKUP($B529,'2. TEUs &amp; Activities - EF'!$B$9:$B$190,'2. TEUs &amp; Activities - EF'!$J$9:$J$190))*'3. Pollutant Emissions - EF'!$I529*IF(OR(ISBLANK($E529),$G529="Yes"),1,$E529)*IF($H529="Yes",1,(1-$F529))</f>
        <v>4.9934699999999999E-3</v>
      </c>
      <c r="N529" s="5">
        <f>IF(ISBLANK($B529),_xlfn.XLOOKUP($A529,'2. TEUs &amp; Activities - EF'!$A$9:$A$190,'2. TEUs &amp; Activities - EF'!$M$9:$M$190),_xlfn.XLOOKUP($B529,'2. TEUs &amp; Activities - EF'!$B$9:$B$190,'2. TEUs &amp; Activities - EF'!$M$9:$M$190))*'3. Pollutant Emissions - EF'!$J529*IF(OR(ISBLANK($E529),$G529="Yes"),1,$E529)*IF($H529="Yes",1,(1-$F529))</f>
        <v>1.1984327999999998E-3</v>
      </c>
      <c r="O529" s="130">
        <f>IFERROR(IF(OR($C529="",$C529="No CAS"),INDEX('DEQ Pollutant List'!$D$7:$D$611,MATCH($D529,'DEQ Pollutant List'!$B$7:$B$611,0)),INDEX('DEQ Pollutant List'!$D$7:$D$611,MATCH($C529,'DEQ Pollutant List'!$A$7:$A$611,0))),"")</f>
        <v>427</v>
      </c>
    </row>
    <row r="530" spans="1:15" ht="15" x14ac:dyDescent="0.25">
      <c r="A530" s="5" t="s">
        <v>1542</v>
      </c>
      <c r="B530" s="7"/>
      <c r="C530" s="13" t="s">
        <v>119</v>
      </c>
      <c r="D530" s="19" t="str">
        <f>IFERROR(IF(C530="No CAS","",INDEX('DEQ Pollutant List'!$B$7:$B$611,MATCH('3. Pollutant Emissions - EF'!C530,'DEQ Pollutant List'!$A$7:$A$611,0))),"")</f>
        <v>Acenaphthene</v>
      </c>
      <c r="E530" s="100">
        <v>0</v>
      </c>
      <c r="F530" s="36">
        <v>0</v>
      </c>
      <c r="G530" s="100" t="s">
        <v>1415</v>
      </c>
      <c r="H530" s="36" t="s">
        <v>1415</v>
      </c>
      <c r="I530" s="34">
        <v>1.2800000000000001E-3</v>
      </c>
      <c r="J530" s="11">
        <f t="shared" si="14"/>
        <v>1.2800000000000001E-3</v>
      </c>
      <c r="K530" s="6" t="s">
        <v>1418</v>
      </c>
      <c r="L530" s="20" t="s">
        <v>1587</v>
      </c>
      <c r="M530" s="7">
        <f>IF(ISBLANK($B530),_xlfn.XLOOKUP($A530,'2. TEUs &amp; Activities - EF'!$A$9:$A$190,'2. TEUs &amp; Activities - EF'!$J$9:$J$190),_xlfn.XLOOKUP($B530,'2. TEUs &amp; Activities - EF'!$B$9:$B$190,'2. TEUs &amp; Activities - EF'!$J$9:$J$190))*'3. Pollutant Emissions - EF'!$I530*IF(OR(ISBLANK($E530),$G530="Yes"),1,$E530)*IF($H530="Yes",1,(1-$F530))</f>
        <v>1.8854399999999999E-4</v>
      </c>
      <c r="N530" s="5">
        <f>IF(ISBLANK($B530),_xlfn.XLOOKUP($A530,'2. TEUs &amp; Activities - EF'!$A$9:$A$190,'2. TEUs &amp; Activities - EF'!$M$9:$M$190),_xlfn.XLOOKUP($B530,'2. TEUs &amp; Activities - EF'!$B$9:$B$190,'2. TEUs &amp; Activities - EF'!$M$9:$M$190))*'3. Pollutant Emissions - EF'!$J530*IF(OR(ISBLANK($E530),$G530="Yes"),1,$E530)*IF($H530="Yes",1,(1-$F530))</f>
        <v>4.5250559999999994E-5</v>
      </c>
      <c r="O530" s="130">
        <f>IFERROR(IF(OR($C530="",$C530="No CAS"),INDEX('DEQ Pollutant List'!$D$7:$D$611,MATCH($D530,'DEQ Pollutant List'!$B$7:$B$611,0)),INDEX('DEQ Pollutant List'!$D$7:$D$611,MATCH($C530,'DEQ Pollutant List'!$A$7:$A$611,0))),"")</f>
        <v>402</v>
      </c>
    </row>
    <row r="531" spans="1:15" ht="15" x14ac:dyDescent="0.25">
      <c r="A531" s="5" t="s">
        <v>1542</v>
      </c>
      <c r="B531" s="7"/>
      <c r="C531" s="13" t="s">
        <v>120</v>
      </c>
      <c r="D531" s="19" t="str">
        <f>IFERROR(IF(C531="No CAS","",INDEX('DEQ Pollutant List'!$B$7:$B$611,MATCH('3. Pollutant Emissions - EF'!C531,'DEQ Pollutant List'!$A$7:$A$611,0))),"")</f>
        <v>Acenaphthylene</v>
      </c>
      <c r="E531" s="100">
        <v>0</v>
      </c>
      <c r="F531" s="36">
        <v>0</v>
      </c>
      <c r="G531" s="100" t="s">
        <v>1415</v>
      </c>
      <c r="H531" s="36" t="s">
        <v>1415</v>
      </c>
      <c r="I531" s="34">
        <v>5.64E-3</v>
      </c>
      <c r="J531" s="11">
        <f t="shared" si="14"/>
        <v>5.64E-3</v>
      </c>
      <c r="K531" s="6" t="s">
        <v>1418</v>
      </c>
      <c r="L531" s="20" t="s">
        <v>1587</v>
      </c>
      <c r="M531" s="7">
        <f>IF(ISBLANK($B531),_xlfn.XLOOKUP($A531,'2. TEUs &amp; Activities - EF'!$A$9:$A$190,'2. TEUs &amp; Activities - EF'!$J$9:$J$190),_xlfn.XLOOKUP($B531,'2. TEUs &amp; Activities - EF'!$B$9:$B$190,'2. TEUs &amp; Activities - EF'!$J$9:$J$190))*'3. Pollutant Emissions - EF'!$I531*IF(OR(ISBLANK($E531),$G531="Yes"),1,$E531)*IF($H531="Yes",1,(1-$F531))</f>
        <v>8.3077199999999991E-4</v>
      </c>
      <c r="N531" s="5">
        <f>IF(ISBLANK($B531),_xlfn.XLOOKUP($A531,'2. TEUs &amp; Activities - EF'!$A$9:$A$190,'2. TEUs &amp; Activities - EF'!$M$9:$M$190),_xlfn.XLOOKUP($B531,'2. TEUs &amp; Activities - EF'!$B$9:$B$190,'2. TEUs &amp; Activities - EF'!$M$9:$M$190))*'3. Pollutant Emissions - EF'!$J531*IF(OR(ISBLANK($E531),$G531="Yes"),1,$E531)*IF($H531="Yes",1,(1-$F531))</f>
        <v>1.9938527999999997E-4</v>
      </c>
      <c r="O531" s="130">
        <f>IFERROR(IF(OR($C531="",$C531="No CAS"),INDEX('DEQ Pollutant List'!$D$7:$D$611,MATCH($D531,'DEQ Pollutant List'!$B$7:$B$611,0)),INDEX('DEQ Pollutant List'!$D$7:$D$611,MATCH($C531,'DEQ Pollutant List'!$A$7:$A$611,0))),"")</f>
        <v>403</v>
      </c>
    </row>
    <row r="532" spans="1:15" ht="15" x14ac:dyDescent="0.25">
      <c r="A532" s="5" t="s">
        <v>1542</v>
      </c>
      <c r="B532" s="7"/>
      <c r="C532" s="13" t="s">
        <v>50</v>
      </c>
      <c r="D532" s="19" t="str">
        <f>IFERROR(IF(C532="No CAS","",INDEX('DEQ Pollutant List'!$B$7:$B$611,MATCH('3. Pollutant Emissions - EF'!C532,'DEQ Pollutant List'!$A$7:$A$611,0))),"")</f>
        <v>Acetaldehyde</v>
      </c>
      <c r="E532" s="100">
        <v>0</v>
      </c>
      <c r="F532" s="36">
        <v>0</v>
      </c>
      <c r="G532" s="100" t="s">
        <v>1415</v>
      </c>
      <c r="H532" s="36" t="s">
        <v>1415</v>
      </c>
      <c r="I532" s="34">
        <v>8.5299999999999994</v>
      </c>
      <c r="J532" s="11">
        <f t="shared" si="14"/>
        <v>8.5299999999999994</v>
      </c>
      <c r="K532" s="6" t="s">
        <v>1418</v>
      </c>
      <c r="L532" s="20" t="s">
        <v>1587</v>
      </c>
      <c r="M532" s="7">
        <f>IF(ISBLANK($B532),_xlfn.XLOOKUP($A532,'2. TEUs &amp; Activities - EF'!$A$9:$A$190,'2. TEUs &amp; Activities - EF'!$J$9:$J$190),_xlfn.XLOOKUP($B532,'2. TEUs &amp; Activities - EF'!$B$9:$B$190,'2. TEUs &amp; Activities - EF'!$J$9:$J$190))*'3. Pollutant Emissions - EF'!$I532*IF(OR(ISBLANK($E532),$G532="Yes"),1,$E532)*IF($H532="Yes",1,(1-$F532))</f>
        <v>1.2564689999999998</v>
      </c>
      <c r="N532" s="5">
        <f>IF(ISBLANK($B532),_xlfn.XLOOKUP($A532,'2. TEUs &amp; Activities - EF'!$A$9:$A$190,'2. TEUs &amp; Activities - EF'!$M$9:$M$190),_xlfn.XLOOKUP($B532,'2. TEUs &amp; Activities - EF'!$B$9:$B$190,'2. TEUs &amp; Activities - EF'!$M$9:$M$190))*'3. Pollutant Emissions - EF'!$J532*IF(OR(ISBLANK($E532),$G532="Yes"),1,$E532)*IF($H532="Yes",1,(1-$F532))</f>
        <v>0.30155255999999991</v>
      </c>
      <c r="O532" s="130">
        <f>IFERROR(IF(OR($C532="",$C532="No CAS"),INDEX('DEQ Pollutant List'!$D$7:$D$611,MATCH($D532,'DEQ Pollutant List'!$B$7:$B$611,0)),INDEX('DEQ Pollutant List'!$D$7:$D$611,MATCH($C532,'DEQ Pollutant List'!$A$7:$A$611,0))),"")</f>
        <v>1</v>
      </c>
    </row>
    <row r="533" spans="1:15" ht="15" x14ac:dyDescent="0.25">
      <c r="A533" s="5" t="s">
        <v>1542</v>
      </c>
      <c r="B533" s="7"/>
      <c r="C533" s="13" t="s">
        <v>51</v>
      </c>
      <c r="D533" s="19" t="str">
        <f>IFERROR(IF(C533="No CAS","",INDEX('DEQ Pollutant List'!$B$7:$B$611,MATCH('3. Pollutant Emissions - EF'!C533,'DEQ Pollutant List'!$A$7:$A$611,0))),"")</f>
        <v>Acrolein</v>
      </c>
      <c r="E533" s="100">
        <v>0</v>
      </c>
      <c r="F533" s="36">
        <v>0</v>
      </c>
      <c r="G533" s="100" t="s">
        <v>1415</v>
      </c>
      <c r="H533" s="36" t="s">
        <v>1415</v>
      </c>
      <c r="I533" s="34">
        <v>5.24</v>
      </c>
      <c r="J533" s="11">
        <f t="shared" si="14"/>
        <v>5.24</v>
      </c>
      <c r="K533" s="6" t="s">
        <v>1418</v>
      </c>
      <c r="L533" s="20" t="s">
        <v>1587</v>
      </c>
      <c r="M533" s="7">
        <f>IF(ISBLANK($B533),_xlfn.XLOOKUP($A533,'2. TEUs &amp; Activities - EF'!$A$9:$A$190,'2. TEUs &amp; Activities - EF'!$J$9:$J$190),_xlfn.XLOOKUP($B533,'2. TEUs &amp; Activities - EF'!$B$9:$B$190,'2. TEUs &amp; Activities - EF'!$J$9:$J$190))*'3. Pollutant Emissions - EF'!$I533*IF(OR(ISBLANK($E533),$G533="Yes"),1,$E533)*IF($H533="Yes",1,(1-$F533))</f>
        <v>0.77185199999999998</v>
      </c>
      <c r="N533" s="5">
        <f>IF(ISBLANK($B533),_xlfn.XLOOKUP($A533,'2. TEUs &amp; Activities - EF'!$A$9:$A$190,'2. TEUs &amp; Activities - EF'!$M$9:$M$190),_xlfn.XLOOKUP($B533,'2. TEUs &amp; Activities - EF'!$B$9:$B$190,'2. TEUs &amp; Activities - EF'!$M$9:$M$190))*'3. Pollutant Emissions - EF'!$J533*IF(OR(ISBLANK($E533),$G533="Yes"),1,$E533)*IF($H533="Yes",1,(1-$F533))</f>
        <v>0.18524447999999999</v>
      </c>
      <c r="O533" s="130">
        <f>IFERROR(IF(OR($C533="",$C533="No CAS"),INDEX('DEQ Pollutant List'!$D$7:$D$611,MATCH($D533,'DEQ Pollutant List'!$B$7:$B$611,0)),INDEX('DEQ Pollutant List'!$D$7:$D$611,MATCH($C533,'DEQ Pollutant List'!$A$7:$A$611,0))),"")</f>
        <v>5</v>
      </c>
    </row>
    <row r="534" spans="1:15" ht="15" x14ac:dyDescent="0.25">
      <c r="A534" s="5" t="s">
        <v>1542</v>
      </c>
      <c r="B534" s="7"/>
      <c r="C534" s="13" t="s">
        <v>52</v>
      </c>
      <c r="D534" s="19" t="str">
        <f>IFERROR(IF(C534="No CAS","",INDEX('DEQ Pollutant List'!$B$7:$B$611,MATCH('3. Pollutant Emissions - EF'!C534,'DEQ Pollutant List'!$A$7:$A$611,0))),"")</f>
        <v>Ammonia</v>
      </c>
      <c r="E534" s="100">
        <v>0</v>
      </c>
      <c r="F534" s="36">
        <v>0</v>
      </c>
      <c r="G534" s="100" t="s">
        <v>1415</v>
      </c>
      <c r="H534" s="36" t="s">
        <v>1415</v>
      </c>
      <c r="I534" s="34">
        <v>3.2</v>
      </c>
      <c r="J534" s="11">
        <f t="shared" si="14"/>
        <v>3.2</v>
      </c>
      <c r="K534" s="6" t="s">
        <v>1418</v>
      </c>
      <c r="L534" s="20" t="s">
        <v>1588</v>
      </c>
      <c r="M534" s="7">
        <f>IF(ISBLANK($B534),_xlfn.XLOOKUP($A534,'2. TEUs &amp; Activities - EF'!$A$9:$A$190,'2. TEUs &amp; Activities - EF'!$J$9:$J$190),_xlfn.XLOOKUP($B534,'2. TEUs &amp; Activities - EF'!$B$9:$B$190,'2. TEUs &amp; Activities - EF'!$J$9:$J$190))*'3. Pollutant Emissions - EF'!$I534*IF(OR(ISBLANK($E534),$G534="Yes"),1,$E534)*IF($H534="Yes",1,(1-$F534))</f>
        <v>0.47136</v>
      </c>
      <c r="N534" s="5">
        <f>IF(ISBLANK($B534),_xlfn.XLOOKUP($A534,'2. TEUs &amp; Activities - EF'!$A$9:$A$190,'2. TEUs &amp; Activities - EF'!$M$9:$M$190),_xlfn.XLOOKUP($B534,'2. TEUs &amp; Activities - EF'!$B$9:$B$190,'2. TEUs &amp; Activities - EF'!$M$9:$M$190))*'3. Pollutant Emissions - EF'!$J534*IF(OR(ISBLANK($E534),$G534="Yes"),1,$E534)*IF($H534="Yes",1,(1-$F534))</f>
        <v>0.11312639999999999</v>
      </c>
      <c r="O534" s="130">
        <f>IFERROR(IF(OR($C534="",$C534="No CAS"),INDEX('DEQ Pollutant List'!$D$7:$D$611,MATCH($D534,'DEQ Pollutant List'!$B$7:$B$611,0)),INDEX('DEQ Pollutant List'!$D$7:$D$611,MATCH($C534,'DEQ Pollutant List'!$A$7:$A$611,0))),"")</f>
        <v>26</v>
      </c>
    </row>
    <row r="535" spans="1:15" ht="15" x14ac:dyDescent="0.25">
      <c r="A535" s="5" t="s">
        <v>1542</v>
      </c>
      <c r="B535" s="7"/>
      <c r="C535" s="13" t="s">
        <v>46</v>
      </c>
      <c r="D535" s="19" t="str">
        <f>IFERROR(IF(C535="No CAS","",INDEX('DEQ Pollutant List'!$B$7:$B$611,MATCH('3. Pollutant Emissions - EF'!C535,'DEQ Pollutant List'!$A$7:$A$611,0))),"")</f>
        <v>Benzene</v>
      </c>
      <c r="E535" s="100">
        <v>0</v>
      </c>
      <c r="F535" s="36">
        <v>0</v>
      </c>
      <c r="G535" s="100" t="s">
        <v>1415</v>
      </c>
      <c r="H535" s="36" t="s">
        <v>1415</v>
      </c>
      <c r="I535" s="34">
        <v>0.44900000000000001</v>
      </c>
      <c r="J535" s="11">
        <f t="shared" si="14"/>
        <v>0.44900000000000001</v>
      </c>
      <c r="K535" s="6" t="s">
        <v>1418</v>
      </c>
      <c r="L535" s="20" t="s">
        <v>1587</v>
      </c>
      <c r="M535" s="7">
        <f>IF(ISBLANK($B535),_xlfn.XLOOKUP($A535,'2. TEUs &amp; Activities - EF'!$A$9:$A$190,'2. TEUs &amp; Activities - EF'!$J$9:$J$190),_xlfn.XLOOKUP($B535,'2. TEUs &amp; Activities - EF'!$B$9:$B$190,'2. TEUs &amp; Activities - EF'!$J$9:$J$190))*'3. Pollutant Emissions - EF'!$I535*IF(OR(ISBLANK($E535),$G535="Yes"),1,$E535)*IF($H535="Yes",1,(1-$F535))</f>
        <v>6.6137699999999994E-2</v>
      </c>
      <c r="N535" s="5">
        <f>IF(ISBLANK($B535),_xlfn.XLOOKUP($A535,'2. TEUs &amp; Activities - EF'!$A$9:$A$190,'2. TEUs &amp; Activities - EF'!$M$9:$M$190),_xlfn.XLOOKUP($B535,'2. TEUs &amp; Activities - EF'!$B$9:$B$190,'2. TEUs &amp; Activities - EF'!$M$9:$M$190))*'3. Pollutant Emissions - EF'!$J535*IF(OR(ISBLANK($E535),$G535="Yes"),1,$E535)*IF($H535="Yes",1,(1-$F535))</f>
        <v>1.5873047999999997E-2</v>
      </c>
      <c r="O535" s="130">
        <f>IFERROR(IF(OR($C535="",$C535="No CAS"),INDEX('DEQ Pollutant List'!$D$7:$D$611,MATCH($D535,'DEQ Pollutant List'!$B$7:$B$611,0)),INDEX('DEQ Pollutant List'!$D$7:$D$611,MATCH($C535,'DEQ Pollutant List'!$A$7:$A$611,0))),"")</f>
        <v>46</v>
      </c>
    </row>
    <row r="536" spans="1:15" ht="15" x14ac:dyDescent="0.25">
      <c r="A536" s="5" t="s">
        <v>1542</v>
      </c>
      <c r="B536" s="7"/>
      <c r="C536" s="13" t="s">
        <v>123</v>
      </c>
      <c r="D536" s="19" t="str">
        <f>IFERROR(IF(C536="No CAS","",INDEX('DEQ Pollutant List'!$B$7:$B$611,MATCH('3. Pollutant Emissions - EF'!C536,'DEQ Pollutant List'!$A$7:$A$611,0))),"")</f>
        <v>Benzo[b]fluoranthene</v>
      </c>
      <c r="E536" s="100">
        <v>0</v>
      </c>
      <c r="F536" s="36">
        <v>0</v>
      </c>
      <c r="G536" s="100" t="s">
        <v>1415</v>
      </c>
      <c r="H536" s="36" t="s">
        <v>1415</v>
      </c>
      <c r="I536" s="34">
        <v>1.6899999999999999E-4</v>
      </c>
      <c r="J536" s="11">
        <f t="shared" si="14"/>
        <v>1.6899999999999999E-4</v>
      </c>
      <c r="K536" s="6" t="s">
        <v>1418</v>
      </c>
      <c r="L536" s="20" t="s">
        <v>1587</v>
      </c>
      <c r="M536" s="7">
        <f>IF(ISBLANK($B536),_xlfn.XLOOKUP($A536,'2. TEUs &amp; Activities - EF'!$A$9:$A$190,'2. TEUs &amp; Activities - EF'!$J$9:$J$190),_xlfn.XLOOKUP($B536,'2. TEUs &amp; Activities - EF'!$B$9:$B$190,'2. TEUs &amp; Activities - EF'!$J$9:$J$190))*'3. Pollutant Emissions - EF'!$I536*IF(OR(ISBLANK($E536),$G536="Yes"),1,$E536)*IF($H536="Yes",1,(1-$F536))</f>
        <v>2.4893699999999995E-5</v>
      </c>
      <c r="N536" s="5">
        <f>IF(ISBLANK($B536),_xlfn.XLOOKUP($A536,'2. TEUs &amp; Activities - EF'!$A$9:$A$190,'2. TEUs &amp; Activities - EF'!$M$9:$M$190),_xlfn.XLOOKUP($B536,'2. TEUs &amp; Activities - EF'!$B$9:$B$190,'2. TEUs &amp; Activities - EF'!$M$9:$M$190))*'3. Pollutant Emissions - EF'!$J536*IF(OR(ISBLANK($E536),$G536="Yes"),1,$E536)*IF($H536="Yes",1,(1-$F536))</f>
        <v>5.974487999999999E-6</v>
      </c>
      <c r="O536" s="130">
        <f>IFERROR(IF(OR($C536="",$C536="No CAS"),INDEX('DEQ Pollutant List'!$D$7:$D$611,MATCH($D536,'DEQ Pollutant List'!$B$7:$B$611,0)),INDEX('DEQ Pollutant List'!$D$7:$D$611,MATCH($C536,'DEQ Pollutant List'!$A$7:$A$611,0))),"")</f>
        <v>407</v>
      </c>
    </row>
    <row r="537" spans="1:15" ht="15" x14ac:dyDescent="0.25">
      <c r="A537" s="5" t="s">
        <v>1542</v>
      </c>
      <c r="B537" s="7"/>
      <c r="C537" s="13" t="s">
        <v>124</v>
      </c>
      <c r="D537" s="19" t="str">
        <f>IFERROR(IF(C537="No CAS","",INDEX('DEQ Pollutant List'!$B$7:$B$611,MATCH('3. Pollutant Emissions - EF'!C537,'DEQ Pollutant List'!$A$7:$A$611,0))),"")</f>
        <v>Benzo[e]pyrene</v>
      </c>
      <c r="E537" s="100">
        <v>0</v>
      </c>
      <c r="F537" s="36">
        <v>0</v>
      </c>
      <c r="G537" s="100" t="s">
        <v>1415</v>
      </c>
      <c r="H537" s="36" t="s">
        <v>1415</v>
      </c>
      <c r="I537" s="34">
        <v>4.2299999999999998E-4</v>
      </c>
      <c r="J537" s="11">
        <f t="shared" si="14"/>
        <v>4.2299999999999998E-4</v>
      </c>
      <c r="K537" s="6" t="s">
        <v>1418</v>
      </c>
      <c r="L537" s="20" t="s">
        <v>1587</v>
      </c>
      <c r="M537" s="7">
        <f>IF(ISBLANK($B537),_xlfn.XLOOKUP($A537,'2. TEUs &amp; Activities - EF'!$A$9:$A$190,'2. TEUs &amp; Activities - EF'!$J$9:$J$190),_xlfn.XLOOKUP($B537,'2. TEUs &amp; Activities - EF'!$B$9:$B$190,'2. TEUs &amp; Activities - EF'!$J$9:$J$190))*'3. Pollutant Emissions - EF'!$I537*IF(OR(ISBLANK($E537),$G537="Yes"),1,$E537)*IF($H537="Yes",1,(1-$F537))</f>
        <v>6.2307899999999993E-5</v>
      </c>
      <c r="N537" s="5">
        <f>IF(ISBLANK($B537),_xlfn.XLOOKUP($A537,'2. TEUs &amp; Activities - EF'!$A$9:$A$190,'2. TEUs &amp; Activities - EF'!$M$9:$M$190),_xlfn.XLOOKUP($B537,'2. TEUs &amp; Activities - EF'!$B$9:$B$190,'2. TEUs &amp; Activities - EF'!$M$9:$M$190))*'3. Pollutant Emissions - EF'!$J537*IF(OR(ISBLANK($E537),$G537="Yes"),1,$E537)*IF($H537="Yes",1,(1-$F537))</f>
        <v>1.4953895999999997E-5</v>
      </c>
      <c r="O537" s="130">
        <f>IFERROR(IF(OR($C537="",$C537="No CAS"),INDEX('DEQ Pollutant List'!$D$7:$D$611,MATCH($D537,'DEQ Pollutant List'!$B$7:$B$611,0)),INDEX('DEQ Pollutant List'!$D$7:$D$611,MATCH($C537,'DEQ Pollutant List'!$A$7:$A$611,0))),"")</f>
        <v>409</v>
      </c>
    </row>
    <row r="538" spans="1:15" ht="15" x14ac:dyDescent="0.25">
      <c r="A538" s="5" t="s">
        <v>1542</v>
      </c>
      <c r="B538" s="7"/>
      <c r="C538" s="13" t="s">
        <v>125</v>
      </c>
      <c r="D538" s="19" t="str">
        <f>IFERROR(IF(C538="No CAS","",INDEX('DEQ Pollutant List'!$B$7:$B$611,MATCH('3. Pollutant Emissions - EF'!C538,'DEQ Pollutant List'!$A$7:$A$611,0))),"")</f>
        <v>Benzo[g,h,i]perylene</v>
      </c>
      <c r="E538" s="100">
        <v>0</v>
      </c>
      <c r="F538" s="36">
        <v>0</v>
      </c>
      <c r="G538" s="100" t="s">
        <v>1415</v>
      </c>
      <c r="H538" s="36" t="s">
        <v>1415</v>
      </c>
      <c r="I538" s="34">
        <v>4.2200000000000001E-4</v>
      </c>
      <c r="J538" s="11">
        <f t="shared" si="14"/>
        <v>4.2200000000000001E-4</v>
      </c>
      <c r="K538" s="6" t="s">
        <v>1418</v>
      </c>
      <c r="L538" s="20" t="s">
        <v>1587</v>
      </c>
      <c r="M538" s="7">
        <f>IF(ISBLANK($B538),_xlfn.XLOOKUP($A538,'2. TEUs &amp; Activities - EF'!$A$9:$A$190,'2. TEUs &amp; Activities - EF'!$J$9:$J$190),_xlfn.XLOOKUP($B538,'2. TEUs &amp; Activities - EF'!$B$9:$B$190,'2. TEUs &amp; Activities - EF'!$J$9:$J$190))*'3. Pollutant Emissions - EF'!$I538*IF(OR(ISBLANK($E538),$G538="Yes"),1,$E538)*IF($H538="Yes",1,(1-$F538))</f>
        <v>6.2160600000000002E-5</v>
      </c>
      <c r="N538" s="5">
        <f>IF(ISBLANK($B538),_xlfn.XLOOKUP($A538,'2. TEUs &amp; Activities - EF'!$A$9:$A$190,'2. TEUs &amp; Activities - EF'!$M$9:$M$190),_xlfn.XLOOKUP($B538,'2. TEUs &amp; Activities - EF'!$B$9:$B$190,'2. TEUs &amp; Activities - EF'!$M$9:$M$190))*'3. Pollutant Emissions - EF'!$J538*IF(OR(ISBLANK($E538),$G538="Yes"),1,$E538)*IF($H538="Yes",1,(1-$F538))</f>
        <v>1.4918543999999998E-5</v>
      </c>
      <c r="O538" s="130">
        <f>IFERROR(IF(OR($C538="",$C538="No CAS"),INDEX('DEQ Pollutant List'!$D$7:$D$611,MATCH($D538,'DEQ Pollutant List'!$B$7:$B$611,0)),INDEX('DEQ Pollutant List'!$D$7:$D$611,MATCH($C538,'DEQ Pollutant List'!$A$7:$A$611,0))),"")</f>
        <v>410</v>
      </c>
    </row>
    <row r="539" spans="1:15" ht="15" x14ac:dyDescent="0.25">
      <c r="A539" s="5" t="s">
        <v>1542</v>
      </c>
      <c r="B539" s="7"/>
      <c r="C539" s="13" t="s">
        <v>86</v>
      </c>
      <c r="D539" s="19" t="str">
        <f>IFERROR(IF(C539="No CAS","",INDEX('DEQ Pollutant List'!$B$7:$B$611,MATCH('3. Pollutant Emissions - EF'!C539,'DEQ Pollutant List'!$A$7:$A$611,0))),"")</f>
        <v>Carbon tetrachloride</v>
      </c>
      <c r="E539" s="100">
        <v>0</v>
      </c>
      <c r="F539" s="36">
        <v>0</v>
      </c>
      <c r="G539" s="100" t="s">
        <v>1415</v>
      </c>
      <c r="H539" s="36" t="s">
        <v>1415</v>
      </c>
      <c r="I539" s="34">
        <v>3.7400000000000003E-2</v>
      </c>
      <c r="J539" s="11">
        <f t="shared" si="14"/>
        <v>3.7400000000000003E-2</v>
      </c>
      <c r="K539" s="6" t="s">
        <v>1418</v>
      </c>
      <c r="L539" s="20" t="s">
        <v>1587</v>
      </c>
      <c r="M539" s="7">
        <f>IF(ISBLANK($B539),_xlfn.XLOOKUP($A539,'2. TEUs &amp; Activities - EF'!$A$9:$A$190,'2. TEUs &amp; Activities - EF'!$J$9:$J$190),_xlfn.XLOOKUP($B539,'2. TEUs &amp; Activities - EF'!$B$9:$B$190,'2. TEUs &amp; Activities - EF'!$J$9:$J$190))*'3. Pollutant Emissions - EF'!$I539*IF(OR(ISBLANK($E539),$G539="Yes"),1,$E539)*IF($H539="Yes",1,(1-$F539))</f>
        <v>5.5090199999999999E-3</v>
      </c>
      <c r="N539" s="5">
        <f>IF(ISBLANK($B539),_xlfn.XLOOKUP($A539,'2. TEUs &amp; Activities - EF'!$A$9:$A$190,'2. TEUs &amp; Activities - EF'!$M$9:$M$190),_xlfn.XLOOKUP($B539,'2. TEUs &amp; Activities - EF'!$B$9:$B$190,'2. TEUs &amp; Activities - EF'!$M$9:$M$190))*'3. Pollutant Emissions - EF'!$J539*IF(OR(ISBLANK($E539),$G539="Yes"),1,$E539)*IF($H539="Yes",1,(1-$F539))</f>
        <v>1.3221647999999999E-3</v>
      </c>
      <c r="O539" s="130">
        <f>IFERROR(IF(OR($C539="",$C539="No CAS"),INDEX('DEQ Pollutant List'!$D$7:$D$611,MATCH($D539,'DEQ Pollutant List'!$B$7:$B$611,0)),INDEX('DEQ Pollutant List'!$D$7:$D$611,MATCH($C539,'DEQ Pollutant List'!$A$7:$A$611,0))),"")</f>
        <v>91</v>
      </c>
    </row>
    <row r="540" spans="1:15" ht="15" x14ac:dyDescent="0.25">
      <c r="A540" s="5" t="s">
        <v>1542</v>
      </c>
      <c r="B540" s="7"/>
      <c r="C540" s="13" t="s">
        <v>89</v>
      </c>
      <c r="D540" s="19" t="str">
        <f>IFERROR(IF(C540="No CAS","",INDEX('DEQ Pollutant List'!$B$7:$B$611,MATCH('3. Pollutant Emissions - EF'!C540,'DEQ Pollutant List'!$A$7:$A$611,0))),"")</f>
        <v>Chloroform</v>
      </c>
      <c r="E540" s="100">
        <v>0</v>
      </c>
      <c r="F540" s="36">
        <v>0</v>
      </c>
      <c r="G540" s="100" t="s">
        <v>1415</v>
      </c>
      <c r="H540" s="36" t="s">
        <v>1415</v>
      </c>
      <c r="I540" s="34">
        <v>2.9100000000000001E-2</v>
      </c>
      <c r="J540" s="11">
        <f t="shared" si="14"/>
        <v>2.9100000000000001E-2</v>
      </c>
      <c r="K540" s="6" t="s">
        <v>1418</v>
      </c>
      <c r="L540" s="20" t="s">
        <v>1587</v>
      </c>
      <c r="M540" s="7">
        <f>IF(ISBLANK($B540),_xlfn.XLOOKUP($A540,'2. TEUs &amp; Activities - EF'!$A$9:$A$190,'2. TEUs &amp; Activities - EF'!$J$9:$J$190),_xlfn.XLOOKUP($B540,'2. TEUs &amp; Activities - EF'!$B$9:$B$190,'2. TEUs &amp; Activities - EF'!$J$9:$J$190))*'3. Pollutant Emissions - EF'!$I540*IF(OR(ISBLANK($E540),$G540="Yes"),1,$E540)*IF($H540="Yes",1,(1-$F540))</f>
        <v>4.2864299999999999E-3</v>
      </c>
      <c r="N540" s="5">
        <f>IF(ISBLANK($B540),_xlfn.XLOOKUP($A540,'2. TEUs &amp; Activities - EF'!$A$9:$A$190,'2. TEUs &amp; Activities - EF'!$M$9:$M$190),_xlfn.XLOOKUP($B540,'2. TEUs &amp; Activities - EF'!$B$9:$B$190,'2. TEUs &amp; Activities - EF'!$M$9:$M$190))*'3. Pollutant Emissions - EF'!$J540*IF(OR(ISBLANK($E540),$G540="Yes"),1,$E540)*IF($H540="Yes",1,(1-$F540))</f>
        <v>1.0287431999999998E-3</v>
      </c>
      <c r="O540" s="130">
        <f>IFERROR(IF(OR($C540="",$C540="No CAS"),INDEX('DEQ Pollutant List'!$D$7:$D$611,MATCH($D540,'DEQ Pollutant List'!$B$7:$B$611,0)),INDEX('DEQ Pollutant List'!$D$7:$D$611,MATCH($C540,'DEQ Pollutant List'!$A$7:$A$611,0))),"")</f>
        <v>118</v>
      </c>
    </row>
    <row r="541" spans="1:15" ht="15" x14ac:dyDescent="0.25">
      <c r="A541" s="5" t="s">
        <v>1542</v>
      </c>
      <c r="B541" s="7"/>
      <c r="C541" s="13" t="s">
        <v>128</v>
      </c>
      <c r="D541" s="19" t="str">
        <f>IFERROR(IF(C541="No CAS","",INDEX('DEQ Pollutant List'!$B$7:$B$611,MATCH('3. Pollutant Emissions - EF'!C541,'DEQ Pollutant List'!$A$7:$A$611,0))),"")</f>
        <v>Chrysene</v>
      </c>
      <c r="E541" s="100">
        <v>0</v>
      </c>
      <c r="F541" s="36">
        <v>0</v>
      </c>
      <c r="G541" s="100" t="s">
        <v>1415</v>
      </c>
      <c r="H541" s="36" t="s">
        <v>1415</v>
      </c>
      <c r="I541" s="34">
        <v>7.0699999999999995E-4</v>
      </c>
      <c r="J541" s="11">
        <f t="shared" si="14"/>
        <v>7.0699999999999995E-4</v>
      </c>
      <c r="K541" s="6" t="s">
        <v>1418</v>
      </c>
      <c r="L541" s="20" t="s">
        <v>1587</v>
      </c>
      <c r="M541" s="7">
        <f>IF(ISBLANK($B541),_xlfn.XLOOKUP($A541,'2. TEUs &amp; Activities - EF'!$A$9:$A$190,'2. TEUs &amp; Activities - EF'!$J$9:$J$190),_xlfn.XLOOKUP($B541,'2. TEUs &amp; Activities - EF'!$B$9:$B$190,'2. TEUs &amp; Activities - EF'!$J$9:$J$190))*'3. Pollutant Emissions - EF'!$I541*IF(OR(ISBLANK($E541),$G541="Yes"),1,$E541)*IF($H541="Yes",1,(1-$F541))</f>
        <v>1.0414109999999998E-4</v>
      </c>
      <c r="N541" s="5">
        <f>IF(ISBLANK($B541),_xlfn.XLOOKUP($A541,'2. TEUs &amp; Activities - EF'!$A$9:$A$190,'2. TEUs &amp; Activities - EF'!$M$9:$M$190),_xlfn.XLOOKUP($B541,'2. TEUs &amp; Activities - EF'!$B$9:$B$190,'2. TEUs &amp; Activities - EF'!$M$9:$M$190))*'3. Pollutant Emissions - EF'!$J541*IF(OR(ISBLANK($E541),$G541="Yes"),1,$E541)*IF($H541="Yes",1,(1-$F541))</f>
        <v>2.4993863999999993E-5</v>
      </c>
      <c r="O541" s="130">
        <f>IFERROR(IF(OR($C541="",$C541="No CAS"),INDEX('DEQ Pollutant List'!$D$7:$D$611,MATCH($D541,'DEQ Pollutant List'!$B$7:$B$611,0)),INDEX('DEQ Pollutant List'!$D$7:$D$611,MATCH($C541,'DEQ Pollutant List'!$A$7:$A$611,0))),"")</f>
        <v>414</v>
      </c>
    </row>
    <row r="542" spans="1:15" ht="15" x14ac:dyDescent="0.25">
      <c r="A542" s="5" t="s">
        <v>1542</v>
      </c>
      <c r="B542" s="7"/>
      <c r="C542" s="13" t="s">
        <v>94</v>
      </c>
      <c r="D542" s="19" t="str">
        <f>IFERROR(IF(C542="No CAS","",INDEX('DEQ Pollutant List'!$B$7:$B$611,MATCH('3. Pollutant Emissions - EF'!C542,'DEQ Pollutant List'!$A$7:$A$611,0))),"")</f>
        <v>Dichloromethane (methylene chloride)</v>
      </c>
      <c r="E542" s="100">
        <v>0</v>
      </c>
      <c r="F542" s="36">
        <v>0</v>
      </c>
      <c r="G542" s="100" t="s">
        <v>1415</v>
      </c>
      <c r="H542" s="36" t="s">
        <v>1415</v>
      </c>
      <c r="I542" s="34">
        <v>2.0400000000000001E-2</v>
      </c>
      <c r="J542" s="11">
        <f t="shared" si="14"/>
        <v>2.0400000000000001E-2</v>
      </c>
      <c r="K542" s="6" t="s">
        <v>1418</v>
      </c>
      <c r="L542" s="20" t="s">
        <v>1587</v>
      </c>
      <c r="M542" s="7">
        <f>IF(ISBLANK($B542),_xlfn.XLOOKUP($A542,'2. TEUs &amp; Activities - EF'!$A$9:$A$190,'2. TEUs &amp; Activities - EF'!$J$9:$J$190),_xlfn.XLOOKUP($B542,'2. TEUs &amp; Activities - EF'!$B$9:$B$190,'2. TEUs &amp; Activities - EF'!$J$9:$J$190))*'3. Pollutant Emissions - EF'!$I542*IF(OR(ISBLANK($E542),$G542="Yes"),1,$E542)*IF($H542="Yes",1,(1-$F542))</f>
        <v>3.0049199999999999E-3</v>
      </c>
      <c r="N542" s="5">
        <f>IF(ISBLANK($B542),_xlfn.XLOOKUP($A542,'2. TEUs &amp; Activities - EF'!$A$9:$A$190,'2. TEUs &amp; Activities - EF'!$M$9:$M$190),_xlfn.XLOOKUP($B542,'2. TEUs &amp; Activities - EF'!$B$9:$B$190,'2. TEUs &amp; Activities - EF'!$M$9:$M$190))*'3. Pollutant Emissions - EF'!$J542*IF(OR(ISBLANK($E542),$G542="Yes"),1,$E542)*IF($H542="Yes",1,(1-$F542))</f>
        <v>7.2118079999999992E-4</v>
      </c>
      <c r="O542" s="130">
        <f>IFERROR(IF(OR($C542="",$C542="No CAS"),INDEX('DEQ Pollutant List'!$D$7:$D$611,MATCH($D542,'DEQ Pollutant List'!$B$7:$B$611,0)),INDEX('DEQ Pollutant List'!$D$7:$D$611,MATCH($C542,'DEQ Pollutant List'!$A$7:$A$611,0))),"")</f>
        <v>328</v>
      </c>
    </row>
    <row r="543" spans="1:15" ht="15" x14ac:dyDescent="0.25">
      <c r="A543" s="5" t="s">
        <v>1542</v>
      </c>
      <c r="B543" s="7"/>
      <c r="C543" s="13" t="s">
        <v>60</v>
      </c>
      <c r="D543" s="19" t="str">
        <f>IFERROR(IF(C543="No CAS","",INDEX('DEQ Pollutant List'!$B$7:$B$611,MATCH('3. Pollutant Emissions - EF'!C543,'DEQ Pollutant List'!$A$7:$A$611,0))),"")</f>
        <v>Ethyl benzene</v>
      </c>
      <c r="E543" s="100">
        <v>0</v>
      </c>
      <c r="F543" s="36">
        <v>0</v>
      </c>
      <c r="G543" s="100" t="s">
        <v>1415</v>
      </c>
      <c r="H543" s="36" t="s">
        <v>1415</v>
      </c>
      <c r="I543" s="34">
        <v>4.0500000000000001E-2</v>
      </c>
      <c r="J543" s="11">
        <f t="shared" si="14"/>
        <v>4.0500000000000001E-2</v>
      </c>
      <c r="K543" s="6" t="s">
        <v>1418</v>
      </c>
      <c r="L543" s="20" t="s">
        <v>1587</v>
      </c>
      <c r="M543" s="7">
        <f>IF(ISBLANK($B543),_xlfn.XLOOKUP($A543,'2. TEUs &amp; Activities - EF'!$A$9:$A$190,'2. TEUs &amp; Activities - EF'!$J$9:$J$190),_xlfn.XLOOKUP($B543,'2. TEUs &amp; Activities - EF'!$B$9:$B$190,'2. TEUs &amp; Activities - EF'!$J$9:$J$190))*'3. Pollutant Emissions - EF'!$I543*IF(OR(ISBLANK($E543),$G543="Yes"),1,$E543)*IF($H543="Yes",1,(1-$F543))</f>
        <v>5.9656499999999994E-3</v>
      </c>
      <c r="N543" s="5">
        <f>IF(ISBLANK($B543),_xlfn.XLOOKUP($A543,'2. TEUs &amp; Activities - EF'!$A$9:$A$190,'2. TEUs &amp; Activities - EF'!$M$9:$M$190),_xlfn.XLOOKUP($B543,'2. TEUs &amp; Activities - EF'!$B$9:$B$190,'2. TEUs &amp; Activities - EF'!$M$9:$M$190))*'3. Pollutant Emissions - EF'!$J543*IF(OR(ISBLANK($E543),$G543="Yes"),1,$E543)*IF($H543="Yes",1,(1-$F543))</f>
        <v>1.4317559999999997E-3</v>
      </c>
      <c r="O543" s="130">
        <f>IFERROR(IF(OR($C543="",$C543="No CAS"),INDEX('DEQ Pollutant List'!$D$7:$D$611,MATCH($D543,'DEQ Pollutant List'!$B$7:$B$611,0)),INDEX('DEQ Pollutant List'!$D$7:$D$611,MATCH($C543,'DEQ Pollutant List'!$A$7:$A$611,0))),"")</f>
        <v>229</v>
      </c>
    </row>
    <row r="544" spans="1:15" ht="15" x14ac:dyDescent="0.25">
      <c r="A544" s="5" t="s">
        <v>1542</v>
      </c>
      <c r="B544" s="7"/>
      <c r="C544" s="13" t="s">
        <v>702</v>
      </c>
      <c r="D544" s="19" t="str">
        <f>IFERROR(IF(C544="No CAS","",INDEX('DEQ Pollutant List'!$B$7:$B$611,MATCH('3. Pollutant Emissions - EF'!C544,'DEQ Pollutant List'!$A$7:$A$611,0))),"")</f>
        <v>Ethylene dibromide (EDB, 1,2-dibromoethane)</v>
      </c>
      <c r="E544" s="100">
        <v>0</v>
      </c>
      <c r="F544" s="36">
        <v>0</v>
      </c>
      <c r="G544" s="100" t="s">
        <v>1415</v>
      </c>
      <c r="H544" s="36" t="s">
        <v>1415</v>
      </c>
      <c r="I544" s="34">
        <v>4.5199999999999997E-2</v>
      </c>
      <c r="J544" s="11">
        <f t="shared" si="14"/>
        <v>4.5199999999999997E-2</v>
      </c>
      <c r="K544" s="6" t="s">
        <v>1418</v>
      </c>
      <c r="L544" s="20" t="s">
        <v>1587</v>
      </c>
      <c r="M544" s="7">
        <f>IF(ISBLANK($B544),_xlfn.XLOOKUP($A544,'2. TEUs &amp; Activities - EF'!$A$9:$A$190,'2. TEUs &amp; Activities - EF'!$J$9:$J$190),_xlfn.XLOOKUP($B544,'2. TEUs &amp; Activities - EF'!$B$9:$B$190,'2. TEUs &amp; Activities - EF'!$J$9:$J$190))*'3. Pollutant Emissions - EF'!$I544*IF(OR(ISBLANK($E544),$G544="Yes"),1,$E544)*IF($H544="Yes",1,(1-$F544))</f>
        <v>6.6579599999999992E-3</v>
      </c>
      <c r="N544" s="5">
        <f>IF(ISBLANK($B544),_xlfn.XLOOKUP($A544,'2. TEUs &amp; Activities - EF'!$A$9:$A$190,'2. TEUs &amp; Activities - EF'!$M$9:$M$190),_xlfn.XLOOKUP($B544,'2. TEUs &amp; Activities - EF'!$B$9:$B$190,'2. TEUs &amp; Activities - EF'!$M$9:$M$190))*'3. Pollutant Emissions - EF'!$J544*IF(OR(ISBLANK($E544),$G544="Yes"),1,$E544)*IF($H544="Yes",1,(1-$F544))</f>
        <v>1.5979103999999996E-3</v>
      </c>
      <c r="O544" s="130">
        <f>IFERROR(IF(OR($C544="",$C544="No CAS"),INDEX('DEQ Pollutant List'!$D$7:$D$611,MATCH($D544,'DEQ Pollutant List'!$B$7:$B$611,0)),INDEX('DEQ Pollutant List'!$D$7:$D$611,MATCH($C544,'DEQ Pollutant List'!$A$7:$A$611,0))),"")</f>
        <v>232</v>
      </c>
    </row>
    <row r="545" spans="1:15" ht="15" x14ac:dyDescent="0.25">
      <c r="A545" s="5" t="s">
        <v>1542</v>
      </c>
      <c r="B545" s="7"/>
      <c r="C545" s="13" t="s">
        <v>96</v>
      </c>
      <c r="D545" s="19" t="str">
        <f>IFERROR(IF(C545="No CAS","",INDEX('DEQ Pollutant List'!$B$7:$B$611,MATCH('3. Pollutant Emissions - EF'!C545,'DEQ Pollutant List'!$A$7:$A$611,0))),"")</f>
        <v>Ethylene dichloride (EDC, 1,2-dichloroethane)</v>
      </c>
      <c r="E545" s="100">
        <v>0</v>
      </c>
      <c r="F545" s="36">
        <v>0</v>
      </c>
      <c r="G545" s="100" t="s">
        <v>1415</v>
      </c>
      <c r="H545" s="36" t="s">
        <v>1415</v>
      </c>
      <c r="I545" s="34">
        <v>2.41E-2</v>
      </c>
      <c r="J545" s="11">
        <f t="shared" si="14"/>
        <v>2.41E-2</v>
      </c>
      <c r="K545" s="6" t="s">
        <v>1418</v>
      </c>
      <c r="L545" s="20" t="s">
        <v>1587</v>
      </c>
      <c r="M545" s="7">
        <f>IF(ISBLANK($B545),_xlfn.XLOOKUP($A545,'2. TEUs &amp; Activities - EF'!$A$9:$A$190,'2. TEUs &amp; Activities - EF'!$J$9:$J$190),_xlfn.XLOOKUP($B545,'2. TEUs &amp; Activities - EF'!$B$9:$B$190,'2. TEUs &amp; Activities - EF'!$J$9:$J$190))*'3. Pollutant Emissions - EF'!$I545*IF(OR(ISBLANK($E545),$G545="Yes"),1,$E545)*IF($H545="Yes",1,(1-$F545))</f>
        <v>3.5499299999999998E-3</v>
      </c>
      <c r="N545" s="5">
        <f>IF(ISBLANK($B545),_xlfn.XLOOKUP($A545,'2. TEUs &amp; Activities - EF'!$A$9:$A$190,'2. TEUs &amp; Activities - EF'!$M$9:$M$190),_xlfn.XLOOKUP($B545,'2. TEUs &amp; Activities - EF'!$B$9:$B$190,'2. TEUs &amp; Activities - EF'!$M$9:$M$190))*'3. Pollutant Emissions - EF'!$J545*IF(OR(ISBLANK($E545),$G545="Yes"),1,$E545)*IF($H545="Yes",1,(1-$F545))</f>
        <v>8.5198319999999991E-4</v>
      </c>
      <c r="O545" s="130">
        <f>IFERROR(IF(OR($C545="",$C545="No CAS"),INDEX('DEQ Pollutant List'!$D$7:$D$611,MATCH($D545,'DEQ Pollutant List'!$B$7:$B$611,0)),INDEX('DEQ Pollutant List'!$D$7:$D$611,MATCH($C545,'DEQ Pollutant List'!$A$7:$A$611,0))),"")</f>
        <v>233</v>
      </c>
    </row>
    <row r="546" spans="1:15" ht="15" x14ac:dyDescent="0.25">
      <c r="A546" s="5" t="s">
        <v>1542</v>
      </c>
      <c r="B546" s="7"/>
      <c r="C546" s="13" t="s">
        <v>129</v>
      </c>
      <c r="D546" s="19" t="str">
        <f>IFERROR(IF(C546="No CAS","",INDEX('DEQ Pollutant List'!$B$7:$B$611,MATCH('3. Pollutant Emissions - EF'!C546,'DEQ Pollutant List'!$A$7:$A$611,0))),"")</f>
        <v>Fluoranthene</v>
      </c>
      <c r="E546" s="100">
        <v>0</v>
      </c>
      <c r="F546" s="36">
        <v>0</v>
      </c>
      <c r="G546" s="100" t="s">
        <v>1415</v>
      </c>
      <c r="H546" s="36" t="s">
        <v>1415</v>
      </c>
      <c r="I546" s="34">
        <v>1.1299999999999999E-3</v>
      </c>
      <c r="J546" s="11">
        <f t="shared" si="14"/>
        <v>1.1299999999999999E-3</v>
      </c>
      <c r="K546" s="6" t="s">
        <v>1418</v>
      </c>
      <c r="L546" s="20" t="s">
        <v>1587</v>
      </c>
      <c r="M546" s="7">
        <f>IF(ISBLANK($B546),_xlfn.XLOOKUP($A546,'2. TEUs &amp; Activities - EF'!$A$9:$A$190,'2. TEUs &amp; Activities - EF'!$J$9:$J$190),_xlfn.XLOOKUP($B546,'2. TEUs &amp; Activities - EF'!$B$9:$B$190,'2. TEUs &amp; Activities - EF'!$J$9:$J$190))*'3. Pollutant Emissions - EF'!$I546*IF(OR(ISBLANK($E546),$G546="Yes"),1,$E546)*IF($H546="Yes",1,(1-$F546))</f>
        <v>1.6644899999999996E-4</v>
      </c>
      <c r="N546" s="5">
        <f>IF(ISBLANK($B546),_xlfn.XLOOKUP($A546,'2. TEUs &amp; Activities - EF'!$A$9:$A$190,'2. TEUs &amp; Activities - EF'!$M$9:$M$190),_xlfn.XLOOKUP($B546,'2. TEUs &amp; Activities - EF'!$B$9:$B$190,'2. TEUs &amp; Activities - EF'!$M$9:$M$190))*'3. Pollutant Emissions - EF'!$J546*IF(OR(ISBLANK($E546),$G546="Yes"),1,$E546)*IF($H546="Yes",1,(1-$F546))</f>
        <v>3.9947759999999994E-5</v>
      </c>
      <c r="O546" s="130">
        <f>IFERROR(IF(OR($C546="",$C546="No CAS"),INDEX('DEQ Pollutant List'!$D$7:$D$611,MATCH($D546,'DEQ Pollutant List'!$B$7:$B$611,0)),INDEX('DEQ Pollutant List'!$D$7:$D$611,MATCH($C546,'DEQ Pollutant List'!$A$7:$A$611,0))),"")</f>
        <v>424</v>
      </c>
    </row>
    <row r="547" spans="1:15" ht="15" x14ac:dyDescent="0.25">
      <c r="A547" s="5" t="s">
        <v>1542</v>
      </c>
      <c r="B547" s="7"/>
      <c r="C547" s="13" t="s">
        <v>130</v>
      </c>
      <c r="D547" s="19" t="str">
        <f>IFERROR(IF(C547="No CAS","",INDEX('DEQ Pollutant List'!$B$7:$B$611,MATCH('3. Pollutant Emissions - EF'!C547,'DEQ Pollutant List'!$A$7:$A$611,0))),"")</f>
        <v>Fluorene</v>
      </c>
      <c r="E547" s="100">
        <v>0</v>
      </c>
      <c r="F547" s="36">
        <v>0</v>
      </c>
      <c r="G547" s="100" t="s">
        <v>1415</v>
      </c>
      <c r="H547" s="36" t="s">
        <v>1415</v>
      </c>
      <c r="I547" s="34">
        <v>5.7800000000000004E-3</v>
      </c>
      <c r="J547" s="11">
        <f t="shared" si="14"/>
        <v>5.7800000000000004E-3</v>
      </c>
      <c r="K547" s="6" t="s">
        <v>1418</v>
      </c>
      <c r="L547" s="20" t="s">
        <v>1587</v>
      </c>
      <c r="M547" s="7">
        <f>IF(ISBLANK($B547),_xlfn.XLOOKUP($A547,'2. TEUs &amp; Activities - EF'!$A$9:$A$190,'2. TEUs &amp; Activities - EF'!$J$9:$J$190),_xlfn.XLOOKUP($B547,'2. TEUs &amp; Activities - EF'!$B$9:$B$190,'2. TEUs &amp; Activities - EF'!$J$9:$J$190))*'3. Pollutant Emissions - EF'!$I547*IF(OR(ISBLANK($E547),$G547="Yes"),1,$E547)*IF($H547="Yes",1,(1-$F547))</f>
        <v>8.51394E-4</v>
      </c>
      <c r="N547" s="5">
        <f>IF(ISBLANK($B547),_xlfn.XLOOKUP($A547,'2. TEUs &amp; Activities - EF'!$A$9:$A$190,'2. TEUs &amp; Activities - EF'!$M$9:$M$190),_xlfn.XLOOKUP($B547,'2. TEUs &amp; Activities - EF'!$B$9:$B$190,'2. TEUs &amp; Activities - EF'!$M$9:$M$190))*'3. Pollutant Emissions - EF'!$J547*IF(OR(ISBLANK($E547),$G547="Yes"),1,$E547)*IF($H547="Yes",1,(1-$F547))</f>
        <v>2.0433455999999998E-4</v>
      </c>
      <c r="O547" s="130">
        <f>IFERROR(IF(OR($C547="",$C547="No CAS"),INDEX('DEQ Pollutant List'!$D$7:$D$611,MATCH($D547,'DEQ Pollutant List'!$B$7:$B$611,0)),INDEX('DEQ Pollutant List'!$D$7:$D$611,MATCH($C547,'DEQ Pollutant List'!$A$7:$A$611,0))),"")</f>
        <v>425</v>
      </c>
    </row>
    <row r="548" spans="1:15" ht="15" x14ac:dyDescent="0.25">
      <c r="A548" s="5" t="s">
        <v>1542</v>
      </c>
      <c r="B548" s="7"/>
      <c r="C548" s="13" t="s">
        <v>47</v>
      </c>
      <c r="D548" s="19" t="str">
        <f>IFERROR(IF(C548="No CAS","",INDEX('DEQ Pollutant List'!$B$7:$B$611,MATCH('3. Pollutant Emissions - EF'!C548,'DEQ Pollutant List'!$A$7:$A$611,0))),"")</f>
        <v>Formaldehyde</v>
      </c>
      <c r="E548" s="100">
        <v>0</v>
      </c>
      <c r="F548" s="36">
        <v>0</v>
      </c>
      <c r="G548" s="100" t="s">
        <v>1415</v>
      </c>
      <c r="H548" s="36" t="s">
        <v>1415</v>
      </c>
      <c r="I548" s="34">
        <v>53.9</v>
      </c>
      <c r="J548" s="11">
        <f t="shared" si="14"/>
        <v>53.9</v>
      </c>
      <c r="K548" s="6" t="s">
        <v>1418</v>
      </c>
      <c r="L548" s="20" t="s">
        <v>1587</v>
      </c>
      <c r="M548" s="7">
        <f>IF(ISBLANK($B548),_xlfn.XLOOKUP($A548,'2. TEUs &amp; Activities - EF'!$A$9:$A$190,'2. TEUs &amp; Activities - EF'!$J$9:$J$190),_xlfn.XLOOKUP($B548,'2. TEUs &amp; Activities - EF'!$B$9:$B$190,'2. TEUs &amp; Activities - EF'!$J$9:$J$190))*'3. Pollutant Emissions - EF'!$I548*IF(OR(ISBLANK($E548),$G548="Yes"),1,$E548)*IF($H548="Yes",1,(1-$F548))</f>
        <v>7.9394699999999991</v>
      </c>
      <c r="N548" s="5">
        <f>IF(ISBLANK($B548),_xlfn.XLOOKUP($A548,'2. TEUs &amp; Activities - EF'!$A$9:$A$190,'2. TEUs &amp; Activities - EF'!$M$9:$M$190),_xlfn.XLOOKUP($B548,'2. TEUs &amp; Activities - EF'!$B$9:$B$190,'2. TEUs &amp; Activities - EF'!$M$9:$M$190))*'3. Pollutant Emissions - EF'!$J548*IF(OR(ISBLANK($E548),$G548="Yes"),1,$E548)*IF($H548="Yes",1,(1-$F548))</f>
        <v>1.9054727999999996</v>
      </c>
      <c r="O548" s="130">
        <f>IFERROR(IF(OR($C548="",$C548="No CAS"),INDEX('DEQ Pollutant List'!$D$7:$D$611,MATCH($D548,'DEQ Pollutant List'!$B$7:$B$611,0)),INDEX('DEQ Pollutant List'!$D$7:$D$611,MATCH($C548,'DEQ Pollutant List'!$A$7:$A$611,0))),"")</f>
        <v>250</v>
      </c>
    </row>
    <row r="549" spans="1:15" ht="15" x14ac:dyDescent="0.25">
      <c r="A549" s="5" t="s">
        <v>1542</v>
      </c>
      <c r="B549" s="7"/>
      <c r="C549" s="13" t="s">
        <v>61</v>
      </c>
      <c r="D549" s="19" t="str">
        <f>IFERROR(IF(C549="No CAS","",INDEX('DEQ Pollutant List'!$B$7:$B$611,MATCH('3. Pollutant Emissions - EF'!C549,'DEQ Pollutant List'!$A$7:$A$611,0))),"")</f>
        <v>Hexane</v>
      </c>
      <c r="E549" s="100">
        <v>0</v>
      </c>
      <c r="F549" s="36">
        <v>0</v>
      </c>
      <c r="G549" s="100" t="s">
        <v>1415</v>
      </c>
      <c r="H549" s="36" t="s">
        <v>1415</v>
      </c>
      <c r="I549" s="34">
        <v>1.1299999999999999</v>
      </c>
      <c r="J549" s="11">
        <f t="shared" si="14"/>
        <v>1.1299999999999999</v>
      </c>
      <c r="K549" s="6" t="s">
        <v>1418</v>
      </c>
      <c r="L549" s="20" t="s">
        <v>1587</v>
      </c>
      <c r="M549" s="7">
        <f>IF(ISBLANK($B549),_xlfn.XLOOKUP($A549,'2. TEUs &amp; Activities - EF'!$A$9:$A$190,'2. TEUs &amp; Activities - EF'!$J$9:$J$190),_xlfn.XLOOKUP($B549,'2. TEUs &amp; Activities - EF'!$B$9:$B$190,'2. TEUs &amp; Activities - EF'!$J$9:$J$190))*'3. Pollutant Emissions - EF'!$I549*IF(OR(ISBLANK($E549),$G549="Yes"),1,$E549)*IF($H549="Yes",1,(1-$F549))</f>
        <v>0.16644899999999996</v>
      </c>
      <c r="N549" s="5">
        <f>IF(ISBLANK($B549),_xlfn.XLOOKUP($A549,'2. TEUs &amp; Activities - EF'!$A$9:$A$190,'2. TEUs &amp; Activities - EF'!$M$9:$M$190),_xlfn.XLOOKUP($B549,'2. TEUs &amp; Activities - EF'!$B$9:$B$190,'2. TEUs &amp; Activities - EF'!$M$9:$M$190))*'3. Pollutant Emissions - EF'!$J549*IF(OR(ISBLANK($E549),$G549="Yes"),1,$E549)*IF($H549="Yes",1,(1-$F549))</f>
        <v>3.9947759999999992E-2</v>
      </c>
      <c r="O549" s="130">
        <f>IFERROR(IF(OR($C549="",$C549="No CAS"),INDEX('DEQ Pollutant List'!$D$7:$D$611,MATCH($D549,'DEQ Pollutant List'!$B$7:$B$611,0)),INDEX('DEQ Pollutant List'!$D$7:$D$611,MATCH($C549,'DEQ Pollutant List'!$A$7:$A$611,0))),"")</f>
        <v>289</v>
      </c>
    </row>
    <row r="550" spans="1:15" ht="15" x14ac:dyDescent="0.25">
      <c r="A550" s="5" t="s">
        <v>1542</v>
      </c>
      <c r="B550" s="7"/>
      <c r="C550" s="13" t="s">
        <v>101</v>
      </c>
      <c r="D550" s="19" t="str">
        <f>IFERROR(IF(C550="No CAS","",INDEX('DEQ Pollutant List'!$B$7:$B$611,MATCH('3. Pollutant Emissions - EF'!C550,'DEQ Pollutant List'!$A$7:$A$611,0))),"")</f>
        <v>Methanol</v>
      </c>
      <c r="E550" s="100">
        <v>0</v>
      </c>
      <c r="F550" s="36">
        <v>0</v>
      </c>
      <c r="G550" s="100" t="s">
        <v>1415</v>
      </c>
      <c r="H550" s="36" t="s">
        <v>1415</v>
      </c>
      <c r="I550" s="34">
        <v>2.5499999999999998</v>
      </c>
      <c r="J550" s="11">
        <f t="shared" si="14"/>
        <v>2.5499999999999998</v>
      </c>
      <c r="K550" s="6" t="s">
        <v>1418</v>
      </c>
      <c r="L550" s="20" t="s">
        <v>1587</v>
      </c>
      <c r="M550" s="7">
        <f>IF(ISBLANK($B550),_xlfn.XLOOKUP($A550,'2. TEUs &amp; Activities - EF'!$A$9:$A$190,'2. TEUs &amp; Activities - EF'!$J$9:$J$190),_xlfn.XLOOKUP($B550,'2. TEUs &amp; Activities - EF'!$B$9:$B$190,'2. TEUs &amp; Activities - EF'!$J$9:$J$190))*'3. Pollutant Emissions - EF'!$I550*IF(OR(ISBLANK($E550),$G550="Yes"),1,$E550)*IF($H550="Yes",1,(1-$F550))</f>
        <v>0.37561499999999992</v>
      </c>
      <c r="N550" s="5">
        <f>IF(ISBLANK($B550),_xlfn.XLOOKUP($A550,'2. TEUs &amp; Activities - EF'!$A$9:$A$190,'2. TEUs &amp; Activities - EF'!$M$9:$M$190),_xlfn.XLOOKUP($B550,'2. TEUs &amp; Activities - EF'!$B$9:$B$190,'2. TEUs &amp; Activities - EF'!$M$9:$M$190))*'3. Pollutant Emissions - EF'!$J550*IF(OR(ISBLANK($E550),$G550="Yes"),1,$E550)*IF($H550="Yes",1,(1-$F550))</f>
        <v>9.0147599999999981E-2</v>
      </c>
      <c r="O550" s="130">
        <f>IFERROR(IF(OR($C550="",$C550="No CAS"),INDEX('DEQ Pollutant List'!$D$7:$D$611,MATCH($D550,'DEQ Pollutant List'!$B$7:$B$611,0)),INDEX('DEQ Pollutant List'!$D$7:$D$611,MATCH($C550,'DEQ Pollutant List'!$A$7:$A$611,0))),"")</f>
        <v>321</v>
      </c>
    </row>
    <row r="551" spans="1:15" ht="15" x14ac:dyDescent="0.25">
      <c r="A551" s="5" t="s">
        <v>1542</v>
      </c>
      <c r="B551" s="7"/>
      <c r="C551" s="13" t="s">
        <v>49</v>
      </c>
      <c r="D551" s="19" t="str">
        <f>IFERROR(IF(C551="No CAS","",INDEX('DEQ Pollutant List'!$B$7:$B$611,MATCH('3. Pollutant Emissions - EF'!C551,'DEQ Pollutant List'!$A$7:$A$611,0))),"")</f>
        <v>Naphthalene</v>
      </c>
      <c r="E551" s="100">
        <v>0</v>
      </c>
      <c r="F551" s="36">
        <v>0</v>
      </c>
      <c r="G551" s="100" t="s">
        <v>1415</v>
      </c>
      <c r="H551" s="36" t="s">
        <v>1415</v>
      </c>
      <c r="I551" s="34">
        <v>7.5899999999999995E-2</v>
      </c>
      <c r="J551" s="11">
        <f t="shared" si="14"/>
        <v>7.5899999999999995E-2</v>
      </c>
      <c r="K551" s="6" t="s">
        <v>1418</v>
      </c>
      <c r="L551" s="20" t="s">
        <v>1587</v>
      </c>
      <c r="M551" s="7">
        <f>IF(ISBLANK($B551),_xlfn.XLOOKUP($A551,'2. TEUs &amp; Activities - EF'!$A$9:$A$190,'2. TEUs &amp; Activities - EF'!$J$9:$J$190),_xlfn.XLOOKUP($B551,'2. TEUs &amp; Activities - EF'!$B$9:$B$190,'2. TEUs &amp; Activities - EF'!$J$9:$J$190))*'3. Pollutant Emissions - EF'!$I551*IF(OR(ISBLANK($E551),$G551="Yes"),1,$E551)*IF($H551="Yes",1,(1-$F551))</f>
        <v>1.1180069999999999E-2</v>
      </c>
      <c r="N551" s="5">
        <f>IF(ISBLANK($B551),_xlfn.XLOOKUP($A551,'2. TEUs &amp; Activities - EF'!$A$9:$A$190,'2. TEUs &amp; Activities - EF'!$M$9:$M$190),_xlfn.XLOOKUP($B551,'2. TEUs &amp; Activities - EF'!$B$9:$B$190,'2. TEUs &amp; Activities - EF'!$M$9:$M$190))*'3. Pollutant Emissions - EF'!$J551*IF(OR(ISBLANK($E551),$G551="Yes"),1,$E551)*IF($H551="Yes",1,(1-$F551))</f>
        <v>2.6832167999999994E-3</v>
      </c>
      <c r="O551" s="130">
        <f>IFERROR(IF(OR($C551="",$C551="No CAS"),INDEX('DEQ Pollutant List'!$D$7:$D$611,MATCH($D551,'DEQ Pollutant List'!$B$7:$B$611,0)),INDEX('DEQ Pollutant List'!$D$7:$D$611,MATCH($C551,'DEQ Pollutant List'!$A$7:$A$611,0))),"")</f>
        <v>428</v>
      </c>
    </row>
    <row r="552" spans="1:15" ht="15" x14ac:dyDescent="0.25">
      <c r="A552" s="5" t="s">
        <v>1542</v>
      </c>
      <c r="B552" s="7"/>
      <c r="C552" s="13" t="s">
        <v>133</v>
      </c>
      <c r="D552" s="19" t="str">
        <f>IFERROR(IF(C552="No CAS","",INDEX('DEQ Pollutant List'!$B$7:$B$611,MATCH('3. Pollutant Emissions - EF'!C552,'DEQ Pollutant List'!$A$7:$A$611,0))),"")</f>
        <v>Phenanthrene</v>
      </c>
      <c r="E552" s="100">
        <v>0</v>
      </c>
      <c r="F552" s="36">
        <v>0</v>
      </c>
      <c r="G552" s="100" t="s">
        <v>1415</v>
      </c>
      <c r="H552" s="36" t="s">
        <v>1415</v>
      </c>
      <c r="I552" s="34">
        <v>1.06E-2</v>
      </c>
      <c r="J552" s="11">
        <f t="shared" si="14"/>
        <v>1.06E-2</v>
      </c>
      <c r="K552" s="6" t="s">
        <v>1418</v>
      </c>
      <c r="L552" s="20" t="s">
        <v>1587</v>
      </c>
      <c r="M552" s="7">
        <f>IF(ISBLANK($B552),_xlfn.XLOOKUP($A552,'2. TEUs &amp; Activities - EF'!$A$9:$A$190,'2. TEUs &amp; Activities - EF'!$J$9:$J$190),_xlfn.XLOOKUP($B552,'2. TEUs &amp; Activities - EF'!$B$9:$B$190,'2. TEUs &amp; Activities - EF'!$J$9:$J$190))*'3. Pollutant Emissions - EF'!$I552*IF(OR(ISBLANK($E552),$G552="Yes"),1,$E552)*IF($H552="Yes",1,(1-$F552))</f>
        <v>1.5613799999999998E-3</v>
      </c>
      <c r="N552" s="5">
        <f>IF(ISBLANK($B552),_xlfn.XLOOKUP($A552,'2. TEUs &amp; Activities - EF'!$A$9:$A$190,'2. TEUs &amp; Activities - EF'!$M$9:$M$190),_xlfn.XLOOKUP($B552,'2. TEUs &amp; Activities - EF'!$B$9:$B$190,'2. TEUs &amp; Activities - EF'!$M$9:$M$190))*'3. Pollutant Emissions - EF'!$J552*IF(OR(ISBLANK($E552),$G552="Yes"),1,$E552)*IF($H552="Yes",1,(1-$F552))</f>
        <v>3.7473119999999996E-4</v>
      </c>
      <c r="O552" s="130">
        <f>IFERROR(IF(OR($C552="",$C552="No CAS"),INDEX('DEQ Pollutant List'!$D$7:$D$611,MATCH($D552,'DEQ Pollutant List'!$B$7:$B$611,0)),INDEX('DEQ Pollutant List'!$D$7:$D$611,MATCH($C552,'DEQ Pollutant List'!$A$7:$A$611,0))),"")</f>
        <v>430</v>
      </c>
    </row>
    <row r="553" spans="1:15" ht="15" x14ac:dyDescent="0.25">
      <c r="A553" s="5" t="s">
        <v>1542</v>
      </c>
      <c r="B553" s="7"/>
      <c r="C553" s="13" t="s">
        <v>134</v>
      </c>
      <c r="D553" s="19" t="str">
        <f>IFERROR(IF(C553="No CAS","",INDEX('DEQ Pollutant List'!$B$7:$B$611,MATCH('3. Pollutant Emissions - EF'!C553,'DEQ Pollutant List'!$A$7:$A$611,0))),"")</f>
        <v>Pyrene</v>
      </c>
      <c r="E553" s="100">
        <v>0</v>
      </c>
      <c r="F553" s="36">
        <v>0</v>
      </c>
      <c r="G553" s="100" t="s">
        <v>1415</v>
      </c>
      <c r="H553" s="36" t="s">
        <v>1415</v>
      </c>
      <c r="I553" s="34">
        <v>1.39E-3</v>
      </c>
      <c r="J553" s="11">
        <f t="shared" si="14"/>
        <v>1.39E-3</v>
      </c>
      <c r="K553" s="6" t="s">
        <v>1418</v>
      </c>
      <c r="L553" s="20" t="s">
        <v>1587</v>
      </c>
      <c r="M553" s="7">
        <f>IF(ISBLANK($B553),_xlfn.XLOOKUP($A553,'2. TEUs &amp; Activities - EF'!$A$9:$A$190,'2. TEUs &amp; Activities - EF'!$J$9:$J$190),_xlfn.XLOOKUP($B553,'2. TEUs &amp; Activities - EF'!$B$9:$B$190,'2. TEUs &amp; Activities - EF'!$J$9:$J$190))*'3. Pollutant Emissions - EF'!$I553*IF(OR(ISBLANK($E553),$G553="Yes"),1,$E553)*IF($H553="Yes",1,(1-$F553))</f>
        <v>2.0474699999999997E-4</v>
      </c>
      <c r="N553" s="5">
        <f>IF(ISBLANK($B553),_xlfn.XLOOKUP($A553,'2. TEUs &amp; Activities - EF'!$A$9:$A$190,'2. TEUs &amp; Activities - EF'!$M$9:$M$190),_xlfn.XLOOKUP($B553,'2. TEUs &amp; Activities - EF'!$B$9:$B$190,'2. TEUs &amp; Activities - EF'!$M$9:$M$190))*'3. Pollutant Emissions - EF'!$J553*IF(OR(ISBLANK($E553),$G553="Yes"),1,$E553)*IF($H553="Yes",1,(1-$F553))</f>
        <v>4.9139279999999991E-5</v>
      </c>
      <c r="O553" s="130">
        <f>IFERROR(IF(OR($C553="",$C553="No CAS"),INDEX('DEQ Pollutant List'!$D$7:$D$611,MATCH($D553,'DEQ Pollutant List'!$B$7:$B$611,0)),INDEX('DEQ Pollutant List'!$D$7:$D$611,MATCH($C553,'DEQ Pollutant List'!$A$7:$A$611,0))),"")</f>
        <v>431</v>
      </c>
    </row>
    <row r="554" spans="1:15" ht="15" x14ac:dyDescent="0.25">
      <c r="A554" s="5" t="s">
        <v>1542</v>
      </c>
      <c r="B554" s="7"/>
      <c r="C554" s="13" t="s">
        <v>107</v>
      </c>
      <c r="D554" s="19" t="str">
        <f>IFERROR(IF(C554="No CAS","",INDEX('DEQ Pollutant List'!$B$7:$B$611,MATCH('3. Pollutant Emissions - EF'!C554,'DEQ Pollutant List'!$A$7:$A$611,0))),"")</f>
        <v>Styrene</v>
      </c>
      <c r="E554" s="100">
        <v>0</v>
      </c>
      <c r="F554" s="36">
        <v>0</v>
      </c>
      <c r="G554" s="100" t="s">
        <v>1415</v>
      </c>
      <c r="H554" s="36" t="s">
        <v>1415</v>
      </c>
      <c r="I554" s="34">
        <v>2.41E-2</v>
      </c>
      <c r="J554" s="11">
        <f t="shared" si="14"/>
        <v>2.41E-2</v>
      </c>
      <c r="K554" s="6" t="s">
        <v>1418</v>
      </c>
      <c r="L554" s="20" t="s">
        <v>1587</v>
      </c>
      <c r="M554" s="7">
        <f>IF(ISBLANK($B554),_xlfn.XLOOKUP($A554,'2. TEUs &amp; Activities - EF'!$A$9:$A$190,'2. TEUs &amp; Activities - EF'!$J$9:$J$190),_xlfn.XLOOKUP($B554,'2. TEUs &amp; Activities - EF'!$B$9:$B$190,'2. TEUs &amp; Activities - EF'!$J$9:$J$190))*'3. Pollutant Emissions - EF'!$I554*IF(OR(ISBLANK($E554),$G554="Yes"),1,$E554)*IF($H554="Yes",1,(1-$F554))</f>
        <v>3.5499299999999998E-3</v>
      </c>
      <c r="N554" s="5">
        <f>IF(ISBLANK($B554),_xlfn.XLOOKUP($A554,'2. TEUs &amp; Activities - EF'!$A$9:$A$190,'2. TEUs &amp; Activities - EF'!$M$9:$M$190),_xlfn.XLOOKUP($B554,'2. TEUs &amp; Activities - EF'!$B$9:$B$190,'2. TEUs &amp; Activities - EF'!$M$9:$M$190))*'3. Pollutant Emissions - EF'!$J554*IF(OR(ISBLANK($E554),$G554="Yes"),1,$E554)*IF($H554="Yes",1,(1-$F554))</f>
        <v>8.5198319999999991E-4</v>
      </c>
      <c r="O554" s="130">
        <f>IFERROR(IF(OR($C554="",$C554="No CAS"),INDEX('DEQ Pollutant List'!$D$7:$D$611,MATCH($D554,'DEQ Pollutant List'!$B$7:$B$611,0)),INDEX('DEQ Pollutant List'!$D$7:$D$611,MATCH($C554,'DEQ Pollutant List'!$A$7:$A$611,0))),"")</f>
        <v>585</v>
      </c>
    </row>
    <row r="555" spans="1:15" ht="15" x14ac:dyDescent="0.25">
      <c r="A555" s="5" t="s">
        <v>1542</v>
      </c>
      <c r="B555" s="7"/>
      <c r="C555" s="13" t="s">
        <v>68</v>
      </c>
      <c r="D555" s="19" t="str">
        <f>IFERROR(IF(C555="No CAS","",INDEX('DEQ Pollutant List'!$B$7:$B$611,MATCH('3. Pollutant Emissions - EF'!C555,'DEQ Pollutant List'!$A$7:$A$611,0))),"")</f>
        <v>Toluene</v>
      </c>
      <c r="E555" s="100">
        <v>0</v>
      </c>
      <c r="F555" s="36">
        <v>0</v>
      </c>
      <c r="G555" s="100" t="s">
        <v>1415</v>
      </c>
      <c r="H555" s="36" t="s">
        <v>1415</v>
      </c>
      <c r="I555" s="34">
        <v>0.41599999999999998</v>
      </c>
      <c r="J555" s="11">
        <f t="shared" si="14"/>
        <v>0.41599999999999998</v>
      </c>
      <c r="K555" s="6" t="s">
        <v>1418</v>
      </c>
      <c r="L555" s="20" t="s">
        <v>1587</v>
      </c>
      <c r="M555" s="7">
        <f>IF(ISBLANK($B555),_xlfn.XLOOKUP($A555,'2. TEUs &amp; Activities - EF'!$A$9:$A$190,'2. TEUs &amp; Activities - EF'!$J$9:$J$190),_xlfn.XLOOKUP($B555,'2. TEUs &amp; Activities - EF'!$B$9:$B$190,'2. TEUs &amp; Activities - EF'!$J$9:$J$190))*'3. Pollutant Emissions - EF'!$I555*IF(OR(ISBLANK($E555),$G555="Yes"),1,$E555)*IF($H555="Yes",1,(1-$F555))</f>
        <v>6.1276799999999992E-2</v>
      </c>
      <c r="N555" s="5">
        <f>IF(ISBLANK($B555),_xlfn.XLOOKUP($A555,'2. TEUs &amp; Activities - EF'!$A$9:$A$190,'2. TEUs &amp; Activities - EF'!$M$9:$M$190),_xlfn.XLOOKUP($B555,'2. TEUs &amp; Activities - EF'!$B$9:$B$190,'2. TEUs &amp; Activities - EF'!$M$9:$M$190))*'3. Pollutant Emissions - EF'!$J555*IF(OR(ISBLANK($E555),$G555="Yes"),1,$E555)*IF($H555="Yes",1,(1-$F555))</f>
        <v>1.4706431999999997E-2</v>
      </c>
      <c r="O555" s="130">
        <f>IFERROR(IF(OR($C555="",$C555="No CAS"),INDEX('DEQ Pollutant List'!$D$7:$D$611,MATCH($D555,'DEQ Pollutant List'!$B$7:$B$611,0)),INDEX('DEQ Pollutant List'!$D$7:$D$611,MATCH($C555,'DEQ Pollutant List'!$A$7:$A$611,0))),"")</f>
        <v>600</v>
      </c>
    </row>
    <row r="556" spans="1:15" ht="15" x14ac:dyDescent="0.25">
      <c r="A556" s="5" t="s">
        <v>1542</v>
      </c>
      <c r="B556" s="7"/>
      <c r="C556" s="13" t="s">
        <v>111</v>
      </c>
      <c r="D556" s="19" t="str">
        <f>IFERROR(IF(C556="No CAS","",INDEX('DEQ Pollutant List'!$B$7:$B$611,MATCH('3. Pollutant Emissions - EF'!C556,'DEQ Pollutant List'!$A$7:$A$611,0))),"")</f>
        <v>Vinyl chloride</v>
      </c>
      <c r="E556" s="100">
        <v>0</v>
      </c>
      <c r="F556" s="36">
        <v>0</v>
      </c>
      <c r="G556" s="100" t="s">
        <v>1415</v>
      </c>
      <c r="H556" s="36" t="s">
        <v>1415</v>
      </c>
      <c r="I556" s="34">
        <v>1.52E-2</v>
      </c>
      <c r="J556" s="11">
        <f t="shared" si="14"/>
        <v>1.52E-2</v>
      </c>
      <c r="K556" s="6" t="s">
        <v>1418</v>
      </c>
      <c r="L556" s="20" t="s">
        <v>1587</v>
      </c>
      <c r="M556" s="7">
        <f>IF(ISBLANK($B556),_xlfn.XLOOKUP($A556,'2. TEUs &amp; Activities - EF'!$A$9:$A$190,'2. TEUs &amp; Activities - EF'!$J$9:$J$190),_xlfn.XLOOKUP($B556,'2. TEUs &amp; Activities - EF'!$B$9:$B$190,'2. TEUs &amp; Activities - EF'!$J$9:$J$190))*'3. Pollutant Emissions - EF'!$I556*IF(OR(ISBLANK($E556),$G556="Yes"),1,$E556)*IF($H556="Yes",1,(1-$F556))</f>
        <v>2.2389599999999999E-3</v>
      </c>
      <c r="N556" s="5">
        <f>IF(ISBLANK($B556),_xlfn.XLOOKUP($A556,'2. TEUs &amp; Activities - EF'!$A$9:$A$190,'2. TEUs &amp; Activities - EF'!$M$9:$M$190),_xlfn.XLOOKUP($B556,'2. TEUs &amp; Activities - EF'!$B$9:$B$190,'2. TEUs &amp; Activities - EF'!$M$9:$M$190))*'3. Pollutant Emissions - EF'!$J556*IF(OR(ISBLANK($E556),$G556="Yes"),1,$E556)*IF($H556="Yes",1,(1-$F556))</f>
        <v>5.3735039999999994E-4</v>
      </c>
      <c r="O556" s="130">
        <f>IFERROR(IF(OR($C556="",$C556="No CAS"),INDEX('DEQ Pollutant List'!$D$7:$D$611,MATCH($D556,'DEQ Pollutant List'!$B$7:$B$611,0)),INDEX('DEQ Pollutant List'!$D$7:$D$611,MATCH($C556,'DEQ Pollutant List'!$A$7:$A$611,0))),"")</f>
        <v>624</v>
      </c>
    </row>
    <row r="557" spans="1:15" ht="15" x14ac:dyDescent="0.25">
      <c r="A557" s="5" t="s">
        <v>1542</v>
      </c>
      <c r="B557" s="7"/>
      <c r="C557" s="13" t="s">
        <v>70</v>
      </c>
      <c r="D557" s="19" t="str">
        <f>IFERROR(IF(C557="No CAS","",INDEX('DEQ Pollutant List'!$B$7:$B$611,MATCH('3. Pollutant Emissions - EF'!C557,'DEQ Pollutant List'!$A$7:$A$611,0))),"")</f>
        <v>Xylene (mixture), including m-xylene, o-xylene, p-xylene</v>
      </c>
      <c r="E557" s="100">
        <v>0</v>
      </c>
      <c r="F557" s="36">
        <v>0</v>
      </c>
      <c r="G557" s="100" t="s">
        <v>1415</v>
      </c>
      <c r="H557" s="36" t="s">
        <v>1415</v>
      </c>
      <c r="I557" s="34">
        <v>0.188</v>
      </c>
      <c r="J557" s="11">
        <f t="shared" si="14"/>
        <v>0.188</v>
      </c>
      <c r="K557" s="6" t="s">
        <v>1418</v>
      </c>
      <c r="L557" s="20" t="s">
        <v>1587</v>
      </c>
      <c r="M557" s="7">
        <f>IF(ISBLANK($B557),_xlfn.XLOOKUP($A557,'2. TEUs &amp; Activities - EF'!$A$9:$A$190,'2. TEUs &amp; Activities - EF'!$J$9:$J$190),_xlfn.XLOOKUP($B557,'2. TEUs &amp; Activities - EF'!$B$9:$B$190,'2. TEUs &amp; Activities - EF'!$J$9:$J$190))*'3. Pollutant Emissions - EF'!$I557*IF(OR(ISBLANK($E557),$G557="Yes"),1,$E557)*IF($H557="Yes",1,(1-$F557))</f>
        <v>2.7692399999999999E-2</v>
      </c>
      <c r="N557" s="5">
        <f>IF(ISBLANK($B557),_xlfn.XLOOKUP($A557,'2. TEUs &amp; Activities - EF'!$A$9:$A$190,'2. TEUs &amp; Activities - EF'!$M$9:$M$190),_xlfn.XLOOKUP($B557,'2. TEUs &amp; Activities - EF'!$B$9:$B$190,'2. TEUs &amp; Activities - EF'!$M$9:$M$190))*'3. Pollutant Emissions - EF'!$J557*IF(OR(ISBLANK($E557),$G557="Yes"),1,$E557)*IF($H557="Yes",1,(1-$F557))</f>
        <v>6.6461759999999993E-3</v>
      </c>
      <c r="O557" s="130">
        <f>IFERROR(IF(OR($C557="",$C557="No CAS"),INDEX('DEQ Pollutant List'!$D$7:$D$611,MATCH($D557,'DEQ Pollutant List'!$B$7:$B$611,0)),INDEX('DEQ Pollutant List'!$D$7:$D$611,MATCH($C557,'DEQ Pollutant List'!$A$7:$A$611,0))),"")</f>
        <v>628</v>
      </c>
    </row>
    <row r="558" spans="1:15" ht="15" x14ac:dyDescent="0.25">
      <c r="A558" s="5"/>
      <c r="B558" s="7"/>
      <c r="C558" s="13"/>
      <c r="D558" s="19" t="str">
        <f>IFERROR(IF(C558="No CAS","",INDEX('DEQ Pollutant List'!$B$7:$B$611,MATCH('3. Pollutant Emissions - EF'!C558,'DEQ Pollutant List'!$A$7:$A$611,0))),"")</f>
        <v/>
      </c>
      <c r="E558" s="100"/>
      <c r="F558" s="36"/>
      <c r="G558" s="100"/>
      <c r="H558" s="36"/>
      <c r="I558" s="34"/>
      <c r="J558" s="11"/>
      <c r="K558" s="6"/>
      <c r="L558" s="20"/>
      <c r="M558" s="7">
        <f>IF(ISBLANK($B558),_xlfn.XLOOKUP($A558,'2. TEUs &amp; Activities - EF'!$A$9:$A$190,'2. TEUs &amp; Activities - EF'!$J$9:$J$190),_xlfn.XLOOKUP($B558,'2. TEUs &amp; Activities - EF'!$B$9:$B$190,'2. TEUs &amp; Activities - EF'!$J$9:$J$190))*'3. Pollutant Emissions - EF'!$I558*IF(OR(ISBLANK($E558),$G558="Yes"),1,$E558)*IF($H558="Yes",1,(1-$F558))</f>
        <v>0</v>
      </c>
      <c r="N558" s="5">
        <f>IF(ISBLANK($B558),_xlfn.XLOOKUP($A558,'2. TEUs &amp; Activities - EF'!$A$9:$A$190,'2. TEUs &amp; Activities - EF'!$M$9:$M$190),_xlfn.XLOOKUP($B558,'2. TEUs &amp; Activities - EF'!$B$9:$B$190,'2. TEUs &amp; Activities - EF'!$M$9:$M$190))*'3. Pollutant Emissions - EF'!$J558*IF(OR(ISBLANK($E558),$G558="Yes"),1,$E558)*IF($H558="Yes",1,(1-$F558))</f>
        <v>0</v>
      </c>
      <c r="O558" s="130" t="str">
        <f>IFERROR(IF(OR($C558="",$C558="No CAS"),INDEX('DEQ Pollutant List'!$D$7:$D$611,MATCH($D558,'DEQ Pollutant List'!$B$7:$B$611,0)),INDEX('DEQ Pollutant List'!$D$7:$D$611,MATCH($C558,'DEQ Pollutant List'!$A$7:$A$611,0))),"")</f>
        <v/>
      </c>
    </row>
    <row r="559" spans="1:15" ht="15" x14ac:dyDescent="0.25">
      <c r="A559" s="5" t="s">
        <v>1543</v>
      </c>
      <c r="B559" s="7"/>
      <c r="C559" s="13" t="s">
        <v>186</v>
      </c>
      <c r="D559" s="19" t="str">
        <f>IFERROR(IF(C559="No CAS","",INDEX('DEQ Pollutant List'!$B$7:$B$611,MATCH('3. Pollutant Emissions - EF'!C559,'DEQ Pollutant List'!$A$7:$A$611,0))),"")</f>
        <v>1,1,2,2-Tetrachloroethane</v>
      </c>
      <c r="E559" s="100">
        <v>0</v>
      </c>
      <c r="F559" s="36">
        <v>0</v>
      </c>
      <c r="G559" s="100" t="s">
        <v>1415</v>
      </c>
      <c r="H559" s="36" t="s">
        <v>1415</v>
      </c>
      <c r="I559" s="34">
        <v>4.0800000000000003E-2</v>
      </c>
      <c r="J559" s="11">
        <f t="shared" ref="J559:J593" si="15">I559</f>
        <v>4.0800000000000003E-2</v>
      </c>
      <c r="K559" s="6" t="s">
        <v>1418</v>
      </c>
      <c r="L559" s="20" t="s">
        <v>1587</v>
      </c>
      <c r="M559" s="7">
        <f>IF(ISBLANK($B559),_xlfn.XLOOKUP($A559,'2. TEUs &amp; Activities - EF'!$A$9:$A$190,'2. TEUs &amp; Activities - EF'!$J$9:$J$190),_xlfn.XLOOKUP($B559,'2. TEUs &amp; Activities - EF'!$B$9:$B$190,'2. TEUs &amp; Activities - EF'!$J$9:$J$190))*'3. Pollutant Emissions - EF'!$I559*IF(OR(ISBLANK($E559),$G559="Yes"),1,$E559)*IF($H559="Yes",1,(1-$F559))</f>
        <v>8.0172000000000004E-3</v>
      </c>
      <c r="N559" s="5">
        <f>IF(ISBLANK($B559),_xlfn.XLOOKUP($A559,'2. TEUs &amp; Activities - EF'!$A$9:$A$190,'2. TEUs &amp; Activities - EF'!$M$9:$M$190),_xlfn.XLOOKUP($B559,'2. TEUs &amp; Activities - EF'!$B$9:$B$190,'2. TEUs &amp; Activities - EF'!$M$9:$M$190))*'3. Pollutant Emissions - EF'!$J559*IF(OR(ISBLANK($E559),$G559="Yes"),1,$E559)*IF($H559="Yes",1,(1-$F559))</f>
        <v>1.9241280000000002E-3</v>
      </c>
      <c r="O559" s="130">
        <f>IFERROR(IF(OR($C559="",$C559="No CAS"),INDEX('DEQ Pollutant List'!$D$7:$D$611,MATCH($D559,'DEQ Pollutant List'!$B$7:$B$611,0)),INDEX('DEQ Pollutant List'!$D$7:$D$611,MATCH($C559,'DEQ Pollutant List'!$A$7:$A$611,0))),"")</f>
        <v>594</v>
      </c>
    </row>
    <row r="560" spans="1:15" ht="15" x14ac:dyDescent="0.25">
      <c r="A560" s="5" t="s">
        <v>1543</v>
      </c>
      <c r="B560" s="7"/>
      <c r="C560" s="13" t="s">
        <v>188</v>
      </c>
      <c r="D560" s="19" t="str">
        <f>IFERROR(IF(C560="No CAS","",INDEX('DEQ Pollutant List'!$B$7:$B$611,MATCH('3. Pollutant Emissions - EF'!C560,'DEQ Pollutant List'!$A$7:$A$611,0))),"")</f>
        <v>1,1,2-Trichloroethane (vinyl trichloride)</v>
      </c>
      <c r="E560" s="100">
        <v>0</v>
      </c>
      <c r="F560" s="36">
        <v>0</v>
      </c>
      <c r="G560" s="100" t="s">
        <v>1415</v>
      </c>
      <c r="H560" s="36" t="s">
        <v>1415</v>
      </c>
      <c r="I560" s="34">
        <v>3.2399999999999998E-2</v>
      </c>
      <c r="J560" s="11">
        <f t="shared" si="15"/>
        <v>3.2399999999999998E-2</v>
      </c>
      <c r="K560" s="6" t="s">
        <v>1418</v>
      </c>
      <c r="L560" s="20" t="s">
        <v>1587</v>
      </c>
      <c r="M560" s="7">
        <f>IF(ISBLANK($B560),_xlfn.XLOOKUP($A560,'2. TEUs &amp; Activities - EF'!$A$9:$A$190,'2. TEUs &amp; Activities - EF'!$J$9:$J$190),_xlfn.XLOOKUP($B560,'2. TEUs &amp; Activities - EF'!$B$9:$B$190,'2. TEUs &amp; Activities - EF'!$J$9:$J$190))*'3. Pollutant Emissions - EF'!$I560*IF(OR(ISBLANK($E560),$G560="Yes"),1,$E560)*IF($H560="Yes",1,(1-$F560))</f>
        <v>6.3666E-3</v>
      </c>
      <c r="N560" s="5">
        <f>IF(ISBLANK($B560),_xlfn.XLOOKUP($A560,'2. TEUs &amp; Activities - EF'!$A$9:$A$190,'2. TEUs &amp; Activities - EF'!$M$9:$M$190),_xlfn.XLOOKUP($B560,'2. TEUs &amp; Activities - EF'!$B$9:$B$190,'2. TEUs &amp; Activities - EF'!$M$9:$M$190))*'3. Pollutant Emissions - EF'!$J560*IF(OR(ISBLANK($E560),$G560="Yes"),1,$E560)*IF($H560="Yes",1,(1-$F560))</f>
        <v>1.527984E-3</v>
      </c>
      <c r="O560" s="130">
        <f>IFERROR(IF(OR($C560="",$C560="No CAS"),INDEX('DEQ Pollutant List'!$D$7:$D$611,MATCH($D560,'DEQ Pollutant List'!$B$7:$B$611,0)),INDEX('DEQ Pollutant List'!$D$7:$D$611,MATCH($C560,'DEQ Pollutant List'!$A$7:$A$611,0))),"")</f>
        <v>607</v>
      </c>
    </row>
    <row r="561" spans="1:15" ht="15" x14ac:dyDescent="0.25">
      <c r="A561" s="5" t="s">
        <v>1543</v>
      </c>
      <c r="B561" s="7"/>
      <c r="C561" s="13" t="s">
        <v>172</v>
      </c>
      <c r="D561" s="19" t="str">
        <f>IFERROR(IF(C561="No CAS","",INDEX('DEQ Pollutant List'!$B$7:$B$611,MATCH('3. Pollutant Emissions - EF'!C561,'DEQ Pollutant List'!$A$7:$A$611,0))),"")</f>
        <v>1,2,4-Trimethylbenzene</v>
      </c>
      <c r="E561" s="100">
        <v>0</v>
      </c>
      <c r="F561" s="36">
        <v>0</v>
      </c>
      <c r="G561" s="100" t="s">
        <v>1415</v>
      </c>
      <c r="H561" s="36" t="s">
        <v>1415</v>
      </c>
      <c r="I561" s="34">
        <v>1.46E-2</v>
      </c>
      <c r="J561" s="11">
        <f t="shared" si="15"/>
        <v>1.46E-2</v>
      </c>
      <c r="K561" s="6" t="s">
        <v>1418</v>
      </c>
      <c r="L561" s="20" t="s">
        <v>1587</v>
      </c>
      <c r="M561" s="7">
        <f>IF(ISBLANK($B561),_xlfn.XLOOKUP($A561,'2. TEUs &amp; Activities - EF'!$A$9:$A$190,'2. TEUs &amp; Activities - EF'!$J$9:$J$190),_xlfn.XLOOKUP($B561,'2. TEUs &amp; Activities - EF'!$B$9:$B$190,'2. TEUs &amp; Activities - EF'!$J$9:$J$190))*'3. Pollutant Emissions - EF'!$I561*IF(OR(ISBLANK($E561),$G561="Yes"),1,$E561)*IF($H561="Yes",1,(1-$F561))</f>
        <v>2.8689000000000002E-3</v>
      </c>
      <c r="N561" s="5">
        <f>IF(ISBLANK($B561),_xlfn.XLOOKUP($A561,'2. TEUs &amp; Activities - EF'!$A$9:$A$190,'2. TEUs &amp; Activities - EF'!$M$9:$M$190),_xlfn.XLOOKUP($B561,'2. TEUs &amp; Activities - EF'!$B$9:$B$190,'2. TEUs &amp; Activities - EF'!$M$9:$M$190))*'3. Pollutant Emissions - EF'!$J561*IF(OR(ISBLANK($E561),$G561="Yes"),1,$E561)*IF($H561="Yes",1,(1-$F561))</f>
        <v>6.8853600000000001E-4</v>
      </c>
      <c r="O561" s="130">
        <f>IFERROR(IF(OR($C561="",$C561="No CAS"),INDEX('DEQ Pollutant List'!$D$7:$D$611,MATCH($D561,'DEQ Pollutant List'!$B$7:$B$611,0)),INDEX('DEQ Pollutant List'!$D$7:$D$611,MATCH($C561,'DEQ Pollutant List'!$A$7:$A$611,0))),"")</f>
        <v>614</v>
      </c>
    </row>
    <row r="562" spans="1:15" ht="15" x14ac:dyDescent="0.25">
      <c r="A562" s="5" t="s">
        <v>1543</v>
      </c>
      <c r="B562" s="7"/>
      <c r="C562" s="13" t="s">
        <v>73</v>
      </c>
      <c r="D562" s="19" t="str">
        <f>IFERROR(IF(C562="No CAS","",INDEX('DEQ Pollutant List'!$B$7:$B$611,MATCH('3. Pollutant Emissions - EF'!C562,'DEQ Pollutant List'!$A$7:$A$611,0))),"")</f>
        <v>1,2-Dichloropropane (propylene dichloride)</v>
      </c>
      <c r="E562" s="100">
        <v>0</v>
      </c>
      <c r="F562" s="36">
        <v>0</v>
      </c>
      <c r="G562" s="100" t="s">
        <v>1415</v>
      </c>
      <c r="H562" s="36" t="s">
        <v>1415</v>
      </c>
      <c r="I562" s="34">
        <v>2.7400000000000001E-2</v>
      </c>
      <c r="J562" s="11">
        <f t="shared" si="15"/>
        <v>2.7400000000000001E-2</v>
      </c>
      <c r="K562" s="6" t="s">
        <v>1418</v>
      </c>
      <c r="L562" s="20" t="s">
        <v>1587</v>
      </c>
      <c r="M562" s="7">
        <f>IF(ISBLANK($B562),_xlfn.XLOOKUP($A562,'2. TEUs &amp; Activities - EF'!$A$9:$A$190,'2. TEUs &amp; Activities - EF'!$J$9:$J$190),_xlfn.XLOOKUP($B562,'2. TEUs &amp; Activities - EF'!$B$9:$B$190,'2. TEUs &amp; Activities - EF'!$J$9:$J$190))*'3. Pollutant Emissions - EF'!$I562*IF(OR(ISBLANK($E562),$G562="Yes"),1,$E562)*IF($H562="Yes",1,(1-$F562))</f>
        <v>5.3841000000000002E-3</v>
      </c>
      <c r="N562" s="5">
        <f>IF(ISBLANK($B562),_xlfn.XLOOKUP($A562,'2. TEUs &amp; Activities - EF'!$A$9:$A$190,'2. TEUs &amp; Activities - EF'!$M$9:$M$190),_xlfn.XLOOKUP($B562,'2. TEUs &amp; Activities - EF'!$B$9:$B$190,'2. TEUs &amp; Activities - EF'!$M$9:$M$190))*'3. Pollutant Emissions - EF'!$J562*IF(OR(ISBLANK($E562),$G562="Yes"),1,$E562)*IF($H562="Yes",1,(1-$F562))</f>
        <v>1.292184E-3</v>
      </c>
      <c r="O562" s="130">
        <f>IFERROR(IF(OR($C562="",$C562="No CAS"),INDEX('DEQ Pollutant List'!$D$7:$D$611,MATCH($D562,'DEQ Pollutant List'!$B$7:$B$611,0)),INDEX('DEQ Pollutant List'!$D$7:$D$611,MATCH($C562,'DEQ Pollutant List'!$A$7:$A$611,0))),"")</f>
        <v>195</v>
      </c>
    </row>
    <row r="563" spans="1:15" ht="15" x14ac:dyDescent="0.25">
      <c r="A563" s="5" t="s">
        <v>1543</v>
      </c>
      <c r="B563" s="7"/>
      <c r="C563" s="13" t="s">
        <v>229</v>
      </c>
      <c r="D563" s="19" t="str">
        <f>IFERROR(IF(C563="No CAS","",INDEX('DEQ Pollutant List'!$B$7:$B$611,MATCH('3. Pollutant Emissions - EF'!C563,'DEQ Pollutant List'!$A$7:$A$611,0))),"")</f>
        <v>1,3-Butadiene</v>
      </c>
      <c r="E563" s="100">
        <v>0</v>
      </c>
      <c r="F563" s="36">
        <v>0</v>
      </c>
      <c r="G563" s="100" t="s">
        <v>1415</v>
      </c>
      <c r="H563" s="36" t="s">
        <v>1415</v>
      </c>
      <c r="I563" s="34">
        <v>0.27200000000000002</v>
      </c>
      <c r="J563" s="11">
        <f t="shared" si="15"/>
        <v>0.27200000000000002</v>
      </c>
      <c r="K563" s="6" t="s">
        <v>1418</v>
      </c>
      <c r="L563" s="20" t="s">
        <v>1587</v>
      </c>
      <c r="M563" s="7">
        <f>IF(ISBLANK($B563),_xlfn.XLOOKUP($A563,'2. TEUs &amp; Activities - EF'!$A$9:$A$190,'2. TEUs &amp; Activities - EF'!$J$9:$J$190),_xlfn.XLOOKUP($B563,'2. TEUs &amp; Activities - EF'!$B$9:$B$190,'2. TEUs &amp; Activities - EF'!$J$9:$J$190))*'3. Pollutant Emissions - EF'!$I563*IF(OR(ISBLANK($E563),$G563="Yes"),1,$E563)*IF($H563="Yes",1,(1-$F563))</f>
        <v>5.3448000000000009E-2</v>
      </c>
      <c r="N563" s="5">
        <f>IF(ISBLANK($B563),_xlfn.XLOOKUP($A563,'2. TEUs &amp; Activities - EF'!$A$9:$A$190,'2. TEUs &amp; Activities - EF'!$M$9:$M$190),_xlfn.XLOOKUP($B563,'2. TEUs &amp; Activities - EF'!$B$9:$B$190,'2. TEUs &amp; Activities - EF'!$M$9:$M$190))*'3. Pollutant Emissions - EF'!$J563*IF(OR(ISBLANK($E563),$G563="Yes"),1,$E563)*IF($H563="Yes",1,(1-$F563))</f>
        <v>1.282752E-2</v>
      </c>
      <c r="O563" s="130">
        <f>IFERROR(IF(OR($C563="",$C563="No CAS"),INDEX('DEQ Pollutant List'!$D$7:$D$611,MATCH($D563,'DEQ Pollutant List'!$B$7:$B$611,0)),INDEX('DEQ Pollutant List'!$D$7:$D$611,MATCH($C563,'DEQ Pollutant List'!$A$7:$A$611,0))),"")</f>
        <v>75</v>
      </c>
    </row>
    <row r="564" spans="1:15" ht="15" x14ac:dyDescent="0.25">
      <c r="A564" s="5" t="s">
        <v>1543</v>
      </c>
      <c r="B564" s="7"/>
      <c r="C564" s="13" t="s">
        <v>233</v>
      </c>
      <c r="D564" s="19" t="str">
        <f>IFERROR(IF(C564="No CAS","",INDEX('DEQ Pollutant List'!$B$7:$B$611,MATCH('3. Pollutant Emissions - EF'!C564,'DEQ Pollutant List'!$A$7:$A$611,0))),"")</f>
        <v>1,3-Dichloropropene</v>
      </c>
      <c r="E564" s="100">
        <v>0</v>
      </c>
      <c r="F564" s="36">
        <v>0</v>
      </c>
      <c r="G564" s="100" t="s">
        <v>1415</v>
      </c>
      <c r="H564" s="36" t="s">
        <v>1415</v>
      </c>
      <c r="I564" s="34">
        <v>2.69E-2</v>
      </c>
      <c r="J564" s="11">
        <f t="shared" si="15"/>
        <v>2.69E-2</v>
      </c>
      <c r="K564" s="6" t="s">
        <v>1418</v>
      </c>
      <c r="L564" s="20" t="s">
        <v>1587</v>
      </c>
      <c r="M564" s="7">
        <f>IF(ISBLANK($B564),_xlfn.XLOOKUP($A564,'2. TEUs &amp; Activities - EF'!$A$9:$A$190,'2. TEUs &amp; Activities - EF'!$J$9:$J$190),_xlfn.XLOOKUP($B564,'2. TEUs &amp; Activities - EF'!$B$9:$B$190,'2. TEUs &amp; Activities - EF'!$J$9:$J$190))*'3. Pollutant Emissions - EF'!$I564*IF(OR(ISBLANK($E564),$G564="Yes"),1,$E564)*IF($H564="Yes",1,(1-$F564))</f>
        <v>5.2858499999999999E-3</v>
      </c>
      <c r="N564" s="5">
        <f>IF(ISBLANK($B564),_xlfn.XLOOKUP($A564,'2. TEUs &amp; Activities - EF'!$A$9:$A$190,'2. TEUs &amp; Activities - EF'!$M$9:$M$190),_xlfn.XLOOKUP($B564,'2. TEUs &amp; Activities - EF'!$B$9:$B$190,'2. TEUs &amp; Activities - EF'!$M$9:$M$190))*'3. Pollutant Emissions - EF'!$J564*IF(OR(ISBLANK($E564),$G564="Yes"),1,$E564)*IF($H564="Yes",1,(1-$F564))</f>
        <v>1.268604E-3</v>
      </c>
      <c r="O564" s="130">
        <f>IFERROR(IF(OR($C564="",$C564="No CAS"),INDEX('DEQ Pollutant List'!$D$7:$D$611,MATCH($D564,'DEQ Pollutant List'!$B$7:$B$611,0)),INDEX('DEQ Pollutant List'!$D$7:$D$611,MATCH($C564,'DEQ Pollutant List'!$A$7:$A$611,0))),"")</f>
        <v>196</v>
      </c>
    </row>
    <row r="565" spans="1:15" ht="15" x14ac:dyDescent="0.25">
      <c r="A565" s="5" t="s">
        <v>1543</v>
      </c>
      <c r="B565" s="7"/>
      <c r="C565" s="13" t="s">
        <v>116</v>
      </c>
      <c r="D565" s="19" t="str">
        <f>IFERROR(IF(C565="No CAS","",INDEX('DEQ Pollutant List'!$B$7:$B$611,MATCH('3. Pollutant Emissions - EF'!C565,'DEQ Pollutant List'!$A$7:$A$611,0))),"")</f>
        <v>2-Methyl naphthalene</v>
      </c>
      <c r="E565" s="100">
        <v>0</v>
      </c>
      <c r="F565" s="36">
        <v>0</v>
      </c>
      <c r="G565" s="100" t="s">
        <v>1415</v>
      </c>
      <c r="H565" s="36" t="s">
        <v>1415</v>
      </c>
      <c r="I565" s="34">
        <v>3.39E-2</v>
      </c>
      <c r="J565" s="11">
        <f t="shared" si="15"/>
        <v>3.39E-2</v>
      </c>
      <c r="K565" s="6" t="s">
        <v>1418</v>
      </c>
      <c r="L565" s="20" t="s">
        <v>1587</v>
      </c>
      <c r="M565" s="7">
        <f>IF(ISBLANK($B565),_xlfn.XLOOKUP($A565,'2. TEUs &amp; Activities - EF'!$A$9:$A$190,'2. TEUs &amp; Activities - EF'!$J$9:$J$190),_xlfn.XLOOKUP($B565,'2. TEUs &amp; Activities - EF'!$B$9:$B$190,'2. TEUs &amp; Activities - EF'!$J$9:$J$190))*'3. Pollutant Emissions - EF'!$I565*IF(OR(ISBLANK($E565),$G565="Yes"),1,$E565)*IF($H565="Yes",1,(1-$F565))</f>
        <v>6.6613499999999999E-3</v>
      </c>
      <c r="N565" s="5">
        <f>IF(ISBLANK($B565),_xlfn.XLOOKUP($A565,'2. TEUs &amp; Activities - EF'!$A$9:$A$190,'2. TEUs &amp; Activities - EF'!$M$9:$M$190),_xlfn.XLOOKUP($B565,'2. TEUs &amp; Activities - EF'!$B$9:$B$190,'2. TEUs &amp; Activities - EF'!$M$9:$M$190))*'3. Pollutant Emissions - EF'!$J565*IF(OR(ISBLANK($E565),$G565="Yes"),1,$E565)*IF($H565="Yes",1,(1-$F565))</f>
        <v>1.5987239999999999E-3</v>
      </c>
      <c r="O565" s="130">
        <f>IFERROR(IF(OR($C565="",$C565="No CAS"),INDEX('DEQ Pollutant List'!$D$7:$D$611,MATCH($D565,'DEQ Pollutant List'!$B$7:$B$611,0)),INDEX('DEQ Pollutant List'!$D$7:$D$611,MATCH($C565,'DEQ Pollutant List'!$A$7:$A$611,0))),"")</f>
        <v>427</v>
      </c>
    </row>
    <row r="566" spans="1:15" ht="15" x14ac:dyDescent="0.25">
      <c r="A566" s="5" t="s">
        <v>1543</v>
      </c>
      <c r="B566" s="7"/>
      <c r="C566" s="13" t="s">
        <v>119</v>
      </c>
      <c r="D566" s="19" t="str">
        <f>IFERROR(IF(C566="No CAS","",INDEX('DEQ Pollutant List'!$B$7:$B$611,MATCH('3. Pollutant Emissions - EF'!C566,'DEQ Pollutant List'!$A$7:$A$611,0))),"")</f>
        <v>Acenaphthene</v>
      </c>
      <c r="E566" s="100">
        <v>0</v>
      </c>
      <c r="F566" s="36">
        <v>0</v>
      </c>
      <c r="G566" s="100" t="s">
        <v>1415</v>
      </c>
      <c r="H566" s="36" t="s">
        <v>1415</v>
      </c>
      <c r="I566" s="34">
        <v>1.2800000000000001E-3</v>
      </c>
      <c r="J566" s="11">
        <f t="shared" si="15"/>
        <v>1.2800000000000001E-3</v>
      </c>
      <c r="K566" s="6" t="s">
        <v>1418</v>
      </c>
      <c r="L566" s="20" t="s">
        <v>1587</v>
      </c>
      <c r="M566" s="7">
        <f>IF(ISBLANK($B566),_xlfn.XLOOKUP($A566,'2. TEUs &amp; Activities - EF'!$A$9:$A$190,'2. TEUs &amp; Activities - EF'!$J$9:$J$190),_xlfn.XLOOKUP($B566,'2. TEUs &amp; Activities - EF'!$B$9:$B$190,'2. TEUs &amp; Activities - EF'!$J$9:$J$190))*'3. Pollutant Emissions - EF'!$I566*IF(OR(ISBLANK($E566),$G566="Yes"),1,$E566)*IF($H566="Yes",1,(1-$F566))</f>
        <v>2.5152000000000003E-4</v>
      </c>
      <c r="N566" s="5">
        <f>IF(ISBLANK($B566),_xlfn.XLOOKUP($A566,'2. TEUs &amp; Activities - EF'!$A$9:$A$190,'2. TEUs &amp; Activities - EF'!$M$9:$M$190),_xlfn.XLOOKUP($B566,'2. TEUs &amp; Activities - EF'!$B$9:$B$190,'2. TEUs &amp; Activities - EF'!$M$9:$M$190))*'3. Pollutant Emissions - EF'!$J566*IF(OR(ISBLANK($E566),$G566="Yes"),1,$E566)*IF($H566="Yes",1,(1-$F566))</f>
        <v>6.0364800000000009E-5</v>
      </c>
      <c r="O566" s="130">
        <f>IFERROR(IF(OR($C566="",$C566="No CAS"),INDEX('DEQ Pollutant List'!$D$7:$D$611,MATCH($D566,'DEQ Pollutant List'!$B$7:$B$611,0)),INDEX('DEQ Pollutant List'!$D$7:$D$611,MATCH($C566,'DEQ Pollutant List'!$A$7:$A$611,0))),"")</f>
        <v>402</v>
      </c>
    </row>
    <row r="567" spans="1:15" ht="15" x14ac:dyDescent="0.25">
      <c r="A567" s="5" t="s">
        <v>1543</v>
      </c>
      <c r="B567" s="7"/>
      <c r="C567" s="13" t="s">
        <v>120</v>
      </c>
      <c r="D567" s="19" t="str">
        <f>IFERROR(IF(C567="No CAS","",INDEX('DEQ Pollutant List'!$B$7:$B$611,MATCH('3. Pollutant Emissions - EF'!C567,'DEQ Pollutant List'!$A$7:$A$611,0))),"")</f>
        <v>Acenaphthylene</v>
      </c>
      <c r="E567" s="100">
        <v>0</v>
      </c>
      <c r="F567" s="36">
        <v>0</v>
      </c>
      <c r="G567" s="100" t="s">
        <v>1415</v>
      </c>
      <c r="H567" s="36" t="s">
        <v>1415</v>
      </c>
      <c r="I567" s="34">
        <v>5.64E-3</v>
      </c>
      <c r="J567" s="11">
        <f t="shared" si="15"/>
        <v>5.64E-3</v>
      </c>
      <c r="K567" s="6" t="s">
        <v>1418</v>
      </c>
      <c r="L567" s="20" t="s">
        <v>1587</v>
      </c>
      <c r="M567" s="7">
        <f>IF(ISBLANK($B567),_xlfn.XLOOKUP($A567,'2. TEUs &amp; Activities - EF'!$A$9:$A$190,'2. TEUs &amp; Activities - EF'!$J$9:$J$190),_xlfn.XLOOKUP($B567,'2. TEUs &amp; Activities - EF'!$B$9:$B$190,'2. TEUs &amp; Activities - EF'!$J$9:$J$190))*'3. Pollutant Emissions - EF'!$I567*IF(OR(ISBLANK($E567),$G567="Yes"),1,$E567)*IF($H567="Yes",1,(1-$F567))</f>
        <v>1.10826E-3</v>
      </c>
      <c r="N567" s="5">
        <f>IF(ISBLANK($B567),_xlfn.XLOOKUP($A567,'2. TEUs &amp; Activities - EF'!$A$9:$A$190,'2. TEUs &amp; Activities - EF'!$M$9:$M$190),_xlfn.XLOOKUP($B567,'2. TEUs &amp; Activities - EF'!$B$9:$B$190,'2. TEUs &amp; Activities - EF'!$M$9:$M$190))*'3. Pollutant Emissions - EF'!$J567*IF(OR(ISBLANK($E567),$G567="Yes"),1,$E567)*IF($H567="Yes",1,(1-$F567))</f>
        <v>2.6598240000000003E-4</v>
      </c>
      <c r="O567" s="130">
        <f>IFERROR(IF(OR($C567="",$C567="No CAS"),INDEX('DEQ Pollutant List'!$D$7:$D$611,MATCH($D567,'DEQ Pollutant List'!$B$7:$B$611,0)),INDEX('DEQ Pollutant List'!$D$7:$D$611,MATCH($C567,'DEQ Pollutant List'!$A$7:$A$611,0))),"")</f>
        <v>403</v>
      </c>
    </row>
    <row r="568" spans="1:15" ht="15" x14ac:dyDescent="0.25">
      <c r="A568" s="5" t="s">
        <v>1543</v>
      </c>
      <c r="B568" s="7"/>
      <c r="C568" s="13" t="s">
        <v>50</v>
      </c>
      <c r="D568" s="19" t="str">
        <f>IFERROR(IF(C568="No CAS","",INDEX('DEQ Pollutant List'!$B$7:$B$611,MATCH('3. Pollutant Emissions - EF'!C568,'DEQ Pollutant List'!$A$7:$A$611,0))),"")</f>
        <v>Acetaldehyde</v>
      </c>
      <c r="E568" s="100">
        <v>0</v>
      </c>
      <c r="F568" s="36">
        <v>0</v>
      </c>
      <c r="G568" s="100" t="s">
        <v>1415</v>
      </c>
      <c r="H568" s="36" t="s">
        <v>1415</v>
      </c>
      <c r="I568" s="34">
        <v>8.5299999999999994</v>
      </c>
      <c r="J568" s="11">
        <f t="shared" si="15"/>
        <v>8.5299999999999994</v>
      </c>
      <c r="K568" s="6" t="s">
        <v>1418</v>
      </c>
      <c r="L568" s="20" t="s">
        <v>1587</v>
      </c>
      <c r="M568" s="7">
        <f>IF(ISBLANK($B568),_xlfn.XLOOKUP($A568,'2. TEUs &amp; Activities - EF'!$A$9:$A$190,'2. TEUs &amp; Activities - EF'!$J$9:$J$190),_xlfn.XLOOKUP($B568,'2. TEUs &amp; Activities - EF'!$B$9:$B$190,'2. TEUs &amp; Activities - EF'!$J$9:$J$190))*'3. Pollutant Emissions - EF'!$I568*IF(OR(ISBLANK($E568),$G568="Yes"),1,$E568)*IF($H568="Yes",1,(1-$F568))</f>
        <v>1.676145</v>
      </c>
      <c r="N568" s="5">
        <f>IF(ISBLANK($B568),_xlfn.XLOOKUP($A568,'2. TEUs &amp; Activities - EF'!$A$9:$A$190,'2. TEUs &amp; Activities - EF'!$M$9:$M$190),_xlfn.XLOOKUP($B568,'2. TEUs &amp; Activities - EF'!$B$9:$B$190,'2. TEUs &amp; Activities - EF'!$M$9:$M$190))*'3. Pollutant Emissions - EF'!$J568*IF(OR(ISBLANK($E568),$G568="Yes"),1,$E568)*IF($H568="Yes",1,(1-$F568))</f>
        <v>0.40227479999999999</v>
      </c>
      <c r="O568" s="130">
        <f>IFERROR(IF(OR($C568="",$C568="No CAS"),INDEX('DEQ Pollutant List'!$D$7:$D$611,MATCH($D568,'DEQ Pollutant List'!$B$7:$B$611,0)),INDEX('DEQ Pollutant List'!$D$7:$D$611,MATCH($C568,'DEQ Pollutant List'!$A$7:$A$611,0))),"")</f>
        <v>1</v>
      </c>
    </row>
    <row r="569" spans="1:15" ht="15" x14ac:dyDescent="0.25">
      <c r="A569" s="5" t="s">
        <v>1543</v>
      </c>
      <c r="B569" s="7"/>
      <c r="C569" s="13" t="s">
        <v>51</v>
      </c>
      <c r="D569" s="19" t="str">
        <f>IFERROR(IF(C569="No CAS","",INDEX('DEQ Pollutant List'!$B$7:$B$611,MATCH('3. Pollutant Emissions - EF'!C569,'DEQ Pollutant List'!$A$7:$A$611,0))),"")</f>
        <v>Acrolein</v>
      </c>
      <c r="E569" s="100">
        <v>0</v>
      </c>
      <c r="F569" s="36">
        <v>0</v>
      </c>
      <c r="G569" s="100" t="s">
        <v>1415</v>
      </c>
      <c r="H569" s="36" t="s">
        <v>1415</v>
      </c>
      <c r="I569" s="34">
        <v>5.24</v>
      </c>
      <c r="J569" s="11">
        <f t="shared" si="15"/>
        <v>5.24</v>
      </c>
      <c r="K569" s="6" t="s">
        <v>1418</v>
      </c>
      <c r="L569" s="20" t="s">
        <v>1587</v>
      </c>
      <c r="M569" s="7">
        <f>IF(ISBLANK($B569),_xlfn.XLOOKUP($A569,'2. TEUs &amp; Activities - EF'!$A$9:$A$190,'2. TEUs &amp; Activities - EF'!$J$9:$J$190),_xlfn.XLOOKUP($B569,'2. TEUs &amp; Activities - EF'!$B$9:$B$190,'2. TEUs &amp; Activities - EF'!$J$9:$J$190))*'3. Pollutant Emissions - EF'!$I569*IF(OR(ISBLANK($E569),$G569="Yes"),1,$E569)*IF($H569="Yes",1,(1-$F569))</f>
        <v>1.02966</v>
      </c>
      <c r="N569" s="5">
        <f>IF(ISBLANK($B569),_xlfn.XLOOKUP($A569,'2. TEUs &amp; Activities - EF'!$A$9:$A$190,'2. TEUs &amp; Activities - EF'!$M$9:$M$190),_xlfn.XLOOKUP($B569,'2. TEUs &amp; Activities - EF'!$B$9:$B$190,'2. TEUs &amp; Activities - EF'!$M$9:$M$190))*'3. Pollutant Emissions - EF'!$J569*IF(OR(ISBLANK($E569),$G569="Yes"),1,$E569)*IF($H569="Yes",1,(1-$F569))</f>
        <v>0.24711840000000002</v>
      </c>
      <c r="O569" s="130">
        <f>IFERROR(IF(OR($C569="",$C569="No CAS"),INDEX('DEQ Pollutant List'!$D$7:$D$611,MATCH($D569,'DEQ Pollutant List'!$B$7:$B$611,0)),INDEX('DEQ Pollutant List'!$D$7:$D$611,MATCH($C569,'DEQ Pollutant List'!$A$7:$A$611,0))),"")</f>
        <v>5</v>
      </c>
    </row>
    <row r="570" spans="1:15" ht="15" x14ac:dyDescent="0.25">
      <c r="A570" s="5" t="s">
        <v>1543</v>
      </c>
      <c r="B570" s="7"/>
      <c r="C570" s="13" t="s">
        <v>52</v>
      </c>
      <c r="D570" s="19" t="str">
        <f>IFERROR(IF(C570="No CAS","",INDEX('DEQ Pollutant List'!$B$7:$B$611,MATCH('3. Pollutant Emissions - EF'!C570,'DEQ Pollutant List'!$A$7:$A$611,0))),"")</f>
        <v>Ammonia</v>
      </c>
      <c r="E570" s="100">
        <v>0</v>
      </c>
      <c r="F570" s="36">
        <v>0</v>
      </c>
      <c r="G570" s="100" t="s">
        <v>1415</v>
      </c>
      <c r="H570" s="36" t="s">
        <v>1415</v>
      </c>
      <c r="I570" s="34">
        <v>3.2</v>
      </c>
      <c r="J570" s="11">
        <f t="shared" si="15"/>
        <v>3.2</v>
      </c>
      <c r="K570" s="6" t="s">
        <v>1418</v>
      </c>
      <c r="L570" s="20" t="s">
        <v>1588</v>
      </c>
      <c r="M570" s="7">
        <f>IF(ISBLANK($B570),_xlfn.XLOOKUP($A570,'2. TEUs &amp; Activities - EF'!$A$9:$A$190,'2. TEUs &amp; Activities - EF'!$J$9:$J$190),_xlfn.XLOOKUP($B570,'2. TEUs &amp; Activities - EF'!$B$9:$B$190,'2. TEUs &amp; Activities - EF'!$J$9:$J$190))*'3. Pollutant Emissions - EF'!$I570*IF(OR(ISBLANK($E570),$G570="Yes"),1,$E570)*IF($H570="Yes",1,(1-$F570))</f>
        <v>0.62880000000000003</v>
      </c>
      <c r="N570" s="5">
        <f>IF(ISBLANK($B570),_xlfn.XLOOKUP($A570,'2. TEUs &amp; Activities - EF'!$A$9:$A$190,'2. TEUs &amp; Activities - EF'!$M$9:$M$190),_xlfn.XLOOKUP($B570,'2. TEUs &amp; Activities - EF'!$B$9:$B$190,'2. TEUs &amp; Activities - EF'!$M$9:$M$190))*'3. Pollutant Emissions - EF'!$J570*IF(OR(ISBLANK($E570),$G570="Yes"),1,$E570)*IF($H570="Yes",1,(1-$F570))</f>
        <v>0.15091200000000002</v>
      </c>
      <c r="O570" s="130">
        <f>IFERROR(IF(OR($C570="",$C570="No CAS"),INDEX('DEQ Pollutant List'!$D$7:$D$611,MATCH($D570,'DEQ Pollutant List'!$B$7:$B$611,0)),INDEX('DEQ Pollutant List'!$D$7:$D$611,MATCH($C570,'DEQ Pollutant List'!$A$7:$A$611,0))),"")</f>
        <v>26</v>
      </c>
    </row>
    <row r="571" spans="1:15" ht="15" x14ac:dyDescent="0.25">
      <c r="A571" s="5" t="s">
        <v>1543</v>
      </c>
      <c r="B571" s="7"/>
      <c r="C571" s="13" t="s">
        <v>46</v>
      </c>
      <c r="D571" s="19" t="str">
        <f>IFERROR(IF(C571="No CAS","",INDEX('DEQ Pollutant List'!$B$7:$B$611,MATCH('3. Pollutant Emissions - EF'!C571,'DEQ Pollutant List'!$A$7:$A$611,0))),"")</f>
        <v>Benzene</v>
      </c>
      <c r="E571" s="100">
        <v>0</v>
      </c>
      <c r="F571" s="36">
        <v>0</v>
      </c>
      <c r="G571" s="100" t="s">
        <v>1415</v>
      </c>
      <c r="H571" s="36" t="s">
        <v>1415</v>
      </c>
      <c r="I571" s="34">
        <v>0.44900000000000001</v>
      </c>
      <c r="J571" s="11">
        <f t="shared" si="15"/>
        <v>0.44900000000000001</v>
      </c>
      <c r="K571" s="6" t="s">
        <v>1418</v>
      </c>
      <c r="L571" s="20" t="s">
        <v>1587</v>
      </c>
      <c r="M571" s="7">
        <f>IF(ISBLANK($B571),_xlfn.XLOOKUP($A571,'2. TEUs &amp; Activities - EF'!$A$9:$A$190,'2. TEUs &amp; Activities - EF'!$J$9:$J$190),_xlfn.XLOOKUP($B571,'2. TEUs &amp; Activities - EF'!$B$9:$B$190,'2. TEUs &amp; Activities - EF'!$J$9:$J$190))*'3. Pollutant Emissions - EF'!$I571*IF(OR(ISBLANK($E571),$G571="Yes"),1,$E571)*IF($H571="Yes",1,(1-$F571))</f>
        <v>8.8228500000000001E-2</v>
      </c>
      <c r="N571" s="5">
        <f>IF(ISBLANK($B571),_xlfn.XLOOKUP($A571,'2. TEUs &amp; Activities - EF'!$A$9:$A$190,'2. TEUs &amp; Activities - EF'!$M$9:$M$190),_xlfn.XLOOKUP($B571,'2. TEUs &amp; Activities - EF'!$B$9:$B$190,'2. TEUs &amp; Activities - EF'!$M$9:$M$190))*'3. Pollutant Emissions - EF'!$J571*IF(OR(ISBLANK($E571),$G571="Yes"),1,$E571)*IF($H571="Yes",1,(1-$F571))</f>
        <v>2.117484E-2</v>
      </c>
      <c r="O571" s="130">
        <f>IFERROR(IF(OR($C571="",$C571="No CAS"),INDEX('DEQ Pollutant List'!$D$7:$D$611,MATCH($D571,'DEQ Pollutant List'!$B$7:$B$611,0)),INDEX('DEQ Pollutant List'!$D$7:$D$611,MATCH($C571,'DEQ Pollutant List'!$A$7:$A$611,0))),"")</f>
        <v>46</v>
      </c>
    </row>
    <row r="572" spans="1:15" ht="15" x14ac:dyDescent="0.25">
      <c r="A572" s="5" t="s">
        <v>1543</v>
      </c>
      <c r="B572" s="7"/>
      <c r="C572" s="13" t="s">
        <v>123</v>
      </c>
      <c r="D572" s="19" t="str">
        <f>IFERROR(IF(C572="No CAS","",INDEX('DEQ Pollutant List'!$B$7:$B$611,MATCH('3. Pollutant Emissions - EF'!C572,'DEQ Pollutant List'!$A$7:$A$611,0))),"")</f>
        <v>Benzo[b]fluoranthene</v>
      </c>
      <c r="E572" s="100">
        <v>0</v>
      </c>
      <c r="F572" s="36">
        <v>0</v>
      </c>
      <c r="G572" s="100" t="s">
        <v>1415</v>
      </c>
      <c r="H572" s="36" t="s">
        <v>1415</v>
      </c>
      <c r="I572" s="34">
        <v>1.6899999999999999E-4</v>
      </c>
      <c r="J572" s="11">
        <f t="shared" si="15"/>
        <v>1.6899999999999999E-4</v>
      </c>
      <c r="K572" s="6" t="s">
        <v>1418</v>
      </c>
      <c r="L572" s="20" t="s">
        <v>1587</v>
      </c>
      <c r="M572" s="7">
        <f>IF(ISBLANK($B572),_xlfn.XLOOKUP($A572,'2. TEUs &amp; Activities - EF'!$A$9:$A$190,'2. TEUs &amp; Activities - EF'!$J$9:$J$190),_xlfn.XLOOKUP($B572,'2. TEUs &amp; Activities - EF'!$B$9:$B$190,'2. TEUs &amp; Activities - EF'!$J$9:$J$190))*'3. Pollutant Emissions - EF'!$I572*IF(OR(ISBLANK($E572),$G572="Yes"),1,$E572)*IF($H572="Yes",1,(1-$F572))</f>
        <v>3.3208499999999999E-5</v>
      </c>
      <c r="N572" s="5">
        <f>IF(ISBLANK($B572),_xlfn.XLOOKUP($A572,'2. TEUs &amp; Activities - EF'!$A$9:$A$190,'2. TEUs &amp; Activities - EF'!$M$9:$M$190),_xlfn.XLOOKUP($B572,'2. TEUs &amp; Activities - EF'!$B$9:$B$190,'2. TEUs &amp; Activities - EF'!$M$9:$M$190))*'3. Pollutant Emissions - EF'!$J572*IF(OR(ISBLANK($E572),$G572="Yes"),1,$E572)*IF($H572="Yes",1,(1-$F572))</f>
        <v>7.9700399999999993E-6</v>
      </c>
      <c r="O572" s="130">
        <f>IFERROR(IF(OR($C572="",$C572="No CAS"),INDEX('DEQ Pollutant List'!$D$7:$D$611,MATCH($D572,'DEQ Pollutant List'!$B$7:$B$611,0)),INDEX('DEQ Pollutant List'!$D$7:$D$611,MATCH($C572,'DEQ Pollutant List'!$A$7:$A$611,0))),"")</f>
        <v>407</v>
      </c>
    </row>
    <row r="573" spans="1:15" ht="15" x14ac:dyDescent="0.25">
      <c r="A573" s="5" t="s">
        <v>1543</v>
      </c>
      <c r="B573" s="7"/>
      <c r="C573" s="13" t="s">
        <v>124</v>
      </c>
      <c r="D573" s="19" t="str">
        <f>IFERROR(IF(C573="No CAS","",INDEX('DEQ Pollutant List'!$B$7:$B$611,MATCH('3. Pollutant Emissions - EF'!C573,'DEQ Pollutant List'!$A$7:$A$611,0))),"")</f>
        <v>Benzo[e]pyrene</v>
      </c>
      <c r="E573" s="100">
        <v>0</v>
      </c>
      <c r="F573" s="36">
        <v>0</v>
      </c>
      <c r="G573" s="100" t="s">
        <v>1415</v>
      </c>
      <c r="H573" s="36" t="s">
        <v>1415</v>
      </c>
      <c r="I573" s="34">
        <v>4.2299999999999998E-4</v>
      </c>
      <c r="J573" s="11">
        <f t="shared" si="15"/>
        <v>4.2299999999999998E-4</v>
      </c>
      <c r="K573" s="6" t="s">
        <v>1418</v>
      </c>
      <c r="L573" s="20" t="s">
        <v>1587</v>
      </c>
      <c r="M573" s="7">
        <f>IF(ISBLANK($B573),_xlfn.XLOOKUP($A573,'2. TEUs &amp; Activities - EF'!$A$9:$A$190,'2. TEUs &amp; Activities - EF'!$J$9:$J$190),_xlfn.XLOOKUP($B573,'2. TEUs &amp; Activities - EF'!$B$9:$B$190,'2. TEUs &amp; Activities - EF'!$J$9:$J$190))*'3. Pollutant Emissions - EF'!$I573*IF(OR(ISBLANK($E573),$G573="Yes"),1,$E573)*IF($H573="Yes",1,(1-$F573))</f>
        <v>8.3119499999999996E-5</v>
      </c>
      <c r="N573" s="5">
        <f>IF(ISBLANK($B573),_xlfn.XLOOKUP($A573,'2. TEUs &amp; Activities - EF'!$A$9:$A$190,'2. TEUs &amp; Activities - EF'!$M$9:$M$190),_xlfn.XLOOKUP($B573,'2. TEUs &amp; Activities - EF'!$B$9:$B$190,'2. TEUs &amp; Activities - EF'!$M$9:$M$190))*'3. Pollutant Emissions - EF'!$J573*IF(OR(ISBLANK($E573),$G573="Yes"),1,$E573)*IF($H573="Yes",1,(1-$F573))</f>
        <v>1.994868E-5</v>
      </c>
      <c r="O573" s="130">
        <f>IFERROR(IF(OR($C573="",$C573="No CAS"),INDEX('DEQ Pollutant List'!$D$7:$D$611,MATCH($D573,'DEQ Pollutant List'!$B$7:$B$611,0)),INDEX('DEQ Pollutant List'!$D$7:$D$611,MATCH($C573,'DEQ Pollutant List'!$A$7:$A$611,0))),"")</f>
        <v>409</v>
      </c>
    </row>
    <row r="574" spans="1:15" ht="15" x14ac:dyDescent="0.25">
      <c r="A574" s="5" t="s">
        <v>1543</v>
      </c>
      <c r="B574" s="7"/>
      <c r="C574" s="13" t="s">
        <v>125</v>
      </c>
      <c r="D574" s="19" t="str">
        <f>IFERROR(IF(C574="No CAS","",INDEX('DEQ Pollutant List'!$B$7:$B$611,MATCH('3. Pollutant Emissions - EF'!C574,'DEQ Pollutant List'!$A$7:$A$611,0))),"")</f>
        <v>Benzo[g,h,i]perylene</v>
      </c>
      <c r="E574" s="100">
        <v>0</v>
      </c>
      <c r="F574" s="36">
        <v>0</v>
      </c>
      <c r="G574" s="100" t="s">
        <v>1415</v>
      </c>
      <c r="H574" s="36" t="s">
        <v>1415</v>
      </c>
      <c r="I574" s="34">
        <v>4.2200000000000001E-4</v>
      </c>
      <c r="J574" s="11">
        <f t="shared" si="15"/>
        <v>4.2200000000000001E-4</v>
      </c>
      <c r="K574" s="6" t="s">
        <v>1418</v>
      </c>
      <c r="L574" s="20" t="s">
        <v>1587</v>
      </c>
      <c r="M574" s="7">
        <f>IF(ISBLANK($B574),_xlfn.XLOOKUP($A574,'2. TEUs &amp; Activities - EF'!$A$9:$A$190,'2. TEUs &amp; Activities - EF'!$J$9:$J$190),_xlfn.XLOOKUP($B574,'2. TEUs &amp; Activities - EF'!$B$9:$B$190,'2. TEUs &amp; Activities - EF'!$J$9:$J$190))*'3. Pollutant Emissions - EF'!$I574*IF(OR(ISBLANK($E574),$G574="Yes"),1,$E574)*IF($H574="Yes",1,(1-$F574))</f>
        <v>8.2923000000000005E-5</v>
      </c>
      <c r="N574" s="5">
        <f>IF(ISBLANK($B574),_xlfn.XLOOKUP($A574,'2. TEUs &amp; Activities - EF'!$A$9:$A$190,'2. TEUs &amp; Activities - EF'!$M$9:$M$190),_xlfn.XLOOKUP($B574,'2. TEUs &amp; Activities - EF'!$B$9:$B$190,'2. TEUs &amp; Activities - EF'!$M$9:$M$190))*'3. Pollutant Emissions - EF'!$J574*IF(OR(ISBLANK($E574),$G574="Yes"),1,$E574)*IF($H574="Yes",1,(1-$F574))</f>
        <v>1.9901520000000001E-5</v>
      </c>
      <c r="O574" s="130">
        <f>IFERROR(IF(OR($C574="",$C574="No CAS"),INDEX('DEQ Pollutant List'!$D$7:$D$611,MATCH($D574,'DEQ Pollutant List'!$B$7:$B$611,0)),INDEX('DEQ Pollutant List'!$D$7:$D$611,MATCH($C574,'DEQ Pollutant List'!$A$7:$A$611,0))),"")</f>
        <v>410</v>
      </c>
    </row>
    <row r="575" spans="1:15" ht="15" x14ac:dyDescent="0.25">
      <c r="A575" s="5" t="s">
        <v>1543</v>
      </c>
      <c r="B575" s="7"/>
      <c r="C575" s="13" t="s">
        <v>86</v>
      </c>
      <c r="D575" s="19" t="str">
        <f>IFERROR(IF(C575="No CAS","",INDEX('DEQ Pollutant List'!$B$7:$B$611,MATCH('3. Pollutant Emissions - EF'!C575,'DEQ Pollutant List'!$A$7:$A$611,0))),"")</f>
        <v>Carbon tetrachloride</v>
      </c>
      <c r="E575" s="100">
        <v>0</v>
      </c>
      <c r="F575" s="36">
        <v>0</v>
      </c>
      <c r="G575" s="100" t="s">
        <v>1415</v>
      </c>
      <c r="H575" s="36" t="s">
        <v>1415</v>
      </c>
      <c r="I575" s="34">
        <v>3.7400000000000003E-2</v>
      </c>
      <c r="J575" s="11">
        <f t="shared" si="15"/>
        <v>3.7400000000000003E-2</v>
      </c>
      <c r="K575" s="6" t="s">
        <v>1418</v>
      </c>
      <c r="L575" s="20" t="s">
        <v>1587</v>
      </c>
      <c r="M575" s="7">
        <f>IF(ISBLANK($B575),_xlfn.XLOOKUP($A575,'2. TEUs &amp; Activities - EF'!$A$9:$A$190,'2. TEUs &amp; Activities - EF'!$J$9:$J$190),_xlfn.XLOOKUP($B575,'2. TEUs &amp; Activities - EF'!$B$9:$B$190,'2. TEUs &amp; Activities - EF'!$J$9:$J$190))*'3. Pollutant Emissions - EF'!$I575*IF(OR(ISBLANK($E575),$G575="Yes"),1,$E575)*IF($H575="Yes",1,(1-$F575))</f>
        <v>7.3491000000000008E-3</v>
      </c>
      <c r="N575" s="5">
        <f>IF(ISBLANK($B575),_xlfn.XLOOKUP($A575,'2. TEUs &amp; Activities - EF'!$A$9:$A$190,'2. TEUs &amp; Activities - EF'!$M$9:$M$190),_xlfn.XLOOKUP($B575,'2. TEUs &amp; Activities - EF'!$B$9:$B$190,'2. TEUs &amp; Activities - EF'!$M$9:$M$190))*'3. Pollutant Emissions - EF'!$J575*IF(OR(ISBLANK($E575),$G575="Yes"),1,$E575)*IF($H575="Yes",1,(1-$F575))</f>
        <v>1.7637840000000002E-3</v>
      </c>
      <c r="O575" s="130">
        <f>IFERROR(IF(OR($C575="",$C575="No CAS"),INDEX('DEQ Pollutant List'!$D$7:$D$611,MATCH($D575,'DEQ Pollutant List'!$B$7:$B$611,0)),INDEX('DEQ Pollutant List'!$D$7:$D$611,MATCH($C575,'DEQ Pollutant List'!$A$7:$A$611,0))),"")</f>
        <v>91</v>
      </c>
    </row>
    <row r="576" spans="1:15" ht="15" x14ac:dyDescent="0.25">
      <c r="A576" s="5" t="s">
        <v>1543</v>
      </c>
      <c r="B576" s="7"/>
      <c r="C576" s="13" t="s">
        <v>89</v>
      </c>
      <c r="D576" s="19" t="str">
        <f>IFERROR(IF(C576="No CAS","",INDEX('DEQ Pollutant List'!$B$7:$B$611,MATCH('3. Pollutant Emissions - EF'!C576,'DEQ Pollutant List'!$A$7:$A$611,0))),"")</f>
        <v>Chloroform</v>
      </c>
      <c r="E576" s="100">
        <v>0</v>
      </c>
      <c r="F576" s="36">
        <v>0</v>
      </c>
      <c r="G576" s="100" t="s">
        <v>1415</v>
      </c>
      <c r="H576" s="36" t="s">
        <v>1415</v>
      </c>
      <c r="I576" s="34">
        <v>2.9100000000000001E-2</v>
      </c>
      <c r="J576" s="11">
        <f t="shared" si="15"/>
        <v>2.9100000000000001E-2</v>
      </c>
      <c r="K576" s="6" t="s">
        <v>1418</v>
      </c>
      <c r="L576" s="20" t="s">
        <v>1587</v>
      </c>
      <c r="M576" s="7">
        <f>IF(ISBLANK($B576),_xlfn.XLOOKUP($A576,'2. TEUs &amp; Activities - EF'!$A$9:$A$190,'2. TEUs &amp; Activities - EF'!$J$9:$J$190),_xlfn.XLOOKUP($B576,'2. TEUs &amp; Activities - EF'!$B$9:$B$190,'2. TEUs &amp; Activities - EF'!$J$9:$J$190))*'3. Pollutant Emissions - EF'!$I576*IF(OR(ISBLANK($E576),$G576="Yes"),1,$E576)*IF($H576="Yes",1,(1-$F576))</f>
        <v>5.71815E-3</v>
      </c>
      <c r="N576" s="5">
        <f>IF(ISBLANK($B576),_xlfn.XLOOKUP($A576,'2. TEUs &amp; Activities - EF'!$A$9:$A$190,'2. TEUs &amp; Activities - EF'!$M$9:$M$190),_xlfn.XLOOKUP($B576,'2. TEUs &amp; Activities - EF'!$B$9:$B$190,'2. TEUs &amp; Activities - EF'!$M$9:$M$190))*'3. Pollutant Emissions - EF'!$J576*IF(OR(ISBLANK($E576),$G576="Yes"),1,$E576)*IF($H576="Yes",1,(1-$F576))</f>
        <v>1.3723560000000001E-3</v>
      </c>
      <c r="O576" s="130">
        <f>IFERROR(IF(OR($C576="",$C576="No CAS"),INDEX('DEQ Pollutant List'!$D$7:$D$611,MATCH($D576,'DEQ Pollutant List'!$B$7:$B$611,0)),INDEX('DEQ Pollutant List'!$D$7:$D$611,MATCH($C576,'DEQ Pollutant List'!$A$7:$A$611,0))),"")</f>
        <v>118</v>
      </c>
    </row>
    <row r="577" spans="1:15" ht="15" x14ac:dyDescent="0.25">
      <c r="A577" s="5" t="s">
        <v>1543</v>
      </c>
      <c r="B577" s="7"/>
      <c r="C577" s="13" t="s">
        <v>128</v>
      </c>
      <c r="D577" s="19" t="str">
        <f>IFERROR(IF(C577="No CAS","",INDEX('DEQ Pollutant List'!$B$7:$B$611,MATCH('3. Pollutant Emissions - EF'!C577,'DEQ Pollutant List'!$A$7:$A$611,0))),"")</f>
        <v>Chrysene</v>
      </c>
      <c r="E577" s="100">
        <v>0</v>
      </c>
      <c r="F577" s="36">
        <v>0</v>
      </c>
      <c r="G577" s="100" t="s">
        <v>1415</v>
      </c>
      <c r="H577" s="36" t="s">
        <v>1415</v>
      </c>
      <c r="I577" s="34">
        <v>7.0699999999999995E-4</v>
      </c>
      <c r="J577" s="11">
        <f t="shared" si="15"/>
        <v>7.0699999999999995E-4</v>
      </c>
      <c r="K577" s="6" t="s">
        <v>1418</v>
      </c>
      <c r="L577" s="20" t="s">
        <v>1587</v>
      </c>
      <c r="M577" s="7">
        <f>IF(ISBLANK($B577),_xlfn.XLOOKUP($A577,'2. TEUs &amp; Activities - EF'!$A$9:$A$190,'2. TEUs &amp; Activities - EF'!$J$9:$J$190),_xlfn.XLOOKUP($B577,'2. TEUs &amp; Activities - EF'!$B$9:$B$190,'2. TEUs &amp; Activities - EF'!$J$9:$J$190))*'3. Pollutant Emissions - EF'!$I577*IF(OR(ISBLANK($E577),$G577="Yes"),1,$E577)*IF($H577="Yes",1,(1-$F577))</f>
        <v>1.3892549999999998E-4</v>
      </c>
      <c r="N577" s="5">
        <f>IF(ISBLANK($B577),_xlfn.XLOOKUP($A577,'2. TEUs &amp; Activities - EF'!$A$9:$A$190,'2. TEUs &amp; Activities - EF'!$M$9:$M$190),_xlfn.XLOOKUP($B577,'2. TEUs &amp; Activities - EF'!$B$9:$B$190,'2. TEUs &amp; Activities - EF'!$M$9:$M$190))*'3. Pollutant Emissions - EF'!$J577*IF(OR(ISBLANK($E577),$G577="Yes"),1,$E577)*IF($H577="Yes",1,(1-$F577))</f>
        <v>3.3342119999999995E-5</v>
      </c>
      <c r="O577" s="130">
        <f>IFERROR(IF(OR($C577="",$C577="No CAS"),INDEX('DEQ Pollutant List'!$D$7:$D$611,MATCH($D577,'DEQ Pollutant List'!$B$7:$B$611,0)),INDEX('DEQ Pollutant List'!$D$7:$D$611,MATCH($C577,'DEQ Pollutant List'!$A$7:$A$611,0))),"")</f>
        <v>414</v>
      </c>
    </row>
    <row r="578" spans="1:15" ht="15" x14ac:dyDescent="0.25">
      <c r="A578" s="5" t="s">
        <v>1543</v>
      </c>
      <c r="B578" s="7"/>
      <c r="C578" s="13" t="s">
        <v>94</v>
      </c>
      <c r="D578" s="19" t="str">
        <f>IFERROR(IF(C578="No CAS","",INDEX('DEQ Pollutant List'!$B$7:$B$611,MATCH('3. Pollutant Emissions - EF'!C578,'DEQ Pollutant List'!$A$7:$A$611,0))),"")</f>
        <v>Dichloromethane (methylene chloride)</v>
      </c>
      <c r="E578" s="100">
        <v>0</v>
      </c>
      <c r="F578" s="36">
        <v>0</v>
      </c>
      <c r="G578" s="100" t="s">
        <v>1415</v>
      </c>
      <c r="H578" s="36" t="s">
        <v>1415</v>
      </c>
      <c r="I578" s="34">
        <v>2.0400000000000001E-2</v>
      </c>
      <c r="J578" s="11">
        <f t="shared" si="15"/>
        <v>2.0400000000000001E-2</v>
      </c>
      <c r="K578" s="6" t="s">
        <v>1418</v>
      </c>
      <c r="L578" s="20" t="s">
        <v>1587</v>
      </c>
      <c r="M578" s="7">
        <f>IF(ISBLANK($B578),_xlfn.XLOOKUP($A578,'2. TEUs &amp; Activities - EF'!$A$9:$A$190,'2. TEUs &amp; Activities - EF'!$J$9:$J$190),_xlfn.XLOOKUP($B578,'2. TEUs &amp; Activities - EF'!$B$9:$B$190,'2. TEUs &amp; Activities - EF'!$J$9:$J$190))*'3. Pollutant Emissions - EF'!$I578*IF(OR(ISBLANK($E578),$G578="Yes"),1,$E578)*IF($H578="Yes",1,(1-$F578))</f>
        <v>4.0086000000000002E-3</v>
      </c>
      <c r="N578" s="5">
        <f>IF(ISBLANK($B578),_xlfn.XLOOKUP($A578,'2. TEUs &amp; Activities - EF'!$A$9:$A$190,'2. TEUs &amp; Activities - EF'!$M$9:$M$190),_xlfn.XLOOKUP($B578,'2. TEUs &amp; Activities - EF'!$B$9:$B$190,'2. TEUs &amp; Activities - EF'!$M$9:$M$190))*'3. Pollutant Emissions - EF'!$J578*IF(OR(ISBLANK($E578),$G578="Yes"),1,$E578)*IF($H578="Yes",1,(1-$F578))</f>
        <v>9.620640000000001E-4</v>
      </c>
      <c r="O578" s="130">
        <f>IFERROR(IF(OR($C578="",$C578="No CAS"),INDEX('DEQ Pollutant List'!$D$7:$D$611,MATCH($D578,'DEQ Pollutant List'!$B$7:$B$611,0)),INDEX('DEQ Pollutant List'!$D$7:$D$611,MATCH($C578,'DEQ Pollutant List'!$A$7:$A$611,0))),"")</f>
        <v>328</v>
      </c>
    </row>
    <row r="579" spans="1:15" ht="15" x14ac:dyDescent="0.25">
      <c r="A579" s="5" t="s">
        <v>1543</v>
      </c>
      <c r="B579" s="7"/>
      <c r="C579" s="13" t="s">
        <v>60</v>
      </c>
      <c r="D579" s="19" t="str">
        <f>IFERROR(IF(C579="No CAS","",INDEX('DEQ Pollutant List'!$B$7:$B$611,MATCH('3. Pollutant Emissions - EF'!C579,'DEQ Pollutant List'!$A$7:$A$611,0))),"")</f>
        <v>Ethyl benzene</v>
      </c>
      <c r="E579" s="100">
        <v>0</v>
      </c>
      <c r="F579" s="36">
        <v>0</v>
      </c>
      <c r="G579" s="100" t="s">
        <v>1415</v>
      </c>
      <c r="H579" s="36" t="s">
        <v>1415</v>
      </c>
      <c r="I579" s="34">
        <v>4.0500000000000001E-2</v>
      </c>
      <c r="J579" s="11">
        <f t="shared" si="15"/>
        <v>4.0500000000000001E-2</v>
      </c>
      <c r="K579" s="6" t="s">
        <v>1418</v>
      </c>
      <c r="L579" s="20" t="s">
        <v>1587</v>
      </c>
      <c r="M579" s="7">
        <f>IF(ISBLANK($B579),_xlfn.XLOOKUP($A579,'2. TEUs &amp; Activities - EF'!$A$9:$A$190,'2. TEUs &amp; Activities - EF'!$J$9:$J$190),_xlfn.XLOOKUP($B579,'2. TEUs &amp; Activities - EF'!$B$9:$B$190,'2. TEUs &amp; Activities - EF'!$J$9:$J$190))*'3. Pollutant Emissions - EF'!$I579*IF(OR(ISBLANK($E579),$G579="Yes"),1,$E579)*IF($H579="Yes",1,(1-$F579))</f>
        <v>7.95825E-3</v>
      </c>
      <c r="N579" s="5">
        <f>IF(ISBLANK($B579),_xlfn.XLOOKUP($A579,'2. TEUs &amp; Activities - EF'!$A$9:$A$190,'2. TEUs &amp; Activities - EF'!$M$9:$M$190),_xlfn.XLOOKUP($B579,'2. TEUs &amp; Activities - EF'!$B$9:$B$190,'2. TEUs &amp; Activities - EF'!$M$9:$M$190))*'3. Pollutant Emissions - EF'!$J579*IF(OR(ISBLANK($E579),$G579="Yes"),1,$E579)*IF($H579="Yes",1,(1-$F579))</f>
        <v>1.9099800000000001E-3</v>
      </c>
      <c r="O579" s="130">
        <f>IFERROR(IF(OR($C579="",$C579="No CAS"),INDEX('DEQ Pollutant List'!$D$7:$D$611,MATCH($D579,'DEQ Pollutant List'!$B$7:$B$611,0)),INDEX('DEQ Pollutant List'!$D$7:$D$611,MATCH($C579,'DEQ Pollutant List'!$A$7:$A$611,0))),"")</f>
        <v>229</v>
      </c>
    </row>
    <row r="580" spans="1:15" ht="15" x14ac:dyDescent="0.25">
      <c r="A580" s="5" t="s">
        <v>1543</v>
      </c>
      <c r="B580" s="7"/>
      <c r="C580" s="13" t="s">
        <v>702</v>
      </c>
      <c r="D580" s="19" t="str">
        <f>IFERROR(IF(C580="No CAS","",INDEX('DEQ Pollutant List'!$B$7:$B$611,MATCH('3. Pollutant Emissions - EF'!C580,'DEQ Pollutant List'!$A$7:$A$611,0))),"")</f>
        <v>Ethylene dibromide (EDB, 1,2-dibromoethane)</v>
      </c>
      <c r="E580" s="100">
        <v>0</v>
      </c>
      <c r="F580" s="36">
        <v>0</v>
      </c>
      <c r="G580" s="100" t="s">
        <v>1415</v>
      </c>
      <c r="H580" s="36" t="s">
        <v>1415</v>
      </c>
      <c r="I580" s="34">
        <v>4.5199999999999997E-2</v>
      </c>
      <c r="J580" s="11">
        <f t="shared" si="15"/>
        <v>4.5199999999999997E-2</v>
      </c>
      <c r="K580" s="6" t="s">
        <v>1418</v>
      </c>
      <c r="L580" s="20" t="s">
        <v>1587</v>
      </c>
      <c r="M580" s="7">
        <f>IF(ISBLANK($B580),_xlfn.XLOOKUP($A580,'2. TEUs &amp; Activities - EF'!$A$9:$A$190,'2. TEUs &amp; Activities - EF'!$J$9:$J$190),_xlfn.XLOOKUP($B580,'2. TEUs &amp; Activities - EF'!$B$9:$B$190,'2. TEUs &amp; Activities - EF'!$J$9:$J$190))*'3. Pollutant Emissions - EF'!$I580*IF(OR(ISBLANK($E580),$G580="Yes"),1,$E580)*IF($H580="Yes",1,(1-$F580))</f>
        <v>8.8818000000000005E-3</v>
      </c>
      <c r="N580" s="5">
        <f>IF(ISBLANK($B580),_xlfn.XLOOKUP($A580,'2. TEUs &amp; Activities - EF'!$A$9:$A$190,'2. TEUs &amp; Activities - EF'!$M$9:$M$190),_xlfn.XLOOKUP($B580,'2. TEUs &amp; Activities - EF'!$B$9:$B$190,'2. TEUs &amp; Activities - EF'!$M$9:$M$190))*'3. Pollutant Emissions - EF'!$J580*IF(OR(ISBLANK($E580),$G580="Yes"),1,$E580)*IF($H580="Yes",1,(1-$F580))</f>
        <v>2.1316320000000001E-3</v>
      </c>
      <c r="O580" s="130">
        <f>IFERROR(IF(OR($C580="",$C580="No CAS"),INDEX('DEQ Pollutant List'!$D$7:$D$611,MATCH($D580,'DEQ Pollutant List'!$B$7:$B$611,0)),INDEX('DEQ Pollutant List'!$D$7:$D$611,MATCH($C580,'DEQ Pollutant List'!$A$7:$A$611,0))),"")</f>
        <v>232</v>
      </c>
    </row>
    <row r="581" spans="1:15" ht="15" x14ac:dyDescent="0.25">
      <c r="A581" s="5" t="s">
        <v>1543</v>
      </c>
      <c r="B581" s="7"/>
      <c r="C581" s="13" t="s">
        <v>96</v>
      </c>
      <c r="D581" s="19" t="str">
        <f>IFERROR(IF(C581="No CAS","",INDEX('DEQ Pollutant List'!$B$7:$B$611,MATCH('3. Pollutant Emissions - EF'!C581,'DEQ Pollutant List'!$A$7:$A$611,0))),"")</f>
        <v>Ethylene dichloride (EDC, 1,2-dichloroethane)</v>
      </c>
      <c r="E581" s="100">
        <v>0</v>
      </c>
      <c r="F581" s="36">
        <v>0</v>
      </c>
      <c r="G581" s="100" t="s">
        <v>1415</v>
      </c>
      <c r="H581" s="36" t="s">
        <v>1415</v>
      </c>
      <c r="I581" s="34">
        <v>2.41E-2</v>
      </c>
      <c r="J581" s="11">
        <f t="shared" si="15"/>
        <v>2.41E-2</v>
      </c>
      <c r="K581" s="6" t="s">
        <v>1418</v>
      </c>
      <c r="L581" s="20" t="s">
        <v>1587</v>
      </c>
      <c r="M581" s="7">
        <f>IF(ISBLANK($B581),_xlfn.XLOOKUP($A581,'2. TEUs &amp; Activities - EF'!$A$9:$A$190,'2. TEUs &amp; Activities - EF'!$J$9:$J$190),_xlfn.XLOOKUP($B581,'2. TEUs &amp; Activities - EF'!$B$9:$B$190,'2. TEUs &amp; Activities - EF'!$J$9:$J$190))*'3. Pollutant Emissions - EF'!$I581*IF(OR(ISBLANK($E581),$G581="Yes"),1,$E581)*IF($H581="Yes",1,(1-$F581))</f>
        <v>4.7356500000000001E-3</v>
      </c>
      <c r="N581" s="5">
        <f>IF(ISBLANK($B581),_xlfn.XLOOKUP($A581,'2. TEUs &amp; Activities - EF'!$A$9:$A$190,'2. TEUs &amp; Activities - EF'!$M$9:$M$190),_xlfn.XLOOKUP($B581,'2. TEUs &amp; Activities - EF'!$B$9:$B$190,'2. TEUs &amp; Activities - EF'!$M$9:$M$190))*'3. Pollutant Emissions - EF'!$J581*IF(OR(ISBLANK($E581),$G581="Yes"),1,$E581)*IF($H581="Yes",1,(1-$F581))</f>
        <v>1.1365559999999999E-3</v>
      </c>
      <c r="O581" s="130">
        <f>IFERROR(IF(OR($C581="",$C581="No CAS"),INDEX('DEQ Pollutant List'!$D$7:$D$611,MATCH($D581,'DEQ Pollutant List'!$B$7:$B$611,0)),INDEX('DEQ Pollutant List'!$D$7:$D$611,MATCH($C581,'DEQ Pollutant List'!$A$7:$A$611,0))),"")</f>
        <v>233</v>
      </c>
    </row>
    <row r="582" spans="1:15" ht="15" x14ac:dyDescent="0.25">
      <c r="A582" s="5" t="s">
        <v>1543</v>
      </c>
      <c r="B582" s="7"/>
      <c r="C582" s="13" t="s">
        <v>129</v>
      </c>
      <c r="D582" s="19" t="str">
        <f>IFERROR(IF(C582="No CAS","",INDEX('DEQ Pollutant List'!$B$7:$B$611,MATCH('3. Pollutant Emissions - EF'!C582,'DEQ Pollutant List'!$A$7:$A$611,0))),"")</f>
        <v>Fluoranthene</v>
      </c>
      <c r="E582" s="100">
        <v>0</v>
      </c>
      <c r="F582" s="36">
        <v>0</v>
      </c>
      <c r="G582" s="100" t="s">
        <v>1415</v>
      </c>
      <c r="H582" s="36" t="s">
        <v>1415</v>
      </c>
      <c r="I582" s="34">
        <v>1.1299999999999999E-3</v>
      </c>
      <c r="J582" s="11">
        <f t="shared" si="15"/>
        <v>1.1299999999999999E-3</v>
      </c>
      <c r="K582" s="6" t="s">
        <v>1418</v>
      </c>
      <c r="L582" s="20" t="s">
        <v>1587</v>
      </c>
      <c r="M582" s="7">
        <f>IF(ISBLANK($B582),_xlfn.XLOOKUP($A582,'2. TEUs &amp; Activities - EF'!$A$9:$A$190,'2. TEUs &amp; Activities - EF'!$J$9:$J$190),_xlfn.XLOOKUP($B582,'2. TEUs &amp; Activities - EF'!$B$9:$B$190,'2. TEUs &amp; Activities - EF'!$J$9:$J$190))*'3. Pollutant Emissions - EF'!$I582*IF(OR(ISBLANK($E582),$G582="Yes"),1,$E582)*IF($H582="Yes",1,(1-$F582))</f>
        <v>2.2204500000000001E-4</v>
      </c>
      <c r="N582" s="5">
        <f>IF(ISBLANK($B582),_xlfn.XLOOKUP($A582,'2. TEUs &amp; Activities - EF'!$A$9:$A$190,'2. TEUs &amp; Activities - EF'!$M$9:$M$190),_xlfn.XLOOKUP($B582,'2. TEUs &amp; Activities - EF'!$B$9:$B$190,'2. TEUs &amp; Activities - EF'!$M$9:$M$190))*'3. Pollutant Emissions - EF'!$J582*IF(OR(ISBLANK($E582),$G582="Yes"),1,$E582)*IF($H582="Yes",1,(1-$F582))</f>
        <v>5.3290799999999995E-5</v>
      </c>
      <c r="O582" s="130">
        <f>IFERROR(IF(OR($C582="",$C582="No CAS"),INDEX('DEQ Pollutant List'!$D$7:$D$611,MATCH($D582,'DEQ Pollutant List'!$B$7:$B$611,0)),INDEX('DEQ Pollutant List'!$D$7:$D$611,MATCH($C582,'DEQ Pollutant List'!$A$7:$A$611,0))),"")</f>
        <v>424</v>
      </c>
    </row>
    <row r="583" spans="1:15" ht="15" x14ac:dyDescent="0.25">
      <c r="A583" s="5" t="s">
        <v>1543</v>
      </c>
      <c r="B583" s="7"/>
      <c r="C583" s="13" t="s">
        <v>130</v>
      </c>
      <c r="D583" s="19" t="str">
        <f>IFERROR(IF(C583="No CAS","",INDEX('DEQ Pollutant List'!$B$7:$B$611,MATCH('3. Pollutant Emissions - EF'!C583,'DEQ Pollutant List'!$A$7:$A$611,0))),"")</f>
        <v>Fluorene</v>
      </c>
      <c r="E583" s="100">
        <v>0</v>
      </c>
      <c r="F583" s="36">
        <v>0</v>
      </c>
      <c r="G583" s="100" t="s">
        <v>1415</v>
      </c>
      <c r="H583" s="36" t="s">
        <v>1415</v>
      </c>
      <c r="I583" s="34">
        <v>5.7800000000000004E-3</v>
      </c>
      <c r="J583" s="11">
        <f t="shared" si="15"/>
        <v>5.7800000000000004E-3</v>
      </c>
      <c r="K583" s="6" t="s">
        <v>1418</v>
      </c>
      <c r="L583" s="20" t="s">
        <v>1587</v>
      </c>
      <c r="M583" s="7">
        <f>IF(ISBLANK($B583),_xlfn.XLOOKUP($A583,'2. TEUs &amp; Activities - EF'!$A$9:$A$190,'2. TEUs &amp; Activities - EF'!$J$9:$J$190),_xlfn.XLOOKUP($B583,'2. TEUs &amp; Activities - EF'!$B$9:$B$190,'2. TEUs &amp; Activities - EF'!$J$9:$J$190))*'3. Pollutant Emissions - EF'!$I583*IF(OR(ISBLANK($E583),$G583="Yes"),1,$E583)*IF($H583="Yes",1,(1-$F583))</f>
        <v>1.1357700000000001E-3</v>
      </c>
      <c r="N583" s="5">
        <f>IF(ISBLANK($B583),_xlfn.XLOOKUP($A583,'2. TEUs &amp; Activities - EF'!$A$9:$A$190,'2. TEUs &amp; Activities - EF'!$M$9:$M$190),_xlfn.XLOOKUP($B583,'2. TEUs &amp; Activities - EF'!$B$9:$B$190,'2. TEUs &amp; Activities - EF'!$M$9:$M$190))*'3. Pollutant Emissions - EF'!$J583*IF(OR(ISBLANK($E583),$G583="Yes"),1,$E583)*IF($H583="Yes",1,(1-$F583))</f>
        <v>2.7258480000000003E-4</v>
      </c>
      <c r="O583" s="130">
        <f>IFERROR(IF(OR($C583="",$C583="No CAS"),INDEX('DEQ Pollutant List'!$D$7:$D$611,MATCH($D583,'DEQ Pollutant List'!$B$7:$B$611,0)),INDEX('DEQ Pollutant List'!$D$7:$D$611,MATCH($C583,'DEQ Pollutant List'!$A$7:$A$611,0))),"")</f>
        <v>425</v>
      </c>
    </row>
    <row r="584" spans="1:15" ht="15" x14ac:dyDescent="0.25">
      <c r="A584" s="5" t="s">
        <v>1543</v>
      </c>
      <c r="B584" s="7"/>
      <c r="C584" s="13" t="s">
        <v>47</v>
      </c>
      <c r="D584" s="19" t="str">
        <f>IFERROR(IF(C584="No CAS","",INDEX('DEQ Pollutant List'!$B$7:$B$611,MATCH('3. Pollutant Emissions - EF'!C584,'DEQ Pollutant List'!$A$7:$A$611,0))),"")</f>
        <v>Formaldehyde</v>
      </c>
      <c r="E584" s="100">
        <v>0</v>
      </c>
      <c r="F584" s="36">
        <v>0</v>
      </c>
      <c r="G584" s="100" t="s">
        <v>1415</v>
      </c>
      <c r="H584" s="36" t="s">
        <v>1415</v>
      </c>
      <c r="I584" s="34">
        <v>53.9</v>
      </c>
      <c r="J584" s="11">
        <f t="shared" si="15"/>
        <v>53.9</v>
      </c>
      <c r="K584" s="6" t="s">
        <v>1418</v>
      </c>
      <c r="L584" s="20" t="s">
        <v>1587</v>
      </c>
      <c r="M584" s="7">
        <f>IF(ISBLANK($B584),_xlfn.XLOOKUP($A584,'2. TEUs &amp; Activities - EF'!$A$9:$A$190,'2. TEUs &amp; Activities - EF'!$J$9:$J$190),_xlfn.XLOOKUP($B584,'2. TEUs &amp; Activities - EF'!$B$9:$B$190,'2. TEUs &amp; Activities - EF'!$J$9:$J$190))*'3. Pollutant Emissions - EF'!$I584*IF(OR(ISBLANK($E584),$G584="Yes"),1,$E584)*IF($H584="Yes",1,(1-$F584))</f>
        <v>10.59135</v>
      </c>
      <c r="N584" s="5">
        <f>IF(ISBLANK($B584),_xlfn.XLOOKUP($A584,'2. TEUs &amp; Activities - EF'!$A$9:$A$190,'2. TEUs &amp; Activities - EF'!$M$9:$M$190),_xlfn.XLOOKUP($B584,'2. TEUs &amp; Activities - EF'!$B$9:$B$190,'2. TEUs &amp; Activities - EF'!$M$9:$M$190))*'3. Pollutant Emissions - EF'!$J584*IF(OR(ISBLANK($E584),$G584="Yes"),1,$E584)*IF($H584="Yes",1,(1-$F584))</f>
        <v>2.5419239999999999</v>
      </c>
      <c r="O584" s="130">
        <f>IFERROR(IF(OR($C584="",$C584="No CAS"),INDEX('DEQ Pollutant List'!$D$7:$D$611,MATCH($D584,'DEQ Pollutant List'!$B$7:$B$611,0)),INDEX('DEQ Pollutant List'!$D$7:$D$611,MATCH($C584,'DEQ Pollutant List'!$A$7:$A$611,0))),"")</f>
        <v>250</v>
      </c>
    </row>
    <row r="585" spans="1:15" ht="15" x14ac:dyDescent="0.25">
      <c r="A585" s="5" t="s">
        <v>1543</v>
      </c>
      <c r="B585" s="7"/>
      <c r="C585" s="13" t="s">
        <v>61</v>
      </c>
      <c r="D585" s="19" t="str">
        <f>IFERROR(IF(C585="No CAS","",INDEX('DEQ Pollutant List'!$B$7:$B$611,MATCH('3. Pollutant Emissions - EF'!C585,'DEQ Pollutant List'!$A$7:$A$611,0))),"")</f>
        <v>Hexane</v>
      </c>
      <c r="E585" s="100">
        <v>0</v>
      </c>
      <c r="F585" s="36">
        <v>0</v>
      </c>
      <c r="G585" s="100" t="s">
        <v>1415</v>
      </c>
      <c r="H585" s="36" t="s">
        <v>1415</v>
      </c>
      <c r="I585" s="34">
        <v>1.1299999999999999</v>
      </c>
      <c r="J585" s="11">
        <f t="shared" si="15"/>
        <v>1.1299999999999999</v>
      </c>
      <c r="K585" s="6" t="s">
        <v>1418</v>
      </c>
      <c r="L585" s="20" t="s">
        <v>1587</v>
      </c>
      <c r="M585" s="7">
        <f>IF(ISBLANK($B585),_xlfn.XLOOKUP($A585,'2. TEUs &amp; Activities - EF'!$A$9:$A$190,'2. TEUs &amp; Activities - EF'!$J$9:$J$190),_xlfn.XLOOKUP($B585,'2. TEUs &amp; Activities - EF'!$B$9:$B$190,'2. TEUs &amp; Activities - EF'!$J$9:$J$190))*'3. Pollutant Emissions - EF'!$I585*IF(OR(ISBLANK($E585),$G585="Yes"),1,$E585)*IF($H585="Yes",1,(1-$F585))</f>
        <v>0.22204499999999999</v>
      </c>
      <c r="N585" s="5">
        <f>IF(ISBLANK($B585),_xlfn.XLOOKUP($A585,'2. TEUs &amp; Activities - EF'!$A$9:$A$190,'2. TEUs &amp; Activities - EF'!$M$9:$M$190),_xlfn.XLOOKUP($B585,'2. TEUs &amp; Activities - EF'!$B$9:$B$190,'2. TEUs &amp; Activities - EF'!$M$9:$M$190))*'3. Pollutant Emissions - EF'!$J585*IF(OR(ISBLANK($E585),$G585="Yes"),1,$E585)*IF($H585="Yes",1,(1-$F585))</f>
        <v>5.3290799999999992E-2</v>
      </c>
      <c r="O585" s="130">
        <f>IFERROR(IF(OR($C585="",$C585="No CAS"),INDEX('DEQ Pollutant List'!$D$7:$D$611,MATCH($D585,'DEQ Pollutant List'!$B$7:$B$611,0)),INDEX('DEQ Pollutant List'!$D$7:$D$611,MATCH($C585,'DEQ Pollutant List'!$A$7:$A$611,0))),"")</f>
        <v>289</v>
      </c>
    </row>
    <row r="586" spans="1:15" ht="15" x14ac:dyDescent="0.25">
      <c r="A586" s="5" t="s">
        <v>1543</v>
      </c>
      <c r="B586" s="7"/>
      <c r="C586" s="13" t="s">
        <v>101</v>
      </c>
      <c r="D586" s="19" t="str">
        <f>IFERROR(IF(C586="No CAS","",INDEX('DEQ Pollutant List'!$B$7:$B$611,MATCH('3. Pollutant Emissions - EF'!C586,'DEQ Pollutant List'!$A$7:$A$611,0))),"")</f>
        <v>Methanol</v>
      </c>
      <c r="E586" s="100">
        <v>0</v>
      </c>
      <c r="F586" s="36">
        <v>0</v>
      </c>
      <c r="G586" s="100" t="s">
        <v>1415</v>
      </c>
      <c r="H586" s="36" t="s">
        <v>1415</v>
      </c>
      <c r="I586" s="34">
        <v>2.5499999999999998</v>
      </c>
      <c r="J586" s="11">
        <f t="shared" si="15"/>
        <v>2.5499999999999998</v>
      </c>
      <c r="K586" s="6" t="s">
        <v>1418</v>
      </c>
      <c r="L586" s="20" t="s">
        <v>1587</v>
      </c>
      <c r="M586" s="7">
        <f>IF(ISBLANK($B586),_xlfn.XLOOKUP($A586,'2. TEUs &amp; Activities - EF'!$A$9:$A$190,'2. TEUs &amp; Activities - EF'!$J$9:$J$190),_xlfn.XLOOKUP($B586,'2. TEUs &amp; Activities - EF'!$B$9:$B$190,'2. TEUs &amp; Activities - EF'!$J$9:$J$190))*'3. Pollutant Emissions - EF'!$I586*IF(OR(ISBLANK($E586),$G586="Yes"),1,$E586)*IF($H586="Yes",1,(1-$F586))</f>
        <v>0.50107499999999994</v>
      </c>
      <c r="N586" s="5">
        <f>IF(ISBLANK($B586),_xlfn.XLOOKUP($A586,'2. TEUs &amp; Activities - EF'!$A$9:$A$190,'2. TEUs &amp; Activities - EF'!$M$9:$M$190),_xlfn.XLOOKUP($B586,'2. TEUs &amp; Activities - EF'!$B$9:$B$190,'2. TEUs &amp; Activities - EF'!$M$9:$M$190))*'3. Pollutant Emissions - EF'!$J586*IF(OR(ISBLANK($E586),$G586="Yes"),1,$E586)*IF($H586="Yes",1,(1-$F586))</f>
        <v>0.12025799999999999</v>
      </c>
      <c r="O586" s="130">
        <f>IFERROR(IF(OR($C586="",$C586="No CAS"),INDEX('DEQ Pollutant List'!$D$7:$D$611,MATCH($D586,'DEQ Pollutant List'!$B$7:$B$611,0)),INDEX('DEQ Pollutant List'!$D$7:$D$611,MATCH($C586,'DEQ Pollutant List'!$A$7:$A$611,0))),"")</f>
        <v>321</v>
      </c>
    </row>
    <row r="587" spans="1:15" ht="15" x14ac:dyDescent="0.25">
      <c r="A587" s="5" t="s">
        <v>1543</v>
      </c>
      <c r="B587" s="7"/>
      <c r="C587" s="13" t="s">
        <v>49</v>
      </c>
      <c r="D587" s="19" t="str">
        <f>IFERROR(IF(C587="No CAS","",INDEX('DEQ Pollutant List'!$B$7:$B$611,MATCH('3. Pollutant Emissions - EF'!C587,'DEQ Pollutant List'!$A$7:$A$611,0))),"")</f>
        <v>Naphthalene</v>
      </c>
      <c r="E587" s="100">
        <v>0</v>
      </c>
      <c r="F587" s="36">
        <v>0</v>
      </c>
      <c r="G587" s="100" t="s">
        <v>1415</v>
      </c>
      <c r="H587" s="36" t="s">
        <v>1415</v>
      </c>
      <c r="I587" s="34">
        <v>7.5899999999999995E-2</v>
      </c>
      <c r="J587" s="11">
        <f t="shared" si="15"/>
        <v>7.5899999999999995E-2</v>
      </c>
      <c r="K587" s="6" t="s">
        <v>1418</v>
      </c>
      <c r="L587" s="20" t="s">
        <v>1587</v>
      </c>
      <c r="M587" s="7">
        <f>IF(ISBLANK($B587),_xlfn.XLOOKUP($A587,'2. TEUs &amp; Activities - EF'!$A$9:$A$190,'2. TEUs &amp; Activities - EF'!$J$9:$J$190),_xlfn.XLOOKUP($B587,'2. TEUs &amp; Activities - EF'!$B$9:$B$190,'2. TEUs &amp; Activities - EF'!$J$9:$J$190))*'3. Pollutant Emissions - EF'!$I587*IF(OR(ISBLANK($E587),$G587="Yes"),1,$E587)*IF($H587="Yes",1,(1-$F587))</f>
        <v>1.491435E-2</v>
      </c>
      <c r="N587" s="5">
        <f>IF(ISBLANK($B587),_xlfn.XLOOKUP($A587,'2. TEUs &amp; Activities - EF'!$A$9:$A$190,'2. TEUs &amp; Activities - EF'!$M$9:$M$190),_xlfn.XLOOKUP($B587,'2. TEUs &amp; Activities - EF'!$B$9:$B$190,'2. TEUs &amp; Activities - EF'!$M$9:$M$190))*'3. Pollutant Emissions - EF'!$J587*IF(OR(ISBLANK($E587),$G587="Yes"),1,$E587)*IF($H587="Yes",1,(1-$F587))</f>
        <v>3.5794439999999998E-3</v>
      </c>
      <c r="O587" s="130">
        <f>IFERROR(IF(OR($C587="",$C587="No CAS"),INDEX('DEQ Pollutant List'!$D$7:$D$611,MATCH($D587,'DEQ Pollutant List'!$B$7:$B$611,0)),INDEX('DEQ Pollutant List'!$D$7:$D$611,MATCH($C587,'DEQ Pollutant List'!$A$7:$A$611,0))),"")</f>
        <v>428</v>
      </c>
    </row>
    <row r="588" spans="1:15" ht="15" x14ac:dyDescent="0.25">
      <c r="A588" s="5" t="s">
        <v>1543</v>
      </c>
      <c r="B588" s="7"/>
      <c r="C588" s="13" t="s">
        <v>133</v>
      </c>
      <c r="D588" s="19" t="str">
        <f>IFERROR(IF(C588="No CAS","",INDEX('DEQ Pollutant List'!$B$7:$B$611,MATCH('3. Pollutant Emissions - EF'!C588,'DEQ Pollutant List'!$A$7:$A$611,0))),"")</f>
        <v>Phenanthrene</v>
      </c>
      <c r="E588" s="100">
        <v>0</v>
      </c>
      <c r="F588" s="36">
        <v>0</v>
      </c>
      <c r="G588" s="100" t="s">
        <v>1415</v>
      </c>
      <c r="H588" s="36" t="s">
        <v>1415</v>
      </c>
      <c r="I588" s="34">
        <v>1.06E-2</v>
      </c>
      <c r="J588" s="11">
        <f t="shared" si="15"/>
        <v>1.06E-2</v>
      </c>
      <c r="K588" s="6" t="s">
        <v>1418</v>
      </c>
      <c r="L588" s="20" t="s">
        <v>1587</v>
      </c>
      <c r="M588" s="7">
        <f>IF(ISBLANK($B588),_xlfn.XLOOKUP($A588,'2. TEUs &amp; Activities - EF'!$A$9:$A$190,'2. TEUs &amp; Activities - EF'!$J$9:$J$190),_xlfn.XLOOKUP($B588,'2. TEUs &amp; Activities - EF'!$B$9:$B$190,'2. TEUs &amp; Activities - EF'!$J$9:$J$190))*'3. Pollutant Emissions - EF'!$I588*IF(OR(ISBLANK($E588),$G588="Yes"),1,$E588)*IF($H588="Yes",1,(1-$F588))</f>
        <v>2.0828999999999999E-3</v>
      </c>
      <c r="N588" s="5">
        <f>IF(ISBLANK($B588),_xlfn.XLOOKUP($A588,'2. TEUs &amp; Activities - EF'!$A$9:$A$190,'2. TEUs &amp; Activities - EF'!$M$9:$M$190),_xlfn.XLOOKUP($B588,'2. TEUs &amp; Activities - EF'!$B$9:$B$190,'2. TEUs &amp; Activities - EF'!$M$9:$M$190))*'3. Pollutant Emissions - EF'!$J588*IF(OR(ISBLANK($E588),$G588="Yes"),1,$E588)*IF($H588="Yes",1,(1-$F588))</f>
        <v>4.99896E-4</v>
      </c>
      <c r="O588" s="130">
        <f>IFERROR(IF(OR($C588="",$C588="No CAS"),INDEX('DEQ Pollutant List'!$D$7:$D$611,MATCH($D588,'DEQ Pollutant List'!$B$7:$B$611,0)),INDEX('DEQ Pollutant List'!$D$7:$D$611,MATCH($C588,'DEQ Pollutant List'!$A$7:$A$611,0))),"")</f>
        <v>430</v>
      </c>
    </row>
    <row r="589" spans="1:15" ht="15" x14ac:dyDescent="0.25">
      <c r="A589" s="5" t="s">
        <v>1543</v>
      </c>
      <c r="B589" s="7"/>
      <c r="C589" s="13" t="s">
        <v>134</v>
      </c>
      <c r="D589" s="19" t="str">
        <f>IFERROR(IF(C589="No CAS","",INDEX('DEQ Pollutant List'!$B$7:$B$611,MATCH('3. Pollutant Emissions - EF'!C589,'DEQ Pollutant List'!$A$7:$A$611,0))),"")</f>
        <v>Pyrene</v>
      </c>
      <c r="E589" s="100">
        <v>0</v>
      </c>
      <c r="F589" s="36">
        <v>0</v>
      </c>
      <c r="G589" s="100" t="s">
        <v>1415</v>
      </c>
      <c r="H589" s="36" t="s">
        <v>1415</v>
      </c>
      <c r="I589" s="34">
        <v>1.39E-3</v>
      </c>
      <c r="J589" s="11">
        <f t="shared" si="15"/>
        <v>1.39E-3</v>
      </c>
      <c r="K589" s="6" t="s">
        <v>1418</v>
      </c>
      <c r="L589" s="20" t="s">
        <v>1587</v>
      </c>
      <c r="M589" s="7">
        <f>IF(ISBLANK($B589),_xlfn.XLOOKUP($A589,'2. TEUs &amp; Activities - EF'!$A$9:$A$190,'2. TEUs &amp; Activities - EF'!$J$9:$J$190),_xlfn.XLOOKUP($B589,'2. TEUs &amp; Activities - EF'!$B$9:$B$190,'2. TEUs &amp; Activities - EF'!$J$9:$J$190))*'3. Pollutant Emissions - EF'!$I589*IF(OR(ISBLANK($E589),$G589="Yes"),1,$E589)*IF($H589="Yes",1,(1-$F589))</f>
        <v>2.7313499999999998E-4</v>
      </c>
      <c r="N589" s="5">
        <f>IF(ISBLANK($B589),_xlfn.XLOOKUP($A589,'2. TEUs &amp; Activities - EF'!$A$9:$A$190,'2. TEUs &amp; Activities - EF'!$M$9:$M$190),_xlfn.XLOOKUP($B589,'2. TEUs &amp; Activities - EF'!$B$9:$B$190,'2. TEUs &amp; Activities - EF'!$M$9:$M$190))*'3. Pollutant Emissions - EF'!$J589*IF(OR(ISBLANK($E589),$G589="Yes"),1,$E589)*IF($H589="Yes",1,(1-$F589))</f>
        <v>6.5552399999999999E-5</v>
      </c>
      <c r="O589" s="130">
        <f>IFERROR(IF(OR($C589="",$C589="No CAS"),INDEX('DEQ Pollutant List'!$D$7:$D$611,MATCH($D589,'DEQ Pollutant List'!$B$7:$B$611,0)),INDEX('DEQ Pollutant List'!$D$7:$D$611,MATCH($C589,'DEQ Pollutant List'!$A$7:$A$611,0))),"")</f>
        <v>431</v>
      </c>
    </row>
    <row r="590" spans="1:15" ht="15" x14ac:dyDescent="0.25">
      <c r="A590" s="5" t="s">
        <v>1543</v>
      </c>
      <c r="B590" s="7"/>
      <c r="C590" s="13" t="s">
        <v>107</v>
      </c>
      <c r="D590" s="19" t="str">
        <f>IFERROR(IF(C590="No CAS","",INDEX('DEQ Pollutant List'!$B$7:$B$611,MATCH('3. Pollutant Emissions - EF'!C590,'DEQ Pollutant List'!$A$7:$A$611,0))),"")</f>
        <v>Styrene</v>
      </c>
      <c r="E590" s="100">
        <v>0</v>
      </c>
      <c r="F590" s="36">
        <v>0</v>
      </c>
      <c r="G590" s="100" t="s">
        <v>1415</v>
      </c>
      <c r="H590" s="36" t="s">
        <v>1415</v>
      </c>
      <c r="I590" s="34">
        <v>2.41E-2</v>
      </c>
      <c r="J590" s="11">
        <f t="shared" si="15"/>
        <v>2.41E-2</v>
      </c>
      <c r="K590" s="6" t="s">
        <v>1418</v>
      </c>
      <c r="L590" s="20" t="s">
        <v>1587</v>
      </c>
      <c r="M590" s="7">
        <f>IF(ISBLANK($B590),_xlfn.XLOOKUP($A590,'2. TEUs &amp; Activities - EF'!$A$9:$A$190,'2. TEUs &amp; Activities - EF'!$J$9:$J$190),_xlfn.XLOOKUP($B590,'2. TEUs &amp; Activities - EF'!$B$9:$B$190,'2. TEUs &amp; Activities - EF'!$J$9:$J$190))*'3. Pollutant Emissions - EF'!$I590*IF(OR(ISBLANK($E590),$G590="Yes"),1,$E590)*IF($H590="Yes",1,(1-$F590))</f>
        <v>4.7356500000000001E-3</v>
      </c>
      <c r="N590" s="5">
        <f>IF(ISBLANK($B590),_xlfn.XLOOKUP($A590,'2. TEUs &amp; Activities - EF'!$A$9:$A$190,'2. TEUs &amp; Activities - EF'!$M$9:$M$190),_xlfn.XLOOKUP($B590,'2. TEUs &amp; Activities - EF'!$B$9:$B$190,'2. TEUs &amp; Activities - EF'!$M$9:$M$190))*'3. Pollutant Emissions - EF'!$J590*IF(OR(ISBLANK($E590),$G590="Yes"),1,$E590)*IF($H590="Yes",1,(1-$F590))</f>
        <v>1.1365559999999999E-3</v>
      </c>
      <c r="O590" s="130">
        <f>IFERROR(IF(OR($C590="",$C590="No CAS"),INDEX('DEQ Pollutant List'!$D$7:$D$611,MATCH($D590,'DEQ Pollutant List'!$B$7:$B$611,0)),INDEX('DEQ Pollutant List'!$D$7:$D$611,MATCH($C590,'DEQ Pollutant List'!$A$7:$A$611,0))),"")</f>
        <v>585</v>
      </c>
    </row>
    <row r="591" spans="1:15" ht="15" x14ac:dyDescent="0.25">
      <c r="A591" s="5" t="s">
        <v>1543</v>
      </c>
      <c r="B591" s="7"/>
      <c r="C591" s="13" t="s">
        <v>68</v>
      </c>
      <c r="D591" s="19" t="str">
        <f>IFERROR(IF(C591="No CAS","",INDEX('DEQ Pollutant List'!$B$7:$B$611,MATCH('3. Pollutant Emissions - EF'!C591,'DEQ Pollutant List'!$A$7:$A$611,0))),"")</f>
        <v>Toluene</v>
      </c>
      <c r="E591" s="100">
        <v>0</v>
      </c>
      <c r="F591" s="36">
        <v>0</v>
      </c>
      <c r="G591" s="100" t="s">
        <v>1415</v>
      </c>
      <c r="H591" s="36" t="s">
        <v>1415</v>
      </c>
      <c r="I591" s="34">
        <v>0.41599999999999998</v>
      </c>
      <c r="J591" s="11">
        <f t="shared" si="15"/>
        <v>0.41599999999999998</v>
      </c>
      <c r="K591" s="6" t="s">
        <v>1418</v>
      </c>
      <c r="L591" s="20" t="s">
        <v>1587</v>
      </c>
      <c r="M591" s="7">
        <f>IF(ISBLANK($B591),_xlfn.XLOOKUP($A591,'2. TEUs &amp; Activities - EF'!$A$9:$A$190,'2. TEUs &amp; Activities - EF'!$J$9:$J$190),_xlfn.XLOOKUP($B591,'2. TEUs &amp; Activities - EF'!$B$9:$B$190,'2. TEUs &amp; Activities - EF'!$J$9:$J$190))*'3. Pollutant Emissions - EF'!$I591*IF(OR(ISBLANK($E591),$G591="Yes"),1,$E591)*IF($H591="Yes",1,(1-$F591))</f>
        <v>8.1743999999999997E-2</v>
      </c>
      <c r="N591" s="5">
        <f>IF(ISBLANK($B591),_xlfn.XLOOKUP($A591,'2. TEUs &amp; Activities - EF'!$A$9:$A$190,'2. TEUs &amp; Activities - EF'!$M$9:$M$190),_xlfn.XLOOKUP($B591,'2. TEUs &amp; Activities - EF'!$B$9:$B$190,'2. TEUs &amp; Activities - EF'!$M$9:$M$190))*'3. Pollutant Emissions - EF'!$J591*IF(OR(ISBLANK($E591),$G591="Yes"),1,$E591)*IF($H591="Yes",1,(1-$F591))</f>
        <v>1.961856E-2</v>
      </c>
      <c r="O591" s="130">
        <f>IFERROR(IF(OR($C591="",$C591="No CAS"),INDEX('DEQ Pollutant List'!$D$7:$D$611,MATCH($D591,'DEQ Pollutant List'!$B$7:$B$611,0)),INDEX('DEQ Pollutant List'!$D$7:$D$611,MATCH($C591,'DEQ Pollutant List'!$A$7:$A$611,0))),"")</f>
        <v>600</v>
      </c>
    </row>
    <row r="592" spans="1:15" ht="15" x14ac:dyDescent="0.25">
      <c r="A592" s="5" t="s">
        <v>1543</v>
      </c>
      <c r="B592" s="7"/>
      <c r="C592" s="13" t="s">
        <v>111</v>
      </c>
      <c r="D592" s="19" t="str">
        <f>IFERROR(IF(C592="No CAS","",INDEX('DEQ Pollutant List'!$B$7:$B$611,MATCH('3. Pollutant Emissions - EF'!C592,'DEQ Pollutant List'!$A$7:$A$611,0))),"")</f>
        <v>Vinyl chloride</v>
      </c>
      <c r="E592" s="100">
        <v>0</v>
      </c>
      <c r="F592" s="36">
        <v>0</v>
      </c>
      <c r="G592" s="100" t="s">
        <v>1415</v>
      </c>
      <c r="H592" s="36" t="s">
        <v>1415</v>
      </c>
      <c r="I592" s="34">
        <v>1.52E-2</v>
      </c>
      <c r="J592" s="11">
        <f t="shared" si="15"/>
        <v>1.52E-2</v>
      </c>
      <c r="K592" s="6" t="s">
        <v>1418</v>
      </c>
      <c r="L592" s="20" t="s">
        <v>1587</v>
      </c>
      <c r="M592" s="7">
        <f>IF(ISBLANK($B592),_xlfn.XLOOKUP($A592,'2. TEUs &amp; Activities - EF'!$A$9:$A$190,'2. TEUs &amp; Activities - EF'!$J$9:$J$190),_xlfn.XLOOKUP($B592,'2. TEUs &amp; Activities - EF'!$B$9:$B$190,'2. TEUs &amp; Activities - EF'!$J$9:$J$190))*'3. Pollutant Emissions - EF'!$I592*IF(OR(ISBLANK($E592),$G592="Yes"),1,$E592)*IF($H592="Yes",1,(1-$F592))</f>
        <v>2.9868E-3</v>
      </c>
      <c r="N592" s="5">
        <f>IF(ISBLANK($B592),_xlfn.XLOOKUP($A592,'2. TEUs &amp; Activities - EF'!$A$9:$A$190,'2. TEUs &amp; Activities - EF'!$M$9:$M$190),_xlfn.XLOOKUP($B592,'2. TEUs &amp; Activities - EF'!$B$9:$B$190,'2. TEUs &amp; Activities - EF'!$M$9:$M$190))*'3. Pollutant Emissions - EF'!$J592*IF(OR(ISBLANK($E592),$G592="Yes"),1,$E592)*IF($H592="Yes",1,(1-$F592))</f>
        <v>7.1683200000000004E-4</v>
      </c>
      <c r="O592" s="130">
        <f>IFERROR(IF(OR($C592="",$C592="No CAS"),INDEX('DEQ Pollutant List'!$D$7:$D$611,MATCH($D592,'DEQ Pollutant List'!$B$7:$B$611,0)),INDEX('DEQ Pollutant List'!$D$7:$D$611,MATCH($C592,'DEQ Pollutant List'!$A$7:$A$611,0))),"")</f>
        <v>624</v>
      </c>
    </row>
    <row r="593" spans="1:15" ht="15" x14ac:dyDescent="0.25">
      <c r="A593" s="5" t="s">
        <v>1543</v>
      </c>
      <c r="B593" s="7"/>
      <c r="C593" s="13" t="s">
        <v>70</v>
      </c>
      <c r="D593" s="19" t="str">
        <f>IFERROR(IF(C593="No CAS","",INDEX('DEQ Pollutant List'!$B$7:$B$611,MATCH('3. Pollutant Emissions - EF'!C593,'DEQ Pollutant List'!$A$7:$A$611,0))),"")</f>
        <v>Xylene (mixture), including m-xylene, o-xylene, p-xylene</v>
      </c>
      <c r="E593" s="100">
        <v>0</v>
      </c>
      <c r="F593" s="36">
        <v>0</v>
      </c>
      <c r="G593" s="100" t="s">
        <v>1415</v>
      </c>
      <c r="H593" s="36" t="s">
        <v>1415</v>
      </c>
      <c r="I593" s="34">
        <v>0.188</v>
      </c>
      <c r="J593" s="11">
        <f t="shared" si="15"/>
        <v>0.188</v>
      </c>
      <c r="K593" s="6" t="s">
        <v>1418</v>
      </c>
      <c r="L593" s="20" t="s">
        <v>1587</v>
      </c>
      <c r="M593" s="7">
        <f>IF(ISBLANK($B593),_xlfn.XLOOKUP($A593,'2. TEUs &amp; Activities - EF'!$A$9:$A$190,'2. TEUs &amp; Activities - EF'!$J$9:$J$190),_xlfn.XLOOKUP($B593,'2. TEUs &amp; Activities - EF'!$B$9:$B$190,'2. TEUs &amp; Activities - EF'!$J$9:$J$190))*'3. Pollutant Emissions - EF'!$I593*IF(OR(ISBLANK($E593),$G593="Yes"),1,$E593)*IF($H593="Yes",1,(1-$F593))</f>
        <v>3.6942000000000003E-2</v>
      </c>
      <c r="N593" s="5">
        <f>IF(ISBLANK($B593),_xlfn.XLOOKUP($A593,'2. TEUs &amp; Activities - EF'!$A$9:$A$190,'2. TEUs &amp; Activities - EF'!$M$9:$M$190),_xlfn.XLOOKUP($B593,'2. TEUs &amp; Activities - EF'!$B$9:$B$190,'2. TEUs &amp; Activities - EF'!$M$9:$M$190))*'3. Pollutant Emissions - EF'!$J593*IF(OR(ISBLANK($E593),$G593="Yes"),1,$E593)*IF($H593="Yes",1,(1-$F593))</f>
        <v>8.8660800000000001E-3</v>
      </c>
      <c r="O593" s="130">
        <f>IFERROR(IF(OR($C593="",$C593="No CAS"),INDEX('DEQ Pollutant List'!$D$7:$D$611,MATCH($D593,'DEQ Pollutant List'!$B$7:$B$611,0)),INDEX('DEQ Pollutant List'!$D$7:$D$611,MATCH($C593,'DEQ Pollutant List'!$A$7:$A$611,0))),"")</f>
        <v>628</v>
      </c>
    </row>
    <row r="594" spans="1:15" ht="15" x14ac:dyDescent="0.25">
      <c r="A594" s="5"/>
      <c r="B594" s="7"/>
      <c r="C594" s="13"/>
      <c r="D594" s="19" t="str">
        <f>IFERROR(IF(C594="No CAS","",INDEX('DEQ Pollutant List'!$B$7:$B$611,MATCH('3. Pollutant Emissions - EF'!C594,'DEQ Pollutant List'!$A$7:$A$611,0))),"")</f>
        <v/>
      </c>
      <c r="E594" s="100"/>
      <c r="F594" s="36"/>
      <c r="G594" s="100"/>
      <c r="H594" s="36"/>
      <c r="I594" s="34"/>
      <c r="J594" s="11"/>
      <c r="K594" s="6"/>
      <c r="L594" s="20"/>
      <c r="M594" s="7">
        <f>IF(ISBLANK($B594),_xlfn.XLOOKUP($A594,'2. TEUs &amp; Activities - EF'!$A$9:$A$190,'2. TEUs &amp; Activities - EF'!$J$9:$J$190),_xlfn.XLOOKUP($B594,'2. TEUs &amp; Activities - EF'!$B$9:$B$190,'2. TEUs &amp; Activities - EF'!$J$9:$J$190))*'3. Pollutant Emissions - EF'!$I594*IF(OR(ISBLANK($E594),$G594="Yes"),1,$E594)*IF($H594="Yes",1,(1-$F594))</f>
        <v>0</v>
      </c>
      <c r="N594" s="5">
        <f>IF(ISBLANK($B594),_xlfn.XLOOKUP($A594,'2. TEUs &amp; Activities - EF'!$A$9:$A$190,'2. TEUs &amp; Activities - EF'!$M$9:$M$190),_xlfn.XLOOKUP($B594,'2. TEUs &amp; Activities - EF'!$B$9:$B$190,'2. TEUs &amp; Activities - EF'!$M$9:$M$190))*'3. Pollutant Emissions - EF'!$J594*IF(OR(ISBLANK($E594),$G594="Yes"),1,$E594)*IF($H594="Yes",1,(1-$F594))</f>
        <v>0</v>
      </c>
      <c r="O594" s="130" t="str">
        <f>IFERROR(IF(OR($C594="",$C594="No CAS"),INDEX('DEQ Pollutant List'!$D$7:$D$611,MATCH($D594,'DEQ Pollutant List'!$B$7:$B$611,0)),INDEX('DEQ Pollutant List'!$D$7:$D$611,MATCH($C594,'DEQ Pollutant List'!$A$7:$A$611,0))),"")</f>
        <v/>
      </c>
    </row>
    <row r="595" spans="1:15" ht="15" x14ac:dyDescent="0.25">
      <c r="A595" s="5" t="s">
        <v>1538</v>
      </c>
      <c r="B595" s="7"/>
      <c r="C595" s="13" t="s">
        <v>229</v>
      </c>
      <c r="D595" s="19" t="str">
        <f>IFERROR(IF(C595="No CAS","",INDEX('DEQ Pollutant List'!$B$7:$B$611,MATCH('3. Pollutant Emissions - EF'!C595,'DEQ Pollutant List'!$A$7:$A$611,0))),"")</f>
        <v>1,3-Butadiene</v>
      </c>
      <c r="E595" s="100">
        <v>0</v>
      </c>
      <c r="F595" s="36">
        <v>0</v>
      </c>
      <c r="G595" s="100" t="s">
        <v>1415</v>
      </c>
      <c r="H595" s="36" t="s">
        <v>1415</v>
      </c>
      <c r="I595" s="34">
        <v>0.21740000000000001</v>
      </c>
      <c r="J595" s="11">
        <f t="shared" ref="J595:J628" si="16">I595</f>
        <v>0.21740000000000001</v>
      </c>
      <c r="K595" s="6" t="s">
        <v>1417</v>
      </c>
      <c r="L595" s="20" t="s">
        <v>1589</v>
      </c>
      <c r="M595" s="7">
        <f>IF(ISBLANK($B595),_xlfn.XLOOKUP($A595,'2. TEUs &amp; Activities - EF'!$A$9:$A$190,'2. TEUs &amp; Activities - EF'!$J$9:$J$190),_xlfn.XLOOKUP($B595,'2. TEUs &amp; Activities - EF'!$B$9:$B$190,'2. TEUs &amp; Activities - EF'!$J$9:$J$190))*'3. Pollutant Emissions - EF'!$I595*IF(OR(ISBLANK($E595),$G595="Yes"),1,$E595)*IF($H595="Yes",1,(1-$F595))</f>
        <v>0.47828000000000004</v>
      </c>
      <c r="N595" s="5">
        <f>IF(ISBLANK($B595),_xlfn.XLOOKUP($A595,'2. TEUs &amp; Activities - EF'!$A$9:$A$190,'2. TEUs &amp; Activities - EF'!$M$9:$M$190),_xlfn.XLOOKUP($B595,'2. TEUs &amp; Activities - EF'!$B$9:$B$190,'2. TEUs &amp; Activities - EF'!$M$9:$M$190))*'3. Pollutant Emissions - EF'!$J595*IF(OR(ISBLANK($E595),$G595="Yes"),1,$E595)*IF($H595="Yes",1,(1-$F595))</f>
        <v>0.11478720000000001</v>
      </c>
      <c r="O595" s="130">
        <f>IFERROR(IF(OR($C595="",$C595="No CAS"),INDEX('DEQ Pollutant List'!$D$7:$D$611,MATCH($D595,'DEQ Pollutant List'!$B$7:$B$611,0)),INDEX('DEQ Pollutant List'!$D$7:$D$611,MATCH($C595,'DEQ Pollutant List'!$A$7:$A$611,0))),"")</f>
        <v>75</v>
      </c>
    </row>
    <row r="596" spans="1:15" ht="15" x14ac:dyDescent="0.25">
      <c r="A596" s="5" t="s">
        <v>1538</v>
      </c>
      <c r="B596" s="7"/>
      <c r="C596" s="13" t="s">
        <v>50</v>
      </c>
      <c r="D596" s="19" t="str">
        <f>IFERROR(IF(C596="No CAS","",INDEX('DEQ Pollutant List'!$B$7:$B$611,MATCH('3. Pollutant Emissions - EF'!C596,'DEQ Pollutant List'!$A$7:$A$611,0))),"")</f>
        <v>Acetaldehyde</v>
      </c>
      <c r="E596" s="100">
        <v>0</v>
      </c>
      <c r="F596" s="36">
        <v>0</v>
      </c>
      <c r="G596" s="100" t="s">
        <v>1415</v>
      </c>
      <c r="H596" s="36" t="s">
        <v>1415</v>
      </c>
      <c r="I596" s="34">
        <v>0.7833</v>
      </c>
      <c r="J596" s="11">
        <f t="shared" si="16"/>
        <v>0.7833</v>
      </c>
      <c r="K596" s="6" t="s">
        <v>1417</v>
      </c>
      <c r="L596" s="20" t="s">
        <v>1589</v>
      </c>
      <c r="M596" s="7">
        <f>IF(ISBLANK($B596),_xlfn.XLOOKUP($A596,'2. TEUs &amp; Activities - EF'!$A$9:$A$190,'2. TEUs &amp; Activities - EF'!$J$9:$J$190),_xlfn.XLOOKUP($B596,'2. TEUs &amp; Activities - EF'!$B$9:$B$190,'2. TEUs &amp; Activities - EF'!$J$9:$J$190))*'3. Pollutant Emissions - EF'!$I596*IF(OR(ISBLANK($E596),$G596="Yes"),1,$E596)*IF($H596="Yes",1,(1-$F596))</f>
        <v>1.7232600000000002</v>
      </c>
      <c r="N596" s="5">
        <f>IF(ISBLANK($B596),_xlfn.XLOOKUP($A596,'2. TEUs &amp; Activities - EF'!$A$9:$A$190,'2. TEUs &amp; Activities - EF'!$M$9:$M$190),_xlfn.XLOOKUP($B596,'2. TEUs &amp; Activities - EF'!$B$9:$B$190,'2. TEUs &amp; Activities - EF'!$M$9:$M$190))*'3. Pollutant Emissions - EF'!$J596*IF(OR(ISBLANK($E596),$G596="Yes"),1,$E596)*IF($H596="Yes",1,(1-$F596))</f>
        <v>0.41358240000000002</v>
      </c>
      <c r="O596" s="130">
        <f>IFERROR(IF(OR($C596="",$C596="No CAS"),INDEX('DEQ Pollutant List'!$D$7:$D$611,MATCH($D596,'DEQ Pollutant List'!$B$7:$B$611,0)),INDEX('DEQ Pollutant List'!$D$7:$D$611,MATCH($C596,'DEQ Pollutant List'!$A$7:$A$611,0))),"")</f>
        <v>1</v>
      </c>
    </row>
    <row r="597" spans="1:15" ht="15" x14ac:dyDescent="0.25">
      <c r="A597" s="5" t="s">
        <v>1538</v>
      </c>
      <c r="B597" s="7"/>
      <c r="C597" s="13" t="s">
        <v>51</v>
      </c>
      <c r="D597" s="19" t="str">
        <f>IFERROR(IF(C597="No CAS","",INDEX('DEQ Pollutant List'!$B$7:$B$611,MATCH('3. Pollutant Emissions - EF'!C597,'DEQ Pollutant List'!$A$7:$A$611,0))),"")</f>
        <v>Acrolein</v>
      </c>
      <c r="E597" s="100">
        <v>0</v>
      </c>
      <c r="F597" s="36">
        <v>0</v>
      </c>
      <c r="G597" s="100" t="s">
        <v>1415</v>
      </c>
      <c r="H597" s="36" t="s">
        <v>1415</v>
      </c>
      <c r="I597" s="34">
        <v>3.39E-2</v>
      </c>
      <c r="J597" s="11">
        <f t="shared" si="16"/>
        <v>3.39E-2</v>
      </c>
      <c r="K597" s="6" t="s">
        <v>1417</v>
      </c>
      <c r="L597" s="20" t="s">
        <v>1589</v>
      </c>
      <c r="M597" s="7">
        <f>IF(ISBLANK($B597),_xlfn.XLOOKUP($A597,'2. TEUs &amp; Activities - EF'!$A$9:$A$190,'2. TEUs &amp; Activities - EF'!$J$9:$J$190),_xlfn.XLOOKUP($B597,'2. TEUs &amp; Activities - EF'!$B$9:$B$190,'2. TEUs &amp; Activities - EF'!$J$9:$J$190))*'3. Pollutant Emissions - EF'!$I597*IF(OR(ISBLANK($E597),$G597="Yes"),1,$E597)*IF($H597="Yes",1,(1-$F597))</f>
        <v>7.4580000000000007E-2</v>
      </c>
      <c r="N597" s="5">
        <f>IF(ISBLANK($B597),_xlfn.XLOOKUP($A597,'2. TEUs &amp; Activities - EF'!$A$9:$A$190,'2. TEUs &amp; Activities - EF'!$M$9:$M$190),_xlfn.XLOOKUP($B597,'2. TEUs &amp; Activities - EF'!$B$9:$B$190,'2. TEUs &amp; Activities - EF'!$M$9:$M$190))*'3. Pollutant Emissions - EF'!$J597*IF(OR(ISBLANK($E597),$G597="Yes"),1,$E597)*IF($H597="Yes",1,(1-$F597))</f>
        <v>1.7899200000000001E-2</v>
      </c>
      <c r="O597" s="130">
        <f>IFERROR(IF(OR($C597="",$C597="No CAS"),INDEX('DEQ Pollutant List'!$D$7:$D$611,MATCH($D597,'DEQ Pollutant List'!$B$7:$B$611,0)),INDEX('DEQ Pollutant List'!$D$7:$D$611,MATCH($C597,'DEQ Pollutant List'!$A$7:$A$611,0))),"")</f>
        <v>5</v>
      </c>
    </row>
    <row r="598" spans="1:15" ht="15" x14ac:dyDescent="0.25">
      <c r="A598" s="5" t="s">
        <v>1538</v>
      </c>
      <c r="B598" s="7"/>
      <c r="C598" s="13" t="s">
        <v>52</v>
      </c>
      <c r="D598" s="19" t="str">
        <f>IFERROR(IF(C598="No CAS","",INDEX('DEQ Pollutant List'!$B$7:$B$611,MATCH('3. Pollutant Emissions - EF'!C598,'DEQ Pollutant List'!$A$7:$A$611,0))),"")</f>
        <v>Ammonia</v>
      </c>
      <c r="E598" s="100">
        <v>0</v>
      </c>
      <c r="F598" s="36">
        <v>0</v>
      </c>
      <c r="G598" s="100" t="s">
        <v>1415</v>
      </c>
      <c r="H598" s="36" t="s">
        <v>1415</v>
      </c>
      <c r="I598" s="34">
        <v>0.8</v>
      </c>
      <c r="J598" s="11">
        <f t="shared" si="16"/>
        <v>0.8</v>
      </c>
      <c r="K598" s="6" t="s">
        <v>1417</v>
      </c>
      <c r="L598" s="20" t="s">
        <v>1590</v>
      </c>
      <c r="M598" s="7">
        <f>IF(ISBLANK($B598),_xlfn.XLOOKUP($A598,'2. TEUs &amp; Activities - EF'!$A$9:$A$190,'2. TEUs &amp; Activities - EF'!$J$9:$J$190),_xlfn.XLOOKUP($B598,'2. TEUs &amp; Activities - EF'!$B$9:$B$190,'2. TEUs &amp; Activities - EF'!$J$9:$J$190))*'3. Pollutant Emissions - EF'!$I598*IF(OR(ISBLANK($E598),$G598="Yes"),1,$E598)*IF($H598="Yes",1,(1-$F598))</f>
        <v>1.7600000000000002</v>
      </c>
      <c r="N598" s="5">
        <f>IF(ISBLANK($B598),_xlfn.XLOOKUP($A598,'2. TEUs &amp; Activities - EF'!$A$9:$A$190,'2. TEUs &amp; Activities - EF'!$M$9:$M$190),_xlfn.XLOOKUP($B598,'2. TEUs &amp; Activities - EF'!$B$9:$B$190,'2. TEUs &amp; Activities - EF'!$M$9:$M$190))*'3. Pollutant Emissions - EF'!$J598*IF(OR(ISBLANK($E598),$G598="Yes"),1,$E598)*IF($H598="Yes",1,(1-$F598))</f>
        <v>0.42240000000000005</v>
      </c>
      <c r="O598" s="130">
        <f>IFERROR(IF(OR($C598="",$C598="No CAS"),INDEX('DEQ Pollutant List'!$D$7:$D$611,MATCH($D598,'DEQ Pollutant List'!$B$7:$B$611,0)),INDEX('DEQ Pollutant List'!$D$7:$D$611,MATCH($C598,'DEQ Pollutant List'!$A$7:$A$611,0))),"")</f>
        <v>26</v>
      </c>
    </row>
    <row r="599" spans="1:15" ht="15" x14ac:dyDescent="0.25">
      <c r="A599" s="5" t="s">
        <v>1538</v>
      </c>
      <c r="B599" s="7"/>
      <c r="C599" s="13" t="s">
        <v>112</v>
      </c>
      <c r="D599" s="19" t="str">
        <f>IFERROR(IF(C599="No CAS","",INDEX('DEQ Pollutant List'!$B$7:$B$611,MATCH('3. Pollutant Emissions - EF'!C599,'DEQ Pollutant List'!$A$7:$A$611,0))),"")</f>
        <v>Antimony and compounds</v>
      </c>
      <c r="E599" s="100">
        <v>0</v>
      </c>
      <c r="F599" s="36">
        <v>0</v>
      </c>
      <c r="G599" s="100" t="s">
        <v>1415</v>
      </c>
      <c r="H599" s="36" t="s">
        <v>1415</v>
      </c>
      <c r="I599" s="34">
        <v>3.1799999999999998E-4</v>
      </c>
      <c r="J599" s="11">
        <f t="shared" si="16"/>
        <v>3.1799999999999998E-4</v>
      </c>
      <c r="K599" s="6" t="s">
        <v>1417</v>
      </c>
      <c r="L599" s="20" t="s">
        <v>1589</v>
      </c>
      <c r="M599" s="7">
        <f>IF(ISBLANK($B599),_xlfn.XLOOKUP($A599,'2. TEUs &amp; Activities - EF'!$A$9:$A$190,'2. TEUs &amp; Activities - EF'!$J$9:$J$190),_xlfn.XLOOKUP($B599,'2. TEUs &amp; Activities - EF'!$B$9:$B$190,'2. TEUs &amp; Activities - EF'!$J$9:$J$190))*'3. Pollutant Emissions - EF'!$I599*IF(OR(ISBLANK($E599),$G599="Yes"),1,$E599)*IF($H599="Yes",1,(1-$F599))</f>
        <v>6.9959999999999998E-4</v>
      </c>
      <c r="N599" s="5">
        <f>IF(ISBLANK($B599),_xlfn.XLOOKUP($A599,'2. TEUs &amp; Activities - EF'!$A$9:$A$190,'2. TEUs &amp; Activities - EF'!$M$9:$M$190),_xlfn.XLOOKUP($B599,'2. TEUs &amp; Activities - EF'!$B$9:$B$190,'2. TEUs &amp; Activities - EF'!$M$9:$M$190))*'3. Pollutant Emissions - EF'!$J599*IF(OR(ISBLANK($E599),$G599="Yes"),1,$E599)*IF($H599="Yes",1,(1-$F599))</f>
        <v>1.67904E-4</v>
      </c>
      <c r="O599" s="130">
        <f>IFERROR(IF(OR($C599="",$C599="No CAS"),INDEX('DEQ Pollutant List'!$D$7:$D$611,MATCH($D599,'DEQ Pollutant List'!$B$7:$B$611,0)),INDEX('DEQ Pollutant List'!$D$7:$D$611,MATCH($C599,'DEQ Pollutant List'!$A$7:$A$611,0))),"")</f>
        <v>33</v>
      </c>
    </row>
    <row r="600" spans="1:15" ht="15" x14ac:dyDescent="0.25">
      <c r="A600" s="5" t="s">
        <v>1538</v>
      </c>
      <c r="B600" s="7"/>
      <c r="C600" s="13" t="s">
        <v>53</v>
      </c>
      <c r="D600" s="19" t="str">
        <f>IFERROR(IF(C600="No CAS","",INDEX('DEQ Pollutant List'!$B$7:$B$611,MATCH('3. Pollutant Emissions - EF'!C600,'DEQ Pollutant List'!$A$7:$A$611,0))),"")</f>
        <v>Arsenic and compounds</v>
      </c>
      <c r="E600" s="100">
        <v>0</v>
      </c>
      <c r="F600" s="36">
        <v>0</v>
      </c>
      <c r="G600" s="100" t="s">
        <v>1415</v>
      </c>
      <c r="H600" s="36" t="s">
        <v>1415</v>
      </c>
      <c r="I600" s="34">
        <v>1.6000000000000001E-3</v>
      </c>
      <c r="J600" s="11">
        <f t="shared" si="16"/>
        <v>1.6000000000000001E-3</v>
      </c>
      <c r="K600" s="6" t="s">
        <v>1417</v>
      </c>
      <c r="L600" s="20" t="s">
        <v>1589</v>
      </c>
      <c r="M600" s="7">
        <f>IF(ISBLANK($B600),_xlfn.XLOOKUP($A600,'2. TEUs &amp; Activities - EF'!$A$9:$A$190,'2. TEUs &amp; Activities - EF'!$J$9:$J$190),_xlfn.XLOOKUP($B600,'2. TEUs &amp; Activities - EF'!$B$9:$B$190,'2. TEUs &amp; Activities - EF'!$J$9:$J$190))*'3. Pollutant Emissions - EF'!$I600*IF(OR(ISBLANK($E600),$G600="Yes"),1,$E600)*IF($H600="Yes",1,(1-$F600))</f>
        <v>3.5200000000000006E-3</v>
      </c>
      <c r="N600" s="5">
        <f>IF(ISBLANK($B600),_xlfn.XLOOKUP($A600,'2. TEUs &amp; Activities - EF'!$A$9:$A$190,'2. TEUs &amp; Activities - EF'!$M$9:$M$190),_xlfn.XLOOKUP($B600,'2. TEUs &amp; Activities - EF'!$B$9:$B$190,'2. TEUs &amp; Activities - EF'!$M$9:$M$190))*'3. Pollutant Emissions - EF'!$J600*IF(OR(ISBLANK($E600),$G600="Yes"),1,$E600)*IF($H600="Yes",1,(1-$F600))</f>
        <v>8.4480000000000004E-4</v>
      </c>
      <c r="O600" s="130">
        <f>IFERROR(IF(OR($C600="",$C600="No CAS"),INDEX('DEQ Pollutant List'!$D$7:$D$611,MATCH($D600,'DEQ Pollutant List'!$B$7:$B$611,0)),INDEX('DEQ Pollutant List'!$D$7:$D$611,MATCH($C600,'DEQ Pollutant List'!$A$7:$A$611,0))),"")</f>
        <v>37</v>
      </c>
    </row>
    <row r="601" spans="1:15" ht="15" x14ac:dyDescent="0.25">
      <c r="A601" s="5" t="s">
        <v>1538</v>
      </c>
      <c r="B601" s="7"/>
      <c r="C601" s="13" t="s">
        <v>54</v>
      </c>
      <c r="D601" s="19" t="str">
        <f>IFERROR(IF(C601="No CAS","",INDEX('DEQ Pollutant List'!$B$7:$B$611,MATCH('3. Pollutant Emissions - EF'!C601,'DEQ Pollutant List'!$A$7:$A$611,0))),"")</f>
        <v>Barium and compounds</v>
      </c>
      <c r="E601" s="100">
        <v>0</v>
      </c>
      <c r="F601" s="36">
        <v>0</v>
      </c>
      <c r="G601" s="100" t="s">
        <v>1415</v>
      </c>
      <c r="H601" s="36" t="s">
        <v>1415</v>
      </c>
      <c r="I601" s="34">
        <v>3.7399999999999998E-4</v>
      </c>
      <c r="J601" s="11">
        <f t="shared" si="16"/>
        <v>3.7399999999999998E-4</v>
      </c>
      <c r="K601" s="6" t="s">
        <v>1417</v>
      </c>
      <c r="L601" s="20" t="s">
        <v>1589</v>
      </c>
      <c r="M601" s="7">
        <f>IF(ISBLANK($B601),_xlfn.XLOOKUP($A601,'2. TEUs &amp; Activities - EF'!$A$9:$A$190,'2. TEUs &amp; Activities - EF'!$J$9:$J$190),_xlfn.XLOOKUP($B601,'2. TEUs &amp; Activities - EF'!$B$9:$B$190,'2. TEUs &amp; Activities - EF'!$J$9:$J$190))*'3. Pollutant Emissions - EF'!$I601*IF(OR(ISBLANK($E601),$G601="Yes"),1,$E601)*IF($H601="Yes",1,(1-$F601))</f>
        <v>8.2280000000000005E-4</v>
      </c>
      <c r="N601" s="5">
        <f>IF(ISBLANK($B601),_xlfn.XLOOKUP($A601,'2. TEUs &amp; Activities - EF'!$A$9:$A$190,'2. TEUs &amp; Activities - EF'!$M$9:$M$190),_xlfn.XLOOKUP($B601,'2. TEUs &amp; Activities - EF'!$B$9:$B$190,'2. TEUs &amp; Activities - EF'!$M$9:$M$190))*'3. Pollutant Emissions - EF'!$J601*IF(OR(ISBLANK($E601),$G601="Yes"),1,$E601)*IF($H601="Yes",1,(1-$F601))</f>
        <v>1.97472E-4</v>
      </c>
      <c r="O601" s="130">
        <f>IFERROR(IF(OR($C601="",$C601="No CAS"),INDEX('DEQ Pollutant List'!$D$7:$D$611,MATCH($D601,'DEQ Pollutant List'!$B$7:$B$611,0)),INDEX('DEQ Pollutant List'!$D$7:$D$611,MATCH($C601,'DEQ Pollutant List'!$A$7:$A$611,0))),"")</f>
        <v>45</v>
      </c>
    </row>
    <row r="602" spans="1:15" ht="15" x14ac:dyDescent="0.25">
      <c r="A602" s="5" t="s">
        <v>1538</v>
      </c>
      <c r="B602" s="7"/>
      <c r="C602" s="13" t="s">
        <v>46</v>
      </c>
      <c r="D602" s="19" t="str">
        <f>IFERROR(IF(C602="No CAS","",INDEX('DEQ Pollutant List'!$B$7:$B$611,MATCH('3. Pollutant Emissions - EF'!C602,'DEQ Pollutant List'!$A$7:$A$611,0))),"")</f>
        <v>Benzene</v>
      </c>
      <c r="E602" s="100">
        <v>0</v>
      </c>
      <c r="F602" s="36">
        <v>0</v>
      </c>
      <c r="G602" s="100" t="s">
        <v>1415</v>
      </c>
      <c r="H602" s="36" t="s">
        <v>1415</v>
      </c>
      <c r="I602" s="34">
        <v>0.18629999999999999</v>
      </c>
      <c r="J602" s="11">
        <f t="shared" si="16"/>
        <v>0.18629999999999999</v>
      </c>
      <c r="K602" s="6" t="s">
        <v>1417</v>
      </c>
      <c r="L602" s="20" t="s">
        <v>1589</v>
      </c>
      <c r="M602" s="7">
        <f>IF(ISBLANK($B602),_xlfn.XLOOKUP($A602,'2. TEUs &amp; Activities - EF'!$A$9:$A$190,'2. TEUs &amp; Activities - EF'!$J$9:$J$190),_xlfn.XLOOKUP($B602,'2. TEUs &amp; Activities - EF'!$B$9:$B$190,'2. TEUs &amp; Activities - EF'!$J$9:$J$190))*'3. Pollutant Emissions - EF'!$I602*IF(OR(ISBLANK($E602),$G602="Yes"),1,$E602)*IF($H602="Yes",1,(1-$F602))</f>
        <v>0.40986</v>
      </c>
      <c r="N602" s="5">
        <f>IF(ISBLANK($B602),_xlfn.XLOOKUP($A602,'2. TEUs &amp; Activities - EF'!$A$9:$A$190,'2. TEUs &amp; Activities - EF'!$M$9:$M$190),_xlfn.XLOOKUP($B602,'2. TEUs &amp; Activities - EF'!$B$9:$B$190,'2. TEUs &amp; Activities - EF'!$M$9:$M$190))*'3. Pollutant Emissions - EF'!$J602*IF(OR(ISBLANK($E602),$G602="Yes"),1,$E602)*IF($H602="Yes",1,(1-$F602))</f>
        <v>9.8366400000000007E-2</v>
      </c>
      <c r="O602" s="130">
        <f>IFERROR(IF(OR($C602="",$C602="No CAS"),INDEX('DEQ Pollutant List'!$D$7:$D$611,MATCH($D602,'DEQ Pollutant List'!$B$7:$B$611,0)),INDEX('DEQ Pollutant List'!$D$7:$D$611,MATCH($C602,'DEQ Pollutant List'!$A$7:$A$611,0))),"")</f>
        <v>46</v>
      </c>
    </row>
    <row r="603" spans="1:15" ht="15" x14ac:dyDescent="0.25">
      <c r="A603" s="5" t="s">
        <v>1538</v>
      </c>
      <c r="B603" s="7"/>
      <c r="C603" s="13" t="s">
        <v>48</v>
      </c>
      <c r="D603" s="19" t="str">
        <f>IFERROR(IF(C603="No CAS","",INDEX('DEQ Pollutant List'!$B$7:$B$611,MATCH('3. Pollutant Emissions - EF'!C603,'DEQ Pollutant List'!$A$7:$A$611,0))),"")</f>
        <v>Benzo[a]pyrene</v>
      </c>
      <c r="E603" s="100">
        <v>0</v>
      </c>
      <c r="F603" s="36">
        <v>0</v>
      </c>
      <c r="G603" s="100" t="s">
        <v>1415</v>
      </c>
      <c r="H603" s="36" t="s">
        <v>1415</v>
      </c>
      <c r="I603" s="34">
        <v>3.5200000000000002E-5</v>
      </c>
      <c r="J603" s="11">
        <f t="shared" si="16"/>
        <v>3.5200000000000002E-5</v>
      </c>
      <c r="K603" s="6" t="s">
        <v>1417</v>
      </c>
      <c r="L603" s="20" t="s">
        <v>1589</v>
      </c>
      <c r="M603" s="7">
        <f>IF(ISBLANK($B603),_xlfn.XLOOKUP($A603,'2. TEUs &amp; Activities - EF'!$A$9:$A$190,'2. TEUs &amp; Activities - EF'!$J$9:$J$190),_xlfn.XLOOKUP($B603,'2. TEUs &amp; Activities - EF'!$B$9:$B$190,'2. TEUs &amp; Activities - EF'!$J$9:$J$190))*'3. Pollutant Emissions - EF'!$I603*IF(OR(ISBLANK($E603),$G603="Yes"),1,$E603)*IF($H603="Yes",1,(1-$F603))</f>
        <v>7.7440000000000004E-5</v>
      </c>
      <c r="N603" s="5">
        <f>IF(ISBLANK($B603),_xlfn.XLOOKUP($A603,'2. TEUs &amp; Activities - EF'!$A$9:$A$190,'2. TEUs &amp; Activities - EF'!$M$9:$M$190),_xlfn.XLOOKUP($B603,'2. TEUs &amp; Activities - EF'!$B$9:$B$190,'2. TEUs &amp; Activities - EF'!$M$9:$M$190))*'3. Pollutant Emissions - EF'!$J603*IF(OR(ISBLANK($E603),$G603="Yes"),1,$E603)*IF($H603="Yes",1,(1-$F603))</f>
        <v>1.85856E-5</v>
      </c>
      <c r="O603" s="130">
        <f>IFERROR(IF(OR($C603="",$C603="No CAS"),INDEX('DEQ Pollutant List'!$D$7:$D$611,MATCH($D603,'DEQ Pollutant List'!$B$7:$B$611,0)),INDEX('DEQ Pollutant List'!$D$7:$D$611,MATCH($C603,'DEQ Pollutant List'!$A$7:$A$611,0))),"")</f>
        <v>406</v>
      </c>
    </row>
    <row r="604" spans="1:15" ht="15" x14ac:dyDescent="0.25">
      <c r="A604" s="5" t="s">
        <v>1538</v>
      </c>
      <c r="B604" s="7"/>
      <c r="C604" s="13" t="s">
        <v>55</v>
      </c>
      <c r="D604" s="19" t="str">
        <f>IFERROR(IF(C604="No CAS","",INDEX('DEQ Pollutant List'!$B$7:$B$611,MATCH('3. Pollutant Emissions - EF'!C604,'DEQ Pollutant List'!$A$7:$A$611,0))),"")</f>
        <v>Beryllium and compounds</v>
      </c>
      <c r="E604" s="100">
        <v>0</v>
      </c>
      <c r="F604" s="36">
        <v>0</v>
      </c>
      <c r="G604" s="100" t="s">
        <v>1415</v>
      </c>
      <c r="H604" s="36" t="s">
        <v>1415</v>
      </c>
      <c r="I604" s="34">
        <v>4.7700000000000001E-6</v>
      </c>
      <c r="J604" s="11">
        <f t="shared" si="16"/>
        <v>4.7700000000000001E-6</v>
      </c>
      <c r="K604" s="6" t="s">
        <v>1417</v>
      </c>
      <c r="L604" s="20" t="s">
        <v>1589</v>
      </c>
      <c r="M604" s="7">
        <f>IF(ISBLANK($B604),_xlfn.XLOOKUP($A604,'2. TEUs &amp; Activities - EF'!$A$9:$A$190,'2. TEUs &amp; Activities - EF'!$J$9:$J$190),_xlfn.XLOOKUP($B604,'2. TEUs &amp; Activities - EF'!$B$9:$B$190,'2. TEUs &amp; Activities - EF'!$J$9:$J$190))*'3. Pollutant Emissions - EF'!$I604*IF(OR(ISBLANK($E604),$G604="Yes"),1,$E604)*IF($H604="Yes",1,(1-$F604))</f>
        <v>1.0494000000000002E-5</v>
      </c>
      <c r="N604" s="5">
        <f>IF(ISBLANK($B604),_xlfn.XLOOKUP($A604,'2. TEUs &amp; Activities - EF'!$A$9:$A$190,'2. TEUs &amp; Activities - EF'!$M$9:$M$190),_xlfn.XLOOKUP($B604,'2. TEUs &amp; Activities - EF'!$B$9:$B$190,'2. TEUs &amp; Activities - EF'!$M$9:$M$190))*'3. Pollutant Emissions - EF'!$J604*IF(OR(ISBLANK($E604),$G604="Yes"),1,$E604)*IF($H604="Yes",1,(1-$F604))</f>
        <v>2.5185600000000001E-6</v>
      </c>
      <c r="O604" s="130">
        <f>IFERROR(IF(OR($C604="",$C604="No CAS"),INDEX('DEQ Pollutant List'!$D$7:$D$611,MATCH($D604,'DEQ Pollutant List'!$B$7:$B$611,0)),INDEX('DEQ Pollutant List'!$D$7:$D$611,MATCH($C604,'DEQ Pollutant List'!$A$7:$A$611,0))),"")</f>
        <v>58</v>
      </c>
    </row>
    <row r="605" spans="1:15" ht="15" x14ac:dyDescent="0.25">
      <c r="A605" s="5" t="s">
        <v>1538</v>
      </c>
      <c r="B605" s="7"/>
      <c r="C605" s="13" t="s">
        <v>56</v>
      </c>
      <c r="D605" s="19" t="str">
        <f>IFERROR(IF(C605="No CAS","",INDEX('DEQ Pollutant List'!$B$7:$B$611,MATCH('3. Pollutant Emissions - EF'!C605,'DEQ Pollutant List'!$A$7:$A$611,0))),"")</f>
        <v>Cadmium and compounds</v>
      </c>
      <c r="E605" s="100">
        <v>0</v>
      </c>
      <c r="F605" s="36">
        <v>0</v>
      </c>
      <c r="G605" s="100" t="s">
        <v>1415</v>
      </c>
      <c r="H605" s="36" t="s">
        <v>1415</v>
      </c>
      <c r="I605" s="34">
        <v>1.5E-3</v>
      </c>
      <c r="J605" s="11">
        <f t="shared" si="16"/>
        <v>1.5E-3</v>
      </c>
      <c r="K605" s="6" t="s">
        <v>1417</v>
      </c>
      <c r="L605" s="20" t="s">
        <v>1589</v>
      </c>
      <c r="M605" s="7">
        <f>IF(ISBLANK($B605),_xlfn.XLOOKUP($A605,'2. TEUs &amp; Activities - EF'!$A$9:$A$190,'2. TEUs &amp; Activities - EF'!$J$9:$J$190),_xlfn.XLOOKUP($B605,'2. TEUs &amp; Activities - EF'!$B$9:$B$190,'2. TEUs &amp; Activities - EF'!$J$9:$J$190))*'3. Pollutant Emissions - EF'!$I605*IF(OR(ISBLANK($E605),$G605="Yes"),1,$E605)*IF($H605="Yes",1,(1-$F605))</f>
        <v>3.3000000000000004E-3</v>
      </c>
      <c r="N605" s="5">
        <f>IF(ISBLANK($B605),_xlfn.XLOOKUP($A605,'2. TEUs &amp; Activities - EF'!$A$9:$A$190,'2. TEUs &amp; Activities - EF'!$M$9:$M$190),_xlfn.XLOOKUP($B605,'2. TEUs &amp; Activities - EF'!$B$9:$B$190,'2. TEUs &amp; Activities - EF'!$M$9:$M$190))*'3. Pollutant Emissions - EF'!$J605*IF(OR(ISBLANK($E605),$G605="Yes"),1,$E605)*IF($H605="Yes",1,(1-$F605))</f>
        <v>7.9200000000000006E-4</v>
      </c>
      <c r="O605" s="130">
        <f>IFERROR(IF(OR($C605="",$C605="No CAS"),INDEX('DEQ Pollutant List'!$D$7:$D$611,MATCH($D605,'DEQ Pollutant List'!$B$7:$B$611,0)),INDEX('DEQ Pollutant List'!$D$7:$D$611,MATCH($C605,'DEQ Pollutant List'!$A$7:$A$611,0))),"")</f>
        <v>83</v>
      </c>
    </row>
    <row r="606" spans="1:15" ht="15" x14ac:dyDescent="0.25">
      <c r="A606" s="5" t="s">
        <v>1538</v>
      </c>
      <c r="B606" s="7"/>
      <c r="C606" s="13" t="s">
        <v>57</v>
      </c>
      <c r="D606" s="19" t="str">
        <f>IFERROR(IF(C606="No CAS","",INDEX('DEQ Pollutant List'!$B$7:$B$611,MATCH('3. Pollutant Emissions - EF'!C606,'DEQ Pollutant List'!$A$7:$A$611,0))),"")</f>
        <v>Chromium VI, chromate and dichromate particulate</v>
      </c>
      <c r="E606" s="100">
        <v>0</v>
      </c>
      <c r="F606" s="36">
        <v>0</v>
      </c>
      <c r="G606" s="100" t="s">
        <v>1415</v>
      </c>
      <c r="H606" s="36" t="s">
        <v>1415</v>
      </c>
      <c r="I606" s="34">
        <v>1E-4</v>
      </c>
      <c r="J606" s="11">
        <f t="shared" si="16"/>
        <v>1E-4</v>
      </c>
      <c r="K606" s="6" t="s">
        <v>1417</v>
      </c>
      <c r="L606" s="20" t="s">
        <v>1589</v>
      </c>
      <c r="M606" s="7">
        <f>IF(ISBLANK($B606),_xlfn.XLOOKUP($A606,'2. TEUs &amp; Activities - EF'!$A$9:$A$190,'2. TEUs &amp; Activities - EF'!$J$9:$J$190),_xlfn.XLOOKUP($B606,'2. TEUs &amp; Activities - EF'!$B$9:$B$190,'2. TEUs &amp; Activities - EF'!$J$9:$J$190))*'3. Pollutant Emissions - EF'!$I606*IF(OR(ISBLANK($E606),$G606="Yes"),1,$E606)*IF($H606="Yes",1,(1-$F606))</f>
        <v>2.2000000000000003E-4</v>
      </c>
      <c r="N606" s="5">
        <f>IF(ISBLANK($B606),_xlfn.XLOOKUP($A606,'2. TEUs &amp; Activities - EF'!$A$9:$A$190,'2. TEUs &amp; Activities - EF'!$M$9:$M$190),_xlfn.XLOOKUP($B606,'2. TEUs &amp; Activities - EF'!$B$9:$B$190,'2. TEUs &amp; Activities - EF'!$M$9:$M$190))*'3. Pollutant Emissions - EF'!$J606*IF(OR(ISBLANK($E606),$G606="Yes"),1,$E606)*IF($H606="Yes",1,(1-$F606))</f>
        <v>5.2800000000000003E-5</v>
      </c>
      <c r="O606" s="130">
        <f>IFERROR(IF(OR($C606="",$C606="No CAS"),INDEX('DEQ Pollutant List'!$D$7:$D$611,MATCH($D606,'DEQ Pollutant List'!$B$7:$B$611,0)),INDEX('DEQ Pollutant List'!$D$7:$D$611,MATCH($C606,'DEQ Pollutant List'!$A$7:$A$611,0))),"")</f>
        <v>136</v>
      </c>
    </row>
    <row r="607" spans="1:15" ht="15" x14ac:dyDescent="0.25">
      <c r="A607" s="5" t="s">
        <v>1538</v>
      </c>
      <c r="B607" s="7"/>
      <c r="C607" s="13" t="s">
        <v>88</v>
      </c>
      <c r="D607" s="19" t="str">
        <f>IFERROR(IF(C607="No CAS","",INDEX('DEQ Pollutant List'!$B$7:$B$611,MATCH('3. Pollutant Emissions - EF'!C607,'DEQ Pollutant List'!$A$7:$A$611,0))),"")</f>
        <v>Chlorobenzene</v>
      </c>
      <c r="E607" s="100">
        <v>0</v>
      </c>
      <c r="F607" s="36">
        <v>0</v>
      </c>
      <c r="G607" s="100" t="s">
        <v>1415</v>
      </c>
      <c r="H607" s="36" t="s">
        <v>1415</v>
      </c>
      <c r="I607" s="34">
        <v>2.0000000000000001E-4</v>
      </c>
      <c r="J607" s="11">
        <f t="shared" si="16"/>
        <v>2.0000000000000001E-4</v>
      </c>
      <c r="K607" s="6" t="s">
        <v>1417</v>
      </c>
      <c r="L607" s="20" t="s">
        <v>1589</v>
      </c>
      <c r="M607" s="7">
        <f>IF(ISBLANK($B607),_xlfn.XLOOKUP($A607,'2. TEUs &amp; Activities - EF'!$A$9:$A$190,'2. TEUs &amp; Activities - EF'!$J$9:$J$190),_xlfn.XLOOKUP($B607,'2. TEUs &amp; Activities - EF'!$B$9:$B$190,'2. TEUs &amp; Activities - EF'!$J$9:$J$190))*'3. Pollutant Emissions - EF'!$I607*IF(OR(ISBLANK($E607),$G607="Yes"),1,$E607)*IF($H607="Yes",1,(1-$F607))</f>
        <v>4.4000000000000007E-4</v>
      </c>
      <c r="N607" s="5">
        <f>IF(ISBLANK($B607),_xlfn.XLOOKUP($A607,'2. TEUs &amp; Activities - EF'!$A$9:$A$190,'2. TEUs &amp; Activities - EF'!$M$9:$M$190),_xlfn.XLOOKUP($B607,'2. TEUs &amp; Activities - EF'!$B$9:$B$190,'2. TEUs &amp; Activities - EF'!$M$9:$M$190))*'3. Pollutant Emissions - EF'!$J607*IF(OR(ISBLANK($E607),$G607="Yes"),1,$E607)*IF($H607="Yes",1,(1-$F607))</f>
        <v>1.0560000000000001E-4</v>
      </c>
      <c r="O607" s="130">
        <f>IFERROR(IF(OR($C607="",$C607="No CAS"),INDEX('DEQ Pollutant List'!$D$7:$D$611,MATCH($D607,'DEQ Pollutant List'!$B$7:$B$611,0)),INDEX('DEQ Pollutant List'!$D$7:$D$611,MATCH($C607,'DEQ Pollutant List'!$A$7:$A$611,0))),"")</f>
        <v>108</v>
      </c>
    </row>
    <row r="608" spans="1:15" ht="15" x14ac:dyDescent="0.25">
      <c r="A608" s="5" t="s">
        <v>1538</v>
      </c>
      <c r="B608" s="7"/>
      <c r="C608" s="13" t="s">
        <v>58</v>
      </c>
      <c r="D608" s="19" t="str">
        <f>IFERROR(IF(C608="No CAS","",INDEX('DEQ Pollutant List'!$B$7:$B$611,MATCH('3. Pollutant Emissions - EF'!C608,'DEQ Pollutant List'!$A$7:$A$611,0))),"")</f>
        <v>Cobalt and compounds</v>
      </c>
      <c r="E608" s="100">
        <v>0</v>
      </c>
      <c r="F608" s="36">
        <v>0</v>
      </c>
      <c r="G608" s="100" t="s">
        <v>1415</v>
      </c>
      <c r="H608" s="36" t="s">
        <v>1415</v>
      </c>
      <c r="I608" s="34">
        <v>1.5800000000000001E-5</v>
      </c>
      <c r="J608" s="11">
        <f t="shared" si="16"/>
        <v>1.5800000000000001E-5</v>
      </c>
      <c r="K608" s="6" t="s">
        <v>1417</v>
      </c>
      <c r="L608" s="20" t="s">
        <v>1589</v>
      </c>
      <c r="M608" s="7">
        <f>IF(ISBLANK($B608),_xlfn.XLOOKUP($A608,'2. TEUs &amp; Activities - EF'!$A$9:$A$190,'2. TEUs &amp; Activities - EF'!$J$9:$J$190),_xlfn.XLOOKUP($B608,'2. TEUs &amp; Activities - EF'!$B$9:$B$190,'2. TEUs &amp; Activities - EF'!$J$9:$J$190))*'3. Pollutant Emissions - EF'!$I608*IF(OR(ISBLANK($E608),$G608="Yes"),1,$E608)*IF($H608="Yes",1,(1-$F608))</f>
        <v>3.4760000000000006E-5</v>
      </c>
      <c r="N608" s="5">
        <f>IF(ISBLANK($B608),_xlfn.XLOOKUP($A608,'2. TEUs &amp; Activities - EF'!$A$9:$A$190,'2. TEUs &amp; Activities - EF'!$M$9:$M$190),_xlfn.XLOOKUP($B608,'2. TEUs &amp; Activities - EF'!$B$9:$B$190,'2. TEUs &amp; Activities - EF'!$M$9:$M$190))*'3. Pollutant Emissions - EF'!$J608*IF(OR(ISBLANK($E608),$G608="Yes"),1,$E608)*IF($H608="Yes",1,(1-$F608))</f>
        <v>8.3424000000000016E-6</v>
      </c>
      <c r="O608" s="130">
        <f>IFERROR(IF(OR($C608="",$C608="No CAS"),INDEX('DEQ Pollutant List'!$D$7:$D$611,MATCH($D608,'DEQ Pollutant List'!$B$7:$B$611,0)),INDEX('DEQ Pollutant List'!$D$7:$D$611,MATCH($C608,'DEQ Pollutant List'!$A$7:$A$611,0))),"")</f>
        <v>146</v>
      </c>
    </row>
    <row r="609" spans="1:15" ht="15" x14ac:dyDescent="0.25">
      <c r="A609" s="5" t="s">
        <v>1538</v>
      </c>
      <c r="B609" s="7"/>
      <c r="C609" s="13" t="s">
        <v>59</v>
      </c>
      <c r="D609" s="19" t="str">
        <f>IFERROR(IF(C609="No CAS","",INDEX('DEQ Pollutant List'!$B$7:$B$611,MATCH('3. Pollutant Emissions - EF'!C609,'DEQ Pollutant List'!$A$7:$A$611,0))),"")</f>
        <v>Copper and compounds</v>
      </c>
      <c r="E609" s="100">
        <v>0</v>
      </c>
      <c r="F609" s="36">
        <v>0</v>
      </c>
      <c r="G609" s="100" t="s">
        <v>1415</v>
      </c>
      <c r="H609" s="36" t="s">
        <v>1415</v>
      </c>
      <c r="I609" s="34">
        <v>4.1000000000000003E-3</v>
      </c>
      <c r="J609" s="11">
        <f t="shared" si="16"/>
        <v>4.1000000000000003E-3</v>
      </c>
      <c r="K609" s="6" t="s">
        <v>1417</v>
      </c>
      <c r="L609" s="20" t="s">
        <v>1589</v>
      </c>
      <c r="M609" s="7">
        <f>IF(ISBLANK($B609),_xlfn.XLOOKUP($A609,'2. TEUs &amp; Activities - EF'!$A$9:$A$190,'2. TEUs &amp; Activities - EF'!$J$9:$J$190),_xlfn.XLOOKUP($B609,'2. TEUs &amp; Activities - EF'!$B$9:$B$190,'2. TEUs &amp; Activities - EF'!$J$9:$J$190))*'3. Pollutant Emissions - EF'!$I609*IF(OR(ISBLANK($E609),$G609="Yes"),1,$E609)*IF($H609="Yes",1,(1-$F609))</f>
        <v>9.020000000000002E-3</v>
      </c>
      <c r="N609" s="5">
        <f>IF(ISBLANK($B609),_xlfn.XLOOKUP($A609,'2. TEUs &amp; Activities - EF'!$A$9:$A$190,'2. TEUs &amp; Activities - EF'!$M$9:$M$190),_xlfn.XLOOKUP($B609,'2. TEUs &amp; Activities - EF'!$B$9:$B$190,'2. TEUs &amp; Activities - EF'!$M$9:$M$190))*'3. Pollutant Emissions - EF'!$J609*IF(OR(ISBLANK($E609),$G609="Yes"),1,$E609)*IF($H609="Yes",1,(1-$F609))</f>
        <v>2.1648000000000001E-3</v>
      </c>
      <c r="O609" s="130">
        <f>IFERROR(IF(OR($C609="",$C609="No CAS"),INDEX('DEQ Pollutant List'!$D$7:$D$611,MATCH($D609,'DEQ Pollutant List'!$B$7:$B$611,0)),INDEX('DEQ Pollutant List'!$D$7:$D$611,MATCH($C609,'DEQ Pollutant List'!$A$7:$A$611,0))),"")</f>
        <v>149</v>
      </c>
    </row>
    <row r="610" spans="1:15" ht="15" x14ac:dyDescent="0.25">
      <c r="A610" s="5" t="s">
        <v>1538</v>
      </c>
      <c r="B610" s="7"/>
      <c r="C610" s="13" t="s">
        <v>1544</v>
      </c>
      <c r="D610" s="19" t="str">
        <f>IFERROR(IF(C610="No CAS","",INDEX('DEQ Pollutant List'!$B$7:$B$611,MATCH('3. Pollutant Emissions - EF'!C610,'DEQ Pollutant List'!$A$7:$A$611,0))),"")</f>
        <v/>
      </c>
      <c r="E610" s="100">
        <v>0</v>
      </c>
      <c r="F610" s="36">
        <v>0</v>
      </c>
      <c r="G610" s="100" t="s">
        <v>1415</v>
      </c>
      <c r="H610" s="36" t="s">
        <v>1415</v>
      </c>
      <c r="I610" s="34">
        <v>33.5</v>
      </c>
      <c r="J610" s="11">
        <f t="shared" si="16"/>
        <v>33.5</v>
      </c>
      <c r="K610" s="6" t="s">
        <v>1417</v>
      </c>
      <c r="L610" s="20" t="s">
        <v>1589</v>
      </c>
      <c r="M610" s="7">
        <f>IF(ISBLANK($B610),_xlfn.XLOOKUP($A610,'2. TEUs &amp; Activities - EF'!$A$9:$A$190,'2. TEUs &amp; Activities - EF'!$J$9:$J$190),_xlfn.XLOOKUP($B610,'2. TEUs &amp; Activities - EF'!$B$9:$B$190,'2. TEUs &amp; Activities - EF'!$J$9:$J$190))*'3. Pollutant Emissions - EF'!$I610*IF(OR(ISBLANK($E610),$G610="Yes"),1,$E610)*IF($H610="Yes",1,(1-$F610))</f>
        <v>73.7</v>
      </c>
      <c r="N610" s="5">
        <f>IF(ISBLANK($B610),_xlfn.XLOOKUP($A610,'2. TEUs &amp; Activities - EF'!$A$9:$A$190,'2. TEUs &amp; Activities - EF'!$M$9:$M$190),_xlfn.XLOOKUP($B610,'2. TEUs &amp; Activities - EF'!$B$9:$B$190,'2. TEUs &amp; Activities - EF'!$M$9:$M$190))*'3. Pollutant Emissions - EF'!$J610*IF(OR(ISBLANK($E610),$G610="Yes"),1,$E610)*IF($H610="Yes",1,(1-$F610))</f>
        <v>17.688000000000002</v>
      </c>
      <c r="O610" s="130" t="str">
        <f>IFERROR(IF(OR($C610="",$C610="No CAS"),INDEX('DEQ Pollutant List'!$D$7:$D$611,MATCH($D610,'DEQ Pollutant List'!$B$7:$B$611,0)),INDEX('DEQ Pollutant List'!$D$7:$D$611,MATCH($C610,'DEQ Pollutant List'!$A$7:$A$611,0))),"")</f>
        <v/>
      </c>
    </row>
    <row r="611" spans="1:15" ht="15" x14ac:dyDescent="0.25">
      <c r="A611" s="5" t="s">
        <v>1538</v>
      </c>
      <c r="B611" s="7"/>
      <c r="C611" s="13" t="s">
        <v>60</v>
      </c>
      <c r="D611" s="19" t="str">
        <f>IFERROR(IF(C611="No CAS","",INDEX('DEQ Pollutant List'!$B$7:$B$611,MATCH('3. Pollutant Emissions - EF'!C611,'DEQ Pollutant List'!$A$7:$A$611,0))),"")</f>
        <v>Ethyl benzene</v>
      </c>
      <c r="E611" s="100">
        <v>0</v>
      </c>
      <c r="F611" s="36">
        <v>0</v>
      </c>
      <c r="G611" s="100" t="s">
        <v>1415</v>
      </c>
      <c r="H611" s="36" t="s">
        <v>1415</v>
      </c>
      <c r="I611" s="34">
        <v>1.09E-2</v>
      </c>
      <c r="J611" s="11">
        <f t="shared" si="16"/>
        <v>1.09E-2</v>
      </c>
      <c r="K611" s="6" t="s">
        <v>1417</v>
      </c>
      <c r="L611" s="20" t="s">
        <v>1589</v>
      </c>
      <c r="M611" s="7">
        <f>IF(ISBLANK($B611),_xlfn.XLOOKUP($A611,'2. TEUs &amp; Activities - EF'!$A$9:$A$190,'2. TEUs &amp; Activities - EF'!$J$9:$J$190),_xlfn.XLOOKUP($B611,'2. TEUs &amp; Activities - EF'!$B$9:$B$190,'2. TEUs &amp; Activities - EF'!$J$9:$J$190))*'3. Pollutant Emissions - EF'!$I611*IF(OR(ISBLANK($E611),$G611="Yes"),1,$E611)*IF($H611="Yes",1,(1-$F611))</f>
        <v>2.3980000000000001E-2</v>
      </c>
      <c r="N611" s="5">
        <f>IF(ISBLANK($B611),_xlfn.XLOOKUP($A611,'2. TEUs &amp; Activities - EF'!$A$9:$A$190,'2. TEUs &amp; Activities - EF'!$M$9:$M$190),_xlfn.XLOOKUP($B611,'2. TEUs &amp; Activities - EF'!$B$9:$B$190,'2. TEUs &amp; Activities - EF'!$M$9:$M$190))*'3. Pollutant Emissions - EF'!$J611*IF(OR(ISBLANK($E611),$G611="Yes"),1,$E611)*IF($H611="Yes",1,(1-$F611))</f>
        <v>5.7552000000000002E-3</v>
      </c>
      <c r="O611" s="130">
        <f>IFERROR(IF(OR($C611="",$C611="No CAS"),INDEX('DEQ Pollutant List'!$D$7:$D$611,MATCH($D611,'DEQ Pollutant List'!$B$7:$B$611,0)),INDEX('DEQ Pollutant List'!$D$7:$D$611,MATCH($C611,'DEQ Pollutant List'!$A$7:$A$611,0))),"")</f>
        <v>229</v>
      </c>
    </row>
    <row r="612" spans="1:15" ht="15" x14ac:dyDescent="0.25">
      <c r="A612" s="5" t="s">
        <v>1538</v>
      </c>
      <c r="B612" s="7"/>
      <c r="C612" s="13" t="s">
        <v>47</v>
      </c>
      <c r="D612" s="19" t="str">
        <f>IFERROR(IF(C612="No CAS","",INDEX('DEQ Pollutant List'!$B$7:$B$611,MATCH('3. Pollutant Emissions - EF'!C612,'DEQ Pollutant List'!$A$7:$A$611,0))),"")</f>
        <v>Formaldehyde</v>
      </c>
      <c r="E612" s="100">
        <v>0</v>
      </c>
      <c r="F612" s="36">
        <v>0</v>
      </c>
      <c r="G612" s="100" t="s">
        <v>1415</v>
      </c>
      <c r="H612" s="36" t="s">
        <v>1415</v>
      </c>
      <c r="I612" s="34">
        <v>1.73</v>
      </c>
      <c r="J612" s="11">
        <f t="shared" si="16"/>
        <v>1.73</v>
      </c>
      <c r="K612" s="6" t="s">
        <v>1417</v>
      </c>
      <c r="L612" s="20" t="s">
        <v>1589</v>
      </c>
      <c r="M612" s="7">
        <f>IF(ISBLANK($B612),_xlfn.XLOOKUP($A612,'2. TEUs &amp; Activities - EF'!$A$9:$A$190,'2. TEUs &amp; Activities - EF'!$J$9:$J$190),_xlfn.XLOOKUP($B612,'2. TEUs &amp; Activities - EF'!$B$9:$B$190,'2. TEUs &amp; Activities - EF'!$J$9:$J$190))*'3. Pollutant Emissions - EF'!$I612*IF(OR(ISBLANK($E612),$G612="Yes"),1,$E612)*IF($H612="Yes",1,(1-$F612))</f>
        <v>3.806</v>
      </c>
      <c r="N612" s="5">
        <f>IF(ISBLANK($B612),_xlfn.XLOOKUP($A612,'2. TEUs &amp; Activities - EF'!$A$9:$A$190,'2. TEUs &amp; Activities - EF'!$M$9:$M$190),_xlfn.XLOOKUP($B612,'2. TEUs &amp; Activities - EF'!$B$9:$B$190,'2. TEUs &amp; Activities - EF'!$M$9:$M$190))*'3. Pollutant Emissions - EF'!$J612*IF(OR(ISBLANK($E612),$G612="Yes"),1,$E612)*IF($H612="Yes",1,(1-$F612))</f>
        <v>0.91344000000000003</v>
      </c>
      <c r="O612" s="130">
        <f>IFERROR(IF(OR($C612="",$C612="No CAS"),INDEX('DEQ Pollutant List'!$D$7:$D$611,MATCH($D612,'DEQ Pollutant List'!$B$7:$B$611,0)),INDEX('DEQ Pollutant List'!$D$7:$D$611,MATCH($C612,'DEQ Pollutant List'!$A$7:$A$611,0))),"")</f>
        <v>250</v>
      </c>
    </row>
    <row r="613" spans="1:15" ht="15" x14ac:dyDescent="0.25">
      <c r="A613" s="5" t="s">
        <v>1538</v>
      </c>
      <c r="B613" s="7"/>
      <c r="C613" s="13" t="s">
        <v>61</v>
      </c>
      <c r="D613" s="19" t="str">
        <f>IFERROR(IF(C613="No CAS","",INDEX('DEQ Pollutant List'!$B$7:$B$611,MATCH('3. Pollutant Emissions - EF'!C613,'DEQ Pollutant List'!$A$7:$A$611,0))),"")</f>
        <v>Hexane</v>
      </c>
      <c r="E613" s="100">
        <v>0</v>
      </c>
      <c r="F613" s="36">
        <v>0</v>
      </c>
      <c r="G613" s="100" t="s">
        <v>1415</v>
      </c>
      <c r="H613" s="36" t="s">
        <v>1415</v>
      </c>
      <c r="I613" s="34">
        <v>2.69E-2</v>
      </c>
      <c r="J613" s="11">
        <f t="shared" si="16"/>
        <v>2.69E-2</v>
      </c>
      <c r="K613" s="6" t="s">
        <v>1417</v>
      </c>
      <c r="L613" s="20" t="s">
        <v>1589</v>
      </c>
      <c r="M613" s="7">
        <f>IF(ISBLANK($B613),_xlfn.XLOOKUP($A613,'2. TEUs &amp; Activities - EF'!$A$9:$A$190,'2. TEUs &amp; Activities - EF'!$J$9:$J$190),_xlfn.XLOOKUP($B613,'2. TEUs &amp; Activities - EF'!$B$9:$B$190,'2. TEUs &amp; Activities - EF'!$J$9:$J$190))*'3. Pollutant Emissions - EF'!$I613*IF(OR(ISBLANK($E613),$G613="Yes"),1,$E613)*IF($H613="Yes",1,(1-$F613))</f>
        <v>5.9180000000000003E-2</v>
      </c>
      <c r="N613" s="5">
        <f>IF(ISBLANK($B613),_xlfn.XLOOKUP($A613,'2. TEUs &amp; Activities - EF'!$A$9:$A$190,'2. TEUs &amp; Activities - EF'!$M$9:$M$190),_xlfn.XLOOKUP($B613,'2. TEUs &amp; Activities - EF'!$B$9:$B$190,'2. TEUs &amp; Activities - EF'!$M$9:$M$190))*'3. Pollutant Emissions - EF'!$J613*IF(OR(ISBLANK($E613),$G613="Yes"),1,$E613)*IF($H613="Yes",1,(1-$F613))</f>
        <v>1.4203200000000001E-2</v>
      </c>
      <c r="O613" s="130">
        <f>IFERROR(IF(OR($C613="",$C613="No CAS"),INDEX('DEQ Pollutant List'!$D$7:$D$611,MATCH($D613,'DEQ Pollutant List'!$B$7:$B$611,0)),INDEX('DEQ Pollutant List'!$D$7:$D$611,MATCH($C613,'DEQ Pollutant List'!$A$7:$A$611,0))),"")</f>
        <v>289</v>
      </c>
    </row>
    <row r="614" spans="1:15" ht="15" x14ac:dyDescent="0.25">
      <c r="A614" s="5" t="s">
        <v>1538</v>
      </c>
      <c r="B614" s="7"/>
      <c r="C614" s="13" t="s">
        <v>97</v>
      </c>
      <c r="D614" s="19" t="str">
        <f>IFERROR(IF(C614="No CAS","",INDEX('DEQ Pollutant List'!$B$7:$B$611,MATCH('3. Pollutant Emissions - EF'!C614,'DEQ Pollutant List'!$A$7:$A$611,0))),"")</f>
        <v>Hydrochloric acid</v>
      </c>
      <c r="E614" s="100">
        <v>0</v>
      </c>
      <c r="F614" s="36">
        <v>0</v>
      </c>
      <c r="G614" s="100" t="s">
        <v>1415</v>
      </c>
      <c r="H614" s="36" t="s">
        <v>1415</v>
      </c>
      <c r="I614" s="34">
        <v>0.19</v>
      </c>
      <c r="J614" s="11">
        <f t="shared" si="16"/>
        <v>0.19</v>
      </c>
      <c r="K614" s="6" t="s">
        <v>1417</v>
      </c>
      <c r="L614" s="20" t="s">
        <v>1589</v>
      </c>
      <c r="M614" s="7">
        <f>IF(ISBLANK($B614),_xlfn.XLOOKUP($A614,'2. TEUs &amp; Activities - EF'!$A$9:$A$190,'2. TEUs &amp; Activities - EF'!$J$9:$J$190),_xlfn.XLOOKUP($B614,'2. TEUs &amp; Activities - EF'!$B$9:$B$190,'2. TEUs &amp; Activities - EF'!$J$9:$J$190))*'3. Pollutant Emissions - EF'!$I614*IF(OR(ISBLANK($E614),$G614="Yes"),1,$E614)*IF($H614="Yes",1,(1-$F614))</f>
        <v>0.41800000000000004</v>
      </c>
      <c r="N614" s="5">
        <f>IF(ISBLANK($B614),_xlfn.XLOOKUP($A614,'2. TEUs &amp; Activities - EF'!$A$9:$A$190,'2. TEUs &amp; Activities - EF'!$M$9:$M$190),_xlfn.XLOOKUP($B614,'2. TEUs &amp; Activities - EF'!$B$9:$B$190,'2. TEUs &amp; Activities - EF'!$M$9:$M$190))*'3. Pollutant Emissions - EF'!$J614*IF(OR(ISBLANK($E614),$G614="Yes"),1,$E614)*IF($H614="Yes",1,(1-$F614))</f>
        <v>0.10032000000000001</v>
      </c>
      <c r="O614" s="130">
        <f>IFERROR(IF(OR($C614="",$C614="No CAS"),INDEX('DEQ Pollutant List'!$D$7:$D$611,MATCH($D614,'DEQ Pollutant List'!$B$7:$B$611,0)),INDEX('DEQ Pollutant List'!$D$7:$D$611,MATCH($C614,'DEQ Pollutant List'!$A$7:$A$611,0))),"")</f>
        <v>292</v>
      </c>
    </row>
    <row r="615" spans="1:15" ht="15" x14ac:dyDescent="0.25">
      <c r="A615" s="5" t="s">
        <v>1538</v>
      </c>
      <c r="B615" s="7"/>
      <c r="C615" s="13" t="s">
        <v>62</v>
      </c>
      <c r="D615" s="19" t="str">
        <f>IFERROR(IF(C615="No CAS","",INDEX('DEQ Pollutant List'!$B$7:$B$611,MATCH('3. Pollutant Emissions - EF'!C615,'DEQ Pollutant List'!$A$7:$A$611,0))),"")</f>
        <v>Lead and compounds</v>
      </c>
      <c r="E615" s="100">
        <v>0</v>
      </c>
      <c r="F615" s="36">
        <v>0</v>
      </c>
      <c r="G615" s="100" t="s">
        <v>1415</v>
      </c>
      <c r="H615" s="36" t="s">
        <v>1415</v>
      </c>
      <c r="I615" s="34">
        <v>8.3000000000000001E-3</v>
      </c>
      <c r="J615" s="11">
        <f t="shared" si="16"/>
        <v>8.3000000000000001E-3</v>
      </c>
      <c r="K615" s="6" t="s">
        <v>1417</v>
      </c>
      <c r="L615" s="20" t="s">
        <v>1589</v>
      </c>
      <c r="M615" s="7">
        <f>IF(ISBLANK($B615),_xlfn.XLOOKUP($A615,'2. TEUs &amp; Activities - EF'!$A$9:$A$190,'2. TEUs &amp; Activities - EF'!$J$9:$J$190),_xlfn.XLOOKUP($B615,'2. TEUs &amp; Activities - EF'!$B$9:$B$190,'2. TEUs &amp; Activities - EF'!$J$9:$J$190))*'3. Pollutant Emissions - EF'!$I615*IF(OR(ISBLANK($E615),$G615="Yes"),1,$E615)*IF($H615="Yes",1,(1-$F615))</f>
        <v>1.8260000000000002E-2</v>
      </c>
      <c r="N615" s="5">
        <f>IF(ISBLANK($B615),_xlfn.XLOOKUP($A615,'2. TEUs &amp; Activities - EF'!$A$9:$A$190,'2. TEUs &amp; Activities - EF'!$M$9:$M$190),_xlfn.XLOOKUP($B615,'2. TEUs &amp; Activities - EF'!$B$9:$B$190,'2. TEUs &amp; Activities - EF'!$M$9:$M$190))*'3. Pollutant Emissions - EF'!$J615*IF(OR(ISBLANK($E615),$G615="Yes"),1,$E615)*IF($H615="Yes",1,(1-$F615))</f>
        <v>4.3823999999999998E-3</v>
      </c>
      <c r="O615" s="130">
        <f>IFERROR(IF(OR($C615="",$C615="No CAS"),INDEX('DEQ Pollutant List'!$D$7:$D$611,MATCH($D615,'DEQ Pollutant List'!$B$7:$B$611,0)),INDEX('DEQ Pollutant List'!$D$7:$D$611,MATCH($C615,'DEQ Pollutant List'!$A$7:$A$611,0))),"")</f>
        <v>305</v>
      </c>
    </row>
    <row r="616" spans="1:15" ht="15" x14ac:dyDescent="0.25">
      <c r="A616" s="5" t="s">
        <v>1538</v>
      </c>
      <c r="B616" s="7"/>
      <c r="C616" s="13" t="s">
        <v>63</v>
      </c>
      <c r="D616" s="19" t="str">
        <f>IFERROR(IF(C616="No CAS","",INDEX('DEQ Pollutant List'!$B$7:$B$611,MATCH('3. Pollutant Emissions - EF'!C616,'DEQ Pollutant List'!$A$7:$A$611,0))),"")</f>
        <v>Manganese and compounds</v>
      </c>
      <c r="E616" s="100">
        <v>0</v>
      </c>
      <c r="F616" s="36">
        <v>0</v>
      </c>
      <c r="G616" s="100" t="s">
        <v>1415</v>
      </c>
      <c r="H616" s="36" t="s">
        <v>1415</v>
      </c>
      <c r="I616" s="34">
        <v>3.0999999999999999E-3</v>
      </c>
      <c r="J616" s="11">
        <f t="shared" si="16"/>
        <v>3.0999999999999999E-3</v>
      </c>
      <c r="K616" s="6" t="s">
        <v>1417</v>
      </c>
      <c r="L616" s="20" t="s">
        <v>1589</v>
      </c>
      <c r="M616" s="7">
        <f>IF(ISBLANK($B616),_xlfn.XLOOKUP($A616,'2. TEUs &amp; Activities - EF'!$A$9:$A$190,'2. TEUs &amp; Activities - EF'!$J$9:$J$190),_xlfn.XLOOKUP($B616,'2. TEUs &amp; Activities - EF'!$B$9:$B$190,'2. TEUs &amp; Activities - EF'!$J$9:$J$190))*'3. Pollutant Emissions - EF'!$I616*IF(OR(ISBLANK($E616),$G616="Yes"),1,$E616)*IF($H616="Yes",1,(1-$F616))</f>
        <v>6.8200000000000005E-3</v>
      </c>
      <c r="N616" s="5">
        <f>IF(ISBLANK($B616),_xlfn.XLOOKUP($A616,'2. TEUs &amp; Activities - EF'!$A$9:$A$190,'2. TEUs &amp; Activities - EF'!$M$9:$M$190),_xlfn.XLOOKUP($B616,'2. TEUs &amp; Activities - EF'!$B$9:$B$190,'2. TEUs &amp; Activities - EF'!$M$9:$M$190))*'3. Pollutant Emissions - EF'!$J616*IF(OR(ISBLANK($E616),$G616="Yes"),1,$E616)*IF($H616="Yes",1,(1-$F616))</f>
        <v>1.6368000000000001E-3</v>
      </c>
      <c r="O616" s="130">
        <f>IFERROR(IF(OR($C616="",$C616="No CAS"),INDEX('DEQ Pollutant List'!$D$7:$D$611,MATCH($D616,'DEQ Pollutant List'!$B$7:$B$611,0)),INDEX('DEQ Pollutant List'!$D$7:$D$611,MATCH($C616,'DEQ Pollutant List'!$A$7:$A$611,0))),"")</f>
        <v>312</v>
      </c>
    </row>
    <row r="617" spans="1:15" ht="15" x14ac:dyDescent="0.25">
      <c r="A617" s="5" t="s">
        <v>1538</v>
      </c>
      <c r="B617" s="7"/>
      <c r="C617" s="13" t="s">
        <v>64</v>
      </c>
      <c r="D617" s="19" t="str">
        <f>IFERROR(IF(C617="No CAS","",INDEX('DEQ Pollutant List'!$B$7:$B$611,MATCH('3. Pollutant Emissions - EF'!C617,'DEQ Pollutant List'!$A$7:$A$611,0))),"")</f>
        <v>Mercury and compounds</v>
      </c>
      <c r="E617" s="100">
        <v>0</v>
      </c>
      <c r="F617" s="36">
        <v>0</v>
      </c>
      <c r="G617" s="100" t="s">
        <v>1415</v>
      </c>
      <c r="H617" s="36" t="s">
        <v>1415</v>
      </c>
      <c r="I617" s="34">
        <v>2E-3</v>
      </c>
      <c r="J617" s="11">
        <f t="shared" si="16"/>
        <v>2E-3</v>
      </c>
      <c r="K617" s="6" t="s">
        <v>1417</v>
      </c>
      <c r="L617" s="20" t="s">
        <v>1589</v>
      </c>
      <c r="M617" s="7">
        <f>IF(ISBLANK($B617),_xlfn.XLOOKUP($A617,'2. TEUs &amp; Activities - EF'!$A$9:$A$190,'2. TEUs &amp; Activities - EF'!$J$9:$J$190),_xlfn.XLOOKUP($B617,'2. TEUs &amp; Activities - EF'!$B$9:$B$190,'2. TEUs &amp; Activities - EF'!$J$9:$J$190))*'3. Pollutant Emissions - EF'!$I617*IF(OR(ISBLANK($E617),$G617="Yes"),1,$E617)*IF($H617="Yes",1,(1-$F617))</f>
        <v>4.4000000000000003E-3</v>
      </c>
      <c r="N617" s="5">
        <f>IF(ISBLANK($B617),_xlfn.XLOOKUP($A617,'2. TEUs &amp; Activities - EF'!$A$9:$A$190,'2. TEUs &amp; Activities - EF'!$M$9:$M$190),_xlfn.XLOOKUP($B617,'2. TEUs &amp; Activities - EF'!$B$9:$B$190,'2. TEUs &amp; Activities - EF'!$M$9:$M$190))*'3. Pollutant Emissions - EF'!$J617*IF(OR(ISBLANK($E617),$G617="Yes"),1,$E617)*IF($H617="Yes",1,(1-$F617))</f>
        <v>1.0560000000000001E-3</v>
      </c>
      <c r="O617" s="130">
        <f>IFERROR(IF(OR($C617="",$C617="No CAS"),INDEX('DEQ Pollutant List'!$D$7:$D$611,MATCH($D617,'DEQ Pollutant List'!$B$7:$B$611,0)),INDEX('DEQ Pollutant List'!$D$7:$D$611,MATCH($C617,'DEQ Pollutant List'!$A$7:$A$611,0))),"")</f>
        <v>316</v>
      </c>
    </row>
    <row r="618" spans="1:15" ht="15" x14ac:dyDescent="0.25">
      <c r="A618" s="5" t="s">
        <v>1538</v>
      </c>
      <c r="B618" s="7"/>
      <c r="C618" s="13" t="s">
        <v>49</v>
      </c>
      <c r="D618" s="19" t="str">
        <f>IFERROR(IF(C618="No CAS","",INDEX('DEQ Pollutant List'!$B$7:$B$611,MATCH('3. Pollutant Emissions - EF'!C618,'DEQ Pollutant List'!$A$7:$A$611,0))),"")</f>
        <v>Naphthalene</v>
      </c>
      <c r="E618" s="100">
        <v>0</v>
      </c>
      <c r="F618" s="36">
        <v>0</v>
      </c>
      <c r="G618" s="100" t="s">
        <v>1415</v>
      </c>
      <c r="H618" s="36" t="s">
        <v>1415</v>
      </c>
      <c r="I618" s="34">
        <v>1.9699999999999999E-2</v>
      </c>
      <c r="J618" s="11">
        <f t="shared" si="16"/>
        <v>1.9699999999999999E-2</v>
      </c>
      <c r="K618" s="6" t="s">
        <v>1417</v>
      </c>
      <c r="L618" s="20" t="s">
        <v>1589</v>
      </c>
      <c r="M618" s="7">
        <f>IF(ISBLANK($B618),_xlfn.XLOOKUP($A618,'2. TEUs &amp; Activities - EF'!$A$9:$A$190,'2. TEUs &amp; Activities - EF'!$J$9:$J$190),_xlfn.XLOOKUP($B618,'2. TEUs &amp; Activities - EF'!$B$9:$B$190,'2. TEUs &amp; Activities - EF'!$J$9:$J$190))*'3. Pollutant Emissions - EF'!$I618*IF(OR(ISBLANK($E618),$G618="Yes"),1,$E618)*IF($H618="Yes",1,(1-$F618))</f>
        <v>4.3340000000000004E-2</v>
      </c>
      <c r="N618" s="5">
        <f>IF(ISBLANK($B618),_xlfn.XLOOKUP($A618,'2. TEUs &amp; Activities - EF'!$A$9:$A$190,'2. TEUs &amp; Activities - EF'!$M$9:$M$190),_xlfn.XLOOKUP($B618,'2. TEUs &amp; Activities - EF'!$B$9:$B$190,'2. TEUs &amp; Activities - EF'!$M$9:$M$190))*'3. Pollutant Emissions - EF'!$J618*IF(OR(ISBLANK($E618),$G618="Yes"),1,$E618)*IF($H618="Yes",1,(1-$F618))</f>
        <v>1.04016E-2</v>
      </c>
      <c r="O618" s="130">
        <f>IFERROR(IF(OR($C618="",$C618="No CAS"),INDEX('DEQ Pollutant List'!$D$7:$D$611,MATCH($D618,'DEQ Pollutant List'!$B$7:$B$611,0)),INDEX('DEQ Pollutant List'!$D$7:$D$611,MATCH($C618,'DEQ Pollutant List'!$A$7:$A$611,0))),"")</f>
        <v>428</v>
      </c>
    </row>
    <row r="619" spans="1:15" ht="15" x14ac:dyDescent="0.25">
      <c r="A619" s="5" t="s">
        <v>1538</v>
      </c>
      <c r="B619" s="7"/>
      <c r="C619" s="13" t="s">
        <v>66</v>
      </c>
      <c r="D619" s="19" t="str">
        <f>IFERROR(IF(C619="No CAS","",INDEX('DEQ Pollutant List'!$B$7:$B$611,MATCH('3. Pollutant Emissions - EF'!C619,'DEQ Pollutant List'!$A$7:$A$611,0))),"")</f>
        <v>Nickel and compounds</v>
      </c>
      <c r="E619" s="100">
        <v>0</v>
      </c>
      <c r="F619" s="36">
        <v>0</v>
      </c>
      <c r="G619" s="100" t="s">
        <v>1415</v>
      </c>
      <c r="H619" s="36" t="s">
        <v>1415</v>
      </c>
      <c r="I619" s="34">
        <v>3.8999999999999998E-3</v>
      </c>
      <c r="J619" s="11">
        <f t="shared" si="16"/>
        <v>3.8999999999999998E-3</v>
      </c>
      <c r="K619" s="6" t="s">
        <v>1417</v>
      </c>
      <c r="L619" s="20" t="s">
        <v>1589</v>
      </c>
      <c r="M619" s="7">
        <f>IF(ISBLANK($B619),_xlfn.XLOOKUP($A619,'2. TEUs &amp; Activities - EF'!$A$9:$A$190,'2. TEUs &amp; Activities - EF'!$J$9:$J$190),_xlfn.XLOOKUP($B619,'2. TEUs &amp; Activities - EF'!$B$9:$B$190,'2. TEUs &amp; Activities - EF'!$J$9:$J$190))*'3. Pollutant Emissions - EF'!$I619*IF(OR(ISBLANK($E619),$G619="Yes"),1,$E619)*IF($H619="Yes",1,(1-$F619))</f>
        <v>8.5800000000000008E-3</v>
      </c>
      <c r="N619" s="5">
        <f>IF(ISBLANK($B619),_xlfn.XLOOKUP($A619,'2. TEUs &amp; Activities - EF'!$A$9:$A$190,'2. TEUs &amp; Activities - EF'!$M$9:$M$190),_xlfn.XLOOKUP($B619,'2. TEUs &amp; Activities - EF'!$B$9:$B$190,'2. TEUs &amp; Activities - EF'!$M$9:$M$190))*'3. Pollutant Emissions - EF'!$J619*IF(OR(ISBLANK($E619),$G619="Yes"),1,$E619)*IF($H619="Yes",1,(1-$F619))</f>
        <v>2.0592000000000002E-3</v>
      </c>
      <c r="O619" s="130">
        <f>IFERROR(IF(OR($C619="",$C619="No CAS"),INDEX('DEQ Pollutant List'!$D$7:$D$611,MATCH($D619,'DEQ Pollutant List'!$B$7:$B$611,0)),INDEX('DEQ Pollutant List'!$D$7:$D$611,MATCH($C619,'DEQ Pollutant List'!$A$7:$A$611,0))),"")</f>
        <v>364</v>
      </c>
    </row>
    <row r="620" spans="1:15" ht="15" x14ac:dyDescent="0.25">
      <c r="A620" s="5" t="s">
        <v>1538</v>
      </c>
      <c r="B620" s="7"/>
      <c r="C620" s="13" t="s">
        <v>1545</v>
      </c>
      <c r="D620" s="19" t="str">
        <f>IFERROR(IF(C620="No CAS","",INDEX('DEQ Pollutant List'!$B$7:$B$611,MATCH('3. Pollutant Emissions - EF'!C620,'DEQ Pollutant List'!$A$7:$A$611,0))),"")</f>
        <v/>
      </c>
      <c r="E620" s="100">
        <v>0</v>
      </c>
      <c r="F620" s="36">
        <v>0</v>
      </c>
      <c r="G620" s="100" t="s">
        <v>1415</v>
      </c>
      <c r="H620" s="36" t="s">
        <v>1415</v>
      </c>
      <c r="I620" s="34">
        <v>3.6200000000000003E-2</v>
      </c>
      <c r="J620" s="11">
        <f t="shared" si="16"/>
        <v>3.6200000000000003E-2</v>
      </c>
      <c r="K620" s="6" t="s">
        <v>1417</v>
      </c>
      <c r="L620" s="20" t="s">
        <v>1589</v>
      </c>
      <c r="M620" s="7">
        <f>IF(ISBLANK($B620),_xlfn.XLOOKUP($A620,'2. TEUs &amp; Activities - EF'!$A$9:$A$190,'2. TEUs &amp; Activities - EF'!$J$9:$J$190),_xlfn.XLOOKUP($B620,'2. TEUs &amp; Activities - EF'!$B$9:$B$190,'2. TEUs &amp; Activities - EF'!$J$9:$J$190))*'3. Pollutant Emissions - EF'!$I620*IF(OR(ISBLANK($E620),$G620="Yes"),1,$E620)*IF($H620="Yes",1,(1-$F620))</f>
        <v>7.9640000000000016E-2</v>
      </c>
      <c r="N620" s="5">
        <f>IF(ISBLANK($B620),_xlfn.XLOOKUP($A620,'2. TEUs &amp; Activities - EF'!$A$9:$A$190,'2. TEUs &amp; Activities - EF'!$M$9:$M$190),_xlfn.XLOOKUP($B620,'2. TEUs &amp; Activities - EF'!$B$9:$B$190,'2. TEUs &amp; Activities - EF'!$M$9:$M$190))*'3. Pollutant Emissions - EF'!$J620*IF(OR(ISBLANK($E620),$G620="Yes"),1,$E620)*IF($H620="Yes",1,(1-$F620))</f>
        <v>1.9113600000000001E-2</v>
      </c>
      <c r="O620" s="130" t="str">
        <f>IFERROR(IF(OR($C620="",$C620="No CAS"),INDEX('DEQ Pollutant List'!$D$7:$D$611,MATCH($D620,'DEQ Pollutant List'!$B$7:$B$611,0)),INDEX('DEQ Pollutant List'!$D$7:$D$611,MATCH($C620,'DEQ Pollutant List'!$A$7:$A$611,0))),"")</f>
        <v/>
      </c>
    </row>
    <row r="621" spans="1:15" ht="15" x14ac:dyDescent="0.25">
      <c r="A621" s="5" t="s">
        <v>1538</v>
      </c>
      <c r="B621" s="7"/>
      <c r="C621" s="13" t="s">
        <v>1546</v>
      </c>
      <c r="D621" s="19" t="str">
        <f>IFERROR(IF(C621="No CAS","",INDEX('DEQ Pollutant List'!$B$7:$B$611,MATCH('3. Pollutant Emissions - EF'!C621,'DEQ Pollutant List'!$A$7:$A$611,0))),"")</f>
        <v/>
      </c>
      <c r="E621" s="100">
        <v>0</v>
      </c>
      <c r="F621" s="36">
        <v>0</v>
      </c>
      <c r="G621" s="100" t="s">
        <v>1415</v>
      </c>
      <c r="H621" s="36" t="s">
        <v>1415</v>
      </c>
      <c r="I621" s="34">
        <v>8.3999999999999995E-3</v>
      </c>
      <c r="J621" s="11">
        <f t="shared" si="16"/>
        <v>8.3999999999999995E-3</v>
      </c>
      <c r="K621" s="6" t="s">
        <v>1417</v>
      </c>
      <c r="L621" s="20" t="s">
        <v>1589</v>
      </c>
      <c r="M621" s="7">
        <f>IF(ISBLANK($B621),_xlfn.XLOOKUP($A621,'2. TEUs &amp; Activities - EF'!$A$9:$A$190,'2. TEUs &amp; Activities - EF'!$J$9:$J$190),_xlfn.XLOOKUP($B621,'2. TEUs &amp; Activities - EF'!$B$9:$B$190,'2. TEUs &amp; Activities - EF'!$J$9:$J$190))*'3. Pollutant Emissions - EF'!$I621*IF(OR(ISBLANK($E621),$G621="Yes"),1,$E621)*IF($H621="Yes",1,(1-$F621))</f>
        <v>1.848E-2</v>
      </c>
      <c r="N621" s="5">
        <f>IF(ISBLANK($B621),_xlfn.XLOOKUP($A621,'2. TEUs &amp; Activities - EF'!$A$9:$A$190,'2. TEUs &amp; Activities - EF'!$M$9:$M$190),_xlfn.XLOOKUP($B621,'2. TEUs &amp; Activities - EF'!$B$9:$B$190,'2. TEUs &amp; Activities - EF'!$M$9:$M$190))*'3. Pollutant Emissions - EF'!$J621*IF(OR(ISBLANK($E621),$G621="Yes"),1,$E621)*IF($H621="Yes",1,(1-$F621))</f>
        <v>4.4352000000000003E-3</v>
      </c>
      <c r="O621" s="130" t="str">
        <f>IFERROR(IF(OR($C621="",$C621="No CAS"),INDEX('DEQ Pollutant List'!$D$7:$D$611,MATCH($D621,'DEQ Pollutant List'!$B$7:$B$611,0)),INDEX('DEQ Pollutant List'!$D$7:$D$611,MATCH($C621,'DEQ Pollutant List'!$A$7:$A$611,0))),"")</f>
        <v/>
      </c>
    </row>
    <row r="622" spans="1:15" ht="15" x14ac:dyDescent="0.25">
      <c r="A622" s="5" t="s">
        <v>1538</v>
      </c>
      <c r="B622" s="7"/>
      <c r="C622" s="13" t="s">
        <v>1105</v>
      </c>
      <c r="D622" s="19" t="str">
        <f>IFERROR(IF(C622="No CAS","",INDEX('DEQ Pollutant List'!$B$7:$B$611,MATCH('3. Pollutant Emissions - EF'!C622,'DEQ Pollutant List'!$A$7:$A$611,0))),"")</f>
        <v>Propylene</v>
      </c>
      <c r="E622" s="100">
        <v>0</v>
      </c>
      <c r="F622" s="36">
        <v>0</v>
      </c>
      <c r="G622" s="100" t="s">
        <v>1415</v>
      </c>
      <c r="H622" s="36" t="s">
        <v>1415</v>
      </c>
      <c r="I622" s="34">
        <v>0.47</v>
      </c>
      <c r="J622" s="11">
        <f t="shared" si="16"/>
        <v>0.47</v>
      </c>
      <c r="K622" s="6" t="s">
        <v>1417</v>
      </c>
      <c r="L622" s="20" t="s">
        <v>1589</v>
      </c>
      <c r="M622" s="7">
        <f>IF(ISBLANK($B622),_xlfn.XLOOKUP($A622,'2. TEUs &amp; Activities - EF'!$A$9:$A$190,'2. TEUs &amp; Activities - EF'!$J$9:$J$190),_xlfn.XLOOKUP($B622,'2. TEUs &amp; Activities - EF'!$B$9:$B$190,'2. TEUs &amp; Activities - EF'!$J$9:$J$190))*'3. Pollutant Emissions - EF'!$I622*IF(OR(ISBLANK($E622),$G622="Yes"),1,$E622)*IF($H622="Yes",1,(1-$F622))</f>
        <v>1.034</v>
      </c>
      <c r="N622" s="5">
        <f>IF(ISBLANK($B622),_xlfn.XLOOKUP($A622,'2. TEUs &amp; Activities - EF'!$A$9:$A$190,'2. TEUs &amp; Activities - EF'!$M$9:$M$190),_xlfn.XLOOKUP($B622,'2. TEUs &amp; Activities - EF'!$B$9:$B$190,'2. TEUs &amp; Activities - EF'!$M$9:$M$190))*'3. Pollutant Emissions - EF'!$J622*IF(OR(ISBLANK($E622),$G622="Yes"),1,$E622)*IF($H622="Yes",1,(1-$F622))</f>
        <v>0.24815999999999999</v>
      </c>
      <c r="O622" s="130">
        <f>IFERROR(IF(OR($C622="",$C622="No CAS"),INDEX('DEQ Pollutant List'!$D$7:$D$611,MATCH($D622,'DEQ Pollutant List'!$B$7:$B$611,0)),INDEX('DEQ Pollutant List'!$D$7:$D$611,MATCH($C622,'DEQ Pollutant List'!$A$7:$A$611,0))),"")</f>
        <v>561</v>
      </c>
    </row>
    <row r="623" spans="1:15" ht="15" x14ac:dyDescent="0.25">
      <c r="A623" s="5" t="s">
        <v>1538</v>
      </c>
      <c r="B623" s="7"/>
      <c r="C623" s="13" t="s">
        <v>67</v>
      </c>
      <c r="D623" s="19" t="str">
        <f>IFERROR(IF(C623="No CAS","",INDEX('DEQ Pollutant List'!$B$7:$B$611,MATCH('3. Pollutant Emissions - EF'!C623,'DEQ Pollutant List'!$A$7:$A$611,0))),"")</f>
        <v>Selenium and compounds</v>
      </c>
      <c r="E623" s="100">
        <v>0</v>
      </c>
      <c r="F623" s="36">
        <v>0</v>
      </c>
      <c r="G623" s="100" t="s">
        <v>1415</v>
      </c>
      <c r="H623" s="36" t="s">
        <v>1415</v>
      </c>
      <c r="I623" s="34">
        <v>2.2000000000000001E-3</v>
      </c>
      <c r="J623" s="11">
        <f t="shared" si="16"/>
        <v>2.2000000000000001E-3</v>
      </c>
      <c r="K623" s="6" t="s">
        <v>1417</v>
      </c>
      <c r="L623" s="20" t="s">
        <v>1589</v>
      </c>
      <c r="M623" s="7">
        <f>IF(ISBLANK($B623),_xlfn.XLOOKUP($A623,'2. TEUs &amp; Activities - EF'!$A$9:$A$190,'2. TEUs &amp; Activities - EF'!$J$9:$J$190),_xlfn.XLOOKUP($B623,'2. TEUs &amp; Activities - EF'!$B$9:$B$190,'2. TEUs &amp; Activities - EF'!$J$9:$J$190))*'3. Pollutant Emissions - EF'!$I623*IF(OR(ISBLANK($E623),$G623="Yes"),1,$E623)*IF($H623="Yes",1,(1-$F623))</f>
        <v>4.8400000000000006E-3</v>
      </c>
      <c r="N623" s="5">
        <f>IF(ISBLANK($B623),_xlfn.XLOOKUP($A623,'2. TEUs &amp; Activities - EF'!$A$9:$A$190,'2. TEUs &amp; Activities - EF'!$M$9:$M$190),_xlfn.XLOOKUP($B623,'2. TEUs &amp; Activities - EF'!$B$9:$B$190,'2. TEUs &amp; Activities - EF'!$M$9:$M$190))*'3. Pollutant Emissions - EF'!$J623*IF(OR(ISBLANK($E623),$G623="Yes"),1,$E623)*IF($H623="Yes",1,(1-$F623))</f>
        <v>1.1616E-3</v>
      </c>
      <c r="O623" s="130">
        <f>IFERROR(IF(OR($C623="",$C623="No CAS"),INDEX('DEQ Pollutant List'!$D$7:$D$611,MATCH($D623,'DEQ Pollutant List'!$B$7:$B$611,0)),INDEX('DEQ Pollutant List'!$D$7:$D$611,MATCH($C623,'DEQ Pollutant List'!$A$7:$A$611,0))),"")</f>
        <v>575</v>
      </c>
    </row>
    <row r="624" spans="1:15" ht="15" x14ac:dyDescent="0.25">
      <c r="A624" s="5" t="s">
        <v>1538</v>
      </c>
      <c r="B624" s="7"/>
      <c r="C624" s="13" t="s">
        <v>113</v>
      </c>
      <c r="D624" s="19" t="str">
        <f>IFERROR(IF(C624="No CAS","",INDEX('DEQ Pollutant List'!$B$7:$B$611,MATCH('3. Pollutant Emissions - EF'!C624,'DEQ Pollutant List'!$A$7:$A$611,0))),"")</f>
        <v>Silver and compounds</v>
      </c>
      <c r="E624" s="100">
        <v>0</v>
      </c>
      <c r="F624" s="36">
        <v>0</v>
      </c>
      <c r="G624" s="100" t="s">
        <v>1415</v>
      </c>
      <c r="H624" s="36" t="s">
        <v>1415</v>
      </c>
      <c r="I624" s="34">
        <v>4.8000000000000001E-5</v>
      </c>
      <c r="J624" s="11">
        <f t="shared" si="16"/>
        <v>4.8000000000000001E-5</v>
      </c>
      <c r="K624" s="6" t="s">
        <v>1417</v>
      </c>
      <c r="L624" s="20" t="s">
        <v>1589</v>
      </c>
      <c r="M624" s="7">
        <f>IF(ISBLANK($B624),_xlfn.XLOOKUP($A624,'2. TEUs &amp; Activities - EF'!$A$9:$A$190,'2. TEUs &amp; Activities - EF'!$J$9:$J$190),_xlfn.XLOOKUP($B624,'2. TEUs &amp; Activities - EF'!$B$9:$B$190,'2. TEUs &amp; Activities - EF'!$J$9:$J$190))*'3. Pollutant Emissions - EF'!$I624*IF(OR(ISBLANK($E624),$G624="Yes"),1,$E624)*IF($H624="Yes",1,(1-$F624))</f>
        <v>1.0560000000000001E-4</v>
      </c>
      <c r="N624" s="5">
        <f>IF(ISBLANK($B624),_xlfn.XLOOKUP($A624,'2. TEUs &amp; Activities - EF'!$A$9:$A$190,'2. TEUs &amp; Activities - EF'!$M$9:$M$190),_xlfn.XLOOKUP($B624,'2. TEUs &amp; Activities - EF'!$B$9:$B$190,'2. TEUs &amp; Activities - EF'!$M$9:$M$190))*'3. Pollutant Emissions - EF'!$J624*IF(OR(ISBLANK($E624),$G624="Yes"),1,$E624)*IF($H624="Yes",1,(1-$F624))</f>
        <v>2.5344000000000003E-5</v>
      </c>
      <c r="O624" s="130">
        <f>IFERROR(IF(OR($C624="",$C624="No CAS"),INDEX('DEQ Pollutant List'!$D$7:$D$611,MATCH($D624,'DEQ Pollutant List'!$B$7:$B$611,0)),INDEX('DEQ Pollutant List'!$D$7:$D$611,MATCH($C624,'DEQ Pollutant List'!$A$7:$A$611,0))),"")</f>
        <v>580</v>
      </c>
    </row>
    <row r="625" spans="1:15" ht="15" x14ac:dyDescent="0.25">
      <c r="A625" s="5" t="s">
        <v>1538</v>
      </c>
      <c r="B625" s="7"/>
      <c r="C625" s="13" t="s">
        <v>114</v>
      </c>
      <c r="D625" s="19" t="str">
        <f>IFERROR(IF(C625="No CAS","",INDEX('DEQ Pollutant List'!$B$7:$B$611,MATCH('3. Pollutant Emissions - EF'!C625,'DEQ Pollutant List'!$A$7:$A$611,0))),"")</f>
        <v>Thallium and compounds</v>
      </c>
      <c r="E625" s="100">
        <v>0</v>
      </c>
      <c r="F625" s="36">
        <v>0</v>
      </c>
      <c r="G625" s="100" t="s">
        <v>1415</v>
      </c>
      <c r="H625" s="36" t="s">
        <v>1415</v>
      </c>
      <c r="I625" s="34">
        <v>2.4000000000000001E-4</v>
      </c>
      <c r="J625" s="11">
        <f t="shared" si="16"/>
        <v>2.4000000000000001E-4</v>
      </c>
      <c r="K625" s="6" t="s">
        <v>1417</v>
      </c>
      <c r="L625" s="20" t="s">
        <v>1589</v>
      </c>
      <c r="M625" s="7">
        <f>IF(ISBLANK($B625),_xlfn.XLOOKUP($A625,'2. TEUs &amp; Activities - EF'!$A$9:$A$190,'2. TEUs &amp; Activities - EF'!$J$9:$J$190),_xlfn.XLOOKUP($B625,'2. TEUs &amp; Activities - EF'!$B$9:$B$190,'2. TEUs &amp; Activities - EF'!$J$9:$J$190))*'3. Pollutant Emissions - EF'!$I625*IF(OR(ISBLANK($E625),$G625="Yes"),1,$E625)*IF($H625="Yes",1,(1-$F625))</f>
        <v>5.2800000000000004E-4</v>
      </c>
      <c r="N625" s="5">
        <f>IF(ISBLANK($B625),_xlfn.XLOOKUP($A625,'2. TEUs &amp; Activities - EF'!$A$9:$A$190,'2. TEUs &amp; Activities - EF'!$M$9:$M$190),_xlfn.XLOOKUP($B625,'2. TEUs &amp; Activities - EF'!$B$9:$B$190,'2. TEUs &amp; Activities - EF'!$M$9:$M$190))*'3. Pollutant Emissions - EF'!$J625*IF(OR(ISBLANK($E625),$G625="Yes"),1,$E625)*IF($H625="Yes",1,(1-$F625))</f>
        <v>1.2672000000000001E-4</v>
      </c>
      <c r="O625" s="130">
        <f>IFERROR(IF(OR($C625="",$C625="No CAS"),INDEX('DEQ Pollutant List'!$D$7:$D$611,MATCH($D625,'DEQ Pollutant List'!$B$7:$B$611,0)),INDEX('DEQ Pollutant List'!$D$7:$D$611,MATCH($C625,'DEQ Pollutant List'!$A$7:$A$611,0))),"")</f>
        <v>595</v>
      </c>
    </row>
    <row r="626" spans="1:15" ht="15" x14ac:dyDescent="0.25">
      <c r="A626" s="5" t="s">
        <v>1538</v>
      </c>
      <c r="B626" s="7"/>
      <c r="C626" s="13" t="s">
        <v>68</v>
      </c>
      <c r="D626" s="19" t="str">
        <f>IFERROR(IF(C626="No CAS","",INDEX('DEQ Pollutant List'!$B$7:$B$611,MATCH('3. Pollutant Emissions - EF'!C626,'DEQ Pollutant List'!$A$7:$A$611,0))),"")</f>
        <v>Toluene</v>
      </c>
      <c r="E626" s="100">
        <v>0</v>
      </c>
      <c r="F626" s="36">
        <v>0</v>
      </c>
      <c r="G626" s="100" t="s">
        <v>1415</v>
      </c>
      <c r="H626" s="36" t="s">
        <v>1415</v>
      </c>
      <c r="I626" s="34">
        <v>0.11</v>
      </c>
      <c r="J626" s="11">
        <f t="shared" si="16"/>
        <v>0.11</v>
      </c>
      <c r="K626" s="6" t="s">
        <v>1417</v>
      </c>
      <c r="L626" s="20" t="s">
        <v>1589</v>
      </c>
      <c r="M626" s="7">
        <f>IF(ISBLANK($B626),_xlfn.XLOOKUP($A626,'2. TEUs &amp; Activities - EF'!$A$9:$A$190,'2. TEUs &amp; Activities - EF'!$J$9:$J$190),_xlfn.XLOOKUP($B626,'2. TEUs &amp; Activities - EF'!$B$9:$B$190,'2. TEUs &amp; Activities - EF'!$J$9:$J$190))*'3. Pollutant Emissions - EF'!$I626*IF(OR(ISBLANK($E626),$G626="Yes"),1,$E626)*IF($H626="Yes",1,(1-$F626))</f>
        <v>0.24200000000000002</v>
      </c>
      <c r="N626" s="5">
        <f>IF(ISBLANK($B626),_xlfn.XLOOKUP($A626,'2. TEUs &amp; Activities - EF'!$A$9:$A$190,'2. TEUs &amp; Activities - EF'!$M$9:$M$190),_xlfn.XLOOKUP($B626,'2. TEUs &amp; Activities - EF'!$B$9:$B$190,'2. TEUs &amp; Activities - EF'!$M$9:$M$190))*'3. Pollutant Emissions - EF'!$J626*IF(OR(ISBLANK($E626),$G626="Yes"),1,$E626)*IF($H626="Yes",1,(1-$F626))</f>
        <v>5.808E-2</v>
      </c>
      <c r="O626" s="130">
        <f>IFERROR(IF(OR($C626="",$C626="No CAS"),INDEX('DEQ Pollutant List'!$D$7:$D$611,MATCH($D626,'DEQ Pollutant List'!$B$7:$B$611,0)),INDEX('DEQ Pollutant List'!$D$7:$D$611,MATCH($C626,'DEQ Pollutant List'!$A$7:$A$611,0))),"")</f>
        <v>600</v>
      </c>
    </row>
    <row r="627" spans="1:15" ht="15" x14ac:dyDescent="0.25">
      <c r="A627" s="5" t="s">
        <v>1538</v>
      </c>
      <c r="B627" s="7"/>
      <c r="C627" s="13" t="s">
        <v>70</v>
      </c>
      <c r="D627" s="19" t="str">
        <f>IFERROR(IF(C627="No CAS","",INDEX('DEQ Pollutant List'!$B$7:$B$611,MATCH('3. Pollutant Emissions - EF'!C627,'DEQ Pollutant List'!$A$7:$A$611,0))),"")</f>
        <v>Xylene (mixture), including m-xylene, o-xylene, p-xylene</v>
      </c>
      <c r="E627" s="100">
        <v>0</v>
      </c>
      <c r="F627" s="36">
        <v>0</v>
      </c>
      <c r="G627" s="100" t="s">
        <v>1415</v>
      </c>
      <c r="H627" s="36" t="s">
        <v>1415</v>
      </c>
      <c r="I627" s="34">
        <v>0.04</v>
      </c>
      <c r="J627" s="11">
        <f t="shared" si="16"/>
        <v>0.04</v>
      </c>
      <c r="K627" s="6" t="s">
        <v>1417</v>
      </c>
      <c r="L627" s="20" t="s">
        <v>1589</v>
      </c>
      <c r="M627" s="7">
        <f>IF(ISBLANK($B627),_xlfn.XLOOKUP($A627,'2. TEUs &amp; Activities - EF'!$A$9:$A$190,'2. TEUs &amp; Activities - EF'!$J$9:$J$190),_xlfn.XLOOKUP($B627,'2. TEUs &amp; Activities - EF'!$B$9:$B$190,'2. TEUs &amp; Activities - EF'!$J$9:$J$190))*'3. Pollutant Emissions - EF'!$I627*IF(OR(ISBLANK($E627),$G627="Yes"),1,$E627)*IF($H627="Yes",1,(1-$F627))</f>
        <v>8.8000000000000009E-2</v>
      </c>
      <c r="N627" s="5">
        <f>IF(ISBLANK($B627),_xlfn.XLOOKUP($A627,'2. TEUs &amp; Activities - EF'!$A$9:$A$190,'2. TEUs &amp; Activities - EF'!$M$9:$M$190),_xlfn.XLOOKUP($B627,'2. TEUs &amp; Activities - EF'!$B$9:$B$190,'2. TEUs &amp; Activities - EF'!$M$9:$M$190))*'3. Pollutant Emissions - EF'!$J627*IF(OR(ISBLANK($E627),$G627="Yes"),1,$E627)*IF($H627="Yes",1,(1-$F627))</f>
        <v>2.112E-2</v>
      </c>
      <c r="O627" s="130">
        <f>IFERROR(IF(OR($C627="",$C627="No CAS"),INDEX('DEQ Pollutant List'!$D$7:$D$611,MATCH($D627,'DEQ Pollutant List'!$B$7:$B$611,0)),INDEX('DEQ Pollutant List'!$D$7:$D$611,MATCH($C627,'DEQ Pollutant List'!$A$7:$A$611,0))),"")</f>
        <v>628</v>
      </c>
    </row>
    <row r="628" spans="1:15" ht="15" x14ac:dyDescent="0.25">
      <c r="A628" s="5" t="s">
        <v>1538</v>
      </c>
      <c r="B628" s="7"/>
      <c r="C628" s="13" t="s">
        <v>71</v>
      </c>
      <c r="D628" s="19" t="str">
        <f>IFERROR(IF(C628="No CAS","",INDEX('DEQ Pollutant List'!$B$7:$B$611,MATCH('3. Pollutant Emissions - EF'!C628,'DEQ Pollutant List'!$A$7:$A$611,0))),"")</f>
        <v>Zinc and compounds</v>
      </c>
      <c r="E628" s="100">
        <v>0</v>
      </c>
      <c r="F628" s="36">
        <v>0</v>
      </c>
      <c r="G628" s="100" t="s">
        <v>1415</v>
      </c>
      <c r="H628" s="36" t="s">
        <v>1415</v>
      </c>
      <c r="I628" s="34">
        <v>5.2300000000000003E-3</v>
      </c>
      <c r="J628" s="11">
        <f t="shared" si="16"/>
        <v>5.2300000000000003E-3</v>
      </c>
      <c r="K628" s="6" t="s">
        <v>1417</v>
      </c>
      <c r="L628" s="20" t="s">
        <v>1589</v>
      </c>
      <c r="M628" s="7">
        <f>IF(ISBLANK($B628),_xlfn.XLOOKUP($A628,'2. TEUs &amp; Activities - EF'!$A$9:$A$190,'2. TEUs &amp; Activities - EF'!$J$9:$J$190),_xlfn.XLOOKUP($B628,'2. TEUs &amp; Activities - EF'!$B$9:$B$190,'2. TEUs &amp; Activities - EF'!$J$9:$J$190))*'3. Pollutant Emissions - EF'!$I628*IF(OR(ISBLANK($E628),$G628="Yes"),1,$E628)*IF($H628="Yes",1,(1-$F628))</f>
        <v>1.1506000000000002E-2</v>
      </c>
      <c r="N628" s="5">
        <f>IF(ISBLANK($B628),_xlfn.XLOOKUP($A628,'2. TEUs &amp; Activities - EF'!$A$9:$A$190,'2. TEUs &amp; Activities - EF'!$M$9:$M$190),_xlfn.XLOOKUP($B628,'2. TEUs &amp; Activities - EF'!$B$9:$B$190,'2. TEUs &amp; Activities - EF'!$M$9:$M$190))*'3. Pollutant Emissions - EF'!$J628*IF(OR(ISBLANK($E628),$G628="Yes"),1,$E628)*IF($H628="Yes",1,(1-$F628))</f>
        <v>2.7614400000000004E-3</v>
      </c>
      <c r="O628" s="130">
        <f>IFERROR(IF(OR($C628="",$C628="No CAS"),INDEX('DEQ Pollutant List'!$D$7:$D$611,MATCH($D628,'DEQ Pollutant List'!$B$7:$B$611,0)),INDEX('DEQ Pollutant List'!$D$7:$D$611,MATCH($C628,'DEQ Pollutant List'!$A$7:$A$611,0))),"")</f>
        <v>632</v>
      </c>
    </row>
    <row r="629" spans="1:15" ht="15" x14ac:dyDescent="0.25">
      <c r="A629" s="5"/>
      <c r="B629" s="7"/>
      <c r="C629" s="13"/>
      <c r="D629" s="19" t="str">
        <f>IFERROR(IF(C629="No CAS","",INDEX('DEQ Pollutant List'!$B$7:$B$611,MATCH('3. Pollutant Emissions - EF'!C629,'DEQ Pollutant List'!$A$7:$A$611,0))),"")</f>
        <v/>
      </c>
      <c r="E629" s="100"/>
      <c r="F629" s="36"/>
      <c r="G629" s="100"/>
      <c r="H629" s="36"/>
      <c r="I629" s="34"/>
      <c r="J629" s="11"/>
      <c r="K629" s="6"/>
      <c r="L629" s="20"/>
      <c r="M629" s="7">
        <f>IF(ISBLANK($B629),_xlfn.XLOOKUP($A629,'2. TEUs &amp; Activities - EF'!$A$9:$A$190,'2. TEUs &amp; Activities - EF'!$J$9:$J$190),_xlfn.XLOOKUP($B629,'2. TEUs &amp; Activities - EF'!$B$9:$B$190,'2. TEUs &amp; Activities - EF'!$J$9:$J$190))*'3. Pollutant Emissions - EF'!$I629*IF(OR(ISBLANK($E629),$G629="Yes"),1,$E629)*IF($H629="Yes",1,(1-$F629))</f>
        <v>0</v>
      </c>
      <c r="N629" s="5">
        <f>IF(ISBLANK($B629),_xlfn.XLOOKUP($A629,'2. TEUs &amp; Activities - EF'!$A$9:$A$190,'2. TEUs &amp; Activities - EF'!$M$9:$M$190),_xlfn.XLOOKUP($B629,'2. TEUs &amp; Activities - EF'!$B$9:$B$190,'2. TEUs &amp; Activities - EF'!$M$9:$M$190))*'3. Pollutant Emissions - EF'!$J629*IF(OR(ISBLANK($E629),$G629="Yes"),1,$E629)*IF($H629="Yes",1,(1-$F629))</f>
        <v>0</v>
      </c>
      <c r="O629" s="130" t="str">
        <f>IFERROR(IF(OR($C629="",$C629="No CAS"),INDEX('DEQ Pollutant List'!$D$7:$D$611,MATCH($D629,'DEQ Pollutant List'!$B$7:$B$611,0)),INDEX('DEQ Pollutant List'!$D$7:$D$611,MATCH($C629,'DEQ Pollutant List'!$A$7:$A$611,0))),"")</f>
        <v/>
      </c>
    </row>
    <row r="630" spans="1:15" ht="15" x14ac:dyDescent="0.25">
      <c r="A630" s="5" t="s">
        <v>1539</v>
      </c>
      <c r="B630" s="7"/>
      <c r="C630" s="13" t="s">
        <v>229</v>
      </c>
      <c r="D630" s="19" t="str">
        <f>IFERROR(IF(C630="No CAS","",INDEX('DEQ Pollutant List'!$B$7:$B$611,MATCH('3. Pollutant Emissions - EF'!C630,'DEQ Pollutant List'!$A$7:$A$611,0))),"")</f>
        <v>1,3-Butadiene</v>
      </c>
      <c r="E630" s="100">
        <v>0</v>
      </c>
      <c r="F630" s="36">
        <v>0</v>
      </c>
      <c r="G630" s="100" t="s">
        <v>1415</v>
      </c>
      <c r="H630" s="36" t="s">
        <v>1415</v>
      </c>
      <c r="I630" s="34">
        <v>0.21740000000000001</v>
      </c>
      <c r="J630" s="11">
        <f t="shared" ref="J630:J663" si="17">I630</f>
        <v>0.21740000000000001</v>
      </c>
      <c r="K630" s="6" t="s">
        <v>1417</v>
      </c>
      <c r="L630" s="20" t="s">
        <v>1589</v>
      </c>
      <c r="M630" s="7">
        <f>IF(ISBLANK($B630),_xlfn.XLOOKUP($A630,'2. TEUs &amp; Activities - EF'!$A$9:$A$190,'2. TEUs &amp; Activities - EF'!$J$9:$J$190),_xlfn.XLOOKUP($B630,'2. TEUs &amp; Activities - EF'!$B$9:$B$190,'2. TEUs &amp; Activities - EF'!$J$9:$J$190))*'3. Pollutant Emissions - EF'!$I630*IF(OR(ISBLANK($E630),$G630="Yes"),1,$E630)*IF($H630="Yes",1,(1-$F630))</f>
        <v>0.730464</v>
      </c>
      <c r="N630" s="5">
        <f>IF(ISBLANK($B630),_xlfn.XLOOKUP($A630,'2. TEUs &amp; Activities - EF'!$A$9:$A$190,'2. TEUs &amp; Activities - EF'!$M$9:$M$190),_xlfn.XLOOKUP($B630,'2. TEUs &amp; Activities - EF'!$B$9:$B$190,'2. TEUs &amp; Activities - EF'!$M$9:$M$190))*'3. Pollutant Emissions - EF'!$J630*IF(OR(ISBLANK($E630),$G630="Yes"),1,$E630)*IF($H630="Yes",1,(1-$F630))</f>
        <v>0.17531136000000003</v>
      </c>
      <c r="O630" s="130">
        <f>IFERROR(IF(OR($C630="",$C630="No CAS"),INDEX('DEQ Pollutant List'!$D$7:$D$611,MATCH($D630,'DEQ Pollutant List'!$B$7:$B$611,0)),INDEX('DEQ Pollutant List'!$D$7:$D$611,MATCH($C630,'DEQ Pollutant List'!$A$7:$A$611,0))),"")</f>
        <v>75</v>
      </c>
    </row>
    <row r="631" spans="1:15" ht="15" x14ac:dyDescent="0.25">
      <c r="A631" s="5" t="s">
        <v>1539</v>
      </c>
      <c r="B631" s="7"/>
      <c r="C631" s="13" t="s">
        <v>50</v>
      </c>
      <c r="D631" s="19" t="str">
        <f>IFERROR(IF(C631="No CAS","",INDEX('DEQ Pollutant List'!$B$7:$B$611,MATCH('3. Pollutant Emissions - EF'!C631,'DEQ Pollutant List'!$A$7:$A$611,0))),"")</f>
        <v>Acetaldehyde</v>
      </c>
      <c r="E631" s="100">
        <v>0</v>
      </c>
      <c r="F631" s="36">
        <v>0</v>
      </c>
      <c r="G631" s="100" t="s">
        <v>1415</v>
      </c>
      <c r="H631" s="36" t="s">
        <v>1415</v>
      </c>
      <c r="I631" s="34">
        <v>0.7833</v>
      </c>
      <c r="J631" s="11">
        <f t="shared" si="17"/>
        <v>0.7833</v>
      </c>
      <c r="K631" s="6" t="s">
        <v>1417</v>
      </c>
      <c r="L631" s="20" t="s">
        <v>1589</v>
      </c>
      <c r="M631" s="7">
        <f>IF(ISBLANK($B631),_xlfn.XLOOKUP($A631,'2. TEUs &amp; Activities - EF'!$A$9:$A$190,'2. TEUs &amp; Activities - EF'!$J$9:$J$190),_xlfn.XLOOKUP($B631,'2. TEUs &amp; Activities - EF'!$B$9:$B$190,'2. TEUs &amp; Activities - EF'!$J$9:$J$190))*'3. Pollutant Emissions - EF'!$I631*IF(OR(ISBLANK($E631),$G631="Yes"),1,$E631)*IF($H631="Yes",1,(1-$F631))</f>
        <v>2.631888</v>
      </c>
      <c r="N631" s="5">
        <f>IF(ISBLANK($B631),_xlfn.XLOOKUP($A631,'2. TEUs &amp; Activities - EF'!$A$9:$A$190,'2. TEUs &amp; Activities - EF'!$M$9:$M$190),_xlfn.XLOOKUP($B631,'2. TEUs &amp; Activities - EF'!$B$9:$B$190,'2. TEUs &amp; Activities - EF'!$M$9:$M$190))*'3. Pollutant Emissions - EF'!$J631*IF(OR(ISBLANK($E631),$G631="Yes"),1,$E631)*IF($H631="Yes",1,(1-$F631))</f>
        <v>0.63165312000000007</v>
      </c>
      <c r="O631" s="130">
        <f>IFERROR(IF(OR($C631="",$C631="No CAS"),INDEX('DEQ Pollutant List'!$D$7:$D$611,MATCH($D631,'DEQ Pollutant List'!$B$7:$B$611,0)),INDEX('DEQ Pollutant List'!$D$7:$D$611,MATCH($C631,'DEQ Pollutant List'!$A$7:$A$611,0))),"")</f>
        <v>1</v>
      </c>
    </row>
    <row r="632" spans="1:15" ht="15" x14ac:dyDescent="0.25">
      <c r="A632" s="5" t="s">
        <v>1539</v>
      </c>
      <c r="B632" s="7"/>
      <c r="C632" s="13" t="s">
        <v>51</v>
      </c>
      <c r="D632" s="19" t="str">
        <f>IFERROR(IF(C632="No CAS","",INDEX('DEQ Pollutant List'!$B$7:$B$611,MATCH('3. Pollutant Emissions - EF'!C632,'DEQ Pollutant List'!$A$7:$A$611,0))),"")</f>
        <v>Acrolein</v>
      </c>
      <c r="E632" s="100">
        <v>0</v>
      </c>
      <c r="F632" s="36">
        <v>0</v>
      </c>
      <c r="G632" s="100" t="s">
        <v>1415</v>
      </c>
      <c r="H632" s="36" t="s">
        <v>1415</v>
      </c>
      <c r="I632" s="34">
        <v>3.39E-2</v>
      </c>
      <c r="J632" s="11">
        <f t="shared" si="17"/>
        <v>3.39E-2</v>
      </c>
      <c r="K632" s="6" t="s">
        <v>1417</v>
      </c>
      <c r="L632" s="20" t="s">
        <v>1589</v>
      </c>
      <c r="M632" s="7">
        <f>IF(ISBLANK($B632),_xlfn.XLOOKUP($A632,'2. TEUs &amp; Activities - EF'!$A$9:$A$190,'2. TEUs &amp; Activities - EF'!$J$9:$J$190),_xlfn.XLOOKUP($B632,'2. TEUs &amp; Activities - EF'!$B$9:$B$190,'2. TEUs &amp; Activities - EF'!$J$9:$J$190))*'3. Pollutant Emissions - EF'!$I632*IF(OR(ISBLANK($E632),$G632="Yes"),1,$E632)*IF($H632="Yes",1,(1-$F632))</f>
        <v>0.11390399999999999</v>
      </c>
      <c r="N632" s="5">
        <f>IF(ISBLANK($B632),_xlfn.XLOOKUP($A632,'2. TEUs &amp; Activities - EF'!$A$9:$A$190,'2. TEUs &amp; Activities - EF'!$M$9:$M$190),_xlfn.XLOOKUP($B632,'2. TEUs &amp; Activities - EF'!$B$9:$B$190,'2. TEUs &amp; Activities - EF'!$M$9:$M$190))*'3. Pollutant Emissions - EF'!$J632*IF(OR(ISBLANK($E632),$G632="Yes"),1,$E632)*IF($H632="Yes",1,(1-$F632))</f>
        <v>2.7336960000000004E-2</v>
      </c>
      <c r="O632" s="130">
        <f>IFERROR(IF(OR($C632="",$C632="No CAS"),INDEX('DEQ Pollutant List'!$D$7:$D$611,MATCH($D632,'DEQ Pollutant List'!$B$7:$B$611,0)),INDEX('DEQ Pollutant List'!$D$7:$D$611,MATCH($C632,'DEQ Pollutant List'!$A$7:$A$611,0))),"")</f>
        <v>5</v>
      </c>
    </row>
    <row r="633" spans="1:15" ht="15" x14ac:dyDescent="0.25">
      <c r="A633" s="5" t="s">
        <v>1539</v>
      </c>
      <c r="B633" s="7"/>
      <c r="C633" s="13" t="s">
        <v>52</v>
      </c>
      <c r="D633" s="19" t="str">
        <f>IFERROR(IF(C633="No CAS","",INDEX('DEQ Pollutant List'!$B$7:$B$611,MATCH('3. Pollutant Emissions - EF'!C633,'DEQ Pollutant List'!$A$7:$A$611,0))),"")</f>
        <v>Ammonia</v>
      </c>
      <c r="E633" s="100">
        <v>0</v>
      </c>
      <c r="F633" s="36">
        <v>0</v>
      </c>
      <c r="G633" s="100" t="s">
        <v>1415</v>
      </c>
      <c r="H633" s="36" t="s">
        <v>1415</v>
      </c>
      <c r="I633" s="34">
        <v>0.8</v>
      </c>
      <c r="J633" s="11">
        <f t="shared" si="17"/>
        <v>0.8</v>
      </c>
      <c r="K633" s="6" t="s">
        <v>1417</v>
      </c>
      <c r="L633" s="20" t="s">
        <v>1590</v>
      </c>
      <c r="M633" s="7">
        <f>IF(ISBLANK($B633),_xlfn.XLOOKUP($A633,'2. TEUs &amp; Activities - EF'!$A$9:$A$190,'2. TEUs &amp; Activities - EF'!$J$9:$J$190),_xlfn.XLOOKUP($B633,'2. TEUs &amp; Activities - EF'!$B$9:$B$190,'2. TEUs &amp; Activities - EF'!$J$9:$J$190))*'3. Pollutant Emissions - EF'!$I633*IF(OR(ISBLANK($E633),$G633="Yes"),1,$E633)*IF($H633="Yes",1,(1-$F633))</f>
        <v>2.6880000000000002</v>
      </c>
      <c r="N633" s="5">
        <f>IF(ISBLANK($B633),_xlfn.XLOOKUP($A633,'2. TEUs &amp; Activities - EF'!$A$9:$A$190,'2. TEUs &amp; Activities - EF'!$M$9:$M$190),_xlfn.XLOOKUP($B633,'2. TEUs &amp; Activities - EF'!$B$9:$B$190,'2. TEUs &amp; Activities - EF'!$M$9:$M$190))*'3. Pollutant Emissions - EF'!$J633*IF(OR(ISBLANK($E633),$G633="Yes"),1,$E633)*IF($H633="Yes",1,(1-$F633))</f>
        <v>0.64512000000000014</v>
      </c>
      <c r="O633" s="130">
        <f>IFERROR(IF(OR($C633="",$C633="No CAS"),INDEX('DEQ Pollutant List'!$D$7:$D$611,MATCH($D633,'DEQ Pollutant List'!$B$7:$B$611,0)),INDEX('DEQ Pollutant List'!$D$7:$D$611,MATCH($C633,'DEQ Pollutant List'!$A$7:$A$611,0))),"")</f>
        <v>26</v>
      </c>
    </row>
    <row r="634" spans="1:15" ht="15" x14ac:dyDescent="0.25">
      <c r="A634" s="5" t="s">
        <v>1539</v>
      </c>
      <c r="B634" s="7"/>
      <c r="C634" s="13" t="s">
        <v>112</v>
      </c>
      <c r="D634" s="19" t="str">
        <f>IFERROR(IF(C634="No CAS","",INDEX('DEQ Pollutant List'!$B$7:$B$611,MATCH('3. Pollutant Emissions - EF'!C634,'DEQ Pollutant List'!$A$7:$A$611,0))),"")</f>
        <v>Antimony and compounds</v>
      </c>
      <c r="E634" s="100">
        <v>0</v>
      </c>
      <c r="F634" s="36">
        <v>0</v>
      </c>
      <c r="G634" s="100" t="s">
        <v>1415</v>
      </c>
      <c r="H634" s="36" t="s">
        <v>1415</v>
      </c>
      <c r="I634" s="34">
        <v>3.1799999999999998E-4</v>
      </c>
      <c r="J634" s="11">
        <f t="shared" si="17"/>
        <v>3.1799999999999998E-4</v>
      </c>
      <c r="K634" s="6" t="s">
        <v>1417</v>
      </c>
      <c r="L634" s="20" t="s">
        <v>1589</v>
      </c>
      <c r="M634" s="7">
        <f>IF(ISBLANK($B634),_xlfn.XLOOKUP($A634,'2. TEUs &amp; Activities - EF'!$A$9:$A$190,'2. TEUs &amp; Activities - EF'!$J$9:$J$190),_xlfn.XLOOKUP($B634,'2. TEUs &amp; Activities - EF'!$B$9:$B$190,'2. TEUs &amp; Activities - EF'!$J$9:$J$190))*'3. Pollutant Emissions - EF'!$I634*IF(OR(ISBLANK($E634),$G634="Yes"),1,$E634)*IF($H634="Yes",1,(1-$F634))</f>
        <v>1.0684799999999999E-3</v>
      </c>
      <c r="N634" s="5">
        <f>IF(ISBLANK($B634),_xlfn.XLOOKUP($A634,'2. TEUs &amp; Activities - EF'!$A$9:$A$190,'2. TEUs &amp; Activities - EF'!$M$9:$M$190),_xlfn.XLOOKUP($B634,'2. TEUs &amp; Activities - EF'!$B$9:$B$190,'2. TEUs &amp; Activities - EF'!$M$9:$M$190))*'3. Pollutant Emissions - EF'!$J634*IF(OR(ISBLANK($E634),$G634="Yes"),1,$E634)*IF($H634="Yes",1,(1-$F634))</f>
        <v>2.5643520000000002E-4</v>
      </c>
      <c r="O634" s="130">
        <f>IFERROR(IF(OR($C634="",$C634="No CAS"),INDEX('DEQ Pollutant List'!$D$7:$D$611,MATCH($D634,'DEQ Pollutant List'!$B$7:$B$611,0)),INDEX('DEQ Pollutant List'!$D$7:$D$611,MATCH($C634,'DEQ Pollutant List'!$A$7:$A$611,0))),"")</f>
        <v>33</v>
      </c>
    </row>
    <row r="635" spans="1:15" ht="15" x14ac:dyDescent="0.25">
      <c r="A635" s="5" t="s">
        <v>1539</v>
      </c>
      <c r="B635" s="7"/>
      <c r="C635" s="13" t="s">
        <v>53</v>
      </c>
      <c r="D635" s="19" t="str">
        <f>IFERROR(IF(C635="No CAS","",INDEX('DEQ Pollutant List'!$B$7:$B$611,MATCH('3. Pollutant Emissions - EF'!C635,'DEQ Pollutant List'!$A$7:$A$611,0))),"")</f>
        <v>Arsenic and compounds</v>
      </c>
      <c r="E635" s="100">
        <v>0</v>
      </c>
      <c r="F635" s="36">
        <v>0</v>
      </c>
      <c r="G635" s="100" t="s">
        <v>1415</v>
      </c>
      <c r="H635" s="36" t="s">
        <v>1415</v>
      </c>
      <c r="I635" s="34">
        <v>1.6000000000000001E-3</v>
      </c>
      <c r="J635" s="11">
        <f t="shared" si="17"/>
        <v>1.6000000000000001E-3</v>
      </c>
      <c r="K635" s="6" t="s">
        <v>1417</v>
      </c>
      <c r="L635" s="20" t="s">
        <v>1589</v>
      </c>
      <c r="M635" s="7">
        <f>IF(ISBLANK($B635),_xlfn.XLOOKUP($A635,'2. TEUs &amp; Activities - EF'!$A$9:$A$190,'2. TEUs &amp; Activities - EF'!$J$9:$J$190),_xlfn.XLOOKUP($B635,'2. TEUs &amp; Activities - EF'!$B$9:$B$190,'2. TEUs &amp; Activities - EF'!$J$9:$J$190))*'3. Pollutant Emissions - EF'!$I635*IF(OR(ISBLANK($E635),$G635="Yes"),1,$E635)*IF($H635="Yes",1,(1-$F635))</f>
        <v>5.3759999999999997E-3</v>
      </c>
      <c r="N635" s="5">
        <f>IF(ISBLANK($B635),_xlfn.XLOOKUP($A635,'2. TEUs &amp; Activities - EF'!$A$9:$A$190,'2. TEUs &amp; Activities - EF'!$M$9:$M$190),_xlfn.XLOOKUP($B635,'2. TEUs &amp; Activities - EF'!$B$9:$B$190,'2. TEUs &amp; Activities - EF'!$M$9:$M$190))*'3. Pollutant Emissions - EF'!$J635*IF(OR(ISBLANK($E635),$G635="Yes"),1,$E635)*IF($H635="Yes",1,(1-$F635))</f>
        <v>1.2902400000000002E-3</v>
      </c>
      <c r="O635" s="130">
        <f>IFERROR(IF(OR($C635="",$C635="No CAS"),INDEX('DEQ Pollutant List'!$D$7:$D$611,MATCH($D635,'DEQ Pollutant List'!$B$7:$B$611,0)),INDEX('DEQ Pollutant List'!$D$7:$D$611,MATCH($C635,'DEQ Pollutant List'!$A$7:$A$611,0))),"")</f>
        <v>37</v>
      </c>
    </row>
    <row r="636" spans="1:15" ht="15" x14ac:dyDescent="0.25">
      <c r="A636" s="5" t="s">
        <v>1539</v>
      </c>
      <c r="B636" s="7"/>
      <c r="C636" s="13" t="s">
        <v>54</v>
      </c>
      <c r="D636" s="19" t="str">
        <f>IFERROR(IF(C636="No CAS","",INDEX('DEQ Pollutant List'!$B$7:$B$611,MATCH('3. Pollutant Emissions - EF'!C636,'DEQ Pollutant List'!$A$7:$A$611,0))),"")</f>
        <v>Barium and compounds</v>
      </c>
      <c r="E636" s="100">
        <v>0</v>
      </c>
      <c r="F636" s="36">
        <v>0</v>
      </c>
      <c r="G636" s="100" t="s">
        <v>1415</v>
      </c>
      <c r="H636" s="36" t="s">
        <v>1415</v>
      </c>
      <c r="I636" s="34">
        <v>3.7399999999999998E-4</v>
      </c>
      <c r="J636" s="11">
        <f t="shared" si="17"/>
        <v>3.7399999999999998E-4</v>
      </c>
      <c r="K636" s="6" t="s">
        <v>1417</v>
      </c>
      <c r="L636" s="20" t="s">
        <v>1589</v>
      </c>
      <c r="M636" s="7">
        <f>IF(ISBLANK($B636),_xlfn.XLOOKUP($A636,'2. TEUs &amp; Activities - EF'!$A$9:$A$190,'2. TEUs &amp; Activities - EF'!$J$9:$J$190),_xlfn.XLOOKUP($B636,'2. TEUs &amp; Activities - EF'!$B$9:$B$190,'2. TEUs &amp; Activities - EF'!$J$9:$J$190))*'3. Pollutant Emissions - EF'!$I636*IF(OR(ISBLANK($E636),$G636="Yes"),1,$E636)*IF($H636="Yes",1,(1-$F636))</f>
        <v>1.2566399999999998E-3</v>
      </c>
      <c r="N636" s="5">
        <f>IF(ISBLANK($B636),_xlfn.XLOOKUP($A636,'2. TEUs &amp; Activities - EF'!$A$9:$A$190,'2. TEUs &amp; Activities - EF'!$M$9:$M$190),_xlfn.XLOOKUP($B636,'2. TEUs &amp; Activities - EF'!$B$9:$B$190,'2. TEUs &amp; Activities - EF'!$M$9:$M$190))*'3. Pollutant Emissions - EF'!$J636*IF(OR(ISBLANK($E636),$G636="Yes"),1,$E636)*IF($H636="Yes",1,(1-$F636))</f>
        <v>3.0159360000000005E-4</v>
      </c>
      <c r="O636" s="130">
        <f>IFERROR(IF(OR($C636="",$C636="No CAS"),INDEX('DEQ Pollutant List'!$D$7:$D$611,MATCH($D636,'DEQ Pollutant List'!$B$7:$B$611,0)),INDEX('DEQ Pollutant List'!$D$7:$D$611,MATCH($C636,'DEQ Pollutant List'!$A$7:$A$611,0))),"")</f>
        <v>45</v>
      </c>
    </row>
    <row r="637" spans="1:15" ht="15" x14ac:dyDescent="0.25">
      <c r="A637" s="5" t="s">
        <v>1539</v>
      </c>
      <c r="B637" s="7"/>
      <c r="C637" s="13" t="s">
        <v>46</v>
      </c>
      <c r="D637" s="19" t="str">
        <f>IFERROR(IF(C637="No CAS","",INDEX('DEQ Pollutant List'!$B$7:$B$611,MATCH('3. Pollutant Emissions - EF'!C637,'DEQ Pollutant List'!$A$7:$A$611,0))),"")</f>
        <v>Benzene</v>
      </c>
      <c r="E637" s="100">
        <v>0</v>
      </c>
      <c r="F637" s="36">
        <v>0</v>
      </c>
      <c r="G637" s="100" t="s">
        <v>1415</v>
      </c>
      <c r="H637" s="36" t="s">
        <v>1415</v>
      </c>
      <c r="I637" s="34">
        <v>0.18629999999999999</v>
      </c>
      <c r="J637" s="11">
        <f t="shared" si="17"/>
        <v>0.18629999999999999</v>
      </c>
      <c r="K637" s="6" t="s">
        <v>1417</v>
      </c>
      <c r="L637" s="20" t="s">
        <v>1589</v>
      </c>
      <c r="M637" s="7">
        <f>IF(ISBLANK($B637),_xlfn.XLOOKUP($A637,'2. TEUs &amp; Activities - EF'!$A$9:$A$190,'2. TEUs &amp; Activities - EF'!$J$9:$J$190),_xlfn.XLOOKUP($B637,'2. TEUs &amp; Activities - EF'!$B$9:$B$190,'2. TEUs &amp; Activities - EF'!$J$9:$J$190))*'3. Pollutant Emissions - EF'!$I637*IF(OR(ISBLANK($E637),$G637="Yes"),1,$E637)*IF($H637="Yes",1,(1-$F637))</f>
        <v>0.62596799999999997</v>
      </c>
      <c r="N637" s="5">
        <f>IF(ISBLANK($B637),_xlfn.XLOOKUP($A637,'2. TEUs &amp; Activities - EF'!$A$9:$A$190,'2. TEUs &amp; Activities - EF'!$M$9:$M$190),_xlfn.XLOOKUP($B637,'2. TEUs &amp; Activities - EF'!$B$9:$B$190,'2. TEUs &amp; Activities - EF'!$M$9:$M$190))*'3. Pollutant Emissions - EF'!$J637*IF(OR(ISBLANK($E637),$G637="Yes"),1,$E637)*IF($H637="Yes",1,(1-$F637))</f>
        <v>0.15023232000000003</v>
      </c>
      <c r="O637" s="130">
        <f>IFERROR(IF(OR($C637="",$C637="No CAS"),INDEX('DEQ Pollutant List'!$D$7:$D$611,MATCH($D637,'DEQ Pollutant List'!$B$7:$B$611,0)),INDEX('DEQ Pollutant List'!$D$7:$D$611,MATCH($C637,'DEQ Pollutant List'!$A$7:$A$611,0))),"")</f>
        <v>46</v>
      </c>
    </row>
    <row r="638" spans="1:15" ht="15" x14ac:dyDescent="0.25">
      <c r="A638" s="5" t="s">
        <v>1539</v>
      </c>
      <c r="B638" s="7"/>
      <c r="C638" s="13" t="s">
        <v>48</v>
      </c>
      <c r="D638" s="19" t="str">
        <f>IFERROR(IF(C638="No CAS","",INDEX('DEQ Pollutant List'!$B$7:$B$611,MATCH('3. Pollutant Emissions - EF'!C638,'DEQ Pollutant List'!$A$7:$A$611,0))),"")</f>
        <v>Benzo[a]pyrene</v>
      </c>
      <c r="E638" s="100">
        <v>0</v>
      </c>
      <c r="F638" s="36">
        <v>0</v>
      </c>
      <c r="G638" s="100" t="s">
        <v>1415</v>
      </c>
      <c r="H638" s="36" t="s">
        <v>1415</v>
      </c>
      <c r="I638" s="34">
        <v>3.5200000000000002E-5</v>
      </c>
      <c r="J638" s="11">
        <f t="shared" si="17"/>
        <v>3.5200000000000002E-5</v>
      </c>
      <c r="K638" s="6" t="s">
        <v>1417</v>
      </c>
      <c r="L638" s="20" t="s">
        <v>1589</v>
      </c>
      <c r="M638" s="7">
        <f>IF(ISBLANK($B638),_xlfn.XLOOKUP($A638,'2. TEUs &amp; Activities - EF'!$A$9:$A$190,'2. TEUs &amp; Activities - EF'!$J$9:$J$190),_xlfn.XLOOKUP($B638,'2. TEUs &amp; Activities - EF'!$B$9:$B$190,'2. TEUs &amp; Activities - EF'!$J$9:$J$190))*'3. Pollutant Emissions - EF'!$I638*IF(OR(ISBLANK($E638),$G638="Yes"),1,$E638)*IF($H638="Yes",1,(1-$F638))</f>
        <v>1.18272E-4</v>
      </c>
      <c r="N638" s="5">
        <f>IF(ISBLANK($B638),_xlfn.XLOOKUP($A638,'2. TEUs &amp; Activities - EF'!$A$9:$A$190,'2. TEUs &amp; Activities - EF'!$M$9:$M$190),_xlfn.XLOOKUP($B638,'2. TEUs &amp; Activities - EF'!$B$9:$B$190,'2. TEUs &amp; Activities - EF'!$M$9:$M$190))*'3. Pollutant Emissions - EF'!$J638*IF(OR(ISBLANK($E638),$G638="Yes"),1,$E638)*IF($H638="Yes",1,(1-$F638))</f>
        <v>2.8385280000000006E-5</v>
      </c>
      <c r="O638" s="130">
        <f>IFERROR(IF(OR($C638="",$C638="No CAS"),INDEX('DEQ Pollutant List'!$D$7:$D$611,MATCH($D638,'DEQ Pollutant List'!$B$7:$B$611,0)),INDEX('DEQ Pollutant List'!$D$7:$D$611,MATCH($C638,'DEQ Pollutant List'!$A$7:$A$611,0))),"")</f>
        <v>406</v>
      </c>
    </row>
    <row r="639" spans="1:15" ht="15" x14ac:dyDescent="0.25">
      <c r="A639" s="5" t="s">
        <v>1539</v>
      </c>
      <c r="B639" s="7"/>
      <c r="C639" s="13" t="s">
        <v>55</v>
      </c>
      <c r="D639" s="19" t="str">
        <f>IFERROR(IF(C639="No CAS","",INDEX('DEQ Pollutant List'!$B$7:$B$611,MATCH('3. Pollutant Emissions - EF'!C639,'DEQ Pollutant List'!$A$7:$A$611,0))),"")</f>
        <v>Beryllium and compounds</v>
      </c>
      <c r="E639" s="100">
        <v>0</v>
      </c>
      <c r="F639" s="36">
        <v>0</v>
      </c>
      <c r="G639" s="100" t="s">
        <v>1415</v>
      </c>
      <c r="H639" s="36" t="s">
        <v>1415</v>
      </c>
      <c r="I639" s="34">
        <v>4.7700000000000001E-6</v>
      </c>
      <c r="J639" s="11">
        <f t="shared" si="17"/>
        <v>4.7700000000000001E-6</v>
      </c>
      <c r="K639" s="6" t="s">
        <v>1417</v>
      </c>
      <c r="L639" s="20" t="s">
        <v>1589</v>
      </c>
      <c r="M639" s="7">
        <f>IF(ISBLANK($B639),_xlfn.XLOOKUP($A639,'2. TEUs &amp; Activities - EF'!$A$9:$A$190,'2. TEUs &amp; Activities - EF'!$J$9:$J$190),_xlfn.XLOOKUP($B639,'2. TEUs &amp; Activities - EF'!$B$9:$B$190,'2. TEUs &amp; Activities - EF'!$J$9:$J$190))*'3. Pollutant Emissions - EF'!$I639*IF(OR(ISBLANK($E639),$G639="Yes"),1,$E639)*IF($H639="Yes",1,(1-$F639))</f>
        <v>1.6027200000000001E-5</v>
      </c>
      <c r="N639" s="5">
        <f>IF(ISBLANK($B639),_xlfn.XLOOKUP($A639,'2. TEUs &amp; Activities - EF'!$A$9:$A$190,'2. TEUs &amp; Activities - EF'!$M$9:$M$190),_xlfn.XLOOKUP($B639,'2. TEUs &amp; Activities - EF'!$B$9:$B$190,'2. TEUs &amp; Activities - EF'!$M$9:$M$190))*'3. Pollutant Emissions - EF'!$J639*IF(OR(ISBLANK($E639),$G639="Yes"),1,$E639)*IF($H639="Yes",1,(1-$F639))</f>
        <v>3.8465280000000003E-6</v>
      </c>
      <c r="O639" s="130">
        <f>IFERROR(IF(OR($C639="",$C639="No CAS"),INDEX('DEQ Pollutant List'!$D$7:$D$611,MATCH($D639,'DEQ Pollutant List'!$B$7:$B$611,0)),INDEX('DEQ Pollutant List'!$D$7:$D$611,MATCH($C639,'DEQ Pollutant List'!$A$7:$A$611,0))),"")</f>
        <v>58</v>
      </c>
    </row>
    <row r="640" spans="1:15" ht="15" x14ac:dyDescent="0.25">
      <c r="A640" s="5" t="s">
        <v>1539</v>
      </c>
      <c r="B640" s="7"/>
      <c r="C640" s="13" t="s">
        <v>56</v>
      </c>
      <c r="D640" s="19" t="str">
        <f>IFERROR(IF(C640="No CAS","",INDEX('DEQ Pollutant List'!$B$7:$B$611,MATCH('3. Pollutant Emissions - EF'!C640,'DEQ Pollutant List'!$A$7:$A$611,0))),"")</f>
        <v>Cadmium and compounds</v>
      </c>
      <c r="E640" s="100">
        <v>0</v>
      </c>
      <c r="F640" s="36">
        <v>0</v>
      </c>
      <c r="G640" s="100" t="s">
        <v>1415</v>
      </c>
      <c r="H640" s="36" t="s">
        <v>1415</v>
      </c>
      <c r="I640" s="34">
        <v>1.5E-3</v>
      </c>
      <c r="J640" s="11">
        <f t="shared" si="17"/>
        <v>1.5E-3</v>
      </c>
      <c r="K640" s="6" t="s">
        <v>1417</v>
      </c>
      <c r="L640" s="20" t="s">
        <v>1589</v>
      </c>
      <c r="M640" s="7">
        <f>IF(ISBLANK($B640),_xlfn.XLOOKUP($A640,'2. TEUs &amp; Activities - EF'!$A$9:$A$190,'2. TEUs &amp; Activities - EF'!$J$9:$J$190),_xlfn.XLOOKUP($B640,'2. TEUs &amp; Activities - EF'!$B$9:$B$190,'2. TEUs &amp; Activities - EF'!$J$9:$J$190))*'3. Pollutant Emissions - EF'!$I640*IF(OR(ISBLANK($E640),$G640="Yes"),1,$E640)*IF($H640="Yes",1,(1-$F640))</f>
        <v>5.0400000000000002E-3</v>
      </c>
      <c r="N640" s="5">
        <f>IF(ISBLANK($B640),_xlfn.XLOOKUP($A640,'2. TEUs &amp; Activities - EF'!$A$9:$A$190,'2. TEUs &amp; Activities - EF'!$M$9:$M$190),_xlfn.XLOOKUP($B640,'2. TEUs &amp; Activities - EF'!$B$9:$B$190,'2. TEUs &amp; Activities - EF'!$M$9:$M$190))*'3. Pollutant Emissions - EF'!$J640*IF(OR(ISBLANK($E640),$G640="Yes"),1,$E640)*IF($H640="Yes",1,(1-$F640))</f>
        <v>1.2096000000000001E-3</v>
      </c>
      <c r="O640" s="130">
        <f>IFERROR(IF(OR($C640="",$C640="No CAS"),INDEX('DEQ Pollutant List'!$D$7:$D$611,MATCH($D640,'DEQ Pollutant List'!$B$7:$B$611,0)),INDEX('DEQ Pollutant List'!$D$7:$D$611,MATCH($C640,'DEQ Pollutant List'!$A$7:$A$611,0))),"")</f>
        <v>83</v>
      </c>
    </row>
    <row r="641" spans="1:15" ht="15" x14ac:dyDescent="0.25">
      <c r="A641" s="5" t="s">
        <v>1539</v>
      </c>
      <c r="B641" s="7"/>
      <c r="C641" s="13" t="s">
        <v>57</v>
      </c>
      <c r="D641" s="19" t="str">
        <f>IFERROR(IF(C641="No CAS","",INDEX('DEQ Pollutant List'!$B$7:$B$611,MATCH('3. Pollutant Emissions - EF'!C641,'DEQ Pollutant List'!$A$7:$A$611,0))),"")</f>
        <v>Chromium VI, chromate and dichromate particulate</v>
      </c>
      <c r="E641" s="100">
        <v>0</v>
      </c>
      <c r="F641" s="36">
        <v>0</v>
      </c>
      <c r="G641" s="100" t="s">
        <v>1415</v>
      </c>
      <c r="H641" s="36" t="s">
        <v>1415</v>
      </c>
      <c r="I641" s="34">
        <v>1E-4</v>
      </c>
      <c r="J641" s="11">
        <f t="shared" si="17"/>
        <v>1E-4</v>
      </c>
      <c r="K641" s="6" t="s">
        <v>1417</v>
      </c>
      <c r="L641" s="20" t="s">
        <v>1589</v>
      </c>
      <c r="M641" s="7">
        <f>IF(ISBLANK($B641),_xlfn.XLOOKUP($A641,'2. TEUs &amp; Activities - EF'!$A$9:$A$190,'2. TEUs &amp; Activities - EF'!$J$9:$J$190),_xlfn.XLOOKUP($B641,'2. TEUs &amp; Activities - EF'!$B$9:$B$190,'2. TEUs &amp; Activities - EF'!$J$9:$J$190))*'3. Pollutant Emissions - EF'!$I641*IF(OR(ISBLANK($E641),$G641="Yes"),1,$E641)*IF($H641="Yes",1,(1-$F641))</f>
        <v>3.3599999999999998E-4</v>
      </c>
      <c r="N641" s="5">
        <f>IF(ISBLANK($B641),_xlfn.XLOOKUP($A641,'2. TEUs &amp; Activities - EF'!$A$9:$A$190,'2. TEUs &amp; Activities - EF'!$M$9:$M$190),_xlfn.XLOOKUP($B641,'2. TEUs &amp; Activities - EF'!$B$9:$B$190,'2. TEUs &amp; Activities - EF'!$M$9:$M$190))*'3. Pollutant Emissions - EF'!$J641*IF(OR(ISBLANK($E641),$G641="Yes"),1,$E641)*IF($H641="Yes",1,(1-$F641))</f>
        <v>8.0640000000000014E-5</v>
      </c>
      <c r="O641" s="130">
        <f>IFERROR(IF(OR($C641="",$C641="No CAS"),INDEX('DEQ Pollutant List'!$D$7:$D$611,MATCH($D641,'DEQ Pollutant List'!$B$7:$B$611,0)),INDEX('DEQ Pollutant List'!$D$7:$D$611,MATCH($C641,'DEQ Pollutant List'!$A$7:$A$611,0))),"")</f>
        <v>136</v>
      </c>
    </row>
    <row r="642" spans="1:15" ht="15" x14ac:dyDescent="0.25">
      <c r="A642" s="5" t="s">
        <v>1539</v>
      </c>
      <c r="B642" s="7"/>
      <c r="C642" s="13" t="s">
        <v>88</v>
      </c>
      <c r="D642" s="19" t="str">
        <f>IFERROR(IF(C642="No CAS","",INDEX('DEQ Pollutant List'!$B$7:$B$611,MATCH('3. Pollutant Emissions - EF'!C642,'DEQ Pollutant List'!$A$7:$A$611,0))),"")</f>
        <v>Chlorobenzene</v>
      </c>
      <c r="E642" s="100">
        <v>0</v>
      </c>
      <c r="F642" s="36">
        <v>0</v>
      </c>
      <c r="G642" s="100" t="s">
        <v>1415</v>
      </c>
      <c r="H642" s="36" t="s">
        <v>1415</v>
      </c>
      <c r="I642" s="34">
        <v>2.0000000000000001E-4</v>
      </c>
      <c r="J642" s="11">
        <f t="shared" si="17"/>
        <v>2.0000000000000001E-4</v>
      </c>
      <c r="K642" s="6" t="s">
        <v>1417</v>
      </c>
      <c r="L642" s="20" t="s">
        <v>1589</v>
      </c>
      <c r="M642" s="7">
        <f>IF(ISBLANK($B642),_xlfn.XLOOKUP($A642,'2. TEUs &amp; Activities - EF'!$A$9:$A$190,'2. TEUs &amp; Activities - EF'!$J$9:$J$190),_xlfn.XLOOKUP($B642,'2. TEUs &amp; Activities - EF'!$B$9:$B$190,'2. TEUs &amp; Activities - EF'!$J$9:$J$190))*'3. Pollutant Emissions - EF'!$I642*IF(OR(ISBLANK($E642),$G642="Yes"),1,$E642)*IF($H642="Yes",1,(1-$F642))</f>
        <v>6.7199999999999996E-4</v>
      </c>
      <c r="N642" s="5">
        <f>IF(ISBLANK($B642),_xlfn.XLOOKUP($A642,'2. TEUs &amp; Activities - EF'!$A$9:$A$190,'2. TEUs &amp; Activities - EF'!$M$9:$M$190),_xlfn.XLOOKUP($B642,'2. TEUs &amp; Activities - EF'!$B$9:$B$190,'2. TEUs &amp; Activities - EF'!$M$9:$M$190))*'3. Pollutant Emissions - EF'!$J642*IF(OR(ISBLANK($E642),$G642="Yes"),1,$E642)*IF($H642="Yes",1,(1-$F642))</f>
        <v>1.6128000000000003E-4</v>
      </c>
      <c r="O642" s="130">
        <f>IFERROR(IF(OR($C642="",$C642="No CAS"),INDEX('DEQ Pollutant List'!$D$7:$D$611,MATCH($D642,'DEQ Pollutant List'!$B$7:$B$611,0)),INDEX('DEQ Pollutant List'!$D$7:$D$611,MATCH($C642,'DEQ Pollutant List'!$A$7:$A$611,0))),"")</f>
        <v>108</v>
      </c>
    </row>
    <row r="643" spans="1:15" ht="15" x14ac:dyDescent="0.25">
      <c r="A643" s="5" t="s">
        <v>1539</v>
      </c>
      <c r="B643" s="7"/>
      <c r="C643" s="13" t="s">
        <v>58</v>
      </c>
      <c r="D643" s="94" t="str">
        <f>IFERROR(IF(C643="No CAS","",INDEX('DEQ Pollutant List'!$B$7:$B$611,MATCH('3. Pollutant Emissions - EF'!C643,'DEQ Pollutant List'!$A$7:$A$611,0))),"")</f>
        <v>Cobalt and compounds</v>
      </c>
      <c r="E643" s="100">
        <v>0</v>
      </c>
      <c r="F643" s="36">
        <v>0</v>
      </c>
      <c r="G643" s="100" t="s">
        <v>1415</v>
      </c>
      <c r="H643" s="36" t="s">
        <v>1415</v>
      </c>
      <c r="I643" s="34">
        <v>1.5800000000000001E-5</v>
      </c>
      <c r="J643" s="11">
        <f t="shared" si="17"/>
        <v>1.5800000000000001E-5</v>
      </c>
      <c r="K643" s="6" t="s">
        <v>1417</v>
      </c>
      <c r="L643" s="20" t="s">
        <v>1589</v>
      </c>
      <c r="M643" s="7">
        <f>IF(ISBLANK($B643),_xlfn.XLOOKUP($A643,'2. TEUs &amp; Activities - EF'!$A$9:$A$190,'2. TEUs &amp; Activities - EF'!$J$9:$J$190),_xlfn.XLOOKUP($B643,'2. TEUs &amp; Activities - EF'!$B$9:$B$190,'2. TEUs &amp; Activities - EF'!$J$9:$J$190))*'3. Pollutant Emissions - EF'!$I643*IF(OR(ISBLANK($E643),$G643="Yes"),1,$E643)*IF($H643="Yes",1,(1-$F643))</f>
        <v>5.3088000000000004E-5</v>
      </c>
      <c r="N643" s="5">
        <f>IF(ISBLANK($B643),_xlfn.XLOOKUP($A643,'2. TEUs &amp; Activities - EF'!$A$9:$A$190,'2. TEUs &amp; Activities - EF'!$M$9:$M$190),_xlfn.XLOOKUP($B643,'2. TEUs &amp; Activities - EF'!$B$9:$B$190,'2. TEUs &amp; Activities - EF'!$M$9:$M$190))*'3. Pollutant Emissions - EF'!$J643*IF(OR(ISBLANK($E643),$G643="Yes"),1,$E643)*IF($H643="Yes",1,(1-$F643))</f>
        <v>1.2741120000000002E-5</v>
      </c>
      <c r="O643" s="130">
        <f>IFERROR(IF(OR($C643="",$C643="No CAS"),INDEX('DEQ Pollutant List'!$D$7:$D$611,MATCH($D643,'DEQ Pollutant List'!$B$7:$B$611,0)),INDEX('DEQ Pollutant List'!$D$7:$D$611,MATCH($C643,'DEQ Pollutant List'!$A$7:$A$611,0))),"")</f>
        <v>146</v>
      </c>
    </row>
    <row r="644" spans="1:15" ht="15" x14ac:dyDescent="0.25">
      <c r="A644" s="5" t="s">
        <v>1539</v>
      </c>
      <c r="B644" s="7"/>
      <c r="C644" s="13" t="s">
        <v>59</v>
      </c>
      <c r="D644" s="94" t="str">
        <f>IFERROR(IF(C644="No CAS","",INDEX('DEQ Pollutant List'!$B$7:$B$611,MATCH('3. Pollutant Emissions - EF'!C644,'DEQ Pollutant List'!$A$7:$A$611,0))),"")</f>
        <v>Copper and compounds</v>
      </c>
      <c r="E644" s="100">
        <v>0</v>
      </c>
      <c r="F644" s="36">
        <v>0</v>
      </c>
      <c r="G644" s="100" t="s">
        <v>1415</v>
      </c>
      <c r="H644" s="36" t="s">
        <v>1415</v>
      </c>
      <c r="I644" s="34">
        <v>4.1000000000000003E-3</v>
      </c>
      <c r="J644" s="11">
        <f t="shared" si="17"/>
        <v>4.1000000000000003E-3</v>
      </c>
      <c r="K644" s="6" t="s">
        <v>1417</v>
      </c>
      <c r="L644" s="20" t="s">
        <v>1589</v>
      </c>
      <c r="M644" s="7">
        <f>IF(ISBLANK($B644),_xlfn.XLOOKUP($A644,'2. TEUs &amp; Activities - EF'!$A$9:$A$190,'2. TEUs &amp; Activities - EF'!$J$9:$J$190),_xlfn.XLOOKUP($B644,'2. TEUs &amp; Activities - EF'!$B$9:$B$190,'2. TEUs &amp; Activities - EF'!$J$9:$J$190))*'3. Pollutant Emissions - EF'!$I644*IF(OR(ISBLANK($E644),$G644="Yes"),1,$E644)*IF($H644="Yes",1,(1-$F644))</f>
        <v>1.3776E-2</v>
      </c>
      <c r="N644" s="5">
        <f>IF(ISBLANK($B644),_xlfn.XLOOKUP($A644,'2. TEUs &amp; Activities - EF'!$A$9:$A$190,'2. TEUs &amp; Activities - EF'!$M$9:$M$190),_xlfn.XLOOKUP($B644,'2. TEUs &amp; Activities - EF'!$B$9:$B$190,'2. TEUs &amp; Activities - EF'!$M$9:$M$190))*'3. Pollutant Emissions - EF'!$J644*IF(OR(ISBLANK($E644),$G644="Yes"),1,$E644)*IF($H644="Yes",1,(1-$F644))</f>
        <v>3.3062400000000007E-3</v>
      </c>
      <c r="O644" s="130">
        <f>IFERROR(IF(OR($C644="",$C644="No CAS"),INDEX('DEQ Pollutant List'!$D$7:$D$611,MATCH($D644,'DEQ Pollutant List'!$B$7:$B$611,0)),INDEX('DEQ Pollutant List'!$D$7:$D$611,MATCH($C644,'DEQ Pollutant List'!$A$7:$A$611,0))),"")</f>
        <v>149</v>
      </c>
    </row>
    <row r="645" spans="1:15" ht="15" x14ac:dyDescent="0.25">
      <c r="A645" s="5" t="s">
        <v>1539</v>
      </c>
      <c r="B645" s="7"/>
      <c r="C645" s="13" t="s">
        <v>1544</v>
      </c>
      <c r="D645" s="94" t="str">
        <f>IFERROR(IF(C645="No CAS","",INDEX('DEQ Pollutant List'!$B$7:$B$611,MATCH('3. Pollutant Emissions - EF'!C645,'DEQ Pollutant List'!$A$7:$A$611,0))),"")</f>
        <v/>
      </c>
      <c r="E645" s="100">
        <v>0</v>
      </c>
      <c r="F645" s="36">
        <v>0</v>
      </c>
      <c r="G645" s="100" t="s">
        <v>1415</v>
      </c>
      <c r="H645" s="36" t="s">
        <v>1415</v>
      </c>
      <c r="I645" s="34">
        <v>33.5</v>
      </c>
      <c r="J645" s="11">
        <f t="shared" si="17"/>
        <v>33.5</v>
      </c>
      <c r="K645" s="6" t="s">
        <v>1417</v>
      </c>
      <c r="L645" s="20" t="s">
        <v>1589</v>
      </c>
      <c r="M645" s="7">
        <f>IF(ISBLANK($B645),_xlfn.XLOOKUP($A645,'2. TEUs &amp; Activities - EF'!$A$9:$A$190,'2. TEUs &amp; Activities - EF'!$J$9:$J$190),_xlfn.XLOOKUP($B645,'2. TEUs &amp; Activities - EF'!$B$9:$B$190,'2. TEUs &amp; Activities - EF'!$J$9:$J$190))*'3. Pollutant Emissions - EF'!$I645*IF(OR(ISBLANK($E645),$G645="Yes"),1,$E645)*IF($H645="Yes",1,(1-$F645))</f>
        <v>112.56</v>
      </c>
      <c r="N645" s="5">
        <f>IF(ISBLANK($B645),_xlfn.XLOOKUP($A645,'2. TEUs &amp; Activities - EF'!$A$9:$A$190,'2. TEUs &amp; Activities - EF'!$M$9:$M$190),_xlfn.XLOOKUP($B645,'2. TEUs &amp; Activities - EF'!$B$9:$B$190,'2. TEUs &amp; Activities - EF'!$M$9:$M$190))*'3. Pollutant Emissions - EF'!$J645*IF(OR(ISBLANK($E645),$G645="Yes"),1,$E645)*IF($H645="Yes",1,(1-$F645))</f>
        <v>27.014400000000006</v>
      </c>
      <c r="O645" s="130" t="str">
        <f>IFERROR(IF(OR($C645="",$C645="No CAS"),INDEX('DEQ Pollutant List'!$D$7:$D$611,MATCH($D645,'DEQ Pollutant List'!$B$7:$B$611,0)),INDEX('DEQ Pollutant List'!$D$7:$D$611,MATCH($C645,'DEQ Pollutant List'!$A$7:$A$611,0))),"")</f>
        <v/>
      </c>
    </row>
    <row r="646" spans="1:15" ht="15" x14ac:dyDescent="0.25">
      <c r="A646" s="5" t="s">
        <v>1539</v>
      </c>
      <c r="B646" s="7"/>
      <c r="C646" s="13" t="s">
        <v>60</v>
      </c>
      <c r="D646" s="94" t="str">
        <f>IFERROR(IF(C646="No CAS","",INDEX('DEQ Pollutant List'!$B$7:$B$611,MATCH('3. Pollutant Emissions - EF'!C646,'DEQ Pollutant List'!$A$7:$A$611,0))),"")</f>
        <v>Ethyl benzene</v>
      </c>
      <c r="E646" s="100">
        <v>0</v>
      </c>
      <c r="F646" s="36">
        <v>0</v>
      </c>
      <c r="G646" s="100" t="s">
        <v>1415</v>
      </c>
      <c r="H646" s="36" t="s">
        <v>1415</v>
      </c>
      <c r="I646" s="34">
        <v>1.09E-2</v>
      </c>
      <c r="J646" s="11">
        <f t="shared" si="17"/>
        <v>1.09E-2</v>
      </c>
      <c r="K646" s="6" t="s">
        <v>1417</v>
      </c>
      <c r="L646" s="20" t="s">
        <v>1589</v>
      </c>
      <c r="M646" s="7">
        <f>IF(ISBLANK($B646),_xlfn.XLOOKUP($A646,'2. TEUs &amp; Activities - EF'!$A$9:$A$190,'2. TEUs &amp; Activities - EF'!$J$9:$J$190),_xlfn.XLOOKUP($B646,'2. TEUs &amp; Activities - EF'!$B$9:$B$190,'2. TEUs &amp; Activities - EF'!$J$9:$J$190))*'3. Pollutant Emissions - EF'!$I646*IF(OR(ISBLANK($E646),$G646="Yes"),1,$E646)*IF($H646="Yes",1,(1-$F646))</f>
        <v>3.6623999999999997E-2</v>
      </c>
      <c r="N646" s="5">
        <f>IF(ISBLANK($B646),_xlfn.XLOOKUP($A646,'2. TEUs &amp; Activities - EF'!$A$9:$A$190,'2. TEUs &amp; Activities - EF'!$M$9:$M$190),_xlfn.XLOOKUP($B646,'2. TEUs &amp; Activities - EF'!$B$9:$B$190,'2. TEUs &amp; Activities - EF'!$M$9:$M$190))*'3. Pollutant Emissions - EF'!$J646*IF(OR(ISBLANK($E646),$G646="Yes"),1,$E646)*IF($H646="Yes",1,(1-$F646))</f>
        <v>8.7897600000000006E-3</v>
      </c>
      <c r="O646" s="130">
        <f>IFERROR(IF(OR($C646="",$C646="No CAS"),INDEX('DEQ Pollutant List'!$D$7:$D$611,MATCH($D646,'DEQ Pollutant List'!$B$7:$B$611,0)),INDEX('DEQ Pollutant List'!$D$7:$D$611,MATCH($C646,'DEQ Pollutant List'!$A$7:$A$611,0))),"")</f>
        <v>229</v>
      </c>
    </row>
    <row r="647" spans="1:15" ht="15" x14ac:dyDescent="0.25">
      <c r="A647" s="5" t="s">
        <v>1539</v>
      </c>
      <c r="B647" s="7"/>
      <c r="C647" s="13" t="s">
        <v>47</v>
      </c>
      <c r="D647" s="94" t="str">
        <f>IFERROR(IF(C647="No CAS","",INDEX('DEQ Pollutant List'!$B$7:$B$611,MATCH('3. Pollutant Emissions - EF'!C647,'DEQ Pollutant List'!$A$7:$A$611,0))),"")</f>
        <v>Formaldehyde</v>
      </c>
      <c r="E647" s="100">
        <v>0</v>
      </c>
      <c r="F647" s="36">
        <v>0</v>
      </c>
      <c r="G647" s="100" t="s">
        <v>1415</v>
      </c>
      <c r="H647" s="36" t="s">
        <v>1415</v>
      </c>
      <c r="I647" s="34">
        <v>1.73</v>
      </c>
      <c r="J647" s="11">
        <f t="shared" si="17"/>
        <v>1.73</v>
      </c>
      <c r="K647" s="6" t="s">
        <v>1417</v>
      </c>
      <c r="L647" s="20" t="s">
        <v>1589</v>
      </c>
      <c r="M647" s="7">
        <f>IF(ISBLANK($B647),_xlfn.XLOOKUP($A647,'2. TEUs &amp; Activities - EF'!$A$9:$A$190,'2. TEUs &amp; Activities - EF'!$J$9:$J$190),_xlfn.XLOOKUP($B647,'2. TEUs &amp; Activities - EF'!$B$9:$B$190,'2. TEUs &amp; Activities - EF'!$J$9:$J$190))*'3. Pollutant Emissions - EF'!$I647*IF(OR(ISBLANK($E647),$G647="Yes"),1,$E647)*IF($H647="Yes",1,(1-$F647))</f>
        <v>5.8127999999999993</v>
      </c>
      <c r="N647" s="5">
        <f>IF(ISBLANK($B647),_xlfn.XLOOKUP($A647,'2. TEUs &amp; Activities - EF'!$A$9:$A$190,'2. TEUs &amp; Activities - EF'!$M$9:$M$190),_xlfn.XLOOKUP($B647,'2. TEUs &amp; Activities - EF'!$B$9:$B$190,'2. TEUs &amp; Activities - EF'!$M$9:$M$190))*'3. Pollutant Emissions - EF'!$J647*IF(OR(ISBLANK($E647),$G647="Yes"),1,$E647)*IF($H647="Yes",1,(1-$F647))</f>
        <v>1.3950720000000001</v>
      </c>
      <c r="O647" s="130">
        <f>IFERROR(IF(OR($C647="",$C647="No CAS"),INDEX('DEQ Pollutant List'!$D$7:$D$611,MATCH($D647,'DEQ Pollutant List'!$B$7:$B$611,0)),INDEX('DEQ Pollutant List'!$D$7:$D$611,MATCH($C647,'DEQ Pollutant List'!$A$7:$A$611,0))),"")</f>
        <v>250</v>
      </c>
    </row>
    <row r="648" spans="1:15" ht="15" x14ac:dyDescent="0.25">
      <c r="A648" s="5" t="s">
        <v>1539</v>
      </c>
      <c r="B648" s="7"/>
      <c r="C648" s="13" t="s">
        <v>61</v>
      </c>
      <c r="D648" s="94" t="str">
        <f>IFERROR(IF(C648="No CAS","",INDEX('DEQ Pollutant List'!$B$7:$B$611,MATCH('3. Pollutant Emissions - EF'!C648,'DEQ Pollutant List'!$A$7:$A$611,0))),"")</f>
        <v>Hexane</v>
      </c>
      <c r="E648" s="100">
        <v>0</v>
      </c>
      <c r="F648" s="36">
        <v>0</v>
      </c>
      <c r="G648" s="100" t="s">
        <v>1415</v>
      </c>
      <c r="H648" s="36" t="s">
        <v>1415</v>
      </c>
      <c r="I648" s="34">
        <v>2.69E-2</v>
      </c>
      <c r="J648" s="11">
        <f t="shared" si="17"/>
        <v>2.69E-2</v>
      </c>
      <c r="K648" s="6" t="s">
        <v>1417</v>
      </c>
      <c r="L648" s="20" t="s">
        <v>1589</v>
      </c>
      <c r="M648" s="7">
        <f>IF(ISBLANK($B648),_xlfn.XLOOKUP($A648,'2. TEUs &amp; Activities - EF'!$A$9:$A$190,'2. TEUs &amp; Activities - EF'!$J$9:$J$190),_xlfn.XLOOKUP($B648,'2. TEUs &amp; Activities - EF'!$B$9:$B$190,'2. TEUs &amp; Activities - EF'!$J$9:$J$190))*'3. Pollutant Emissions - EF'!$I648*IF(OR(ISBLANK($E648),$G648="Yes"),1,$E648)*IF($H648="Yes",1,(1-$F648))</f>
        <v>9.0383999999999992E-2</v>
      </c>
      <c r="N648" s="5">
        <f>IF(ISBLANK($B648),_xlfn.XLOOKUP($A648,'2. TEUs &amp; Activities - EF'!$A$9:$A$190,'2. TEUs &amp; Activities - EF'!$M$9:$M$190),_xlfn.XLOOKUP($B648,'2. TEUs &amp; Activities - EF'!$B$9:$B$190,'2. TEUs &amp; Activities - EF'!$M$9:$M$190))*'3. Pollutant Emissions - EF'!$J648*IF(OR(ISBLANK($E648),$G648="Yes"),1,$E648)*IF($H648="Yes",1,(1-$F648))</f>
        <v>2.1692160000000002E-2</v>
      </c>
      <c r="O648" s="130">
        <f>IFERROR(IF(OR($C648="",$C648="No CAS"),INDEX('DEQ Pollutant List'!$D$7:$D$611,MATCH($D648,'DEQ Pollutant List'!$B$7:$B$611,0)),INDEX('DEQ Pollutant List'!$D$7:$D$611,MATCH($C648,'DEQ Pollutant List'!$A$7:$A$611,0))),"")</f>
        <v>289</v>
      </c>
    </row>
    <row r="649" spans="1:15" ht="15" x14ac:dyDescent="0.25">
      <c r="A649" s="5" t="s">
        <v>1539</v>
      </c>
      <c r="B649" s="7"/>
      <c r="C649" s="13" t="s">
        <v>97</v>
      </c>
      <c r="D649" s="94" t="str">
        <f>IFERROR(IF(C649="No CAS","",INDEX('DEQ Pollutant List'!$B$7:$B$611,MATCH('3. Pollutant Emissions - EF'!C649,'DEQ Pollutant List'!$A$7:$A$611,0))),"")</f>
        <v>Hydrochloric acid</v>
      </c>
      <c r="E649" s="100">
        <v>0</v>
      </c>
      <c r="F649" s="36">
        <v>0</v>
      </c>
      <c r="G649" s="100" t="s">
        <v>1415</v>
      </c>
      <c r="H649" s="36" t="s">
        <v>1415</v>
      </c>
      <c r="I649" s="34">
        <v>0.19</v>
      </c>
      <c r="J649" s="11">
        <f t="shared" si="17"/>
        <v>0.19</v>
      </c>
      <c r="K649" s="6" t="s">
        <v>1417</v>
      </c>
      <c r="L649" s="20" t="s">
        <v>1589</v>
      </c>
      <c r="M649" s="7">
        <f>IF(ISBLANK($B649),_xlfn.XLOOKUP($A649,'2. TEUs &amp; Activities - EF'!$A$9:$A$190,'2. TEUs &amp; Activities - EF'!$J$9:$J$190),_xlfn.XLOOKUP($B649,'2. TEUs &amp; Activities - EF'!$B$9:$B$190,'2. TEUs &amp; Activities - EF'!$J$9:$J$190))*'3. Pollutant Emissions - EF'!$I649*IF(OR(ISBLANK($E649),$G649="Yes"),1,$E649)*IF($H649="Yes",1,(1-$F649))</f>
        <v>0.63839999999999997</v>
      </c>
      <c r="N649" s="5">
        <f>IF(ISBLANK($B649),_xlfn.XLOOKUP($A649,'2. TEUs &amp; Activities - EF'!$A$9:$A$190,'2. TEUs &amp; Activities - EF'!$M$9:$M$190),_xlfn.XLOOKUP($B649,'2. TEUs &amp; Activities - EF'!$B$9:$B$190,'2. TEUs &amp; Activities - EF'!$M$9:$M$190))*'3. Pollutant Emissions - EF'!$J649*IF(OR(ISBLANK($E649),$G649="Yes"),1,$E649)*IF($H649="Yes",1,(1-$F649))</f>
        <v>0.15321600000000002</v>
      </c>
      <c r="O649" s="130">
        <f>IFERROR(IF(OR($C649="",$C649="No CAS"),INDEX('DEQ Pollutant List'!$D$7:$D$611,MATCH($D649,'DEQ Pollutant List'!$B$7:$B$611,0)),INDEX('DEQ Pollutant List'!$D$7:$D$611,MATCH($C649,'DEQ Pollutant List'!$A$7:$A$611,0))),"")</f>
        <v>292</v>
      </c>
    </row>
    <row r="650" spans="1:15" ht="15" x14ac:dyDescent="0.25">
      <c r="A650" s="5" t="s">
        <v>1539</v>
      </c>
      <c r="B650" s="7"/>
      <c r="C650" s="13" t="s">
        <v>62</v>
      </c>
      <c r="D650" s="94" t="str">
        <f>IFERROR(IF(C650="No CAS","",INDEX('DEQ Pollutant List'!$B$7:$B$611,MATCH('3. Pollutant Emissions - EF'!C650,'DEQ Pollutant List'!$A$7:$A$611,0))),"")</f>
        <v>Lead and compounds</v>
      </c>
      <c r="E650" s="100">
        <v>0</v>
      </c>
      <c r="F650" s="36">
        <v>0</v>
      </c>
      <c r="G650" s="100" t="s">
        <v>1415</v>
      </c>
      <c r="H650" s="36" t="s">
        <v>1415</v>
      </c>
      <c r="I650" s="34">
        <v>8.3000000000000001E-3</v>
      </c>
      <c r="J650" s="11">
        <f t="shared" si="17"/>
        <v>8.3000000000000001E-3</v>
      </c>
      <c r="K650" s="6" t="s">
        <v>1417</v>
      </c>
      <c r="L650" s="20" t="s">
        <v>1589</v>
      </c>
      <c r="M650" s="7">
        <f>IF(ISBLANK($B650),_xlfn.XLOOKUP($A650,'2. TEUs &amp; Activities - EF'!$A$9:$A$190,'2. TEUs &amp; Activities - EF'!$J$9:$J$190),_xlfn.XLOOKUP($B650,'2. TEUs &amp; Activities - EF'!$B$9:$B$190,'2. TEUs &amp; Activities - EF'!$J$9:$J$190))*'3. Pollutant Emissions - EF'!$I650*IF(OR(ISBLANK($E650),$G650="Yes"),1,$E650)*IF($H650="Yes",1,(1-$F650))</f>
        <v>2.7888E-2</v>
      </c>
      <c r="N650" s="5">
        <f>IF(ISBLANK($B650),_xlfn.XLOOKUP($A650,'2. TEUs &amp; Activities - EF'!$A$9:$A$190,'2. TEUs &amp; Activities - EF'!$M$9:$M$190),_xlfn.XLOOKUP($B650,'2. TEUs &amp; Activities - EF'!$B$9:$B$190,'2. TEUs &amp; Activities - EF'!$M$9:$M$190))*'3. Pollutant Emissions - EF'!$J650*IF(OR(ISBLANK($E650),$G650="Yes"),1,$E650)*IF($H650="Yes",1,(1-$F650))</f>
        <v>6.6931200000000012E-3</v>
      </c>
      <c r="O650" s="130">
        <f>IFERROR(IF(OR($C650="",$C650="No CAS"),INDEX('DEQ Pollutant List'!$D$7:$D$611,MATCH($D650,'DEQ Pollutant List'!$B$7:$B$611,0)),INDEX('DEQ Pollutant List'!$D$7:$D$611,MATCH($C650,'DEQ Pollutant List'!$A$7:$A$611,0))),"")</f>
        <v>305</v>
      </c>
    </row>
    <row r="651" spans="1:15" ht="15" x14ac:dyDescent="0.25">
      <c r="A651" s="5" t="s">
        <v>1539</v>
      </c>
      <c r="B651" s="7"/>
      <c r="C651" s="13" t="s">
        <v>63</v>
      </c>
      <c r="D651" s="94" t="str">
        <f>IFERROR(IF(C651="No CAS","",INDEX('DEQ Pollutant List'!$B$7:$B$611,MATCH('3. Pollutant Emissions - EF'!C651,'DEQ Pollutant List'!$A$7:$A$611,0))),"")</f>
        <v>Manganese and compounds</v>
      </c>
      <c r="E651" s="100">
        <v>0</v>
      </c>
      <c r="F651" s="36">
        <v>0</v>
      </c>
      <c r="G651" s="100" t="s">
        <v>1415</v>
      </c>
      <c r="H651" s="36" t="s">
        <v>1415</v>
      </c>
      <c r="I651" s="34">
        <v>3.0999999999999999E-3</v>
      </c>
      <c r="J651" s="11">
        <f t="shared" si="17"/>
        <v>3.0999999999999999E-3</v>
      </c>
      <c r="K651" s="6" t="s">
        <v>1417</v>
      </c>
      <c r="L651" s="20" t="s">
        <v>1589</v>
      </c>
      <c r="M651" s="7">
        <f>IF(ISBLANK($B651),_xlfn.XLOOKUP($A651,'2. TEUs &amp; Activities - EF'!$A$9:$A$190,'2. TEUs &amp; Activities - EF'!$J$9:$J$190),_xlfn.XLOOKUP($B651,'2. TEUs &amp; Activities - EF'!$B$9:$B$190,'2. TEUs &amp; Activities - EF'!$J$9:$J$190))*'3. Pollutant Emissions - EF'!$I651*IF(OR(ISBLANK($E651),$G651="Yes"),1,$E651)*IF($H651="Yes",1,(1-$F651))</f>
        <v>1.0416E-2</v>
      </c>
      <c r="N651" s="5">
        <f>IF(ISBLANK($B651),_xlfn.XLOOKUP($A651,'2. TEUs &amp; Activities - EF'!$A$9:$A$190,'2. TEUs &amp; Activities - EF'!$M$9:$M$190),_xlfn.XLOOKUP($B651,'2. TEUs &amp; Activities - EF'!$B$9:$B$190,'2. TEUs &amp; Activities - EF'!$M$9:$M$190))*'3. Pollutant Emissions - EF'!$J651*IF(OR(ISBLANK($E651),$G651="Yes"),1,$E651)*IF($H651="Yes",1,(1-$F651))</f>
        <v>2.4998400000000001E-3</v>
      </c>
      <c r="O651" s="130">
        <f>IFERROR(IF(OR($C651="",$C651="No CAS"),INDEX('DEQ Pollutant List'!$D$7:$D$611,MATCH($D651,'DEQ Pollutant List'!$B$7:$B$611,0)),INDEX('DEQ Pollutant List'!$D$7:$D$611,MATCH($C651,'DEQ Pollutant List'!$A$7:$A$611,0))),"")</f>
        <v>312</v>
      </c>
    </row>
    <row r="652" spans="1:15" ht="15" x14ac:dyDescent="0.25">
      <c r="A652" s="5" t="s">
        <v>1539</v>
      </c>
      <c r="B652" s="7"/>
      <c r="C652" s="13" t="s">
        <v>64</v>
      </c>
      <c r="D652" s="94" t="str">
        <f>IFERROR(IF(C652="No CAS","",INDEX('DEQ Pollutant List'!$B$7:$B$611,MATCH('3. Pollutant Emissions - EF'!C652,'DEQ Pollutant List'!$A$7:$A$611,0))),"")</f>
        <v>Mercury and compounds</v>
      </c>
      <c r="E652" s="100">
        <v>0</v>
      </c>
      <c r="F652" s="36">
        <v>0</v>
      </c>
      <c r="G652" s="100" t="s">
        <v>1415</v>
      </c>
      <c r="H652" s="36" t="s">
        <v>1415</v>
      </c>
      <c r="I652" s="34">
        <v>2E-3</v>
      </c>
      <c r="J652" s="11">
        <f t="shared" si="17"/>
        <v>2E-3</v>
      </c>
      <c r="K652" s="6" t="s">
        <v>1417</v>
      </c>
      <c r="L652" s="20" t="s">
        <v>1589</v>
      </c>
      <c r="M652" s="7">
        <f>IF(ISBLANK($B652),_xlfn.XLOOKUP($A652,'2. TEUs &amp; Activities - EF'!$A$9:$A$190,'2. TEUs &amp; Activities - EF'!$J$9:$J$190),_xlfn.XLOOKUP($B652,'2. TEUs &amp; Activities - EF'!$B$9:$B$190,'2. TEUs &amp; Activities - EF'!$J$9:$J$190))*'3. Pollutant Emissions - EF'!$I652*IF(OR(ISBLANK($E652),$G652="Yes"),1,$E652)*IF($H652="Yes",1,(1-$F652))</f>
        <v>6.7200000000000003E-3</v>
      </c>
      <c r="N652" s="5">
        <f>IF(ISBLANK($B652),_xlfn.XLOOKUP($A652,'2. TEUs &amp; Activities - EF'!$A$9:$A$190,'2. TEUs &amp; Activities - EF'!$M$9:$M$190),_xlfn.XLOOKUP($B652,'2. TEUs &amp; Activities - EF'!$B$9:$B$190,'2. TEUs &amp; Activities - EF'!$M$9:$M$190))*'3. Pollutant Emissions - EF'!$J652*IF(OR(ISBLANK($E652),$G652="Yes"),1,$E652)*IF($H652="Yes",1,(1-$F652))</f>
        <v>1.6128000000000002E-3</v>
      </c>
      <c r="O652" s="130">
        <f>IFERROR(IF(OR($C652="",$C652="No CAS"),INDEX('DEQ Pollutant List'!$D$7:$D$611,MATCH($D652,'DEQ Pollutant List'!$B$7:$B$611,0)),INDEX('DEQ Pollutant List'!$D$7:$D$611,MATCH($C652,'DEQ Pollutant List'!$A$7:$A$611,0))),"")</f>
        <v>316</v>
      </c>
    </row>
    <row r="653" spans="1:15" ht="15" x14ac:dyDescent="0.25">
      <c r="A653" s="5" t="s">
        <v>1539</v>
      </c>
      <c r="B653" s="7"/>
      <c r="C653" s="13" t="s">
        <v>49</v>
      </c>
      <c r="D653" s="94" t="str">
        <f>IFERROR(IF(C653="No CAS","",INDEX('DEQ Pollutant List'!$B$7:$B$611,MATCH('3. Pollutant Emissions - EF'!C653,'DEQ Pollutant List'!$A$7:$A$611,0))),"")</f>
        <v>Naphthalene</v>
      </c>
      <c r="E653" s="100">
        <v>0</v>
      </c>
      <c r="F653" s="36">
        <v>0</v>
      </c>
      <c r="G653" s="100" t="s">
        <v>1415</v>
      </c>
      <c r="H653" s="36" t="s">
        <v>1415</v>
      </c>
      <c r="I653" s="174">
        <v>1.9699999999999999E-2</v>
      </c>
      <c r="J653" s="11">
        <f t="shared" si="17"/>
        <v>1.9699999999999999E-2</v>
      </c>
      <c r="K653" s="6" t="s">
        <v>1417</v>
      </c>
      <c r="L653" s="20" t="s">
        <v>1589</v>
      </c>
      <c r="M653" s="7">
        <f>IF(ISBLANK($B653),_xlfn.XLOOKUP($A653,'2. TEUs &amp; Activities - EF'!$A$9:$A$190,'2. TEUs &amp; Activities - EF'!$J$9:$J$190),_xlfn.XLOOKUP($B653,'2. TEUs &amp; Activities - EF'!$B$9:$B$190,'2. TEUs &amp; Activities - EF'!$J$9:$J$190))*'3. Pollutant Emissions - EF'!$I653*IF(OR(ISBLANK($E653),$G653="Yes"),1,$E653)*IF($H653="Yes",1,(1-$F653))</f>
        <v>6.6191999999999987E-2</v>
      </c>
      <c r="N653" s="5">
        <f>IF(ISBLANK($B653),_xlfn.XLOOKUP($A653,'2. TEUs &amp; Activities - EF'!$A$9:$A$190,'2. TEUs &amp; Activities - EF'!$M$9:$M$190),_xlfn.XLOOKUP($B653,'2. TEUs &amp; Activities - EF'!$B$9:$B$190,'2. TEUs &amp; Activities - EF'!$M$9:$M$190))*'3. Pollutant Emissions - EF'!$J653*IF(OR(ISBLANK($E653),$G653="Yes"),1,$E653)*IF($H653="Yes",1,(1-$F653))</f>
        <v>1.588608E-2</v>
      </c>
      <c r="O653" s="130">
        <f>IFERROR(IF(OR($C653="",$C653="No CAS"),INDEX('DEQ Pollutant List'!$D$7:$D$611,MATCH($D653,'DEQ Pollutant List'!$B$7:$B$611,0)),INDEX('DEQ Pollutant List'!$D$7:$D$611,MATCH($C653,'DEQ Pollutant List'!$A$7:$A$611,0))),"")</f>
        <v>428</v>
      </c>
    </row>
    <row r="654" spans="1:15" ht="15" x14ac:dyDescent="0.25">
      <c r="A654" s="5" t="s">
        <v>1539</v>
      </c>
      <c r="B654" s="7"/>
      <c r="C654" s="13" t="s">
        <v>66</v>
      </c>
      <c r="D654" s="94" t="str">
        <f>IFERROR(IF(C654="No CAS","",INDEX('DEQ Pollutant List'!$B$7:$B$611,MATCH('3. Pollutant Emissions - EF'!C654,'DEQ Pollutant List'!$A$7:$A$611,0))),"")</f>
        <v>Nickel and compounds</v>
      </c>
      <c r="E654" s="100">
        <v>0</v>
      </c>
      <c r="F654" s="36">
        <v>0</v>
      </c>
      <c r="G654" s="100" t="s">
        <v>1415</v>
      </c>
      <c r="H654" s="36" t="s">
        <v>1415</v>
      </c>
      <c r="I654" s="174">
        <v>3.8999999999999998E-3</v>
      </c>
      <c r="J654" s="11">
        <f t="shared" si="17"/>
        <v>3.8999999999999998E-3</v>
      </c>
      <c r="K654" s="6" t="s">
        <v>1417</v>
      </c>
      <c r="L654" s="20" t="s">
        <v>1589</v>
      </c>
      <c r="M654" s="7">
        <f>IF(ISBLANK($B654),_xlfn.XLOOKUP($A654,'2. TEUs &amp; Activities - EF'!$A$9:$A$190,'2. TEUs &amp; Activities - EF'!$J$9:$J$190),_xlfn.XLOOKUP($B654,'2. TEUs &amp; Activities - EF'!$B$9:$B$190,'2. TEUs &amp; Activities - EF'!$J$9:$J$190))*'3. Pollutant Emissions - EF'!$I654*IF(OR(ISBLANK($E654),$G654="Yes"),1,$E654)*IF($H654="Yes",1,(1-$F654))</f>
        <v>1.3103999999999999E-2</v>
      </c>
      <c r="N654" s="5">
        <f>IF(ISBLANK($B654),_xlfn.XLOOKUP($A654,'2. TEUs &amp; Activities - EF'!$A$9:$A$190,'2. TEUs &amp; Activities - EF'!$M$9:$M$190),_xlfn.XLOOKUP($B654,'2. TEUs &amp; Activities - EF'!$B$9:$B$190,'2. TEUs &amp; Activities - EF'!$M$9:$M$190))*'3. Pollutant Emissions - EF'!$J654*IF(OR(ISBLANK($E654),$G654="Yes"),1,$E654)*IF($H654="Yes",1,(1-$F654))</f>
        <v>3.1449600000000005E-3</v>
      </c>
      <c r="O654" s="130">
        <f>IFERROR(IF(OR($C654="",$C654="No CAS"),INDEX('DEQ Pollutant List'!$D$7:$D$611,MATCH($D654,'DEQ Pollutant List'!$B$7:$B$611,0)),INDEX('DEQ Pollutant List'!$D$7:$D$611,MATCH($C654,'DEQ Pollutant List'!$A$7:$A$611,0))),"")</f>
        <v>364</v>
      </c>
    </row>
    <row r="655" spans="1:15" ht="15" x14ac:dyDescent="0.25">
      <c r="A655" s="5" t="s">
        <v>1539</v>
      </c>
      <c r="B655" s="7"/>
      <c r="C655" s="13" t="s">
        <v>1545</v>
      </c>
      <c r="D655" s="94" t="str">
        <f>IFERROR(IF(C655="No CAS","",INDEX('DEQ Pollutant List'!$B$7:$B$611,MATCH('3. Pollutant Emissions - EF'!C655,'DEQ Pollutant List'!$A$7:$A$611,0))),"")</f>
        <v/>
      </c>
      <c r="E655" s="100">
        <v>0</v>
      </c>
      <c r="F655" s="36">
        <v>0</v>
      </c>
      <c r="G655" s="100" t="s">
        <v>1415</v>
      </c>
      <c r="H655" s="36" t="s">
        <v>1415</v>
      </c>
      <c r="I655" s="174">
        <v>3.6200000000000003E-2</v>
      </c>
      <c r="J655" s="11">
        <f t="shared" si="17"/>
        <v>3.6200000000000003E-2</v>
      </c>
      <c r="K655" s="6" t="s">
        <v>1417</v>
      </c>
      <c r="L655" s="20" t="s">
        <v>1589</v>
      </c>
      <c r="M655" s="7">
        <f>IF(ISBLANK($B655),_xlfn.XLOOKUP($A655,'2. TEUs &amp; Activities - EF'!$A$9:$A$190,'2. TEUs &amp; Activities - EF'!$J$9:$J$190),_xlfn.XLOOKUP($B655,'2. TEUs &amp; Activities - EF'!$B$9:$B$190,'2. TEUs &amp; Activities - EF'!$J$9:$J$190))*'3. Pollutant Emissions - EF'!$I655*IF(OR(ISBLANK($E655),$G655="Yes"),1,$E655)*IF($H655="Yes",1,(1-$F655))</f>
        <v>0.121632</v>
      </c>
      <c r="N655" s="5">
        <f>IF(ISBLANK($B655),_xlfn.XLOOKUP($A655,'2. TEUs &amp; Activities - EF'!$A$9:$A$190,'2. TEUs &amp; Activities - EF'!$M$9:$M$190),_xlfn.XLOOKUP($B655,'2. TEUs &amp; Activities - EF'!$B$9:$B$190,'2. TEUs &amp; Activities - EF'!$M$9:$M$190))*'3. Pollutant Emissions - EF'!$J655*IF(OR(ISBLANK($E655),$G655="Yes"),1,$E655)*IF($H655="Yes",1,(1-$F655))</f>
        <v>2.9191680000000008E-2</v>
      </c>
      <c r="O655" s="130" t="str">
        <f>IFERROR(IF(OR($C655="",$C655="No CAS"),INDEX('DEQ Pollutant List'!$D$7:$D$611,MATCH($D655,'DEQ Pollutant List'!$B$7:$B$611,0)),INDEX('DEQ Pollutant List'!$D$7:$D$611,MATCH($C655,'DEQ Pollutant List'!$A$7:$A$611,0))),"")</f>
        <v/>
      </c>
    </row>
    <row r="656" spans="1:15" ht="15" x14ac:dyDescent="0.25">
      <c r="A656" s="5" t="s">
        <v>1539</v>
      </c>
      <c r="B656" s="7"/>
      <c r="C656" s="13" t="s">
        <v>1546</v>
      </c>
      <c r="D656" s="94" t="str">
        <f>IFERROR(IF(C656="No CAS","",INDEX('DEQ Pollutant List'!$B$7:$B$611,MATCH('3. Pollutant Emissions - EF'!C656,'DEQ Pollutant List'!$A$7:$A$611,0))),"")</f>
        <v/>
      </c>
      <c r="E656" s="100">
        <v>0</v>
      </c>
      <c r="F656" s="36">
        <v>0</v>
      </c>
      <c r="G656" s="100" t="s">
        <v>1415</v>
      </c>
      <c r="H656" s="36" t="s">
        <v>1415</v>
      </c>
      <c r="I656" s="34">
        <v>8.3999999999999995E-3</v>
      </c>
      <c r="J656" s="11">
        <f t="shared" si="17"/>
        <v>8.3999999999999995E-3</v>
      </c>
      <c r="K656" s="6" t="s">
        <v>1417</v>
      </c>
      <c r="L656" s="20" t="s">
        <v>1589</v>
      </c>
      <c r="M656" s="7">
        <f>IF(ISBLANK($B656),_xlfn.XLOOKUP($A656,'2. TEUs &amp; Activities - EF'!$A$9:$A$190,'2. TEUs &amp; Activities - EF'!$J$9:$J$190),_xlfn.XLOOKUP($B656,'2. TEUs &amp; Activities - EF'!$B$9:$B$190,'2. TEUs &amp; Activities - EF'!$J$9:$J$190))*'3. Pollutant Emissions - EF'!$I656*IF(OR(ISBLANK($E656),$G656="Yes"),1,$E656)*IF($H656="Yes",1,(1-$F656))</f>
        <v>2.8223999999999996E-2</v>
      </c>
      <c r="N656" s="5">
        <f>IF(ISBLANK($B656),_xlfn.XLOOKUP($A656,'2. TEUs &amp; Activities - EF'!$A$9:$A$190,'2. TEUs &amp; Activities - EF'!$M$9:$M$190),_xlfn.XLOOKUP($B656,'2. TEUs &amp; Activities - EF'!$B$9:$B$190,'2. TEUs &amp; Activities - EF'!$M$9:$M$190))*'3. Pollutant Emissions - EF'!$J656*IF(OR(ISBLANK($E656),$G656="Yes"),1,$E656)*IF($H656="Yes",1,(1-$F656))</f>
        <v>6.7737600000000002E-3</v>
      </c>
      <c r="O656" s="130" t="str">
        <f>IFERROR(IF(OR($C656="",$C656="No CAS"),INDEX('DEQ Pollutant List'!$D$7:$D$611,MATCH($D656,'DEQ Pollutant List'!$B$7:$B$611,0)),INDEX('DEQ Pollutant List'!$D$7:$D$611,MATCH($C656,'DEQ Pollutant List'!$A$7:$A$611,0))),"")</f>
        <v/>
      </c>
    </row>
    <row r="657" spans="1:15" ht="15" x14ac:dyDescent="0.25">
      <c r="A657" s="5" t="s">
        <v>1539</v>
      </c>
      <c r="B657" s="7"/>
      <c r="C657" s="13" t="s">
        <v>1105</v>
      </c>
      <c r="D657" s="94" t="str">
        <f>IFERROR(IF(C657="No CAS","",INDEX('DEQ Pollutant List'!$B$7:$B$611,MATCH('3. Pollutant Emissions - EF'!C657,'DEQ Pollutant List'!$A$7:$A$611,0))),"")</f>
        <v>Propylene</v>
      </c>
      <c r="E657" s="100">
        <v>0</v>
      </c>
      <c r="F657" s="36">
        <v>0</v>
      </c>
      <c r="G657" s="100" t="s">
        <v>1415</v>
      </c>
      <c r="H657" s="36" t="s">
        <v>1415</v>
      </c>
      <c r="I657" s="174">
        <v>0.47</v>
      </c>
      <c r="J657" s="11">
        <f t="shared" si="17"/>
        <v>0.47</v>
      </c>
      <c r="K657" s="6" t="s">
        <v>1417</v>
      </c>
      <c r="L657" s="20" t="s">
        <v>1589</v>
      </c>
      <c r="M657" s="7">
        <f>IF(ISBLANK($B657),_xlfn.XLOOKUP($A657,'2. TEUs &amp; Activities - EF'!$A$9:$A$190,'2. TEUs &amp; Activities - EF'!$J$9:$J$190),_xlfn.XLOOKUP($B657,'2. TEUs &amp; Activities - EF'!$B$9:$B$190,'2. TEUs &amp; Activities - EF'!$J$9:$J$190))*'3. Pollutant Emissions - EF'!$I657*IF(OR(ISBLANK($E657),$G657="Yes"),1,$E657)*IF($H657="Yes",1,(1-$F657))</f>
        <v>1.5791999999999999</v>
      </c>
      <c r="N657" s="5">
        <f>IF(ISBLANK($B657),_xlfn.XLOOKUP($A657,'2. TEUs &amp; Activities - EF'!$A$9:$A$190,'2. TEUs &amp; Activities - EF'!$M$9:$M$190),_xlfn.XLOOKUP($B657,'2. TEUs &amp; Activities - EF'!$B$9:$B$190,'2. TEUs &amp; Activities - EF'!$M$9:$M$190))*'3. Pollutant Emissions - EF'!$J657*IF(OR(ISBLANK($E657),$G657="Yes"),1,$E657)*IF($H657="Yes",1,(1-$F657))</f>
        <v>0.37900800000000001</v>
      </c>
      <c r="O657" s="130">
        <f>IFERROR(IF(OR($C657="",$C657="No CAS"),INDEX('DEQ Pollutant List'!$D$7:$D$611,MATCH($D657,'DEQ Pollutant List'!$B$7:$B$611,0)),INDEX('DEQ Pollutant List'!$D$7:$D$611,MATCH($C657,'DEQ Pollutant List'!$A$7:$A$611,0))),"")</f>
        <v>561</v>
      </c>
    </row>
    <row r="658" spans="1:15" ht="15" x14ac:dyDescent="0.25">
      <c r="A658" s="5" t="s">
        <v>1539</v>
      </c>
      <c r="B658" s="7"/>
      <c r="C658" s="13" t="s">
        <v>67</v>
      </c>
      <c r="D658" s="94" t="str">
        <f>IFERROR(IF(C658="No CAS","",INDEX('DEQ Pollutant List'!$B$7:$B$611,MATCH('3. Pollutant Emissions - EF'!C658,'DEQ Pollutant List'!$A$7:$A$611,0))),"")</f>
        <v>Selenium and compounds</v>
      </c>
      <c r="E658" s="100">
        <v>0</v>
      </c>
      <c r="F658" s="36">
        <v>0</v>
      </c>
      <c r="G658" s="100" t="s">
        <v>1415</v>
      </c>
      <c r="H658" s="36" t="s">
        <v>1415</v>
      </c>
      <c r="I658" s="174">
        <v>2.2000000000000001E-3</v>
      </c>
      <c r="J658" s="11">
        <f t="shared" si="17"/>
        <v>2.2000000000000001E-3</v>
      </c>
      <c r="K658" s="6" t="s">
        <v>1417</v>
      </c>
      <c r="L658" s="20" t="s">
        <v>1589</v>
      </c>
      <c r="M658" s="7">
        <f>IF(ISBLANK($B658),_xlfn.XLOOKUP($A658,'2. TEUs &amp; Activities - EF'!$A$9:$A$190,'2. TEUs &amp; Activities - EF'!$J$9:$J$190),_xlfn.XLOOKUP($B658,'2. TEUs &amp; Activities - EF'!$B$9:$B$190,'2. TEUs &amp; Activities - EF'!$J$9:$J$190))*'3. Pollutant Emissions - EF'!$I658*IF(OR(ISBLANK($E658),$G658="Yes"),1,$E658)*IF($H658="Yes",1,(1-$F658))</f>
        <v>7.3920000000000001E-3</v>
      </c>
      <c r="N658" s="5">
        <f>IF(ISBLANK($B658),_xlfn.XLOOKUP($A658,'2. TEUs &amp; Activities - EF'!$A$9:$A$190,'2. TEUs &amp; Activities - EF'!$M$9:$M$190),_xlfn.XLOOKUP($B658,'2. TEUs &amp; Activities - EF'!$B$9:$B$190,'2. TEUs &amp; Activities - EF'!$M$9:$M$190))*'3. Pollutant Emissions - EF'!$J658*IF(OR(ISBLANK($E658),$G658="Yes"),1,$E658)*IF($H658="Yes",1,(1-$F658))</f>
        <v>1.7740800000000004E-3</v>
      </c>
      <c r="O658" s="130">
        <f>IFERROR(IF(OR($C658="",$C658="No CAS"),INDEX('DEQ Pollutant List'!$D$7:$D$611,MATCH($D658,'DEQ Pollutant List'!$B$7:$B$611,0)),INDEX('DEQ Pollutant List'!$D$7:$D$611,MATCH($C658,'DEQ Pollutant List'!$A$7:$A$611,0))),"")</f>
        <v>575</v>
      </c>
    </row>
    <row r="659" spans="1:15" ht="15" x14ac:dyDescent="0.25">
      <c r="A659" s="5" t="s">
        <v>1539</v>
      </c>
      <c r="B659" s="7"/>
      <c r="C659" s="13" t="s">
        <v>113</v>
      </c>
      <c r="D659" s="94" t="str">
        <f>IFERROR(IF(C659="No CAS","",INDEX('DEQ Pollutant List'!$B$7:$B$611,MATCH('3. Pollutant Emissions - EF'!C659,'DEQ Pollutant List'!$A$7:$A$611,0))),"")</f>
        <v>Silver and compounds</v>
      </c>
      <c r="E659" s="100">
        <v>0</v>
      </c>
      <c r="F659" s="36">
        <v>0</v>
      </c>
      <c r="G659" s="100" t="s">
        <v>1415</v>
      </c>
      <c r="H659" s="36" t="s">
        <v>1415</v>
      </c>
      <c r="I659" s="174">
        <v>4.8000000000000001E-5</v>
      </c>
      <c r="J659" s="11">
        <f t="shared" si="17"/>
        <v>4.8000000000000001E-5</v>
      </c>
      <c r="K659" s="6" t="s">
        <v>1417</v>
      </c>
      <c r="L659" s="20" t="s">
        <v>1589</v>
      </c>
      <c r="M659" s="7">
        <f>IF(ISBLANK($B659),_xlfn.XLOOKUP($A659,'2. TEUs &amp; Activities - EF'!$A$9:$A$190,'2. TEUs &amp; Activities - EF'!$J$9:$J$190),_xlfn.XLOOKUP($B659,'2. TEUs &amp; Activities - EF'!$B$9:$B$190,'2. TEUs &amp; Activities - EF'!$J$9:$J$190))*'3. Pollutant Emissions - EF'!$I659*IF(OR(ISBLANK($E659),$G659="Yes"),1,$E659)*IF($H659="Yes",1,(1-$F659))</f>
        <v>1.6128E-4</v>
      </c>
      <c r="N659" s="5">
        <f>IF(ISBLANK($B659),_xlfn.XLOOKUP($A659,'2. TEUs &amp; Activities - EF'!$A$9:$A$190,'2. TEUs &amp; Activities - EF'!$M$9:$M$190),_xlfn.XLOOKUP($B659,'2. TEUs &amp; Activities - EF'!$B$9:$B$190,'2. TEUs &amp; Activities - EF'!$M$9:$M$190))*'3. Pollutant Emissions - EF'!$J659*IF(OR(ISBLANK($E659),$G659="Yes"),1,$E659)*IF($H659="Yes",1,(1-$F659))</f>
        <v>3.8707200000000008E-5</v>
      </c>
      <c r="O659" s="130">
        <f>IFERROR(IF(OR($C659="",$C659="No CAS"),INDEX('DEQ Pollutant List'!$D$7:$D$611,MATCH($D659,'DEQ Pollutant List'!$B$7:$B$611,0)),INDEX('DEQ Pollutant List'!$D$7:$D$611,MATCH($C659,'DEQ Pollutant List'!$A$7:$A$611,0))),"")</f>
        <v>580</v>
      </c>
    </row>
    <row r="660" spans="1:15" ht="15" x14ac:dyDescent="0.25">
      <c r="A660" s="5" t="s">
        <v>1539</v>
      </c>
      <c r="B660" s="7"/>
      <c r="C660" s="13" t="s">
        <v>114</v>
      </c>
      <c r="D660" s="94" t="str">
        <f>IFERROR(IF(C660="No CAS","",INDEX('DEQ Pollutant List'!$B$7:$B$611,MATCH('3. Pollutant Emissions - EF'!C660,'DEQ Pollutant List'!$A$7:$A$611,0))),"")</f>
        <v>Thallium and compounds</v>
      </c>
      <c r="E660" s="100">
        <v>0</v>
      </c>
      <c r="F660" s="36">
        <v>0</v>
      </c>
      <c r="G660" s="100" t="s">
        <v>1415</v>
      </c>
      <c r="H660" s="36" t="s">
        <v>1415</v>
      </c>
      <c r="I660" s="174">
        <v>2.4000000000000001E-4</v>
      </c>
      <c r="J660" s="11">
        <f t="shared" si="17"/>
        <v>2.4000000000000001E-4</v>
      </c>
      <c r="K660" s="6" t="s">
        <v>1417</v>
      </c>
      <c r="L660" s="20" t="s">
        <v>1589</v>
      </c>
      <c r="M660" s="7">
        <f>IF(ISBLANK($B660),_xlfn.XLOOKUP($A660,'2. TEUs &amp; Activities - EF'!$A$9:$A$190,'2. TEUs &amp; Activities - EF'!$J$9:$J$190),_xlfn.XLOOKUP($B660,'2. TEUs &amp; Activities - EF'!$B$9:$B$190,'2. TEUs &amp; Activities - EF'!$J$9:$J$190))*'3. Pollutant Emissions - EF'!$I660*IF(OR(ISBLANK($E660),$G660="Yes"),1,$E660)*IF($H660="Yes",1,(1-$F660))</f>
        <v>8.0639999999999998E-4</v>
      </c>
      <c r="N660" s="5">
        <f>IF(ISBLANK($B660),_xlfn.XLOOKUP($A660,'2. TEUs &amp; Activities - EF'!$A$9:$A$190,'2. TEUs &amp; Activities - EF'!$M$9:$M$190),_xlfn.XLOOKUP($B660,'2. TEUs &amp; Activities - EF'!$B$9:$B$190,'2. TEUs &amp; Activities - EF'!$M$9:$M$190))*'3. Pollutant Emissions - EF'!$J660*IF(OR(ISBLANK($E660),$G660="Yes"),1,$E660)*IF($H660="Yes",1,(1-$F660))</f>
        <v>1.9353600000000004E-4</v>
      </c>
      <c r="O660" s="130">
        <f>IFERROR(IF(OR($C660="",$C660="No CAS"),INDEX('DEQ Pollutant List'!$D$7:$D$611,MATCH($D660,'DEQ Pollutant List'!$B$7:$B$611,0)),INDEX('DEQ Pollutant List'!$D$7:$D$611,MATCH($C660,'DEQ Pollutant List'!$A$7:$A$611,0))),"")</f>
        <v>595</v>
      </c>
    </row>
    <row r="661" spans="1:15" ht="15" x14ac:dyDescent="0.25">
      <c r="A661" s="5" t="s">
        <v>1539</v>
      </c>
      <c r="B661" s="7"/>
      <c r="C661" s="13" t="s">
        <v>68</v>
      </c>
      <c r="D661" s="19" t="str">
        <f>IFERROR(IF(C661="No CAS","",INDEX('DEQ Pollutant List'!$B$7:$B$611,MATCH('3. Pollutant Emissions - EF'!C661,'DEQ Pollutant List'!$A$7:$A$611,0))),"")</f>
        <v>Toluene</v>
      </c>
      <c r="E661" s="100">
        <v>0</v>
      </c>
      <c r="F661" s="36">
        <v>0</v>
      </c>
      <c r="G661" s="100" t="s">
        <v>1415</v>
      </c>
      <c r="H661" s="36" t="s">
        <v>1415</v>
      </c>
      <c r="I661" s="174">
        <v>0.11</v>
      </c>
      <c r="J661" s="11">
        <f t="shared" si="17"/>
        <v>0.11</v>
      </c>
      <c r="K661" s="6" t="s">
        <v>1417</v>
      </c>
      <c r="L661" s="20" t="s">
        <v>1589</v>
      </c>
      <c r="M661" s="7">
        <f>IF(ISBLANK($B661),_xlfn.XLOOKUP($A661,'2. TEUs &amp; Activities - EF'!$A$9:$A$190,'2. TEUs &amp; Activities - EF'!$J$9:$J$190),_xlfn.XLOOKUP($B661,'2. TEUs &amp; Activities - EF'!$B$9:$B$190,'2. TEUs &amp; Activities - EF'!$J$9:$J$190))*'3. Pollutant Emissions - EF'!$I661*IF(OR(ISBLANK($E661),$G661="Yes"),1,$E661)*IF($H661="Yes",1,(1-$F661))</f>
        <v>0.36959999999999998</v>
      </c>
      <c r="N661" s="5">
        <f>IF(ISBLANK($B661),_xlfn.XLOOKUP($A661,'2. TEUs &amp; Activities - EF'!$A$9:$A$190,'2. TEUs &amp; Activities - EF'!$M$9:$M$190),_xlfn.XLOOKUP($B661,'2. TEUs &amp; Activities - EF'!$B$9:$B$190,'2. TEUs &amp; Activities - EF'!$M$9:$M$190))*'3. Pollutant Emissions - EF'!$J661*IF(OR(ISBLANK($E661),$G661="Yes"),1,$E661)*IF($H661="Yes",1,(1-$F661))</f>
        <v>8.8704000000000019E-2</v>
      </c>
      <c r="O661" s="130">
        <f>IFERROR(IF(OR($C661="",$C661="No CAS"),INDEX('DEQ Pollutant List'!$D$7:$D$611,MATCH($D661,'DEQ Pollutant List'!$B$7:$B$611,0)),INDEX('DEQ Pollutant List'!$D$7:$D$611,MATCH($C661,'DEQ Pollutant List'!$A$7:$A$611,0))),"")</f>
        <v>600</v>
      </c>
    </row>
    <row r="662" spans="1:15" ht="15" x14ac:dyDescent="0.25">
      <c r="A662" s="5" t="s">
        <v>1539</v>
      </c>
      <c r="B662" s="7"/>
      <c r="C662" s="13" t="s">
        <v>70</v>
      </c>
      <c r="D662" s="19" t="str">
        <f>IFERROR(IF(C662="No CAS","",INDEX('DEQ Pollutant List'!$B$7:$B$611,MATCH('3. Pollutant Emissions - EF'!C662,'DEQ Pollutant List'!$A$7:$A$611,0))),"")</f>
        <v>Xylene (mixture), including m-xylene, o-xylene, p-xylene</v>
      </c>
      <c r="E662" s="100">
        <v>0</v>
      </c>
      <c r="F662" s="36">
        <v>0</v>
      </c>
      <c r="G662" s="100" t="s">
        <v>1415</v>
      </c>
      <c r="H662" s="36" t="s">
        <v>1415</v>
      </c>
      <c r="I662" s="174">
        <v>0.04</v>
      </c>
      <c r="J662" s="11">
        <f t="shared" si="17"/>
        <v>0.04</v>
      </c>
      <c r="K662" s="6" t="s">
        <v>1417</v>
      </c>
      <c r="L662" s="20" t="s">
        <v>1589</v>
      </c>
      <c r="M662" s="7">
        <f>IF(ISBLANK($B662),_xlfn.XLOOKUP($A662,'2. TEUs &amp; Activities - EF'!$A$9:$A$190,'2. TEUs &amp; Activities - EF'!$J$9:$J$190),_xlfn.XLOOKUP($B662,'2. TEUs &amp; Activities - EF'!$B$9:$B$190,'2. TEUs &amp; Activities - EF'!$J$9:$J$190))*'3. Pollutant Emissions - EF'!$I662*IF(OR(ISBLANK($E662),$G662="Yes"),1,$E662)*IF($H662="Yes",1,(1-$F662))</f>
        <v>0.13439999999999999</v>
      </c>
      <c r="N662" s="5">
        <f>IF(ISBLANK($B662),_xlfn.XLOOKUP($A662,'2. TEUs &amp; Activities - EF'!$A$9:$A$190,'2. TEUs &amp; Activities - EF'!$M$9:$M$190),_xlfn.XLOOKUP($B662,'2. TEUs &amp; Activities - EF'!$B$9:$B$190,'2. TEUs &amp; Activities - EF'!$M$9:$M$190))*'3. Pollutant Emissions - EF'!$J662*IF(OR(ISBLANK($E662),$G662="Yes"),1,$E662)*IF($H662="Yes",1,(1-$F662))</f>
        <v>3.2256000000000007E-2</v>
      </c>
      <c r="O662" s="130">
        <f>IFERROR(IF(OR($C662="",$C662="No CAS"),INDEX('DEQ Pollutant List'!$D$7:$D$611,MATCH($D662,'DEQ Pollutant List'!$B$7:$B$611,0)),INDEX('DEQ Pollutant List'!$D$7:$D$611,MATCH($C662,'DEQ Pollutant List'!$A$7:$A$611,0))),"")</f>
        <v>628</v>
      </c>
    </row>
    <row r="663" spans="1:15" ht="15" x14ac:dyDescent="0.25">
      <c r="A663" s="5" t="s">
        <v>1539</v>
      </c>
      <c r="B663" s="7"/>
      <c r="C663" s="13" t="s">
        <v>71</v>
      </c>
      <c r="D663" s="19" t="str">
        <f>IFERROR(IF(C663="No CAS","",INDEX('DEQ Pollutant List'!$B$7:$B$611,MATCH('3. Pollutant Emissions - EF'!C663,'DEQ Pollutant List'!$A$7:$A$611,0))),"")</f>
        <v>Zinc and compounds</v>
      </c>
      <c r="E663" s="100">
        <v>0</v>
      </c>
      <c r="F663" s="36">
        <v>0</v>
      </c>
      <c r="G663" s="100" t="s">
        <v>1415</v>
      </c>
      <c r="H663" s="36" t="s">
        <v>1415</v>
      </c>
      <c r="I663" s="174">
        <v>5.2300000000000003E-3</v>
      </c>
      <c r="J663" s="11">
        <f t="shared" si="17"/>
        <v>5.2300000000000003E-3</v>
      </c>
      <c r="K663" s="6" t="s">
        <v>1417</v>
      </c>
      <c r="L663" s="20" t="s">
        <v>1589</v>
      </c>
      <c r="M663" s="7">
        <f>IF(ISBLANK($B663),_xlfn.XLOOKUP($A663,'2. TEUs &amp; Activities - EF'!$A$9:$A$190,'2. TEUs &amp; Activities - EF'!$J$9:$J$190),_xlfn.XLOOKUP($B663,'2. TEUs &amp; Activities - EF'!$B$9:$B$190,'2. TEUs &amp; Activities - EF'!$J$9:$J$190))*'3. Pollutant Emissions - EF'!$I663*IF(OR(ISBLANK($E663),$G663="Yes"),1,$E663)*IF($H663="Yes",1,(1-$F663))</f>
        <v>1.75728E-2</v>
      </c>
      <c r="N663" s="5">
        <f>IF(ISBLANK($B663),_xlfn.XLOOKUP($A663,'2. TEUs &amp; Activities - EF'!$A$9:$A$190,'2. TEUs &amp; Activities - EF'!$M$9:$M$190),_xlfn.XLOOKUP($B663,'2. TEUs &amp; Activities - EF'!$B$9:$B$190,'2. TEUs &amp; Activities - EF'!$M$9:$M$190))*'3. Pollutant Emissions - EF'!$J663*IF(OR(ISBLANK($E663),$G663="Yes"),1,$E663)*IF($H663="Yes",1,(1-$F663))</f>
        <v>4.2174720000000008E-3</v>
      </c>
      <c r="O663" s="130">
        <f>IFERROR(IF(OR($C663="",$C663="No CAS"),INDEX('DEQ Pollutant List'!$D$7:$D$611,MATCH($D663,'DEQ Pollutant List'!$B$7:$B$611,0)),INDEX('DEQ Pollutant List'!$D$7:$D$611,MATCH($C663,'DEQ Pollutant List'!$A$7:$A$611,0))),"")</f>
        <v>632</v>
      </c>
    </row>
    <row r="664" spans="1:15" ht="15" x14ac:dyDescent="0.25">
      <c r="A664" s="5"/>
      <c r="B664" s="7"/>
      <c r="C664" s="13"/>
      <c r="D664" s="19" t="str">
        <f>IFERROR(IF(C664="No CAS","",INDEX('DEQ Pollutant List'!$B$7:$B$611,MATCH('3. Pollutant Emissions - EF'!C664,'DEQ Pollutant List'!$A$7:$A$611,0))),"")</f>
        <v/>
      </c>
      <c r="E664" s="100"/>
      <c r="F664" s="36"/>
      <c r="G664" s="100"/>
      <c r="H664" s="36"/>
      <c r="I664" s="34"/>
      <c r="J664" s="11"/>
      <c r="K664" s="6"/>
      <c r="L664" s="20"/>
      <c r="M664" s="7">
        <f>IF(ISBLANK($B664),_xlfn.XLOOKUP($A664,'2. TEUs &amp; Activities - EF'!$A$9:$A$190,'2. TEUs &amp; Activities - EF'!$J$9:$J$190),_xlfn.XLOOKUP($B664,'2. TEUs &amp; Activities - EF'!$B$9:$B$190,'2. TEUs &amp; Activities - EF'!$J$9:$J$190))*'3. Pollutant Emissions - EF'!$I664*IF(OR(ISBLANK($E664),$G664="Yes"),1,$E664)*IF($H664="Yes",1,(1-$F664))</f>
        <v>0</v>
      </c>
      <c r="N664" s="5">
        <f>IF(ISBLANK($B664),_xlfn.XLOOKUP($A664,'2. TEUs &amp; Activities - EF'!$A$9:$A$190,'2. TEUs &amp; Activities - EF'!$M$9:$M$190),_xlfn.XLOOKUP($B664,'2. TEUs &amp; Activities - EF'!$B$9:$B$190,'2. TEUs &amp; Activities - EF'!$M$9:$M$190))*'3. Pollutant Emissions - EF'!$J664*IF(OR(ISBLANK($E664),$G664="Yes"),1,$E664)*IF($H664="Yes",1,(1-$F664))</f>
        <v>0</v>
      </c>
      <c r="O664" s="130" t="str">
        <f>IFERROR(IF(OR($C664="",$C664="No CAS"),INDEX('DEQ Pollutant List'!$D$7:$D$611,MATCH($D664,'DEQ Pollutant List'!$B$7:$B$611,0)),INDEX('DEQ Pollutant List'!$D$7:$D$611,MATCH($C664,'DEQ Pollutant List'!$A$7:$A$611,0))),"")</f>
        <v/>
      </c>
    </row>
    <row r="665" spans="1:15" ht="15" x14ac:dyDescent="0.25">
      <c r="A665" s="5" t="s">
        <v>1540</v>
      </c>
      <c r="B665" s="7"/>
      <c r="C665" s="13" t="s">
        <v>229</v>
      </c>
      <c r="D665" s="19" t="str">
        <f>IFERROR(IF(C665="No CAS","",INDEX('DEQ Pollutant List'!$B$7:$B$611,MATCH('3. Pollutant Emissions - EF'!C665,'DEQ Pollutant List'!$A$7:$A$611,0))),"")</f>
        <v>1,3-Butadiene</v>
      </c>
      <c r="E665" s="23">
        <v>0</v>
      </c>
      <c r="F665" s="21">
        <v>0</v>
      </c>
      <c r="G665" s="23" t="s">
        <v>1415</v>
      </c>
      <c r="H665" s="21" t="s">
        <v>1415</v>
      </c>
      <c r="I665" s="34">
        <v>0.21740000000000001</v>
      </c>
      <c r="J665" s="11">
        <f t="shared" ref="J665:J698" si="18">I665</f>
        <v>0.21740000000000001</v>
      </c>
      <c r="K665" s="6" t="s">
        <v>1417</v>
      </c>
      <c r="L665" s="20" t="s">
        <v>1589</v>
      </c>
      <c r="M665" s="7">
        <f>IF(ISBLANK($B665),_xlfn.XLOOKUP($A665,'2. TEUs &amp; Activities - EF'!$A$9:$A$190,'2. TEUs &amp; Activities - EF'!$J$9:$J$190),_xlfn.XLOOKUP($B665,'2. TEUs &amp; Activities - EF'!$B$9:$B$190,'2. TEUs &amp; Activities - EF'!$J$9:$J$190))*'3. Pollutant Emissions - EF'!$I665*IF(OR(ISBLANK($E665),$G665="Yes"),1,$E665)*IF($H665="Yes",1,(1-$F665))</f>
        <v>0.678288</v>
      </c>
      <c r="N665" s="5">
        <f>IF(ISBLANK($B665),_xlfn.XLOOKUP($A665,'2. TEUs &amp; Activities - EF'!$A$9:$A$190,'2. TEUs &amp; Activities - EF'!$M$9:$M$190),_xlfn.XLOOKUP($B665,'2. TEUs &amp; Activities - EF'!$B$9:$B$190,'2. TEUs &amp; Activities - EF'!$M$9:$M$190))*'3. Pollutant Emissions - EF'!$J665*IF(OR(ISBLANK($E665),$G665="Yes"),1,$E665)*IF($H665="Yes",1,(1-$F665))</f>
        <v>0.16278911999999998</v>
      </c>
      <c r="O665" s="130">
        <f>IFERROR(IF(OR($C665="",$C665="No CAS"),INDEX('DEQ Pollutant List'!$D$7:$D$611,MATCH($D665,'DEQ Pollutant List'!$B$7:$B$611,0)),INDEX('DEQ Pollutant List'!$D$7:$D$611,MATCH($C665,'DEQ Pollutant List'!$A$7:$A$611,0))),"")</f>
        <v>75</v>
      </c>
    </row>
    <row r="666" spans="1:15" ht="15" x14ac:dyDescent="0.25">
      <c r="A666" s="5" t="s">
        <v>1540</v>
      </c>
      <c r="B666" s="7"/>
      <c r="C666" s="13" t="s">
        <v>50</v>
      </c>
      <c r="D666" s="19" t="str">
        <f>IFERROR(IF(C666="No CAS","",INDEX('DEQ Pollutant List'!$B$7:$B$611,MATCH('3. Pollutant Emissions - EF'!C666,'DEQ Pollutant List'!$A$7:$A$611,0))),"")</f>
        <v>Acetaldehyde</v>
      </c>
      <c r="E666" s="23">
        <v>0</v>
      </c>
      <c r="F666" s="21">
        <v>0</v>
      </c>
      <c r="G666" s="23" t="s">
        <v>1415</v>
      </c>
      <c r="H666" s="21" t="s">
        <v>1415</v>
      </c>
      <c r="I666" s="34">
        <v>0.7833</v>
      </c>
      <c r="J666" s="11">
        <f t="shared" si="18"/>
        <v>0.7833</v>
      </c>
      <c r="K666" s="6" t="s">
        <v>1417</v>
      </c>
      <c r="L666" s="20" t="s">
        <v>1589</v>
      </c>
      <c r="M666" s="7">
        <f>IF(ISBLANK($B666),_xlfn.XLOOKUP($A666,'2. TEUs &amp; Activities - EF'!$A$9:$A$190,'2. TEUs &amp; Activities - EF'!$J$9:$J$190),_xlfn.XLOOKUP($B666,'2. TEUs &amp; Activities - EF'!$B$9:$B$190,'2. TEUs &amp; Activities - EF'!$J$9:$J$190))*'3. Pollutant Emissions - EF'!$I666*IF(OR(ISBLANK($E666),$G666="Yes"),1,$E666)*IF($H666="Yes",1,(1-$F666))</f>
        <v>2.4438960000000001</v>
      </c>
      <c r="N666" s="5">
        <f>IF(ISBLANK($B666),_xlfn.XLOOKUP($A666,'2. TEUs &amp; Activities - EF'!$A$9:$A$190,'2. TEUs &amp; Activities - EF'!$M$9:$M$190),_xlfn.XLOOKUP($B666,'2. TEUs &amp; Activities - EF'!$B$9:$B$190,'2. TEUs &amp; Activities - EF'!$M$9:$M$190))*'3. Pollutant Emissions - EF'!$J666*IF(OR(ISBLANK($E666),$G666="Yes"),1,$E666)*IF($H666="Yes",1,(1-$F666))</f>
        <v>0.5865350399999999</v>
      </c>
      <c r="O666" s="130">
        <f>IFERROR(IF(OR($C666="",$C666="No CAS"),INDEX('DEQ Pollutant List'!$D$7:$D$611,MATCH($D666,'DEQ Pollutant List'!$B$7:$B$611,0)),INDEX('DEQ Pollutant List'!$D$7:$D$611,MATCH($C666,'DEQ Pollutant List'!$A$7:$A$611,0))),"")</f>
        <v>1</v>
      </c>
    </row>
    <row r="667" spans="1:15" ht="15" x14ac:dyDescent="0.25">
      <c r="A667" s="5" t="s">
        <v>1540</v>
      </c>
      <c r="B667" s="7"/>
      <c r="C667" s="13" t="s">
        <v>51</v>
      </c>
      <c r="D667" s="19" t="str">
        <f>IFERROR(IF(C667="No CAS","",INDEX('DEQ Pollutant List'!$B$7:$B$611,MATCH('3. Pollutant Emissions - EF'!C667,'DEQ Pollutant List'!$A$7:$A$611,0))),"")</f>
        <v>Acrolein</v>
      </c>
      <c r="E667" s="23">
        <v>0</v>
      </c>
      <c r="F667" s="21">
        <v>0</v>
      </c>
      <c r="G667" s="23" t="s">
        <v>1415</v>
      </c>
      <c r="H667" s="21" t="s">
        <v>1415</v>
      </c>
      <c r="I667" s="34">
        <v>3.39E-2</v>
      </c>
      <c r="J667" s="11">
        <f t="shared" si="18"/>
        <v>3.39E-2</v>
      </c>
      <c r="K667" s="6" t="s">
        <v>1417</v>
      </c>
      <c r="L667" s="20" t="s">
        <v>1589</v>
      </c>
      <c r="M667" s="7">
        <f>IF(ISBLANK($B667),_xlfn.XLOOKUP($A667,'2. TEUs &amp; Activities - EF'!$A$9:$A$190,'2. TEUs &amp; Activities - EF'!$J$9:$J$190),_xlfn.XLOOKUP($B667,'2. TEUs &amp; Activities - EF'!$B$9:$B$190,'2. TEUs &amp; Activities - EF'!$J$9:$J$190))*'3. Pollutant Emissions - EF'!$I667*IF(OR(ISBLANK($E667),$G667="Yes"),1,$E667)*IF($H667="Yes",1,(1-$F667))</f>
        <v>0.105768</v>
      </c>
      <c r="N667" s="5">
        <f>IF(ISBLANK($B667),_xlfn.XLOOKUP($A667,'2. TEUs &amp; Activities - EF'!$A$9:$A$190,'2. TEUs &amp; Activities - EF'!$M$9:$M$190),_xlfn.XLOOKUP($B667,'2. TEUs &amp; Activities - EF'!$B$9:$B$190,'2. TEUs &amp; Activities - EF'!$M$9:$M$190))*'3. Pollutant Emissions - EF'!$J667*IF(OR(ISBLANK($E667),$G667="Yes"),1,$E667)*IF($H667="Yes",1,(1-$F667))</f>
        <v>2.5384319999999995E-2</v>
      </c>
      <c r="O667" s="130">
        <f>IFERROR(IF(OR($C667="",$C667="No CAS"),INDEX('DEQ Pollutant List'!$D$7:$D$611,MATCH($D667,'DEQ Pollutant List'!$B$7:$B$611,0)),INDEX('DEQ Pollutant List'!$D$7:$D$611,MATCH($C667,'DEQ Pollutant List'!$A$7:$A$611,0))),"")</f>
        <v>5</v>
      </c>
    </row>
    <row r="668" spans="1:15" ht="15" x14ac:dyDescent="0.25">
      <c r="A668" s="5" t="s">
        <v>1540</v>
      </c>
      <c r="B668" s="7"/>
      <c r="C668" s="13" t="s">
        <v>52</v>
      </c>
      <c r="D668" s="19" t="str">
        <f>IFERROR(IF(C668="No CAS","",INDEX('DEQ Pollutant List'!$B$7:$B$611,MATCH('3. Pollutant Emissions - EF'!C668,'DEQ Pollutant List'!$A$7:$A$611,0))),"")</f>
        <v>Ammonia</v>
      </c>
      <c r="E668" s="23">
        <v>0</v>
      </c>
      <c r="F668" s="21">
        <v>0</v>
      </c>
      <c r="G668" s="23" t="s">
        <v>1415</v>
      </c>
      <c r="H668" s="21" t="s">
        <v>1415</v>
      </c>
      <c r="I668" s="34">
        <v>0.8</v>
      </c>
      <c r="J668" s="11">
        <f t="shared" si="18"/>
        <v>0.8</v>
      </c>
      <c r="K668" s="6" t="s">
        <v>1417</v>
      </c>
      <c r="L668" s="20" t="s">
        <v>1590</v>
      </c>
      <c r="M668" s="7">
        <f>IF(ISBLANK($B668),_xlfn.XLOOKUP($A668,'2. TEUs &amp; Activities - EF'!$A$9:$A$190,'2. TEUs &amp; Activities - EF'!$J$9:$J$190),_xlfn.XLOOKUP($B668,'2. TEUs &amp; Activities - EF'!$B$9:$B$190,'2. TEUs &amp; Activities - EF'!$J$9:$J$190))*'3. Pollutant Emissions - EF'!$I668*IF(OR(ISBLANK($E668),$G668="Yes"),1,$E668)*IF($H668="Yes",1,(1-$F668))</f>
        <v>2.4960000000000004</v>
      </c>
      <c r="N668" s="5">
        <f>IF(ISBLANK($B668),_xlfn.XLOOKUP($A668,'2. TEUs &amp; Activities - EF'!$A$9:$A$190,'2. TEUs &amp; Activities - EF'!$M$9:$M$190),_xlfn.XLOOKUP($B668,'2. TEUs &amp; Activities - EF'!$B$9:$B$190,'2. TEUs &amp; Activities - EF'!$M$9:$M$190))*'3. Pollutant Emissions - EF'!$J668*IF(OR(ISBLANK($E668),$G668="Yes"),1,$E668)*IF($H668="Yes",1,(1-$F668))</f>
        <v>0.59903999999999991</v>
      </c>
      <c r="O668" s="130">
        <f>IFERROR(IF(OR($C668="",$C668="No CAS"),INDEX('DEQ Pollutant List'!$D$7:$D$611,MATCH($D668,'DEQ Pollutant List'!$B$7:$B$611,0)),INDEX('DEQ Pollutant List'!$D$7:$D$611,MATCH($C668,'DEQ Pollutant List'!$A$7:$A$611,0))),"")</f>
        <v>26</v>
      </c>
    </row>
    <row r="669" spans="1:15" ht="15" x14ac:dyDescent="0.25">
      <c r="A669" s="5" t="s">
        <v>1540</v>
      </c>
      <c r="B669" s="7"/>
      <c r="C669" s="13" t="s">
        <v>112</v>
      </c>
      <c r="D669" s="19" t="str">
        <f>IFERROR(IF(C669="No CAS","",INDEX('DEQ Pollutant List'!$B$7:$B$611,MATCH('3. Pollutant Emissions - EF'!C669,'DEQ Pollutant List'!$A$7:$A$611,0))),"")</f>
        <v>Antimony and compounds</v>
      </c>
      <c r="E669" s="23">
        <v>0</v>
      </c>
      <c r="F669" s="21">
        <v>0</v>
      </c>
      <c r="G669" s="23" t="s">
        <v>1415</v>
      </c>
      <c r="H669" s="21" t="s">
        <v>1415</v>
      </c>
      <c r="I669" s="174">
        <v>3.1799999999999998E-4</v>
      </c>
      <c r="J669" s="11">
        <f t="shared" si="18"/>
        <v>3.1799999999999998E-4</v>
      </c>
      <c r="K669" s="6" t="s">
        <v>1417</v>
      </c>
      <c r="L669" s="20" t="s">
        <v>1589</v>
      </c>
      <c r="M669" s="7">
        <f>IF(ISBLANK($B669),_xlfn.XLOOKUP($A669,'2. TEUs &amp; Activities - EF'!$A$9:$A$190,'2. TEUs &amp; Activities - EF'!$J$9:$J$190),_xlfn.XLOOKUP($B669,'2. TEUs &amp; Activities - EF'!$B$9:$B$190,'2. TEUs &amp; Activities - EF'!$J$9:$J$190))*'3. Pollutant Emissions - EF'!$I669*IF(OR(ISBLANK($E669),$G669="Yes"),1,$E669)*IF($H669="Yes",1,(1-$F669))</f>
        <v>9.9215999999999996E-4</v>
      </c>
      <c r="N669" s="5">
        <f>IF(ISBLANK($B669),_xlfn.XLOOKUP($A669,'2. TEUs &amp; Activities - EF'!$A$9:$A$190,'2. TEUs &amp; Activities - EF'!$M$9:$M$190),_xlfn.XLOOKUP($B669,'2. TEUs &amp; Activities - EF'!$B$9:$B$190,'2. TEUs &amp; Activities - EF'!$M$9:$M$190))*'3. Pollutant Emissions - EF'!$J669*IF(OR(ISBLANK($E669),$G669="Yes"),1,$E669)*IF($H669="Yes",1,(1-$F669))</f>
        <v>2.3811839999999995E-4</v>
      </c>
      <c r="O669" s="130">
        <f>IFERROR(IF(OR($C669="",$C669="No CAS"),INDEX('DEQ Pollutant List'!$D$7:$D$611,MATCH($D669,'DEQ Pollutant List'!$B$7:$B$611,0)),INDEX('DEQ Pollutant List'!$D$7:$D$611,MATCH($C669,'DEQ Pollutant List'!$A$7:$A$611,0))),"")</f>
        <v>33</v>
      </c>
    </row>
    <row r="670" spans="1:15" ht="15" x14ac:dyDescent="0.25">
      <c r="A670" s="5" t="s">
        <v>1540</v>
      </c>
      <c r="B670" s="7"/>
      <c r="C670" s="13" t="s">
        <v>53</v>
      </c>
      <c r="D670" s="19" t="str">
        <f>IFERROR(IF(C670="No CAS","",INDEX('DEQ Pollutant List'!$B$7:$B$611,MATCH('3. Pollutant Emissions - EF'!C670,'DEQ Pollutant List'!$A$7:$A$611,0))),"")</f>
        <v>Arsenic and compounds</v>
      </c>
      <c r="E670" s="23">
        <v>0</v>
      </c>
      <c r="F670" s="21">
        <v>0</v>
      </c>
      <c r="G670" s="23" t="s">
        <v>1415</v>
      </c>
      <c r="H670" s="21" t="s">
        <v>1415</v>
      </c>
      <c r="I670" s="174">
        <v>1.6000000000000001E-3</v>
      </c>
      <c r="J670" s="11">
        <f t="shared" si="18"/>
        <v>1.6000000000000001E-3</v>
      </c>
      <c r="K670" s="6" t="s">
        <v>1417</v>
      </c>
      <c r="L670" s="20" t="s">
        <v>1589</v>
      </c>
      <c r="M670" s="7">
        <f>IF(ISBLANK($B670),_xlfn.XLOOKUP($A670,'2. TEUs &amp; Activities - EF'!$A$9:$A$190,'2. TEUs &amp; Activities - EF'!$J$9:$J$190),_xlfn.XLOOKUP($B670,'2. TEUs &amp; Activities - EF'!$B$9:$B$190,'2. TEUs &amp; Activities - EF'!$J$9:$J$190))*'3. Pollutant Emissions - EF'!$I670*IF(OR(ISBLANK($E670),$G670="Yes"),1,$E670)*IF($H670="Yes",1,(1-$F670))</f>
        <v>4.9920000000000008E-3</v>
      </c>
      <c r="N670" s="5">
        <f>IF(ISBLANK($B670),_xlfn.XLOOKUP($A670,'2. TEUs &amp; Activities - EF'!$A$9:$A$190,'2. TEUs &amp; Activities - EF'!$M$9:$M$190),_xlfn.XLOOKUP($B670,'2. TEUs &amp; Activities - EF'!$B$9:$B$190,'2. TEUs &amp; Activities - EF'!$M$9:$M$190))*'3. Pollutant Emissions - EF'!$J670*IF(OR(ISBLANK($E670),$G670="Yes"),1,$E670)*IF($H670="Yes",1,(1-$F670))</f>
        <v>1.19808E-3</v>
      </c>
      <c r="O670" s="130">
        <f>IFERROR(IF(OR($C670="",$C670="No CAS"),INDEX('DEQ Pollutant List'!$D$7:$D$611,MATCH($D670,'DEQ Pollutant List'!$B$7:$B$611,0)),INDEX('DEQ Pollutant List'!$D$7:$D$611,MATCH($C670,'DEQ Pollutant List'!$A$7:$A$611,0))),"")</f>
        <v>37</v>
      </c>
    </row>
    <row r="671" spans="1:15" ht="15" x14ac:dyDescent="0.25">
      <c r="A671" s="5" t="s">
        <v>1540</v>
      </c>
      <c r="B671" s="7"/>
      <c r="C671" s="13" t="s">
        <v>54</v>
      </c>
      <c r="D671" s="19" t="str">
        <f>IFERROR(IF(C671="No CAS","",INDEX('DEQ Pollutant List'!$B$7:$B$611,MATCH('3. Pollutant Emissions - EF'!C671,'DEQ Pollutant List'!$A$7:$A$611,0))),"")</f>
        <v>Barium and compounds</v>
      </c>
      <c r="E671" s="23">
        <v>0</v>
      </c>
      <c r="F671" s="21">
        <v>0</v>
      </c>
      <c r="G671" s="23" t="s">
        <v>1415</v>
      </c>
      <c r="H671" s="21" t="s">
        <v>1415</v>
      </c>
      <c r="I671" s="174">
        <v>3.7399999999999998E-4</v>
      </c>
      <c r="J671" s="11">
        <f t="shared" si="18"/>
        <v>3.7399999999999998E-4</v>
      </c>
      <c r="K671" s="6" t="s">
        <v>1417</v>
      </c>
      <c r="L671" s="20" t="s">
        <v>1589</v>
      </c>
      <c r="M671" s="7">
        <f>IF(ISBLANK($B671),_xlfn.XLOOKUP($A671,'2. TEUs &amp; Activities - EF'!$A$9:$A$190,'2. TEUs &amp; Activities - EF'!$J$9:$J$190),_xlfn.XLOOKUP($B671,'2. TEUs &amp; Activities - EF'!$B$9:$B$190,'2. TEUs &amp; Activities - EF'!$J$9:$J$190))*'3. Pollutant Emissions - EF'!$I671*IF(OR(ISBLANK($E671),$G671="Yes"),1,$E671)*IF($H671="Yes",1,(1-$F671))</f>
        <v>1.1668799999999999E-3</v>
      </c>
      <c r="N671" s="5">
        <f>IF(ISBLANK($B671),_xlfn.XLOOKUP($A671,'2. TEUs &amp; Activities - EF'!$A$9:$A$190,'2. TEUs &amp; Activities - EF'!$M$9:$M$190),_xlfn.XLOOKUP($B671,'2. TEUs &amp; Activities - EF'!$B$9:$B$190,'2. TEUs &amp; Activities - EF'!$M$9:$M$190))*'3. Pollutant Emissions - EF'!$J671*IF(OR(ISBLANK($E671),$G671="Yes"),1,$E671)*IF($H671="Yes",1,(1-$F671))</f>
        <v>2.8005119999999998E-4</v>
      </c>
      <c r="O671" s="130">
        <f>IFERROR(IF(OR($C671="",$C671="No CAS"),INDEX('DEQ Pollutant List'!$D$7:$D$611,MATCH($D671,'DEQ Pollutant List'!$B$7:$B$611,0)),INDEX('DEQ Pollutant List'!$D$7:$D$611,MATCH($C671,'DEQ Pollutant List'!$A$7:$A$611,0))),"")</f>
        <v>45</v>
      </c>
    </row>
    <row r="672" spans="1:15" ht="15" x14ac:dyDescent="0.25">
      <c r="A672" s="5" t="s">
        <v>1540</v>
      </c>
      <c r="B672" s="7"/>
      <c r="C672" s="13" t="s">
        <v>46</v>
      </c>
      <c r="D672" s="19" t="str">
        <f>IFERROR(IF(C672="No CAS","",INDEX('DEQ Pollutant List'!$B$7:$B$611,MATCH('3. Pollutant Emissions - EF'!C672,'DEQ Pollutant List'!$A$7:$A$611,0))),"")</f>
        <v>Benzene</v>
      </c>
      <c r="E672" s="23">
        <v>0</v>
      </c>
      <c r="F672" s="21">
        <v>0</v>
      </c>
      <c r="G672" s="23" t="s">
        <v>1415</v>
      </c>
      <c r="H672" s="21" t="s">
        <v>1415</v>
      </c>
      <c r="I672" s="174">
        <v>0.18629999999999999</v>
      </c>
      <c r="J672" s="11">
        <f t="shared" si="18"/>
        <v>0.18629999999999999</v>
      </c>
      <c r="K672" s="6" t="s">
        <v>1417</v>
      </c>
      <c r="L672" s="20" t="s">
        <v>1589</v>
      </c>
      <c r="M672" s="7">
        <f>IF(ISBLANK($B672),_xlfn.XLOOKUP($A672,'2. TEUs &amp; Activities - EF'!$A$9:$A$190,'2. TEUs &amp; Activities - EF'!$J$9:$J$190),_xlfn.XLOOKUP($B672,'2. TEUs &amp; Activities - EF'!$B$9:$B$190,'2. TEUs &amp; Activities - EF'!$J$9:$J$190))*'3. Pollutant Emissions - EF'!$I672*IF(OR(ISBLANK($E672),$G672="Yes"),1,$E672)*IF($H672="Yes",1,(1-$F672))</f>
        <v>0.58125599999999999</v>
      </c>
      <c r="N672" s="5">
        <f>IF(ISBLANK($B672),_xlfn.XLOOKUP($A672,'2. TEUs &amp; Activities - EF'!$A$9:$A$190,'2. TEUs &amp; Activities - EF'!$M$9:$M$190),_xlfn.XLOOKUP($B672,'2. TEUs &amp; Activities - EF'!$B$9:$B$190,'2. TEUs &amp; Activities - EF'!$M$9:$M$190))*'3. Pollutant Emissions - EF'!$J672*IF(OR(ISBLANK($E672),$G672="Yes"),1,$E672)*IF($H672="Yes",1,(1-$F672))</f>
        <v>0.13950143999999998</v>
      </c>
      <c r="O672" s="130">
        <f>IFERROR(IF(OR($C672="",$C672="No CAS"),INDEX('DEQ Pollutant List'!$D$7:$D$611,MATCH($D672,'DEQ Pollutant List'!$B$7:$B$611,0)),INDEX('DEQ Pollutant List'!$D$7:$D$611,MATCH($C672,'DEQ Pollutant List'!$A$7:$A$611,0))),"")</f>
        <v>46</v>
      </c>
    </row>
    <row r="673" spans="1:15" ht="15" x14ac:dyDescent="0.25">
      <c r="A673" s="5" t="s">
        <v>1540</v>
      </c>
      <c r="B673" s="7"/>
      <c r="C673" s="13" t="s">
        <v>48</v>
      </c>
      <c r="D673" s="19" t="str">
        <f>IFERROR(IF(C673="No CAS","",INDEX('DEQ Pollutant List'!$B$7:$B$611,MATCH('3. Pollutant Emissions - EF'!C673,'DEQ Pollutant List'!$A$7:$A$611,0))),"")</f>
        <v>Benzo[a]pyrene</v>
      </c>
      <c r="E673" s="23">
        <v>0</v>
      </c>
      <c r="F673" s="21">
        <v>0</v>
      </c>
      <c r="G673" s="23" t="s">
        <v>1415</v>
      </c>
      <c r="H673" s="21" t="s">
        <v>1415</v>
      </c>
      <c r="I673" s="174">
        <v>3.5200000000000002E-5</v>
      </c>
      <c r="J673" s="11">
        <f t="shared" si="18"/>
        <v>3.5200000000000002E-5</v>
      </c>
      <c r="K673" s="6" t="s">
        <v>1417</v>
      </c>
      <c r="L673" s="20" t="s">
        <v>1589</v>
      </c>
      <c r="M673" s="7">
        <f>IF(ISBLANK($B673),_xlfn.XLOOKUP($A673,'2. TEUs &amp; Activities - EF'!$A$9:$A$190,'2. TEUs &amp; Activities - EF'!$J$9:$J$190),_xlfn.XLOOKUP($B673,'2. TEUs &amp; Activities - EF'!$B$9:$B$190,'2. TEUs &amp; Activities - EF'!$J$9:$J$190))*'3. Pollutant Emissions - EF'!$I673*IF(OR(ISBLANK($E673),$G673="Yes"),1,$E673)*IF($H673="Yes",1,(1-$F673))</f>
        <v>1.0982400000000001E-4</v>
      </c>
      <c r="N673" s="5">
        <f>IF(ISBLANK($B673),_xlfn.XLOOKUP($A673,'2. TEUs &amp; Activities - EF'!$A$9:$A$190,'2. TEUs &amp; Activities - EF'!$M$9:$M$190),_xlfn.XLOOKUP($B673,'2. TEUs &amp; Activities - EF'!$B$9:$B$190,'2. TEUs &amp; Activities - EF'!$M$9:$M$190))*'3. Pollutant Emissions - EF'!$J673*IF(OR(ISBLANK($E673),$G673="Yes"),1,$E673)*IF($H673="Yes",1,(1-$F673))</f>
        <v>2.6357759999999997E-5</v>
      </c>
      <c r="O673" s="130">
        <f>IFERROR(IF(OR($C673="",$C673="No CAS"),INDEX('DEQ Pollutant List'!$D$7:$D$611,MATCH($D673,'DEQ Pollutant List'!$B$7:$B$611,0)),INDEX('DEQ Pollutant List'!$D$7:$D$611,MATCH($C673,'DEQ Pollutant List'!$A$7:$A$611,0))),"")</f>
        <v>406</v>
      </c>
    </row>
    <row r="674" spans="1:15" ht="15" x14ac:dyDescent="0.25">
      <c r="A674" s="5" t="s">
        <v>1540</v>
      </c>
      <c r="B674" s="7"/>
      <c r="C674" s="13" t="s">
        <v>55</v>
      </c>
      <c r="D674" s="19" t="str">
        <f>IFERROR(IF(C674="No CAS","",INDEX('DEQ Pollutant List'!$B$7:$B$611,MATCH('3. Pollutant Emissions - EF'!C674,'DEQ Pollutant List'!$A$7:$A$611,0))),"")</f>
        <v>Beryllium and compounds</v>
      </c>
      <c r="E674" s="23">
        <v>0</v>
      </c>
      <c r="F674" s="21">
        <v>0</v>
      </c>
      <c r="G674" s="23" t="s">
        <v>1415</v>
      </c>
      <c r="H674" s="21" t="s">
        <v>1415</v>
      </c>
      <c r="I674" s="174">
        <v>4.7700000000000001E-6</v>
      </c>
      <c r="J674" s="11">
        <f t="shared" si="18"/>
        <v>4.7700000000000001E-6</v>
      </c>
      <c r="K674" s="6" t="s">
        <v>1417</v>
      </c>
      <c r="L674" s="20" t="s">
        <v>1589</v>
      </c>
      <c r="M674" s="7">
        <f>IF(ISBLANK($B674),_xlfn.XLOOKUP($A674,'2. TEUs &amp; Activities - EF'!$A$9:$A$190,'2. TEUs &amp; Activities - EF'!$J$9:$J$190),_xlfn.XLOOKUP($B674,'2. TEUs &amp; Activities - EF'!$B$9:$B$190,'2. TEUs &amp; Activities - EF'!$J$9:$J$190))*'3. Pollutant Emissions - EF'!$I674*IF(OR(ISBLANK($E674),$G674="Yes"),1,$E674)*IF($H674="Yes",1,(1-$F674))</f>
        <v>1.48824E-5</v>
      </c>
      <c r="N674" s="5">
        <f>IF(ISBLANK($B674),_xlfn.XLOOKUP($A674,'2. TEUs &amp; Activities - EF'!$A$9:$A$190,'2. TEUs &amp; Activities - EF'!$M$9:$M$190),_xlfn.XLOOKUP($B674,'2. TEUs &amp; Activities - EF'!$B$9:$B$190,'2. TEUs &amp; Activities - EF'!$M$9:$M$190))*'3. Pollutant Emissions - EF'!$J674*IF(OR(ISBLANK($E674),$G674="Yes"),1,$E674)*IF($H674="Yes",1,(1-$F674))</f>
        <v>3.5717759999999996E-6</v>
      </c>
      <c r="O674" s="130">
        <f>IFERROR(IF(OR($C674="",$C674="No CAS"),INDEX('DEQ Pollutant List'!$D$7:$D$611,MATCH($D674,'DEQ Pollutant List'!$B$7:$B$611,0)),INDEX('DEQ Pollutant List'!$D$7:$D$611,MATCH($C674,'DEQ Pollutant List'!$A$7:$A$611,0))),"")</f>
        <v>58</v>
      </c>
    </row>
    <row r="675" spans="1:15" ht="15" x14ac:dyDescent="0.25">
      <c r="A675" s="5" t="s">
        <v>1540</v>
      </c>
      <c r="B675" s="7"/>
      <c r="C675" s="13" t="s">
        <v>56</v>
      </c>
      <c r="D675" s="19" t="str">
        <f>IFERROR(IF(C675="No CAS","",INDEX('DEQ Pollutant List'!$B$7:$B$611,MATCH('3. Pollutant Emissions - EF'!C675,'DEQ Pollutant List'!$A$7:$A$611,0))),"")</f>
        <v>Cadmium and compounds</v>
      </c>
      <c r="E675" s="23">
        <v>0</v>
      </c>
      <c r="F675" s="21">
        <v>0</v>
      </c>
      <c r="G675" s="23" t="s">
        <v>1415</v>
      </c>
      <c r="H675" s="21" t="s">
        <v>1415</v>
      </c>
      <c r="I675" s="174">
        <v>1.5E-3</v>
      </c>
      <c r="J675" s="11">
        <f t="shared" si="18"/>
        <v>1.5E-3</v>
      </c>
      <c r="K675" s="6" t="s">
        <v>1417</v>
      </c>
      <c r="L675" s="20" t="s">
        <v>1589</v>
      </c>
      <c r="M675" s="7">
        <f>IF(ISBLANK($B675),_xlfn.XLOOKUP($A675,'2. TEUs &amp; Activities - EF'!$A$9:$A$190,'2. TEUs &amp; Activities - EF'!$J$9:$J$190),_xlfn.XLOOKUP($B675,'2. TEUs &amp; Activities - EF'!$B$9:$B$190,'2. TEUs &amp; Activities - EF'!$J$9:$J$190))*'3. Pollutant Emissions - EF'!$I675*IF(OR(ISBLANK($E675),$G675="Yes"),1,$E675)*IF($H675="Yes",1,(1-$F675))</f>
        <v>4.6800000000000001E-3</v>
      </c>
      <c r="N675" s="5">
        <f>IF(ISBLANK($B675),_xlfn.XLOOKUP($A675,'2. TEUs &amp; Activities - EF'!$A$9:$A$190,'2. TEUs &amp; Activities - EF'!$M$9:$M$190),_xlfn.XLOOKUP($B675,'2. TEUs &amp; Activities - EF'!$B$9:$B$190,'2. TEUs &amp; Activities - EF'!$M$9:$M$190))*'3. Pollutant Emissions - EF'!$J675*IF(OR(ISBLANK($E675),$G675="Yes"),1,$E675)*IF($H675="Yes",1,(1-$F675))</f>
        <v>1.1232E-3</v>
      </c>
      <c r="O675" s="130">
        <f>IFERROR(IF(OR($C675="",$C675="No CAS"),INDEX('DEQ Pollutant List'!$D$7:$D$611,MATCH($D675,'DEQ Pollutant List'!$B$7:$B$611,0)),INDEX('DEQ Pollutant List'!$D$7:$D$611,MATCH($C675,'DEQ Pollutant List'!$A$7:$A$611,0))),"")</f>
        <v>83</v>
      </c>
    </row>
    <row r="676" spans="1:15" ht="15" x14ac:dyDescent="0.25">
      <c r="A676" s="5" t="s">
        <v>1540</v>
      </c>
      <c r="B676" s="7"/>
      <c r="C676" s="13" t="s">
        <v>57</v>
      </c>
      <c r="D676" s="19" t="str">
        <f>IFERROR(IF(C676="No CAS","",INDEX('DEQ Pollutant List'!$B$7:$B$611,MATCH('3. Pollutant Emissions - EF'!C676,'DEQ Pollutant List'!$A$7:$A$611,0))),"")</f>
        <v>Chromium VI, chromate and dichromate particulate</v>
      </c>
      <c r="E676" s="23">
        <v>0</v>
      </c>
      <c r="F676" s="21">
        <v>0</v>
      </c>
      <c r="G676" s="23" t="s">
        <v>1415</v>
      </c>
      <c r="H676" s="21" t="s">
        <v>1415</v>
      </c>
      <c r="I676" s="174">
        <v>1E-4</v>
      </c>
      <c r="J676" s="11">
        <f t="shared" si="18"/>
        <v>1E-4</v>
      </c>
      <c r="K676" s="6" t="s">
        <v>1417</v>
      </c>
      <c r="L676" s="20" t="s">
        <v>1589</v>
      </c>
      <c r="M676" s="7">
        <f>IF(ISBLANK($B676),_xlfn.XLOOKUP($A676,'2. TEUs &amp; Activities - EF'!$A$9:$A$190,'2. TEUs &amp; Activities - EF'!$J$9:$J$190),_xlfn.XLOOKUP($B676,'2. TEUs &amp; Activities - EF'!$B$9:$B$190,'2. TEUs &amp; Activities - EF'!$J$9:$J$190))*'3. Pollutant Emissions - EF'!$I676*IF(OR(ISBLANK($E676),$G676="Yes"),1,$E676)*IF($H676="Yes",1,(1-$F676))</f>
        <v>3.1200000000000005E-4</v>
      </c>
      <c r="N676" s="5">
        <f>IF(ISBLANK($B676),_xlfn.XLOOKUP($A676,'2. TEUs &amp; Activities - EF'!$A$9:$A$190,'2. TEUs &amp; Activities - EF'!$M$9:$M$190),_xlfn.XLOOKUP($B676,'2. TEUs &amp; Activities - EF'!$B$9:$B$190,'2. TEUs &amp; Activities - EF'!$M$9:$M$190))*'3. Pollutant Emissions - EF'!$J676*IF(OR(ISBLANK($E676),$G676="Yes"),1,$E676)*IF($H676="Yes",1,(1-$F676))</f>
        <v>7.4880000000000001E-5</v>
      </c>
      <c r="O676" s="130">
        <f>IFERROR(IF(OR($C676="",$C676="No CAS"),INDEX('DEQ Pollutant List'!$D$7:$D$611,MATCH($D676,'DEQ Pollutant List'!$B$7:$B$611,0)),INDEX('DEQ Pollutant List'!$D$7:$D$611,MATCH($C676,'DEQ Pollutant List'!$A$7:$A$611,0))),"")</f>
        <v>136</v>
      </c>
    </row>
    <row r="677" spans="1:15" ht="15" x14ac:dyDescent="0.25">
      <c r="A677" s="5" t="s">
        <v>1540</v>
      </c>
      <c r="B677" s="7"/>
      <c r="C677" s="13" t="s">
        <v>88</v>
      </c>
      <c r="D677" s="19" t="str">
        <f>IFERROR(IF(C677="No CAS","",INDEX('DEQ Pollutant List'!$B$7:$B$611,MATCH('3. Pollutant Emissions - EF'!C677,'DEQ Pollutant List'!$A$7:$A$611,0))),"")</f>
        <v>Chlorobenzene</v>
      </c>
      <c r="E677" s="23">
        <v>0</v>
      </c>
      <c r="F677" s="21">
        <v>0</v>
      </c>
      <c r="G677" s="23" t="s">
        <v>1415</v>
      </c>
      <c r="H677" s="21" t="s">
        <v>1415</v>
      </c>
      <c r="I677" s="174">
        <v>2.0000000000000001E-4</v>
      </c>
      <c r="J677" s="11">
        <f t="shared" si="18"/>
        <v>2.0000000000000001E-4</v>
      </c>
      <c r="K677" s="6" t="s">
        <v>1417</v>
      </c>
      <c r="L677" s="20" t="s">
        <v>1589</v>
      </c>
      <c r="M677" s="7">
        <f>IF(ISBLANK($B677),_xlfn.XLOOKUP($A677,'2. TEUs &amp; Activities - EF'!$A$9:$A$190,'2. TEUs &amp; Activities - EF'!$J$9:$J$190),_xlfn.XLOOKUP($B677,'2. TEUs &amp; Activities - EF'!$B$9:$B$190,'2. TEUs &amp; Activities - EF'!$J$9:$J$190))*'3. Pollutant Emissions - EF'!$I677*IF(OR(ISBLANK($E677),$G677="Yes"),1,$E677)*IF($H677="Yes",1,(1-$F677))</f>
        <v>6.240000000000001E-4</v>
      </c>
      <c r="N677" s="5">
        <f>IF(ISBLANK($B677),_xlfn.XLOOKUP($A677,'2. TEUs &amp; Activities - EF'!$A$9:$A$190,'2. TEUs &amp; Activities - EF'!$M$9:$M$190),_xlfn.XLOOKUP($B677,'2. TEUs &amp; Activities - EF'!$B$9:$B$190,'2. TEUs &amp; Activities - EF'!$M$9:$M$190))*'3. Pollutant Emissions - EF'!$J677*IF(OR(ISBLANK($E677),$G677="Yes"),1,$E677)*IF($H677="Yes",1,(1-$F677))</f>
        <v>1.4976E-4</v>
      </c>
      <c r="O677" s="130">
        <f>IFERROR(IF(OR($C677="",$C677="No CAS"),INDEX('DEQ Pollutant List'!$D$7:$D$611,MATCH($D677,'DEQ Pollutant List'!$B$7:$B$611,0)),INDEX('DEQ Pollutant List'!$D$7:$D$611,MATCH($C677,'DEQ Pollutant List'!$A$7:$A$611,0))),"")</f>
        <v>108</v>
      </c>
    </row>
    <row r="678" spans="1:15" ht="15" x14ac:dyDescent="0.25">
      <c r="A678" s="5" t="s">
        <v>1540</v>
      </c>
      <c r="B678" s="7"/>
      <c r="C678" s="13" t="s">
        <v>58</v>
      </c>
      <c r="D678" s="19" t="str">
        <f>IFERROR(IF(C678="No CAS","",INDEX('DEQ Pollutant List'!$B$7:$B$611,MATCH('3. Pollutant Emissions - EF'!C678,'DEQ Pollutant List'!$A$7:$A$611,0))),"")</f>
        <v>Cobalt and compounds</v>
      </c>
      <c r="E678" s="23">
        <v>0</v>
      </c>
      <c r="F678" s="21">
        <v>0</v>
      </c>
      <c r="G678" s="23" t="s">
        <v>1415</v>
      </c>
      <c r="H678" s="21" t="s">
        <v>1415</v>
      </c>
      <c r="I678" s="174">
        <v>1.5800000000000001E-5</v>
      </c>
      <c r="J678" s="11">
        <f t="shared" si="18"/>
        <v>1.5800000000000001E-5</v>
      </c>
      <c r="K678" s="6" t="s">
        <v>1417</v>
      </c>
      <c r="L678" s="20" t="s">
        <v>1589</v>
      </c>
      <c r="M678" s="7">
        <f>IF(ISBLANK($B678),_xlfn.XLOOKUP($A678,'2. TEUs &amp; Activities - EF'!$A$9:$A$190,'2. TEUs &amp; Activities - EF'!$J$9:$J$190),_xlfn.XLOOKUP($B678,'2. TEUs &amp; Activities - EF'!$B$9:$B$190,'2. TEUs &amp; Activities - EF'!$J$9:$J$190))*'3. Pollutant Emissions - EF'!$I678*IF(OR(ISBLANK($E678),$G678="Yes"),1,$E678)*IF($H678="Yes",1,(1-$F678))</f>
        <v>4.9296000000000004E-5</v>
      </c>
      <c r="N678" s="5">
        <f>IF(ISBLANK($B678),_xlfn.XLOOKUP($A678,'2. TEUs &amp; Activities - EF'!$A$9:$A$190,'2. TEUs &amp; Activities - EF'!$M$9:$M$190),_xlfn.XLOOKUP($B678,'2. TEUs &amp; Activities - EF'!$B$9:$B$190,'2. TEUs &amp; Activities - EF'!$M$9:$M$190))*'3. Pollutant Emissions - EF'!$J678*IF(OR(ISBLANK($E678),$G678="Yes"),1,$E678)*IF($H678="Yes",1,(1-$F678))</f>
        <v>1.183104E-5</v>
      </c>
      <c r="O678" s="130">
        <f>IFERROR(IF(OR($C678="",$C678="No CAS"),INDEX('DEQ Pollutant List'!$D$7:$D$611,MATCH($D678,'DEQ Pollutant List'!$B$7:$B$611,0)),INDEX('DEQ Pollutant List'!$D$7:$D$611,MATCH($C678,'DEQ Pollutant List'!$A$7:$A$611,0))),"")</f>
        <v>146</v>
      </c>
    </row>
    <row r="679" spans="1:15" ht="15" x14ac:dyDescent="0.25">
      <c r="A679" s="5" t="s">
        <v>1540</v>
      </c>
      <c r="B679" s="7"/>
      <c r="C679" s="13" t="s">
        <v>59</v>
      </c>
      <c r="D679" s="19" t="str">
        <f>IFERROR(IF(C679="No CAS","",INDEX('DEQ Pollutant List'!$B$7:$B$611,MATCH('3. Pollutant Emissions - EF'!C679,'DEQ Pollutant List'!$A$7:$A$611,0))),"")</f>
        <v>Copper and compounds</v>
      </c>
      <c r="E679" s="23">
        <v>0</v>
      </c>
      <c r="F679" s="21">
        <v>0</v>
      </c>
      <c r="G679" s="23" t="s">
        <v>1415</v>
      </c>
      <c r="H679" s="21" t="s">
        <v>1415</v>
      </c>
      <c r="I679" s="174">
        <v>4.1000000000000003E-3</v>
      </c>
      <c r="J679" s="11">
        <f t="shared" si="18"/>
        <v>4.1000000000000003E-3</v>
      </c>
      <c r="K679" s="6" t="s">
        <v>1417</v>
      </c>
      <c r="L679" s="20" t="s">
        <v>1589</v>
      </c>
      <c r="M679" s="7">
        <f>IF(ISBLANK($B679),_xlfn.XLOOKUP($A679,'2. TEUs &amp; Activities - EF'!$A$9:$A$190,'2. TEUs &amp; Activities - EF'!$J$9:$J$190),_xlfn.XLOOKUP($B679,'2. TEUs &amp; Activities - EF'!$B$9:$B$190,'2. TEUs &amp; Activities - EF'!$J$9:$J$190))*'3. Pollutant Emissions - EF'!$I679*IF(OR(ISBLANK($E679),$G679="Yes"),1,$E679)*IF($H679="Yes",1,(1-$F679))</f>
        <v>1.2792000000000001E-2</v>
      </c>
      <c r="N679" s="5">
        <f>IF(ISBLANK($B679),_xlfn.XLOOKUP($A679,'2. TEUs &amp; Activities - EF'!$A$9:$A$190,'2. TEUs &amp; Activities - EF'!$M$9:$M$190),_xlfn.XLOOKUP($B679,'2. TEUs &amp; Activities - EF'!$B$9:$B$190,'2. TEUs &amp; Activities - EF'!$M$9:$M$190))*'3. Pollutant Emissions - EF'!$J679*IF(OR(ISBLANK($E679),$G679="Yes"),1,$E679)*IF($H679="Yes",1,(1-$F679))</f>
        <v>3.0700799999999998E-3</v>
      </c>
      <c r="O679" s="130">
        <f>IFERROR(IF(OR($C679="",$C679="No CAS"),INDEX('DEQ Pollutant List'!$D$7:$D$611,MATCH($D679,'DEQ Pollutant List'!$B$7:$B$611,0)),INDEX('DEQ Pollutant List'!$D$7:$D$611,MATCH($C679,'DEQ Pollutant List'!$A$7:$A$611,0))),"")</f>
        <v>149</v>
      </c>
    </row>
    <row r="680" spans="1:15" ht="15" x14ac:dyDescent="0.25">
      <c r="A680" s="5" t="s">
        <v>1540</v>
      </c>
      <c r="B680" s="7"/>
      <c r="C680" s="13" t="s">
        <v>1544</v>
      </c>
      <c r="D680" s="19" t="str">
        <f>IFERROR(IF(C680="No CAS","",INDEX('DEQ Pollutant List'!$B$7:$B$611,MATCH('3. Pollutant Emissions - EF'!C680,'DEQ Pollutant List'!$A$7:$A$611,0))),"")</f>
        <v/>
      </c>
      <c r="E680" s="23">
        <v>0</v>
      </c>
      <c r="F680" s="21">
        <v>0</v>
      </c>
      <c r="G680" s="23" t="s">
        <v>1415</v>
      </c>
      <c r="H680" s="21" t="s">
        <v>1415</v>
      </c>
      <c r="I680" s="34">
        <v>33.5</v>
      </c>
      <c r="J680" s="11">
        <f t="shared" si="18"/>
        <v>33.5</v>
      </c>
      <c r="K680" s="6" t="s">
        <v>1417</v>
      </c>
      <c r="L680" s="20" t="s">
        <v>1589</v>
      </c>
      <c r="M680" s="7">
        <f>IF(ISBLANK($B680),_xlfn.XLOOKUP($A680,'2. TEUs &amp; Activities - EF'!$A$9:$A$190,'2. TEUs &amp; Activities - EF'!$J$9:$J$190),_xlfn.XLOOKUP($B680,'2. TEUs &amp; Activities - EF'!$B$9:$B$190,'2. TEUs &amp; Activities - EF'!$J$9:$J$190))*'3. Pollutant Emissions - EF'!$I680*IF(OR(ISBLANK($E680),$G680="Yes"),1,$E680)*IF($H680="Yes",1,(1-$F680))</f>
        <v>104.52000000000001</v>
      </c>
      <c r="N680" s="5">
        <f>IF(ISBLANK($B680),_xlfn.XLOOKUP($A680,'2. TEUs &amp; Activities - EF'!$A$9:$A$190,'2. TEUs &amp; Activities - EF'!$M$9:$M$190),_xlfn.XLOOKUP($B680,'2. TEUs &amp; Activities - EF'!$B$9:$B$190,'2. TEUs &amp; Activities - EF'!$M$9:$M$190))*'3. Pollutant Emissions - EF'!$J680*IF(OR(ISBLANK($E680),$G680="Yes"),1,$E680)*IF($H680="Yes",1,(1-$F680))</f>
        <v>25.084799999999998</v>
      </c>
      <c r="O680" s="130" t="str">
        <f>IFERROR(IF(OR($C680="",$C680="No CAS"),INDEX('DEQ Pollutant List'!$D$7:$D$611,MATCH($D680,'DEQ Pollutant List'!$B$7:$B$611,0)),INDEX('DEQ Pollutant List'!$D$7:$D$611,MATCH($C680,'DEQ Pollutant List'!$A$7:$A$611,0))),"")</f>
        <v/>
      </c>
    </row>
    <row r="681" spans="1:15" ht="15" x14ac:dyDescent="0.25">
      <c r="A681" s="5" t="s">
        <v>1540</v>
      </c>
      <c r="B681" s="7"/>
      <c r="C681" s="13" t="s">
        <v>60</v>
      </c>
      <c r="D681" s="19" t="str">
        <f>IFERROR(IF(C681="No CAS","",INDEX('DEQ Pollutant List'!$B$7:$B$611,MATCH('3. Pollutant Emissions - EF'!C681,'DEQ Pollutant List'!$A$7:$A$611,0))),"")</f>
        <v>Ethyl benzene</v>
      </c>
      <c r="E681" s="23">
        <v>0</v>
      </c>
      <c r="F681" s="21">
        <v>0</v>
      </c>
      <c r="G681" s="23" t="s">
        <v>1415</v>
      </c>
      <c r="H681" s="21" t="s">
        <v>1415</v>
      </c>
      <c r="I681" s="34">
        <v>1.09E-2</v>
      </c>
      <c r="J681" s="11">
        <f t="shared" si="18"/>
        <v>1.09E-2</v>
      </c>
      <c r="K681" s="6" t="s">
        <v>1417</v>
      </c>
      <c r="L681" s="20" t="s">
        <v>1589</v>
      </c>
      <c r="M681" s="7">
        <f>IF(ISBLANK($B681),_xlfn.XLOOKUP($A681,'2. TEUs &amp; Activities - EF'!$A$9:$A$190,'2. TEUs &amp; Activities - EF'!$J$9:$J$190),_xlfn.XLOOKUP($B681,'2. TEUs &amp; Activities - EF'!$B$9:$B$190,'2. TEUs &amp; Activities - EF'!$J$9:$J$190))*'3. Pollutant Emissions - EF'!$I681*IF(OR(ISBLANK($E681),$G681="Yes"),1,$E681)*IF($H681="Yes",1,(1-$F681))</f>
        <v>3.4008000000000004E-2</v>
      </c>
      <c r="N681" s="5">
        <f>IF(ISBLANK($B681),_xlfn.XLOOKUP($A681,'2. TEUs &amp; Activities - EF'!$A$9:$A$190,'2. TEUs &amp; Activities - EF'!$M$9:$M$190),_xlfn.XLOOKUP($B681,'2. TEUs &amp; Activities - EF'!$B$9:$B$190,'2. TEUs &amp; Activities - EF'!$M$9:$M$190))*'3. Pollutant Emissions - EF'!$J681*IF(OR(ISBLANK($E681),$G681="Yes"),1,$E681)*IF($H681="Yes",1,(1-$F681))</f>
        <v>8.1619199999999996E-3</v>
      </c>
      <c r="O681" s="130">
        <f>IFERROR(IF(OR($C681="",$C681="No CAS"),INDEX('DEQ Pollutant List'!$D$7:$D$611,MATCH($D681,'DEQ Pollutant List'!$B$7:$B$611,0)),INDEX('DEQ Pollutant List'!$D$7:$D$611,MATCH($C681,'DEQ Pollutant List'!$A$7:$A$611,0))),"")</f>
        <v>229</v>
      </c>
    </row>
    <row r="682" spans="1:15" ht="15" x14ac:dyDescent="0.25">
      <c r="A682" s="5" t="s">
        <v>1540</v>
      </c>
      <c r="B682" s="7"/>
      <c r="C682" s="13" t="s">
        <v>47</v>
      </c>
      <c r="D682" s="19" t="str">
        <f>IFERROR(IF(C682="No CAS","",INDEX('DEQ Pollutant List'!$B$7:$B$611,MATCH('3. Pollutant Emissions - EF'!C682,'DEQ Pollutant List'!$A$7:$A$611,0))),"")</f>
        <v>Formaldehyde</v>
      </c>
      <c r="E682" s="23">
        <v>0</v>
      </c>
      <c r="F682" s="21">
        <v>0</v>
      </c>
      <c r="G682" s="23" t="s">
        <v>1415</v>
      </c>
      <c r="H682" s="21" t="s">
        <v>1415</v>
      </c>
      <c r="I682" s="174">
        <v>1.73</v>
      </c>
      <c r="J682" s="11">
        <f t="shared" si="18"/>
        <v>1.73</v>
      </c>
      <c r="K682" s="6" t="s">
        <v>1417</v>
      </c>
      <c r="L682" s="20" t="s">
        <v>1589</v>
      </c>
      <c r="M682" s="7">
        <f>IF(ISBLANK($B682),_xlfn.XLOOKUP($A682,'2. TEUs &amp; Activities - EF'!$A$9:$A$190,'2. TEUs &amp; Activities - EF'!$J$9:$J$190),_xlfn.XLOOKUP($B682,'2. TEUs &amp; Activities - EF'!$B$9:$B$190,'2. TEUs &amp; Activities - EF'!$J$9:$J$190))*'3. Pollutant Emissions - EF'!$I682*IF(OR(ISBLANK($E682),$G682="Yes"),1,$E682)*IF($H682="Yes",1,(1-$F682))</f>
        <v>5.3975999999999997</v>
      </c>
      <c r="N682" s="5">
        <f>IF(ISBLANK($B682),_xlfn.XLOOKUP($A682,'2. TEUs &amp; Activities - EF'!$A$9:$A$190,'2. TEUs &amp; Activities - EF'!$M$9:$M$190),_xlfn.XLOOKUP($B682,'2. TEUs &amp; Activities - EF'!$B$9:$B$190,'2. TEUs &amp; Activities - EF'!$M$9:$M$190))*'3. Pollutant Emissions - EF'!$J682*IF(OR(ISBLANK($E682),$G682="Yes"),1,$E682)*IF($H682="Yes",1,(1-$F682))</f>
        <v>1.2954239999999999</v>
      </c>
      <c r="O682" s="130">
        <f>IFERROR(IF(OR($C682="",$C682="No CAS"),INDEX('DEQ Pollutant List'!$D$7:$D$611,MATCH($D682,'DEQ Pollutant List'!$B$7:$B$611,0)),INDEX('DEQ Pollutant List'!$D$7:$D$611,MATCH($C682,'DEQ Pollutant List'!$A$7:$A$611,0))),"")</f>
        <v>250</v>
      </c>
    </row>
    <row r="683" spans="1:15" ht="15" x14ac:dyDescent="0.25">
      <c r="A683" s="5" t="s">
        <v>1540</v>
      </c>
      <c r="B683" s="7"/>
      <c r="C683" s="13" t="s">
        <v>61</v>
      </c>
      <c r="D683" s="19" t="str">
        <f>IFERROR(IF(C683="No CAS","",INDEX('DEQ Pollutant List'!$B$7:$B$611,MATCH('3. Pollutant Emissions - EF'!C683,'DEQ Pollutant List'!$A$7:$A$611,0))),"")</f>
        <v>Hexane</v>
      </c>
      <c r="E683" s="23">
        <v>0</v>
      </c>
      <c r="F683" s="21">
        <v>0</v>
      </c>
      <c r="G683" s="23" t="s">
        <v>1415</v>
      </c>
      <c r="H683" s="21" t="s">
        <v>1415</v>
      </c>
      <c r="I683" s="34">
        <v>2.69E-2</v>
      </c>
      <c r="J683" s="11">
        <f t="shared" si="18"/>
        <v>2.69E-2</v>
      </c>
      <c r="K683" s="6" t="s">
        <v>1417</v>
      </c>
      <c r="L683" s="20" t="s">
        <v>1589</v>
      </c>
      <c r="M683" s="7">
        <f>IF(ISBLANK($B683),_xlfn.XLOOKUP($A683,'2. TEUs &amp; Activities - EF'!$A$9:$A$190,'2. TEUs &amp; Activities - EF'!$J$9:$J$190),_xlfn.XLOOKUP($B683,'2. TEUs &amp; Activities - EF'!$B$9:$B$190,'2. TEUs &amp; Activities - EF'!$J$9:$J$190))*'3. Pollutant Emissions - EF'!$I683*IF(OR(ISBLANK($E683),$G683="Yes"),1,$E683)*IF($H683="Yes",1,(1-$F683))</f>
        <v>8.3928000000000003E-2</v>
      </c>
      <c r="N683" s="5">
        <f>IF(ISBLANK($B683),_xlfn.XLOOKUP($A683,'2. TEUs &amp; Activities - EF'!$A$9:$A$190,'2. TEUs &amp; Activities - EF'!$M$9:$M$190),_xlfn.XLOOKUP($B683,'2. TEUs &amp; Activities - EF'!$B$9:$B$190,'2. TEUs &amp; Activities - EF'!$M$9:$M$190))*'3. Pollutant Emissions - EF'!$J683*IF(OR(ISBLANK($E683),$G683="Yes"),1,$E683)*IF($H683="Yes",1,(1-$F683))</f>
        <v>2.0142719999999999E-2</v>
      </c>
      <c r="O683" s="130">
        <f>IFERROR(IF(OR($C683="",$C683="No CAS"),INDEX('DEQ Pollutant List'!$D$7:$D$611,MATCH($D683,'DEQ Pollutant List'!$B$7:$B$611,0)),INDEX('DEQ Pollutant List'!$D$7:$D$611,MATCH($C683,'DEQ Pollutant List'!$A$7:$A$611,0))),"")</f>
        <v>289</v>
      </c>
    </row>
    <row r="684" spans="1:15" ht="15" x14ac:dyDescent="0.25">
      <c r="A684" s="5" t="s">
        <v>1540</v>
      </c>
      <c r="B684" s="7"/>
      <c r="C684" s="13" t="s">
        <v>97</v>
      </c>
      <c r="D684" s="19" t="str">
        <f>IFERROR(IF(C684="No CAS","",INDEX('DEQ Pollutant List'!$B$7:$B$611,MATCH('3. Pollutant Emissions - EF'!C684,'DEQ Pollutant List'!$A$7:$A$611,0))),"")</f>
        <v>Hydrochloric acid</v>
      </c>
      <c r="E684" s="23">
        <v>0</v>
      </c>
      <c r="F684" s="21">
        <v>0</v>
      </c>
      <c r="G684" s="23" t="s">
        <v>1415</v>
      </c>
      <c r="H684" s="21" t="s">
        <v>1415</v>
      </c>
      <c r="I684" s="34">
        <v>0.19</v>
      </c>
      <c r="J684" s="11">
        <f t="shared" si="18"/>
        <v>0.19</v>
      </c>
      <c r="K684" s="6" t="s">
        <v>1417</v>
      </c>
      <c r="L684" s="20" t="s">
        <v>1589</v>
      </c>
      <c r="M684" s="7">
        <f>IF(ISBLANK($B684),_xlfn.XLOOKUP($A684,'2. TEUs &amp; Activities - EF'!$A$9:$A$190,'2. TEUs &amp; Activities - EF'!$J$9:$J$190),_xlfn.XLOOKUP($B684,'2. TEUs &amp; Activities - EF'!$B$9:$B$190,'2. TEUs &amp; Activities - EF'!$J$9:$J$190))*'3. Pollutant Emissions - EF'!$I684*IF(OR(ISBLANK($E684),$G684="Yes"),1,$E684)*IF($H684="Yes",1,(1-$F684))</f>
        <v>0.59279999999999999</v>
      </c>
      <c r="N684" s="5">
        <f>IF(ISBLANK($B684),_xlfn.XLOOKUP($A684,'2. TEUs &amp; Activities - EF'!$A$9:$A$190,'2. TEUs &amp; Activities - EF'!$M$9:$M$190),_xlfn.XLOOKUP($B684,'2. TEUs &amp; Activities - EF'!$B$9:$B$190,'2. TEUs &amp; Activities - EF'!$M$9:$M$190))*'3. Pollutant Emissions - EF'!$J684*IF(OR(ISBLANK($E684),$G684="Yes"),1,$E684)*IF($H684="Yes",1,(1-$F684))</f>
        <v>0.14227199999999998</v>
      </c>
      <c r="O684" s="130">
        <f>IFERROR(IF(OR($C684="",$C684="No CAS"),INDEX('DEQ Pollutant List'!$D$7:$D$611,MATCH($D684,'DEQ Pollutant List'!$B$7:$B$611,0)),INDEX('DEQ Pollutant List'!$D$7:$D$611,MATCH($C684,'DEQ Pollutant List'!$A$7:$A$611,0))),"")</f>
        <v>292</v>
      </c>
    </row>
    <row r="685" spans="1:15" ht="15" x14ac:dyDescent="0.25">
      <c r="A685" s="5" t="s">
        <v>1540</v>
      </c>
      <c r="B685" s="7"/>
      <c r="C685" s="13" t="s">
        <v>62</v>
      </c>
      <c r="D685" s="19" t="str">
        <f>IFERROR(IF(C685="No CAS","",INDEX('DEQ Pollutant List'!$B$7:$B$611,MATCH('3. Pollutant Emissions - EF'!C685,'DEQ Pollutant List'!$A$7:$A$611,0))),"")</f>
        <v>Lead and compounds</v>
      </c>
      <c r="E685" s="23">
        <v>0</v>
      </c>
      <c r="F685" s="21">
        <v>0</v>
      </c>
      <c r="G685" s="23" t="s">
        <v>1415</v>
      </c>
      <c r="H685" s="21" t="s">
        <v>1415</v>
      </c>
      <c r="I685" s="34">
        <v>8.3000000000000001E-3</v>
      </c>
      <c r="J685" s="11">
        <f t="shared" si="18"/>
        <v>8.3000000000000001E-3</v>
      </c>
      <c r="K685" s="6" t="s">
        <v>1417</v>
      </c>
      <c r="L685" s="20" t="s">
        <v>1589</v>
      </c>
      <c r="M685" s="7">
        <f>IF(ISBLANK($B685),_xlfn.XLOOKUP($A685,'2. TEUs &amp; Activities - EF'!$A$9:$A$190,'2. TEUs &amp; Activities - EF'!$J$9:$J$190),_xlfn.XLOOKUP($B685,'2. TEUs &amp; Activities - EF'!$B$9:$B$190,'2. TEUs &amp; Activities - EF'!$J$9:$J$190))*'3. Pollutant Emissions - EF'!$I685*IF(OR(ISBLANK($E685),$G685="Yes"),1,$E685)*IF($H685="Yes",1,(1-$F685))</f>
        <v>2.5896000000000002E-2</v>
      </c>
      <c r="N685" s="5">
        <f>IF(ISBLANK($B685),_xlfn.XLOOKUP($A685,'2. TEUs &amp; Activities - EF'!$A$9:$A$190,'2. TEUs &amp; Activities - EF'!$M$9:$M$190),_xlfn.XLOOKUP($B685,'2. TEUs &amp; Activities - EF'!$B$9:$B$190,'2. TEUs &amp; Activities - EF'!$M$9:$M$190))*'3. Pollutant Emissions - EF'!$J685*IF(OR(ISBLANK($E685),$G685="Yes"),1,$E685)*IF($H685="Yes",1,(1-$F685))</f>
        <v>6.2150399999999989E-3</v>
      </c>
      <c r="O685" s="130">
        <f>IFERROR(IF(OR($C685="",$C685="No CAS"),INDEX('DEQ Pollutant List'!$D$7:$D$611,MATCH($D685,'DEQ Pollutant List'!$B$7:$B$611,0)),INDEX('DEQ Pollutant List'!$D$7:$D$611,MATCH($C685,'DEQ Pollutant List'!$A$7:$A$611,0))),"")</f>
        <v>305</v>
      </c>
    </row>
    <row r="686" spans="1:15" ht="15" x14ac:dyDescent="0.25">
      <c r="A686" s="5" t="s">
        <v>1540</v>
      </c>
      <c r="B686" s="7"/>
      <c r="C686" s="13" t="s">
        <v>63</v>
      </c>
      <c r="D686" s="19" t="str">
        <f>IFERROR(IF(C686="No CAS","",INDEX('DEQ Pollutant List'!$B$7:$B$611,MATCH('3. Pollutant Emissions - EF'!C686,'DEQ Pollutant List'!$A$7:$A$611,0))),"")</f>
        <v>Manganese and compounds</v>
      </c>
      <c r="E686" s="23">
        <v>0</v>
      </c>
      <c r="F686" s="21">
        <v>0</v>
      </c>
      <c r="G686" s="23" t="s">
        <v>1415</v>
      </c>
      <c r="H686" s="21" t="s">
        <v>1415</v>
      </c>
      <c r="I686" s="34">
        <v>3.0999999999999999E-3</v>
      </c>
      <c r="J686" s="11">
        <f t="shared" si="18"/>
        <v>3.0999999999999999E-3</v>
      </c>
      <c r="K686" s="6" t="s">
        <v>1417</v>
      </c>
      <c r="L686" s="20" t="s">
        <v>1589</v>
      </c>
      <c r="M686" s="7">
        <f>IF(ISBLANK($B686),_xlfn.XLOOKUP($A686,'2. TEUs &amp; Activities - EF'!$A$9:$A$190,'2. TEUs &amp; Activities - EF'!$J$9:$J$190),_xlfn.XLOOKUP($B686,'2. TEUs &amp; Activities - EF'!$B$9:$B$190,'2. TEUs &amp; Activities - EF'!$J$9:$J$190))*'3. Pollutant Emissions - EF'!$I686*IF(OR(ISBLANK($E686),$G686="Yes"),1,$E686)*IF($H686="Yes",1,(1-$F686))</f>
        <v>9.672E-3</v>
      </c>
      <c r="N686" s="5">
        <f>IF(ISBLANK($B686),_xlfn.XLOOKUP($A686,'2. TEUs &amp; Activities - EF'!$A$9:$A$190,'2. TEUs &amp; Activities - EF'!$M$9:$M$190),_xlfn.XLOOKUP($B686,'2. TEUs &amp; Activities - EF'!$B$9:$B$190,'2. TEUs &amp; Activities - EF'!$M$9:$M$190))*'3. Pollutant Emissions - EF'!$J686*IF(OR(ISBLANK($E686),$G686="Yes"),1,$E686)*IF($H686="Yes",1,(1-$F686))</f>
        <v>2.3212799999999998E-3</v>
      </c>
      <c r="O686" s="130">
        <f>IFERROR(IF(OR($C686="",$C686="No CAS"),INDEX('DEQ Pollutant List'!$D$7:$D$611,MATCH($D686,'DEQ Pollutant List'!$B$7:$B$611,0)),INDEX('DEQ Pollutant List'!$D$7:$D$611,MATCH($C686,'DEQ Pollutant List'!$A$7:$A$611,0))),"")</f>
        <v>312</v>
      </c>
    </row>
    <row r="687" spans="1:15" ht="15" x14ac:dyDescent="0.25">
      <c r="A687" s="5" t="s">
        <v>1540</v>
      </c>
      <c r="B687" s="7"/>
      <c r="C687" s="13" t="s">
        <v>64</v>
      </c>
      <c r="D687" s="19" t="str">
        <f>IFERROR(IF(C687="No CAS","",INDEX('DEQ Pollutant List'!$B$7:$B$611,MATCH('3. Pollutant Emissions - EF'!C687,'DEQ Pollutant List'!$A$7:$A$611,0))),"")</f>
        <v>Mercury and compounds</v>
      </c>
      <c r="E687" s="23">
        <v>0</v>
      </c>
      <c r="F687" s="21">
        <v>0</v>
      </c>
      <c r="G687" s="23" t="s">
        <v>1415</v>
      </c>
      <c r="H687" s="21" t="s">
        <v>1415</v>
      </c>
      <c r="I687" s="34">
        <v>2E-3</v>
      </c>
      <c r="J687" s="11">
        <f t="shared" si="18"/>
        <v>2E-3</v>
      </c>
      <c r="K687" s="6" t="s">
        <v>1417</v>
      </c>
      <c r="L687" s="20" t="s">
        <v>1589</v>
      </c>
      <c r="M687" s="7">
        <f>IF(ISBLANK($B687),_xlfn.XLOOKUP($A687,'2. TEUs &amp; Activities - EF'!$A$9:$A$190,'2. TEUs &amp; Activities - EF'!$J$9:$J$190),_xlfn.XLOOKUP($B687,'2. TEUs &amp; Activities - EF'!$B$9:$B$190,'2. TEUs &amp; Activities - EF'!$J$9:$J$190))*'3. Pollutant Emissions - EF'!$I687*IF(OR(ISBLANK($E687),$G687="Yes"),1,$E687)*IF($H687="Yes",1,(1-$F687))</f>
        <v>6.2400000000000008E-3</v>
      </c>
      <c r="N687" s="5">
        <f>IF(ISBLANK($B687),_xlfn.XLOOKUP($A687,'2. TEUs &amp; Activities - EF'!$A$9:$A$190,'2. TEUs &amp; Activities - EF'!$M$9:$M$190),_xlfn.XLOOKUP($B687,'2. TEUs &amp; Activities - EF'!$B$9:$B$190,'2. TEUs &amp; Activities - EF'!$M$9:$M$190))*'3. Pollutant Emissions - EF'!$J687*IF(OR(ISBLANK($E687),$G687="Yes"),1,$E687)*IF($H687="Yes",1,(1-$F687))</f>
        <v>1.4975999999999998E-3</v>
      </c>
      <c r="O687" s="130">
        <f>IFERROR(IF(OR($C687="",$C687="No CAS"),INDEX('DEQ Pollutant List'!$D$7:$D$611,MATCH($D687,'DEQ Pollutant List'!$B$7:$B$611,0)),INDEX('DEQ Pollutant List'!$D$7:$D$611,MATCH($C687,'DEQ Pollutant List'!$A$7:$A$611,0))),"")</f>
        <v>316</v>
      </c>
    </row>
    <row r="688" spans="1:15" ht="15" x14ac:dyDescent="0.25">
      <c r="A688" s="5" t="s">
        <v>1540</v>
      </c>
      <c r="B688" s="7"/>
      <c r="C688" s="13" t="s">
        <v>49</v>
      </c>
      <c r="D688" s="19" t="str">
        <f>IFERROR(IF(C688="No CAS","",INDEX('DEQ Pollutant List'!$B$7:$B$611,MATCH('3. Pollutant Emissions - EF'!C688,'DEQ Pollutant List'!$A$7:$A$611,0))),"")</f>
        <v>Naphthalene</v>
      </c>
      <c r="E688" s="23">
        <v>0</v>
      </c>
      <c r="F688" s="21">
        <v>0</v>
      </c>
      <c r="G688" s="23" t="s">
        <v>1415</v>
      </c>
      <c r="H688" s="21" t="s">
        <v>1415</v>
      </c>
      <c r="I688" s="34">
        <v>1.9699999999999999E-2</v>
      </c>
      <c r="J688" s="11">
        <f t="shared" si="18"/>
        <v>1.9699999999999999E-2</v>
      </c>
      <c r="K688" s="6" t="s">
        <v>1417</v>
      </c>
      <c r="L688" s="20" t="s">
        <v>1589</v>
      </c>
      <c r="M688" s="7">
        <f>IF(ISBLANK($B688),_xlfn.XLOOKUP($A688,'2. TEUs &amp; Activities - EF'!$A$9:$A$190,'2. TEUs &amp; Activities - EF'!$J$9:$J$190),_xlfn.XLOOKUP($B688,'2. TEUs &amp; Activities - EF'!$B$9:$B$190,'2. TEUs &amp; Activities - EF'!$J$9:$J$190))*'3. Pollutant Emissions - EF'!$I688*IF(OR(ISBLANK($E688),$G688="Yes"),1,$E688)*IF($H688="Yes",1,(1-$F688))</f>
        <v>6.1463999999999998E-2</v>
      </c>
      <c r="N688" s="5">
        <f>IF(ISBLANK($B688),_xlfn.XLOOKUP($A688,'2. TEUs &amp; Activities - EF'!$A$9:$A$190,'2. TEUs &amp; Activities - EF'!$M$9:$M$190),_xlfn.XLOOKUP($B688,'2. TEUs &amp; Activities - EF'!$B$9:$B$190,'2. TEUs &amp; Activities - EF'!$M$9:$M$190))*'3. Pollutant Emissions - EF'!$J688*IF(OR(ISBLANK($E688),$G688="Yes"),1,$E688)*IF($H688="Yes",1,(1-$F688))</f>
        <v>1.4751359999999998E-2</v>
      </c>
      <c r="O688" s="130">
        <f>IFERROR(IF(OR($C688="",$C688="No CAS"),INDEX('DEQ Pollutant List'!$D$7:$D$611,MATCH($D688,'DEQ Pollutant List'!$B$7:$B$611,0)),INDEX('DEQ Pollutant List'!$D$7:$D$611,MATCH($C688,'DEQ Pollutant List'!$A$7:$A$611,0))),"")</f>
        <v>428</v>
      </c>
    </row>
    <row r="689" spans="1:15" ht="15" x14ac:dyDescent="0.25">
      <c r="A689" s="5" t="s">
        <v>1540</v>
      </c>
      <c r="B689" s="7"/>
      <c r="C689" s="13" t="s">
        <v>66</v>
      </c>
      <c r="D689" s="19" t="str">
        <f>IFERROR(IF(C689="No CAS","",INDEX('DEQ Pollutant List'!$B$7:$B$611,MATCH('3. Pollutant Emissions - EF'!C689,'DEQ Pollutant List'!$A$7:$A$611,0))),"")</f>
        <v>Nickel and compounds</v>
      </c>
      <c r="E689" s="23">
        <v>0</v>
      </c>
      <c r="F689" s="21">
        <v>0</v>
      </c>
      <c r="G689" s="23" t="s">
        <v>1415</v>
      </c>
      <c r="H689" s="21" t="s">
        <v>1415</v>
      </c>
      <c r="I689" s="34">
        <v>3.8999999999999998E-3</v>
      </c>
      <c r="J689" s="11">
        <f t="shared" si="18"/>
        <v>3.8999999999999998E-3</v>
      </c>
      <c r="K689" s="6" t="s">
        <v>1417</v>
      </c>
      <c r="L689" s="20" t="s">
        <v>1589</v>
      </c>
      <c r="M689" s="7">
        <f>IF(ISBLANK($B689),_xlfn.XLOOKUP($A689,'2. TEUs &amp; Activities - EF'!$A$9:$A$190,'2. TEUs &amp; Activities - EF'!$J$9:$J$190),_xlfn.XLOOKUP($B689,'2. TEUs &amp; Activities - EF'!$B$9:$B$190,'2. TEUs &amp; Activities - EF'!$J$9:$J$190))*'3. Pollutant Emissions - EF'!$I689*IF(OR(ISBLANK($E689),$G689="Yes"),1,$E689)*IF($H689="Yes",1,(1-$F689))</f>
        <v>1.2168E-2</v>
      </c>
      <c r="N689" s="5">
        <f>IF(ISBLANK($B689),_xlfn.XLOOKUP($A689,'2. TEUs &amp; Activities - EF'!$A$9:$A$190,'2. TEUs &amp; Activities - EF'!$M$9:$M$190),_xlfn.XLOOKUP($B689,'2. TEUs &amp; Activities - EF'!$B$9:$B$190,'2. TEUs &amp; Activities - EF'!$M$9:$M$190))*'3. Pollutant Emissions - EF'!$J689*IF(OR(ISBLANK($E689),$G689="Yes"),1,$E689)*IF($H689="Yes",1,(1-$F689))</f>
        <v>2.9203199999999997E-3</v>
      </c>
      <c r="O689" s="130">
        <f>IFERROR(IF(OR($C689="",$C689="No CAS"),INDEX('DEQ Pollutant List'!$D$7:$D$611,MATCH($D689,'DEQ Pollutant List'!$B$7:$B$611,0)),INDEX('DEQ Pollutant List'!$D$7:$D$611,MATCH($C689,'DEQ Pollutant List'!$A$7:$A$611,0))),"")</f>
        <v>364</v>
      </c>
    </row>
    <row r="690" spans="1:15" ht="15" x14ac:dyDescent="0.25">
      <c r="A690" s="5" t="s">
        <v>1540</v>
      </c>
      <c r="B690" s="7"/>
      <c r="C690" s="13" t="s">
        <v>1545</v>
      </c>
      <c r="D690" s="19" t="str">
        <f>IFERROR(IF(C690="No CAS","",INDEX('DEQ Pollutant List'!$B$7:$B$611,MATCH('3. Pollutant Emissions - EF'!C690,'DEQ Pollutant List'!$A$7:$A$611,0))),"")</f>
        <v/>
      </c>
      <c r="E690" s="23">
        <v>0</v>
      </c>
      <c r="F690" s="21">
        <v>0</v>
      </c>
      <c r="G690" s="23" t="s">
        <v>1415</v>
      </c>
      <c r="H690" s="21" t="s">
        <v>1415</v>
      </c>
      <c r="I690" s="34">
        <v>3.6200000000000003E-2</v>
      </c>
      <c r="J690" s="11">
        <f t="shared" si="18"/>
        <v>3.6200000000000003E-2</v>
      </c>
      <c r="K690" s="6" t="s">
        <v>1417</v>
      </c>
      <c r="L690" s="20" t="s">
        <v>1589</v>
      </c>
      <c r="M690" s="7">
        <f>IF(ISBLANK($B690),_xlfn.XLOOKUP($A690,'2. TEUs &amp; Activities - EF'!$A$9:$A$190,'2. TEUs &amp; Activities - EF'!$J$9:$J$190),_xlfn.XLOOKUP($B690,'2. TEUs &amp; Activities - EF'!$B$9:$B$190,'2. TEUs &amp; Activities - EF'!$J$9:$J$190))*'3. Pollutant Emissions - EF'!$I690*IF(OR(ISBLANK($E690),$G690="Yes"),1,$E690)*IF($H690="Yes",1,(1-$F690))</f>
        <v>0.11294400000000002</v>
      </c>
      <c r="N690" s="5">
        <f>IF(ISBLANK($B690),_xlfn.XLOOKUP($A690,'2. TEUs &amp; Activities - EF'!$A$9:$A$190,'2. TEUs &amp; Activities - EF'!$M$9:$M$190),_xlfn.XLOOKUP($B690,'2. TEUs &amp; Activities - EF'!$B$9:$B$190,'2. TEUs &amp; Activities - EF'!$M$9:$M$190))*'3. Pollutant Emissions - EF'!$J690*IF(OR(ISBLANK($E690),$G690="Yes"),1,$E690)*IF($H690="Yes",1,(1-$F690))</f>
        <v>2.7106559999999998E-2</v>
      </c>
      <c r="O690" s="130" t="str">
        <f>IFERROR(IF(OR($C690="",$C690="No CAS"),INDEX('DEQ Pollutant List'!$D$7:$D$611,MATCH($D690,'DEQ Pollutant List'!$B$7:$B$611,0)),INDEX('DEQ Pollutant List'!$D$7:$D$611,MATCH($C690,'DEQ Pollutant List'!$A$7:$A$611,0))),"")</f>
        <v/>
      </c>
    </row>
    <row r="691" spans="1:15" ht="15" x14ac:dyDescent="0.25">
      <c r="A691" s="5" t="s">
        <v>1540</v>
      </c>
      <c r="B691" s="7"/>
      <c r="C691" s="13" t="s">
        <v>1546</v>
      </c>
      <c r="D691" s="19" t="str">
        <f>IFERROR(IF(C691="No CAS","",INDEX('DEQ Pollutant List'!$B$7:$B$611,MATCH('3. Pollutant Emissions - EF'!C691,'DEQ Pollutant List'!$A$7:$A$611,0))),"")</f>
        <v/>
      </c>
      <c r="E691" s="23">
        <v>0</v>
      </c>
      <c r="F691" s="21">
        <v>0</v>
      </c>
      <c r="G691" s="23" t="s">
        <v>1415</v>
      </c>
      <c r="H691" s="21" t="s">
        <v>1415</v>
      </c>
      <c r="I691" s="34">
        <v>8.3999999999999995E-3</v>
      </c>
      <c r="J691" s="11">
        <f t="shared" si="18"/>
        <v>8.3999999999999995E-3</v>
      </c>
      <c r="K691" s="6" t="s">
        <v>1417</v>
      </c>
      <c r="L691" s="20" t="s">
        <v>1589</v>
      </c>
      <c r="M691" s="7">
        <f>IF(ISBLANK($B691),_xlfn.XLOOKUP($A691,'2. TEUs &amp; Activities - EF'!$A$9:$A$190,'2. TEUs &amp; Activities - EF'!$J$9:$J$190),_xlfn.XLOOKUP($B691,'2. TEUs &amp; Activities - EF'!$B$9:$B$190,'2. TEUs &amp; Activities - EF'!$J$9:$J$190))*'3. Pollutant Emissions - EF'!$I691*IF(OR(ISBLANK($E691),$G691="Yes"),1,$E691)*IF($H691="Yes",1,(1-$F691))</f>
        <v>2.6207999999999999E-2</v>
      </c>
      <c r="N691" s="5">
        <f>IF(ISBLANK($B691),_xlfn.XLOOKUP($A691,'2. TEUs &amp; Activities - EF'!$A$9:$A$190,'2. TEUs &amp; Activities - EF'!$M$9:$M$190),_xlfn.XLOOKUP($B691,'2. TEUs &amp; Activities - EF'!$B$9:$B$190,'2. TEUs &amp; Activities - EF'!$M$9:$M$190))*'3. Pollutant Emissions - EF'!$J691*IF(OR(ISBLANK($E691),$G691="Yes"),1,$E691)*IF($H691="Yes",1,(1-$F691))</f>
        <v>6.2899199999999992E-3</v>
      </c>
      <c r="O691" s="130" t="str">
        <f>IFERROR(IF(OR($C691="",$C691="No CAS"),INDEX('DEQ Pollutant List'!$D$7:$D$611,MATCH($D691,'DEQ Pollutant List'!$B$7:$B$611,0)),INDEX('DEQ Pollutant List'!$D$7:$D$611,MATCH($C691,'DEQ Pollutant List'!$A$7:$A$611,0))),"")</f>
        <v/>
      </c>
    </row>
    <row r="692" spans="1:15" ht="15" x14ac:dyDescent="0.25">
      <c r="A692" s="5" t="s">
        <v>1540</v>
      </c>
      <c r="B692" s="7"/>
      <c r="C692" s="13" t="s">
        <v>1105</v>
      </c>
      <c r="D692" s="19" t="str">
        <f>IFERROR(IF(C692="No CAS","",INDEX('DEQ Pollutant List'!$B$7:$B$611,MATCH('3. Pollutant Emissions - EF'!C692,'DEQ Pollutant List'!$A$7:$A$611,0))),"")</f>
        <v>Propylene</v>
      </c>
      <c r="E692" s="23">
        <v>0</v>
      </c>
      <c r="F692" s="21">
        <v>0</v>
      </c>
      <c r="G692" s="23" t="s">
        <v>1415</v>
      </c>
      <c r="H692" s="21" t="s">
        <v>1415</v>
      </c>
      <c r="I692" s="34">
        <v>0.47</v>
      </c>
      <c r="J692" s="11">
        <f t="shared" si="18"/>
        <v>0.47</v>
      </c>
      <c r="K692" s="6" t="s">
        <v>1417</v>
      </c>
      <c r="L692" s="20" t="s">
        <v>1589</v>
      </c>
      <c r="M692" s="7">
        <f>IF(ISBLANK($B692),_xlfn.XLOOKUP($A692,'2. TEUs &amp; Activities - EF'!$A$9:$A$190,'2. TEUs &amp; Activities - EF'!$J$9:$J$190),_xlfn.XLOOKUP($B692,'2. TEUs &amp; Activities - EF'!$B$9:$B$190,'2. TEUs &amp; Activities - EF'!$J$9:$J$190))*'3. Pollutant Emissions - EF'!$I692*IF(OR(ISBLANK($E692),$G692="Yes"),1,$E692)*IF($H692="Yes",1,(1-$F692))</f>
        <v>1.4663999999999999</v>
      </c>
      <c r="N692" s="5">
        <f>IF(ISBLANK($B692),_xlfn.XLOOKUP($A692,'2. TEUs &amp; Activities - EF'!$A$9:$A$190,'2. TEUs &amp; Activities - EF'!$M$9:$M$190),_xlfn.XLOOKUP($B692,'2. TEUs &amp; Activities - EF'!$B$9:$B$190,'2. TEUs &amp; Activities - EF'!$M$9:$M$190))*'3. Pollutant Emissions - EF'!$J692*IF(OR(ISBLANK($E692),$G692="Yes"),1,$E692)*IF($H692="Yes",1,(1-$F692))</f>
        <v>0.35193599999999992</v>
      </c>
      <c r="O692" s="130">
        <f>IFERROR(IF(OR($C692="",$C692="No CAS"),INDEX('DEQ Pollutant List'!$D$7:$D$611,MATCH($D692,'DEQ Pollutant List'!$B$7:$B$611,0)),INDEX('DEQ Pollutant List'!$D$7:$D$611,MATCH($C692,'DEQ Pollutant List'!$A$7:$A$611,0))),"")</f>
        <v>561</v>
      </c>
    </row>
    <row r="693" spans="1:15" ht="15" x14ac:dyDescent="0.25">
      <c r="A693" s="5" t="s">
        <v>1540</v>
      </c>
      <c r="B693" s="7"/>
      <c r="C693" s="13" t="s">
        <v>67</v>
      </c>
      <c r="D693" s="19" t="str">
        <f>IFERROR(IF(C693="No CAS","",INDEX('DEQ Pollutant List'!$B$7:$B$611,MATCH('3. Pollutant Emissions - EF'!C693,'DEQ Pollutant List'!$A$7:$A$611,0))),"")</f>
        <v>Selenium and compounds</v>
      </c>
      <c r="E693" s="23">
        <v>0</v>
      </c>
      <c r="F693" s="21">
        <v>0</v>
      </c>
      <c r="G693" s="23" t="s">
        <v>1415</v>
      </c>
      <c r="H693" s="21" t="s">
        <v>1415</v>
      </c>
      <c r="I693" s="34">
        <v>2.2000000000000001E-3</v>
      </c>
      <c r="J693" s="11">
        <f t="shared" si="18"/>
        <v>2.2000000000000001E-3</v>
      </c>
      <c r="K693" s="6" t="s">
        <v>1417</v>
      </c>
      <c r="L693" s="20" t="s">
        <v>1589</v>
      </c>
      <c r="M693" s="7">
        <f>IF(ISBLANK($B693),_xlfn.XLOOKUP($A693,'2. TEUs &amp; Activities - EF'!$A$9:$A$190,'2. TEUs &amp; Activities - EF'!$J$9:$J$190),_xlfn.XLOOKUP($B693,'2. TEUs &amp; Activities - EF'!$B$9:$B$190,'2. TEUs &amp; Activities - EF'!$J$9:$J$190))*'3. Pollutant Emissions - EF'!$I693*IF(OR(ISBLANK($E693),$G693="Yes"),1,$E693)*IF($H693="Yes",1,(1-$F693))</f>
        <v>6.8640000000000003E-3</v>
      </c>
      <c r="N693" s="5">
        <f>IF(ISBLANK($B693),_xlfn.XLOOKUP($A693,'2. TEUs &amp; Activities - EF'!$A$9:$A$190,'2. TEUs &amp; Activities - EF'!$M$9:$M$190),_xlfn.XLOOKUP($B693,'2. TEUs &amp; Activities - EF'!$B$9:$B$190,'2. TEUs &amp; Activities - EF'!$M$9:$M$190))*'3. Pollutant Emissions - EF'!$J693*IF(OR(ISBLANK($E693),$G693="Yes"),1,$E693)*IF($H693="Yes",1,(1-$F693))</f>
        <v>1.6473599999999998E-3</v>
      </c>
      <c r="O693" s="130">
        <f>IFERROR(IF(OR($C693="",$C693="No CAS"),INDEX('DEQ Pollutant List'!$D$7:$D$611,MATCH($D693,'DEQ Pollutant List'!$B$7:$B$611,0)),INDEX('DEQ Pollutant List'!$D$7:$D$611,MATCH($C693,'DEQ Pollutant List'!$A$7:$A$611,0))),"")</f>
        <v>575</v>
      </c>
    </row>
    <row r="694" spans="1:15" ht="15" x14ac:dyDescent="0.25">
      <c r="A694" s="5" t="s">
        <v>1540</v>
      </c>
      <c r="B694" s="7"/>
      <c r="C694" s="13" t="s">
        <v>113</v>
      </c>
      <c r="D694" s="19" t="str">
        <f>IFERROR(IF(C694="No CAS","",INDEX('DEQ Pollutant List'!$B$7:$B$611,MATCH('3. Pollutant Emissions - EF'!C694,'DEQ Pollutant List'!$A$7:$A$611,0))),"")</f>
        <v>Silver and compounds</v>
      </c>
      <c r="E694" s="23">
        <v>0</v>
      </c>
      <c r="F694" s="21">
        <v>0</v>
      </c>
      <c r="G694" s="23" t="s">
        <v>1415</v>
      </c>
      <c r="H694" s="21" t="s">
        <v>1415</v>
      </c>
      <c r="I694" s="34">
        <v>4.8000000000000001E-5</v>
      </c>
      <c r="J694" s="11">
        <f t="shared" si="18"/>
        <v>4.8000000000000001E-5</v>
      </c>
      <c r="K694" s="6" t="s">
        <v>1417</v>
      </c>
      <c r="L694" s="20" t="s">
        <v>1589</v>
      </c>
      <c r="M694" s="7">
        <f>IF(ISBLANK($B694),_xlfn.XLOOKUP($A694,'2. TEUs &amp; Activities - EF'!$A$9:$A$190,'2. TEUs &amp; Activities - EF'!$J$9:$J$190),_xlfn.XLOOKUP($B694,'2. TEUs &amp; Activities - EF'!$B$9:$B$190,'2. TEUs &amp; Activities - EF'!$J$9:$J$190))*'3. Pollutant Emissions - EF'!$I694*IF(OR(ISBLANK($E694),$G694="Yes"),1,$E694)*IF($H694="Yes",1,(1-$F694))</f>
        <v>1.4976E-4</v>
      </c>
      <c r="N694" s="5">
        <f>IF(ISBLANK($B694),_xlfn.XLOOKUP($A694,'2. TEUs &amp; Activities - EF'!$A$9:$A$190,'2. TEUs &amp; Activities - EF'!$M$9:$M$190),_xlfn.XLOOKUP($B694,'2. TEUs &amp; Activities - EF'!$B$9:$B$190,'2. TEUs &amp; Activities - EF'!$M$9:$M$190))*'3. Pollutant Emissions - EF'!$J694*IF(OR(ISBLANK($E694),$G694="Yes"),1,$E694)*IF($H694="Yes",1,(1-$F694))</f>
        <v>3.5942399999999997E-5</v>
      </c>
      <c r="O694" s="130">
        <f>IFERROR(IF(OR($C694="",$C694="No CAS"),INDEX('DEQ Pollutant List'!$D$7:$D$611,MATCH($D694,'DEQ Pollutant List'!$B$7:$B$611,0)),INDEX('DEQ Pollutant List'!$D$7:$D$611,MATCH($C694,'DEQ Pollutant List'!$A$7:$A$611,0))),"")</f>
        <v>580</v>
      </c>
    </row>
    <row r="695" spans="1:15" ht="15" x14ac:dyDescent="0.25">
      <c r="A695" s="5" t="s">
        <v>1540</v>
      </c>
      <c r="B695" s="7"/>
      <c r="C695" s="13" t="s">
        <v>114</v>
      </c>
      <c r="D695" s="19" t="str">
        <f>IFERROR(IF(C695="No CAS","",INDEX('DEQ Pollutant List'!$B$7:$B$611,MATCH('3. Pollutant Emissions - EF'!C695,'DEQ Pollutant List'!$A$7:$A$611,0))),"")</f>
        <v>Thallium and compounds</v>
      </c>
      <c r="E695" s="23">
        <v>0</v>
      </c>
      <c r="F695" s="21">
        <v>0</v>
      </c>
      <c r="G695" s="23" t="s">
        <v>1415</v>
      </c>
      <c r="H695" s="21" t="s">
        <v>1415</v>
      </c>
      <c r="I695" s="34">
        <v>2.4000000000000001E-4</v>
      </c>
      <c r="J695" s="11">
        <f t="shared" si="18"/>
        <v>2.4000000000000001E-4</v>
      </c>
      <c r="K695" s="6" t="s">
        <v>1417</v>
      </c>
      <c r="L695" s="20" t="s">
        <v>1589</v>
      </c>
      <c r="M695" s="7">
        <f>IF(ISBLANK($B695),_xlfn.XLOOKUP($A695,'2. TEUs &amp; Activities - EF'!$A$9:$A$190,'2. TEUs &amp; Activities - EF'!$J$9:$J$190),_xlfn.XLOOKUP($B695,'2. TEUs &amp; Activities - EF'!$B$9:$B$190,'2. TEUs &amp; Activities - EF'!$J$9:$J$190))*'3. Pollutant Emissions - EF'!$I695*IF(OR(ISBLANK($E695),$G695="Yes"),1,$E695)*IF($H695="Yes",1,(1-$F695))</f>
        <v>7.4880000000000009E-4</v>
      </c>
      <c r="N695" s="5">
        <f>IF(ISBLANK($B695),_xlfn.XLOOKUP($A695,'2. TEUs &amp; Activities - EF'!$A$9:$A$190,'2. TEUs &amp; Activities - EF'!$M$9:$M$190),_xlfn.XLOOKUP($B695,'2. TEUs &amp; Activities - EF'!$B$9:$B$190,'2. TEUs &amp; Activities - EF'!$M$9:$M$190))*'3. Pollutant Emissions - EF'!$J695*IF(OR(ISBLANK($E695),$G695="Yes"),1,$E695)*IF($H695="Yes",1,(1-$F695))</f>
        <v>1.7971199999999998E-4</v>
      </c>
      <c r="O695" s="130">
        <f>IFERROR(IF(OR($C695="",$C695="No CAS"),INDEX('DEQ Pollutant List'!$D$7:$D$611,MATCH($D695,'DEQ Pollutant List'!$B$7:$B$611,0)),INDEX('DEQ Pollutant List'!$D$7:$D$611,MATCH($C695,'DEQ Pollutant List'!$A$7:$A$611,0))),"")</f>
        <v>595</v>
      </c>
    </row>
    <row r="696" spans="1:15" ht="15" x14ac:dyDescent="0.25">
      <c r="A696" s="5" t="s">
        <v>1540</v>
      </c>
      <c r="B696" s="7"/>
      <c r="C696" s="13" t="s">
        <v>68</v>
      </c>
      <c r="D696" s="19" t="str">
        <f>IFERROR(IF(C696="No CAS","",INDEX('DEQ Pollutant List'!$B$7:$B$611,MATCH('3. Pollutant Emissions - EF'!C696,'DEQ Pollutant List'!$A$7:$A$611,0))),"")</f>
        <v>Toluene</v>
      </c>
      <c r="E696" s="23">
        <v>0</v>
      </c>
      <c r="F696" s="21">
        <v>0</v>
      </c>
      <c r="G696" s="23" t="s">
        <v>1415</v>
      </c>
      <c r="H696" s="21" t="s">
        <v>1415</v>
      </c>
      <c r="I696" s="34">
        <v>0.11</v>
      </c>
      <c r="J696" s="11">
        <f t="shared" si="18"/>
        <v>0.11</v>
      </c>
      <c r="K696" s="6" t="s">
        <v>1417</v>
      </c>
      <c r="L696" s="20" t="s">
        <v>1589</v>
      </c>
      <c r="M696" s="7">
        <f>IF(ISBLANK($B696),_xlfn.XLOOKUP($A696,'2. TEUs &amp; Activities - EF'!$A$9:$A$190,'2. TEUs &amp; Activities - EF'!$J$9:$J$190),_xlfn.XLOOKUP($B696,'2. TEUs &amp; Activities - EF'!$B$9:$B$190,'2. TEUs &amp; Activities - EF'!$J$9:$J$190))*'3. Pollutant Emissions - EF'!$I696*IF(OR(ISBLANK($E696),$G696="Yes"),1,$E696)*IF($H696="Yes",1,(1-$F696))</f>
        <v>0.34320000000000001</v>
      </c>
      <c r="N696" s="5">
        <f>IF(ISBLANK($B696),_xlfn.XLOOKUP($A696,'2. TEUs &amp; Activities - EF'!$A$9:$A$190,'2. TEUs &amp; Activities - EF'!$M$9:$M$190),_xlfn.XLOOKUP($B696,'2. TEUs &amp; Activities - EF'!$B$9:$B$190,'2. TEUs &amp; Activities - EF'!$M$9:$M$190))*'3. Pollutant Emissions - EF'!$J696*IF(OR(ISBLANK($E696),$G696="Yes"),1,$E696)*IF($H696="Yes",1,(1-$F696))</f>
        <v>8.2367999999999997E-2</v>
      </c>
      <c r="O696" s="130">
        <f>IFERROR(IF(OR($C696="",$C696="No CAS"),INDEX('DEQ Pollutant List'!$D$7:$D$611,MATCH($D696,'DEQ Pollutant List'!$B$7:$B$611,0)),INDEX('DEQ Pollutant List'!$D$7:$D$611,MATCH($C696,'DEQ Pollutant List'!$A$7:$A$611,0))),"")</f>
        <v>600</v>
      </c>
    </row>
    <row r="697" spans="1:15" ht="15" x14ac:dyDescent="0.25">
      <c r="A697" s="5" t="s">
        <v>1540</v>
      </c>
      <c r="B697" s="7"/>
      <c r="C697" s="13" t="s">
        <v>70</v>
      </c>
      <c r="D697" s="19" t="str">
        <f>IFERROR(IF(C697="No CAS","",INDEX('DEQ Pollutant List'!$B$7:$B$611,MATCH('3. Pollutant Emissions - EF'!C697,'DEQ Pollutant List'!$A$7:$A$611,0))),"")</f>
        <v>Xylene (mixture), including m-xylene, o-xylene, p-xylene</v>
      </c>
      <c r="E697" s="23">
        <v>0</v>
      </c>
      <c r="F697" s="21">
        <v>0</v>
      </c>
      <c r="G697" s="23" t="s">
        <v>1415</v>
      </c>
      <c r="H697" s="21" t="s">
        <v>1415</v>
      </c>
      <c r="I697" s="34">
        <v>0.04</v>
      </c>
      <c r="J697" s="11">
        <f t="shared" si="18"/>
        <v>0.04</v>
      </c>
      <c r="K697" s="6" t="s">
        <v>1417</v>
      </c>
      <c r="L697" s="20" t="s">
        <v>1589</v>
      </c>
      <c r="M697" s="7">
        <f>IF(ISBLANK($B697),_xlfn.XLOOKUP($A697,'2. TEUs &amp; Activities - EF'!$A$9:$A$190,'2. TEUs &amp; Activities - EF'!$J$9:$J$190),_xlfn.XLOOKUP($B697,'2. TEUs &amp; Activities - EF'!$B$9:$B$190,'2. TEUs &amp; Activities - EF'!$J$9:$J$190))*'3. Pollutant Emissions - EF'!$I697*IF(OR(ISBLANK($E697),$G697="Yes"),1,$E697)*IF($H697="Yes",1,(1-$F697))</f>
        <v>0.12480000000000001</v>
      </c>
      <c r="N697" s="5">
        <f>IF(ISBLANK($B697),_xlfn.XLOOKUP($A697,'2. TEUs &amp; Activities - EF'!$A$9:$A$190,'2. TEUs &amp; Activities - EF'!$M$9:$M$190),_xlfn.XLOOKUP($B697,'2. TEUs &amp; Activities - EF'!$B$9:$B$190,'2. TEUs &amp; Activities - EF'!$M$9:$M$190))*'3. Pollutant Emissions - EF'!$J697*IF(OR(ISBLANK($E697),$G697="Yes"),1,$E697)*IF($H697="Yes",1,(1-$F697))</f>
        <v>2.9951999999999996E-2</v>
      </c>
      <c r="O697" s="130">
        <f>IFERROR(IF(OR($C697="",$C697="No CAS"),INDEX('DEQ Pollutant List'!$D$7:$D$611,MATCH($D697,'DEQ Pollutant List'!$B$7:$B$611,0)),INDEX('DEQ Pollutant List'!$D$7:$D$611,MATCH($C697,'DEQ Pollutant List'!$A$7:$A$611,0))),"")</f>
        <v>628</v>
      </c>
    </row>
    <row r="698" spans="1:15" ht="15" x14ac:dyDescent="0.25">
      <c r="A698" s="5" t="s">
        <v>1540</v>
      </c>
      <c r="B698" s="7"/>
      <c r="C698" s="13" t="s">
        <v>71</v>
      </c>
      <c r="D698" s="19" t="str">
        <f>IFERROR(IF(C698="No CAS","",INDEX('DEQ Pollutant List'!$B$7:$B$611,MATCH('3. Pollutant Emissions - EF'!C698,'DEQ Pollutant List'!$A$7:$A$611,0))),"")</f>
        <v>Zinc and compounds</v>
      </c>
      <c r="E698" s="23">
        <v>0</v>
      </c>
      <c r="F698" s="21">
        <v>0</v>
      </c>
      <c r="G698" s="23" t="s">
        <v>1415</v>
      </c>
      <c r="H698" s="21" t="s">
        <v>1415</v>
      </c>
      <c r="I698" s="34">
        <v>5.2300000000000003E-3</v>
      </c>
      <c r="J698" s="11">
        <f t="shared" si="18"/>
        <v>5.2300000000000003E-3</v>
      </c>
      <c r="K698" s="6" t="s">
        <v>1417</v>
      </c>
      <c r="L698" s="20" t="s">
        <v>1589</v>
      </c>
      <c r="M698" s="7">
        <f>IF(ISBLANK($B698),_xlfn.XLOOKUP($A698,'2. TEUs &amp; Activities - EF'!$A$9:$A$190,'2. TEUs &amp; Activities - EF'!$J$9:$J$190),_xlfn.XLOOKUP($B698,'2. TEUs &amp; Activities - EF'!$B$9:$B$190,'2. TEUs &amp; Activities - EF'!$J$9:$J$190))*'3. Pollutant Emissions - EF'!$I698*IF(OR(ISBLANK($E698),$G698="Yes"),1,$E698)*IF($H698="Yes",1,(1-$F698))</f>
        <v>1.6317600000000002E-2</v>
      </c>
      <c r="N698" s="5">
        <f>IF(ISBLANK($B698),_xlfn.XLOOKUP($A698,'2. TEUs &amp; Activities - EF'!$A$9:$A$190,'2. TEUs &amp; Activities - EF'!$M$9:$M$190),_xlfn.XLOOKUP($B698,'2. TEUs &amp; Activities - EF'!$B$9:$B$190,'2. TEUs &amp; Activities - EF'!$M$9:$M$190))*'3. Pollutant Emissions - EF'!$J698*IF(OR(ISBLANK($E698),$G698="Yes"),1,$E698)*IF($H698="Yes",1,(1-$F698))</f>
        <v>3.9162239999999994E-3</v>
      </c>
      <c r="O698" s="130">
        <f>IFERROR(IF(OR($C698="",$C698="No CAS"),INDEX('DEQ Pollutant List'!$D$7:$D$611,MATCH($D698,'DEQ Pollutant List'!$B$7:$B$611,0)),INDEX('DEQ Pollutant List'!$D$7:$D$611,MATCH($C698,'DEQ Pollutant List'!$A$7:$A$611,0))),"")</f>
        <v>632</v>
      </c>
    </row>
    <row r="699" spans="1:15" ht="15" x14ac:dyDescent="0.25">
      <c r="A699" s="5"/>
      <c r="B699" s="7"/>
      <c r="C699" s="13"/>
      <c r="D699" s="19" t="str">
        <f>IFERROR(IF(C699="No CAS","",INDEX('DEQ Pollutant List'!$B$7:$B$611,MATCH('3. Pollutant Emissions - EF'!C699,'DEQ Pollutant List'!$A$7:$A$611,0))),"")</f>
        <v/>
      </c>
      <c r="E699" s="23"/>
      <c r="F699" s="21"/>
      <c r="G699" s="23"/>
      <c r="H699" s="21"/>
      <c r="I699" s="34"/>
      <c r="J699" s="11"/>
      <c r="K699" s="6"/>
      <c r="L699" s="20"/>
      <c r="M699" s="7">
        <f>IF(ISBLANK($B699),_xlfn.XLOOKUP($A699,'2. TEUs &amp; Activities - EF'!$A$9:$A$190,'2. TEUs &amp; Activities - EF'!$J$9:$J$190),_xlfn.XLOOKUP($B699,'2. TEUs &amp; Activities - EF'!$B$9:$B$190,'2. TEUs &amp; Activities - EF'!$J$9:$J$190))*'3. Pollutant Emissions - EF'!$I699*IF(OR(ISBLANK($E699),$G699="Yes"),1,$E699)*IF($H699="Yes",1,(1-$F699))</f>
        <v>0</v>
      </c>
      <c r="N699" s="5">
        <f>IF(ISBLANK($B699),_xlfn.XLOOKUP($A699,'2. TEUs &amp; Activities - EF'!$A$9:$A$190,'2. TEUs &amp; Activities - EF'!$M$9:$M$190),_xlfn.XLOOKUP($B699,'2. TEUs &amp; Activities - EF'!$B$9:$B$190,'2. TEUs &amp; Activities - EF'!$M$9:$M$190))*'3. Pollutant Emissions - EF'!$J699*IF(OR(ISBLANK($E699),$G699="Yes"),1,$E699)*IF($H699="Yes",1,(1-$F699))</f>
        <v>0</v>
      </c>
      <c r="O699" s="130" t="str">
        <f>IFERROR(IF(OR($C699="",$C699="No CAS"),INDEX('DEQ Pollutant List'!$D$7:$D$611,MATCH($D699,'DEQ Pollutant List'!$B$7:$B$611,0)),INDEX('DEQ Pollutant List'!$D$7:$D$611,MATCH($C699,'DEQ Pollutant List'!$A$7:$A$611,0))),"")</f>
        <v/>
      </c>
    </row>
    <row r="700" spans="1:15" ht="15" x14ac:dyDescent="0.25">
      <c r="A700" s="5" t="s">
        <v>1541</v>
      </c>
      <c r="B700" s="7"/>
      <c r="C700" s="13" t="s">
        <v>186</v>
      </c>
      <c r="D700" s="19" t="str">
        <f>IFERROR(IF(C700="No CAS","",INDEX('DEQ Pollutant List'!$B$7:$B$611,MATCH('3. Pollutant Emissions - EF'!C700,'DEQ Pollutant List'!$A$7:$A$611,0))),"")</f>
        <v>1,1,2,2-Tetrachloroethane</v>
      </c>
      <c r="E700" s="23">
        <v>0</v>
      </c>
      <c r="F700" s="21">
        <v>0</v>
      </c>
      <c r="G700" s="23" t="s">
        <v>1415</v>
      </c>
      <c r="H700" s="21" t="s">
        <v>1415</v>
      </c>
      <c r="I700" s="34">
        <v>4.0800000000000003E-2</v>
      </c>
      <c r="J700" s="11">
        <f t="shared" ref="J700:J734" si="19">I700</f>
        <v>4.0800000000000003E-2</v>
      </c>
      <c r="K700" s="6" t="s">
        <v>1418</v>
      </c>
      <c r="L700" s="20" t="s">
        <v>1587</v>
      </c>
      <c r="M700" s="7">
        <f>IF(ISBLANK($B700),_xlfn.XLOOKUP($A700,'2. TEUs &amp; Activities - EF'!$A$9:$A$190,'2. TEUs &amp; Activities - EF'!$J$9:$J$190),_xlfn.XLOOKUP($B700,'2. TEUs &amp; Activities - EF'!$B$9:$B$190,'2. TEUs &amp; Activities - EF'!$J$9:$J$190))*'3. Pollutant Emissions - EF'!$I700*IF(OR(ISBLANK($E700),$G700="Yes"),1,$E700)*IF($H700="Yes",1,(1-$F700))</f>
        <v>4.0163742690058485E-2</v>
      </c>
      <c r="N700" s="5">
        <f>IF(ISBLANK($B700),_xlfn.XLOOKUP($A700,'2. TEUs &amp; Activities - EF'!$A$9:$A$190,'2. TEUs &amp; Activities - EF'!$M$9:$M$190),_xlfn.XLOOKUP($B700,'2. TEUs &amp; Activities - EF'!$B$9:$B$190,'2. TEUs &amp; Activities - EF'!$M$9:$M$190))*'3. Pollutant Emissions - EF'!$J700*IF(OR(ISBLANK($E700),$G700="Yes"),1,$E700)*IF($H700="Yes",1,(1-$F700))</f>
        <v>9.6392982456140353E-3</v>
      </c>
      <c r="O700" s="130">
        <f>IFERROR(IF(OR($C700="",$C700="No CAS"),INDEX('DEQ Pollutant List'!$D$7:$D$611,MATCH($D700,'DEQ Pollutant List'!$B$7:$B$611,0)),INDEX('DEQ Pollutant List'!$D$7:$D$611,MATCH($C700,'DEQ Pollutant List'!$A$7:$A$611,0))),"")</f>
        <v>594</v>
      </c>
    </row>
    <row r="701" spans="1:15" ht="15" x14ac:dyDescent="0.25">
      <c r="A701" s="5" t="s">
        <v>1541</v>
      </c>
      <c r="B701" s="7"/>
      <c r="C701" s="13" t="s">
        <v>188</v>
      </c>
      <c r="D701" s="19" t="str">
        <f>IFERROR(IF(C701="No CAS","",INDEX('DEQ Pollutant List'!$B$7:$B$611,MATCH('3. Pollutant Emissions - EF'!C701,'DEQ Pollutant List'!$A$7:$A$611,0))),"")</f>
        <v>1,1,2-Trichloroethane (vinyl trichloride)</v>
      </c>
      <c r="E701" s="23">
        <v>0</v>
      </c>
      <c r="F701" s="21">
        <v>0</v>
      </c>
      <c r="G701" s="23" t="s">
        <v>1415</v>
      </c>
      <c r="H701" s="21" t="s">
        <v>1415</v>
      </c>
      <c r="I701" s="34">
        <v>3.2399999999999998E-2</v>
      </c>
      <c r="J701" s="11">
        <f t="shared" si="19"/>
        <v>3.2399999999999998E-2</v>
      </c>
      <c r="K701" s="6" t="s">
        <v>1418</v>
      </c>
      <c r="L701" s="20" t="s">
        <v>1587</v>
      </c>
      <c r="M701" s="7">
        <f>IF(ISBLANK($B701),_xlfn.XLOOKUP($A701,'2. TEUs &amp; Activities - EF'!$A$9:$A$190,'2. TEUs &amp; Activities - EF'!$J$9:$J$190),_xlfn.XLOOKUP($B701,'2. TEUs &amp; Activities - EF'!$B$9:$B$190,'2. TEUs &amp; Activities - EF'!$J$9:$J$190))*'3. Pollutant Emissions - EF'!$I701*IF(OR(ISBLANK($E701),$G701="Yes"),1,$E701)*IF($H701="Yes",1,(1-$F701))</f>
        <v>3.189473684210526E-2</v>
      </c>
      <c r="N701" s="5">
        <f>IF(ISBLANK($B701),_xlfn.XLOOKUP($A701,'2. TEUs &amp; Activities - EF'!$A$9:$A$190,'2. TEUs &amp; Activities - EF'!$M$9:$M$190),_xlfn.XLOOKUP($B701,'2. TEUs &amp; Activities - EF'!$B$9:$B$190,'2. TEUs &amp; Activities - EF'!$M$9:$M$190))*'3. Pollutant Emissions - EF'!$J701*IF(OR(ISBLANK($E701),$G701="Yes"),1,$E701)*IF($H701="Yes",1,(1-$F701))</f>
        <v>7.6547368421052628E-3</v>
      </c>
      <c r="O701" s="130">
        <f>IFERROR(IF(OR($C701="",$C701="No CAS"),INDEX('DEQ Pollutant List'!$D$7:$D$611,MATCH($D701,'DEQ Pollutant List'!$B$7:$B$611,0)),INDEX('DEQ Pollutant List'!$D$7:$D$611,MATCH($C701,'DEQ Pollutant List'!$A$7:$A$611,0))),"")</f>
        <v>607</v>
      </c>
    </row>
    <row r="702" spans="1:15" ht="15" x14ac:dyDescent="0.25">
      <c r="A702" s="5" t="s">
        <v>1541</v>
      </c>
      <c r="B702" s="7"/>
      <c r="C702" s="13" t="s">
        <v>172</v>
      </c>
      <c r="D702" s="19" t="str">
        <f>IFERROR(IF(C702="No CAS","",INDEX('DEQ Pollutant List'!$B$7:$B$611,MATCH('3. Pollutant Emissions - EF'!C702,'DEQ Pollutant List'!$A$7:$A$611,0))),"")</f>
        <v>1,2,4-Trimethylbenzene</v>
      </c>
      <c r="E702" s="23">
        <v>0</v>
      </c>
      <c r="F702" s="21">
        <v>0</v>
      </c>
      <c r="G702" s="23" t="s">
        <v>1415</v>
      </c>
      <c r="H702" s="21" t="s">
        <v>1415</v>
      </c>
      <c r="I702" s="34">
        <v>1.46E-2</v>
      </c>
      <c r="J702" s="11">
        <f t="shared" si="19"/>
        <v>1.46E-2</v>
      </c>
      <c r="K702" s="6" t="s">
        <v>1418</v>
      </c>
      <c r="L702" s="20" t="s">
        <v>1587</v>
      </c>
      <c r="M702" s="7">
        <f>IF(ISBLANK($B702),_xlfn.XLOOKUP($A702,'2. TEUs &amp; Activities - EF'!$A$9:$A$190,'2. TEUs &amp; Activities - EF'!$J$9:$J$190),_xlfn.XLOOKUP($B702,'2. TEUs &amp; Activities - EF'!$B$9:$B$190,'2. TEUs &amp; Activities - EF'!$J$9:$J$190))*'3. Pollutant Emissions - EF'!$I702*IF(OR(ISBLANK($E702),$G702="Yes"),1,$E702)*IF($H702="Yes",1,(1-$F702))</f>
        <v>1.4372319688109161E-2</v>
      </c>
      <c r="N702" s="5">
        <f>IF(ISBLANK($B702),_xlfn.XLOOKUP($A702,'2. TEUs &amp; Activities - EF'!$A$9:$A$190,'2. TEUs &amp; Activities - EF'!$M$9:$M$190),_xlfn.XLOOKUP($B702,'2. TEUs &amp; Activities - EF'!$B$9:$B$190,'2. TEUs &amp; Activities - EF'!$M$9:$M$190))*'3. Pollutant Emissions - EF'!$J702*IF(OR(ISBLANK($E702),$G702="Yes"),1,$E702)*IF($H702="Yes",1,(1-$F702))</f>
        <v>3.4493567251461989E-3</v>
      </c>
      <c r="O702" s="130">
        <f>IFERROR(IF(OR($C702="",$C702="No CAS"),INDEX('DEQ Pollutant List'!$D$7:$D$611,MATCH($D702,'DEQ Pollutant List'!$B$7:$B$611,0)),INDEX('DEQ Pollutant List'!$D$7:$D$611,MATCH($C702,'DEQ Pollutant List'!$A$7:$A$611,0))),"")</f>
        <v>614</v>
      </c>
    </row>
    <row r="703" spans="1:15" ht="15" x14ac:dyDescent="0.25">
      <c r="A703" s="5" t="s">
        <v>1541</v>
      </c>
      <c r="B703" s="7"/>
      <c r="C703" s="13" t="s">
        <v>73</v>
      </c>
      <c r="D703" s="19" t="str">
        <f>IFERROR(IF(C703="No CAS","",INDEX('DEQ Pollutant List'!$B$7:$B$611,MATCH('3. Pollutant Emissions - EF'!C703,'DEQ Pollutant List'!$A$7:$A$611,0))),"")</f>
        <v>1,2-Dichloropropane (propylene dichloride)</v>
      </c>
      <c r="E703" s="23">
        <v>0</v>
      </c>
      <c r="F703" s="21">
        <v>0</v>
      </c>
      <c r="G703" s="23" t="s">
        <v>1415</v>
      </c>
      <c r="H703" s="21" t="s">
        <v>1415</v>
      </c>
      <c r="I703" s="34">
        <v>2.7400000000000001E-2</v>
      </c>
      <c r="J703" s="11">
        <f t="shared" si="19"/>
        <v>2.7400000000000001E-2</v>
      </c>
      <c r="K703" s="6" t="s">
        <v>1418</v>
      </c>
      <c r="L703" s="20" t="s">
        <v>1587</v>
      </c>
      <c r="M703" s="7">
        <f>IF(ISBLANK($B703),_xlfn.XLOOKUP($A703,'2. TEUs &amp; Activities - EF'!$A$9:$A$190,'2. TEUs &amp; Activities - EF'!$J$9:$J$190),_xlfn.XLOOKUP($B703,'2. TEUs &amp; Activities - EF'!$B$9:$B$190,'2. TEUs &amp; Activities - EF'!$J$9:$J$190))*'3. Pollutant Emissions - EF'!$I703*IF(OR(ISBLANK($E703),$G703="Yes"),1,$E703)*IF($H703="Yes",1,(1-$F703))</f>
        <v>2.6972709551656922E-2</v>
      </c>
      <c r="N703" s="5">
        <f>IF(ISBLANK($B703),_xlfn.XLOOKUP($A703,'2. TEUs &amp; Activities - EF'!$A$9:$A$190,'2. TEUs &amp; Activities - EF'!$M$9:$M$190),_xlfn.XLOOKUP($B703,'2. TEUs &amp; Activities - EF'!$B$9:$B$190,'2. TEUs &amp; Activities - EF'!$M$9:$M$190))*'3. Pollutant Emissions - EF'!$J703*IF(OR(ISBLANK($E703),$G703="Yes"),1,$E703)*IF($H703="Yes",1,(1-$F703))</f>
        <v>6.4734502923976612E-3</v>
      </c>
      <c r="O703" s="130">
        <f>IFERROR(IF(OR($C703="",$C703="No CAS"),INDEX('DEQ Pollutant List'!$D$7:$D$611,MATCH($D703,'DEQ Pollutant List'!$B$7:$B$611,0)),INDEX('DEQ Pollutant List'!$D$7:$D$611,MATCH($C703,'DEQ Pollutant List'!$A$7:$A$611,0))),"")</f>
        <v>195</v>
      </c>
    </row>
    <row r="704" spans="1:15" ht="15" x14ac:dyDescent="0.25">
      <c r="A704" s="5" t="s">
        <v>1541</v>
      </c>
      <c r="B704" s="7"/>
      <c r="C704" s="13" t="s">
        <v>229</v>
      </c>
      <c r="D704" s="19" t="str">
        <f>IFERROR(IF(C704="No CAS","",INDEX('DEQ Pollutant List'!$B$7:$B$611,MATCH('3. Pollutant Emissions - EF'!C704,'DEQ Pollutant List'!$A$7:$A$611,0))),"")</f>
        <v>1,3-Butadiene</v>
      </c>
      <c r="E704" s="23">
        <v>0</v>
      </c>
      <c r="F704" s="21">
        <v>0</v>
      </c>
      <c r="G704" s="23" t="s">
        <v>1415</v>
      </c>
      <c r="H704" s="21" t="s">
        <v>1415</v>
      </c>
      <c r="I704" s="34">
        <v>0.27200000000000002</v>
      </c>
      <c r="J704" s="11">
        <f t="shared" si="19"/>
        <v>0.27200000000000002</v>
      </c>
      <c r="K704" s="6" t="s">
        <v>1418</v>
      </c>
      <c r="L704" s="20" t="s">
        <v>1587</v>
      </c>
      <c r="M704" s="7">
        <f>IF(ISBLANK($B704),_xlfn.XLOOKUP($A704,'2. TEUs &amp; Activities - EF'!$A$9:$A$190,'2. TEUs &amp; Activities - EF'!$J$9:$J$190),_xlfn.XLOOKUP($B704,'2. TEUs &amp; Activities - EF'!$B$9:$B$190,'2. TEUs &amp; Activities - EF'!$J$9:$J$190))*'3. Pollutant Emissions - EF'!$I704*IF(OR(ISBLANK($E704),$G704="Yes"),1,$E704)*IF($H704="Yes",1,(1-$F704))</f>
        <v>0.26775828460038986</v>
      </c>
      <c r="N704" s="5">
        <f>IF(ISBLANK($B704),_xlfn.XLOOKUP($A704,'2. TEUs &amp; Activities - EF'!$A$9:$A$190,'2. TEUs &amp; Activities - EF'!$M$9:$M$190),_xlfn.XLOOKUP($B704,'2. TEUs &amp; Activities - EF'!$B$9:$B$190,'2. TEUs &amp; Activities - EF'!$M$9:$M$190))*'3. Pollutant Emissions - EF'!$J704*IF(OR(ISBLANK($E704),$G704="Yes"),1,$E704)*IF($H704="Yes",1,(1-$F704))</f>
        <v>6.4261988304093576E-2</v>
      </c>
      <c r="O704" s="130">
        <f>IFERROR(IF(OR($C704="",$C704="No CAS"),INDEX('DEQ Pollutant List'!$D$7:$D$611,MATCH($D704,'DEQ Pollutant List'!$B$7:$B$611,0)),INDEX('DEQ Pollutant List'!$D$7:$D$611,MATCH($C704,'DEQ Pollutant List'!$A$7:$A$611,0))),"")</f>
        <v>75</v>
      </c>
    </row>
    <row r="705" spans="1:15" ht="15" x14ac:dyDescent="0.25">
      <c r="A705" s="5" t="s">
        <v>1541</v>
      </c>
      <c r="B705" s="7"/>
      <c r="C705" s="13" t="s">
        <v>233</v>
      </c>
      <c r="D705" s="19" t="str">
        <f>IFERROR(IF(C705="No CAS","",INDEX('DEQ Pollutant List'!$B$7:$B$611,MATCH('3. Pollutant Emissions - EF'!C705,'DEQ Pollutant List'!$A$7:$A$611,0))),"")</f>
        <v>1,3-Dichloropropene</v>
      </c>
      <c r="E705" s="23">
        <v>0</v>
      </c>
      <c r="F705" s="21">
        <v>0</v>
      </c>
      <c r="G705" s="23" t="s">
        <v>1415</v>
      </c>
      <c r="H705" s="21" t="s">
        <v>1415</v>
      </c>
      <c r="I705" s="34">
        <v>2.69E-2</v>
      </c>
      <c r="J705" s="11">
        <f t="shared" si="19"/>
        <v>2.69E-2</v>
      </c>
      <c r="K705" s="6" t="s">
        <v>1418</v>
      </c>
      <c r="L705" s="20" t="s">
        <v>1587</v>
      </c>
      <c r="M705" s="7">
        <f>IF(ISBLANK($B705),_xlfn.XLOOKUP($A705,'2. TEUs &amp; Activities - EF'!$A$9:$A$190,'2. TEUs &amp; Activities - EF'!$J$9:$J$190),_xlfn.XLOOKUP($B705,'2. TEUs &amp; Activities - EF'!$B$9:$B$190,'2. TEUs &amp; Activities - EF'!$J$9:$J$190))*'3. Pollutant Emissions - EF'!$I705*IF(OR(ISBLANK($E705),$G705="Yes"),1,$E705)*IF($H705="Yes",1,(1-$F705))</f>
        <v>2.6480506822612087E-2</v>
      </c>
      <c r="N705" s="5">
        <f>IF(ISBLANK($B705),_xlfn.XLOOKUP($A705,'2. TEUs &amp; Activities - EF'!$A$9:$A$190,'2. TEUs &amp; Activities - EF'!$M$9:$M$190),_xlfn.XLOOKUP($B705,'2. TEUs &amp; Activities - EF'!$B$9:$B$190,'2. TEUs &amp; Activities - EF'!$M$9:$M$190))*'3. Pollutant Emissions - EF'!$J705*IF(OR(ISBLANK($E705),$G705="Yes"),1,$E705)*IF($H705="Yes",1,(1-$F705))</f>
        <v>6.3553216374269009E-3</v>
      </c>
      <c r="O705" s="130">
        <f>IFERROR(IF(OR($C705="",$C705="No CAS"),INDEX('DEQ Pollutant List'!$D$7:$D$611,MATCH($D705,'DEQ Pollutant List'!$B$7:$B$611,0)),INDEX('DEQ Pollutant List'!$D$7:$D$611,MATCH($C705,'DEQ Pollutant List'!$A$7:$A$611,0))),"")</f>
        <v>196</v>
      </c>
    </row>
    <row r="706" spans="1:15" ht="15" x14ac:dyDescent="0.25">
      <c r="A706" s="5" t="s">
        <v>1541</v>
      </c>
      <c r="B706" s="7"/>
      <c r="C706" s="13" t="s">
        <v>116</v>
      </c>
      <c r="D706" s="19" t="str">
        <f>IFERROR(IF(C706="No CAS","",INDEX('DEQ Pollutant List'!$B$7:$B$611,MATCH('3. Pollutant Emissions - EF'!C706,'DEQ Pollutant List'!$A$7:$A$611,0))),"")</f>
        <v>2-Methyl naphthalene</v>
      </c>
      <c r="E706" s="23">
        <v>0</v>
      </c>
      <c r="F706" s="21">
        <v>0</v>
      </c>
      <c r="G706" s="23" t="s">
        <v>1415</v>
      </c>
      <c r="H706" s="21" t="s">
        <v>1415</v>
      </c>
      <c r="I706" s="34">
        <v>3.39E-2</v>
      </c>
      <c r="J706" s="11">
        <f t="shared" si="19"/>
        <v>3.39E-2</v>
      </c>
      <c r="K706" s="6" t="s">
        <v>1418</v>
      </c>
      <c r="L706" s="20" t="s">
        <v>1587</v>
      </c>
      <c r="M706" s="7">
        <f>IF(ISBLANK($B706),_xlfn.XLOOKUP($A706,'2. TEUs &amp; Activities - EF'!$A$9:$A$190,'2. TEUs &amp; Activities - EF'!$J$9:$J$190),_xlfn.XLOOKUP($B706,'2. TEUs &amp; Activities - EF'!$B$9:$B$190,'2. TEUs &amp; Activities - EF'!$J$9:$J$190))*'3. Pollutant Emissions - EF'!$I706*IF(OR(ISBLANK($E706),$G706="Yes"),1,$E706)*IF($H706="Yes",1,(1-$F706))</f>
        <v>3.3371345029239767E-2</v>
      </c>
      <c r="N706" s="5">
        <f>IF(ISBLANK($B706),_xlfn.XLOOKUP($A706,'2. TEUs &amp; Activities - EF'!$A$9:$A$190,'2. TEUs &amp; Activities - EF'!$M$9:$M$190),_xlfn.XLOOKUP($B706,'2. TEUs &amp; Activities - EF'!$B$9:$B$190,'2. TEUs &amp; Activities - EF'!$M$9:$M$190))*'3. Pollutant Emissions - EF'!$J706*IF(OR(ISBLANK($E706),$G706="Yes"),1,$E706)*IF($H706="Yes",1,(1-$F706))</f>
        <v>8.0091228070175435E-3</v>
      </c>
      <c r="O706" s="130">
        <f>IFERROR(IF(OR($C706="",$C706="No CAS"),INDEX('DEQ Pollutant List'!$D$7:$D$611,MATCH($D706,'DEQ Pollutant List'!$B$7:$B$611,0)),INDEX('DEQ Pollutant List'!$D$7:$D$611,MATCH($C706,'DEQ Pollutant List'!$A$7:$A$611,0))),"")</f>
        <v>427</v>
      </c>
    </row>
    <row r="707" spans="1:15" ht="15" x14ac:dyDescent="0.25">
      <c r="A707" s="5" t="s">
        <v>1541</v>
      </c>
      <c r="B707" s="7"/>
      <c r="C707" s="13" t="s">
        <v>119</v>
      </c>
      <c r="D707" s="19" t="str">
        <f>IFERROR(IF(C707="No CAS","",INDEX('DEQ Pollutant List'!$B$7:$B$611,MATCH('3. Pollutant Emissions - EF'!C707,'DEQ Pollutant List'!$A$7:$A$611,0))),"")</f>
        <v>Acenaphthene</v>
      </c>
      <c r="E707" s="23">
        <v>0</v>
      </c>
      <c r="F707" s="21">
        <v>0</v>
      </c>
      <c r="G707" s="23" t="s">
        <v>1415</v>
      </c>
      <c r="H707" s="21" t="s">
        <v>1415</v>
      </c>
      <c r="I707" s="34">
        <v>1.2800000000000001E-3</v>
      </c>
      <c r="J707" s="11">
        <f t="shared" si="19"/>
        <v>1.2800000000000001E-3</v>
      </c>
      <c r="K707" s="6" t="s">
        <v>1418</v>
      </c>
      <c r="L707" s="20" t="s">
        <v>1587</v>
      </c>
      <c r="M707" s="7">
        <f>IF(ISBLANK($B707),_xlfn.XLOOKUP($A707,'2. TEUs &amp; Activities - EF'!$A$9:$A$190,'2. TEUs &amp; Activities - EF'!$J$9:$J$190),_xlfn.XLOOKUP($B707,'2. TEUs &amp; Activities - EF'!$B$9:$B$190,'2. TEUs &amp; Activities - EF'!$J$9:$J$190))*'3. Pollutant Emissions - EF'!$I707*IF(OR(ISBLANK($E707),$G707="Yes"),1,$E707)*IF($H707="Yes",1,(1-$F707))</f>
        <v>1.2600389863547759E-3</v>
      </c>
      <c r="N707" s="5">
        <f>IF(ISBLANK($B707),_xlfn.XLOOKUP($A707,'2. TEUs &amp; Activities - EF'!$A$9:$A$190,'2. TEUs &amp; Activities - EF'!$M$9:$M$190),_xlfn.XLOOKUP($B707,'2. TEUs &amp; Activities - EF'!$B$9:$B$190,'2. TEUs &amp; Activities - EF'!$M$9:$M$190))*'3. Pollutant Emissions - EF'!$J707*IF(OR(ISBLANK($E707),$G707="Yes"),1,$E707)*IF($H707="Yes",1,(1-$F707))</f>
        <v>3.0240935672514623E-4</v>
      </c>
      <c r="O707" s="130">
        <f>IFERROR(IF(OR($C707="",$C707="No CAS"),INDEX('DEQ Pollutant List'!$D$7:$D$611,MATCH($D707,'DEQ Pollutant List'!$B$7:$B$611,0)),INDEX('DEQ Pollutant List'!$D$7:$D$611,MATCH($C707,'DEQ Pollutant List'!$A$7:$A$611,0))),"")</f>
        <v>402</v>
      </c>
    </row>
    <row r="708" spans="1:15" ht="15" x14ac:dyDescent="0.25">
      <c r="A708" s="5" t="s">
        <v>1541</v>
      </c>
      <c r="B708" s="7"/>
      <c r="C708" s="13" t="s">
        <v>120</v>
      </c>
      <c r="D708" s="19" t="str">
        <f>IFERROR(IF(C708="No CAS","",INDEX('DEQ Pollutant List'!$B$7:$B$611,MATCH('3. Pollutant Emissions - EF'!C708,'DEQ Pollutant List'!$A$7:$A$611,0))),"")</f>
        <v>Acenaphthylene</v>
      </c>
      <c r="E708" s="23">
        <v>0</v>
      </c>
      <c r="F708" s="21">
        <v>0</v>
      </c>
      <c r="G708" s="23" t="s">
        <v>1415</v>
      </c>
      <c r="H708" s="21" t="s">
        <v>1415</v>
      </c>
      <c r="I708" s="34">
        <v>5.64E-3</v>
      </c>
      <c r="J708" s="11">
        <f t="shared" si="19"/>
        <v>5.64E-3</v>
      </c>
      <c r="K708" s="6" t="s">
        <v>1418</v>
      </c>
      <c r="L708" s="20" t="s">
        <v>1587</v>
      </c>
      <c r="M708" s="7">
        <f>IF(ISBLANK($B708),_xlfn.XLOOKUP($A708,'2. TEUs &amp; Activities - EF'!$A$9:$A$190,'2. TEUs &amp; Activities - EF'!$J$9:$J$190),_xlfn.XLOOKUP($B708,'2. TEUs &amp; Activities - EF'!$B$9:$B$190,'2. TEUs &amp; Activities - EF'!$J$9:$J$190))*'3. Pollutant Emissions - EF'!$I708*IF(OR(ISBLANK($E708),$G708="Yes"),1,$E708)*IF($H708="Yes",1,(1-$F708))</f>
        <v>5.5520467836257309E-3</v>
      </c>
      <c r="N708" s="5">
        <f>IF(ISBLANK($B708),_xlfn.XLOOKUP($A708,'2. TEUs &amp; Activities - EF'!$A$9:$A$190,'2. TEUs &amp; Activities - EF'!$M$9:$M$190),_xlfn.XLOOKUP($B708,'2. TEUs &amp; Activities - EF'!$B$9:$B$190,'2. TEUs &amp; Activities - EF'!$M$9:$M$190))*'3. Pollutant Emissions - EF'!$J708*IF(OR(ISBLANK($E708),$G708="Yes"),1,$E708)*IF($H708="Yes",1,(1-$F708))</f>
        <v>1.3324912280701755E-3</v>
      </c>
      <c r="O708" s="130">
        <f>IFERROR(IF(OR($C708="",$C708="No CAS"),INDEX('DEQ Pollutant List'!$D$7:$D$611,MATCH($D708,'DEQ Pollutant List'!$B$7:$B$611,0)),INDEX('DEQ Pollutant List'!$D$7:$D$611,MATCH($C708,'DEQ Pollutant List'!$A$7:$A$611,0))),"")</f>
        <v>403</v>
      </c>
    </row>
    <row r="709" spans="1:15" ht="15" x14ac:dyDescent="0.25">
      <c r="A709" s="5" t="s">
        <v>1541</v>
      </c>
      <c r="B709" s="7"/>
      <c r="C709" s="13" t="s">
        <v>50</v>
      </c>
      <c r="D709" s="19" t="str">
        <f>IFERROR(IF(C709="No CAS","",INDEX('DEQ Pollutant List'!$B$7:$B$611,MATCH('3. Pollutant Emissions - EF'!C709,'DEQ Pollutant List'!$A$7:$A$611,0))),"")</f>
        <v>Acetaldehyde</v>
      </c>
      <c r="E709" s="23">
        <v>0</v>
      </c>
      <c r="F709" s="21">
        <v>0</v>
      </c>
      <c r="G709" s="23" t="s">
        <v>1415</v>
      </c>
      <c r="H709" s="21" t="s">
        <v>1415</v>
      </c>
      <c r="I709" s="34">
        <v>8.5299999999999994</v>
      </c>
      <c r="J709" s="11">
        <f t="shared" si="19"/>
        <v>8.5299999999999994</v>
      </c>
      <c r="K709" s="6" t="s">
        <v>1418</v>
      </c>
      <c r="L709" s="20" t="s">
        <v>1587</v>
      </c>
      <c r="M709" s="7">
        <f>IF(ISBLANK($B709),_xlfn.XLOOKUP($A709,'2. TEUs &amp; Activities - EF'!$A$9:$A$190,'2. TEUs &amp; Activities - EF'!$J$9:$J$190),_xlfn.XLOOKUP($B709,'2. TEUs &amp; Activities - EF'!$B$9:$B$190,'2. TEUs &amp; Activities - EF'!$J$9:$J$190))*'3. Pollutant Emissions - EF'!$I709*IF(OR(ISBLANK($E709),$G709="Yes"),1,$E709)*IF($H709="Yes",1,(1-$F709))</f>
        <v>8.3969785575048732</v>
      </c>
      <c r="N709" s="5">
        <f>IF(ISBLANK($B709),_xlfn.XLOOKUP($A709,'2. TEUs &amp; Activities - EF'!$A$9:$A$190,'2. TEUs &amp; Activities - EF'!$M$9:$M$190),_xlfn.XLOOKUP($B709,'2. TEUs &amp; Activities - EF'!$B$9:$B$190,'2. TEUs &amp; Activities - EF'!$M$9:$M$190))*'3. Pollutant Emissions - EF'!$J709*IF(OR(ISBLANK($E709),$G709="Yes"),1,$E709)*IF($H709="Yes",1,(1-$F709))</f>
        <v>2.0152748538011696</v>
      </c>
      <c r="O709" s="130">
        <f>IFERROR(IF(OR($C709="",$C709="No CAS"),INDEX('DEQ Pollutant List'!$D$7:$D$611,MATCH($D709,'DEQ Pollutant List'!$B$7:$B$611,0)),INDEX('DEQ Pollutant List'!$D$7:$D$611,MATCH($C709,'DEQ Pollutant List'!$A$7:$A$611,0))),"")</f>
        <v>1</v>
      </c>
    </row>
    <row r="710" spans="1:15" ht="15" x14ac:dyDescent="0.25">
      <c r="A710" s="5" t="s">
        <v>1541</v>
      </c>
      <c r="B710" s="7"/>
      <c r="C710" s="13" t="s">
        <v>51</v>
      </c>
      <c r="D710" s="19" t="str">
        <f>IFERROR(IF(C710="No CAS","",INDEX('DEQ Pollutant List'!$B$7:$B$611,MATCH('3. Pollutant Emissions - EF'!C710,'DEQ Pollutant List'!$A$7:$A$611,0))),"")</f>
        <v>Acrolein</v>
      </c>
      <c r="E710" s="23">
        <v>0</v>
      </c>
      <c r="F710" s="21">
        <v>0</v>
      </c>
      <c r="G710" s="23" t="s">
        <v>1415</v>
      </c>
      <c r="H710" s="21" t="s">
        <v>1415</v>
      </c>
      <c r="I710" s="34">
        <v>5.24</v>
      </c>
      <c r="J710" s="11">
        <f t="shared" si="19"/>
        <v>5.24</v>
      </c>
      <c r="K710" s="6" t="s">
        <v>1418</v>
      </c>
      <c r="L710" s="20" t="s">
        <v>1587</v>
      </c>
      <c r="M710" s="7">
        <f>IF(ISBLANK($B710),_xlfn.XLOOKUP($A710,'2. TEUs &amp; Activities - EF'!$A$9:$A$190,'2. TEUs &amp; Activities - EF'!$J$9:$J$190),_xlfn.XLOOKUP($B710,'2. TEUs &amp; Activities - EF'!$B$9:$B$190,'2. TEUs &amp; Activities - EF'!$J$9:$J$190))*'3. Pollutant Emissions - EF'!$I710*IF(OR(ISBLANK($E710),$G710="Yes"),1,$E710)*IF($H710="Yes",1,(1-$F710))</f>
        <v>5.1582846003898641</v>
      </c>
      <c r="N710" s="5">
        <f>IF(ISBLANK($B710),_xlfn.XLOOKUP($A710,'2. TEUs &amp; Activities - EF'!$A$9:$A$190,'2. TEUs &amp; Activities - EF'!$M$9:$M$190),_xlfn.XLOOKUP($B710,'2. TEUs &amp; Activities - EF'!$B$9:$B$190,'2. TEUs &amp; Activities - EF'!$M$9:$M$190))*'3. Pollutant Emissions - EF'!$J710*IF(OR(ISBLANK($E710),$G710="Yes"),1,$E710)*IF($H710="Yes",1,(1-$F710))</f>
        <v>1.2379883040935673</v>
      </c>
      <c r="O710" s="130">
        <f>IFERROR(IF(OR($C710="",$C710="No CAS"),INDEX('DEQ Pollutant List'!$D$7:$D$611,MATCH($D710,'DEQ Pollutant List'!$B$7:$B$611,0)),INDEX('DEQ Pollutant List'!$D$7:$D$611,MATCH($C710,'DEQ Pollutant List'!$A$7:$A$611,0))),"")</f>
        <v>5</v>
      </c>
    </row>
    <row r="711" spans="1:15" ht="15" x14ac:dyDescent="0.25">
      <c r="A711" s="5" t="s">
        <v>1541</v>
      </c>
      <c r="B711" s="7"/>
      <c r="C711" s="13" t="s">
        <v>52</v>
      </c>
      <c r="D711" s="19" t="str">
        <f>IFERROR(IF(C711="No CAS","",INDEX('DEQ Pollutant List'!$B$7:$B$611,MATCH('3. Pollutant Emissions - EF'!C711,'DEQ Pollutant List'!$A$7:$A$611,0))),"")</f>
        <v>Ammonia</v>
      </c>
      <c r="E711" s="23">
        <v>0</v>
      </c>
      <c r="F711" s="21">
        <v>0</v>
      </c>
      <c r="G711" s="23" t="s">
        <v>1415</v>
      </c>
      <c r="H711" s="21" t="s">
        <v>1415</v>
      </c>
      <c r="I711" s="34">
        <v>3.2</v>
      </c>
      <c r="J711" s="11">
        <f t="shared" si="19"/>
        <v>3.2</v>
      </c>
      <c r="K711" s="6" t="s">
        <v>1418</v>
      </c>
      <c r="L711" s="20" t="s">
        <v>1588</v>
      </c>
      <c r="M711" s="7">
        <f>IF(ISBLANK($B711),_xlfn.XLOOKUP($A711,'2. TEUs &amp; Activities - EF'!$A$9:$A$190,'2. TEUs &amp; Activities - EF'!$J$9:$J$190),_xlfn.XLOOKUP($B711,'2. TEUs &amp; Activities - EF'!$B$9:$B$190,'2. TEUs &amp; Activities - EF'!$J$9:$J$190))*'3. Pollutant Emissions - EF'!$I711*IF(OR(ISBLANK($E711),$G711="Yes"),1,$E711)*IF($H711="Yes",1,(1-$F711))</f>
        <v>3.1500974658869398</v>
      </c>
      <c r="N711" s="5">
        <f>IF(ISBLANK($B711),_xlfn.XLOOKUP($A711,'2. TEUs &amp; Activities - EF'!$A$9:$A$190,'2. TEUs &amp; Activities - EF'!$M$9:$M$190),_xlfn.XLOOKUP($B711,'2. TEUs &amp; Activities - EF'!$B$9:$B$190,'2. TEUs &amp; Activities - EF'!$M$9:$M$190))*'3. Pollutant Emissions - EF'!$J711*IF(OR(ISBLANK($E711),$G711="Yes"),1,$E711)*IF($H711="Yes",1,(1-$F711))</f>
        <v>0.7560233918128656</v>
      </c>
      <c r="O711" s="130">
        <f>IFERROR(IF(OR($C711="",$C711="No CAS"),INDEX('DEQ Pollutant List'!$D$7:$D$611,MATCH($D711,'DEQ Pollutant List'!$B$7:$B$611,0)),INDEX('DEQ Pollutant List'!$D$7:$D$611,MATCH($C711,'DEQ Pollutant List'!$A$7:$A$611,0))),"")</f>
        <v>26</v>
      </c>
    </row>
    <row r="712" spans="1:15" ht="15" x14ac:dyDescent="0.25">
      <c r="A712" s="5" t="s">
        <v>1541</v>
      </c>
      <c r="B712" s="7"/>
      <c r="C712" s="13" t="s">
        <v>46</v>
      </c>
      <c r="D712" s="19" t="str">
        <f>IFERROR(IF(C712="No CAS","",INDEX('DEQ Pollutant List'!$B$7:$B$611,MATCH('3. Pollutant Emissions - EF'!C712,'DEQ Pollutant List'!$A$7:$A$611,0))),"")</f>
        <v>Benzene</v>
      </c>
      <c r="E712" s="23">
        <v>0</v>
      </c>
      <c r="F712" s="21">
        <v>0</v>
      </c>
      <c r="G712" s="23" t="s">
        <v>1415</v>
      </c>
      <c r="H712" s="21" t="s">
        <v>1415</v>
      </c>
      <c r="I712" s="34">
        <v>0.44900000000000001</v>
      </c>
      <c r="J712" s="11">
        <f t="shared" si="19"/>
        <v>0.44900000000000001</v>
      </c>
      <c r="K712" s="6" t="s">
        <v>1418</v>
      </c>
      <c r="L712" s="20" t="s">
        <v>1587</v>
      </c>
      <c r="M712" s="7">
        <f>IF(ISBLANK($B712),_xlfn.XLOOKUP($A712,'2. TEUs &amp; Activities - EF'!$A$9:$A$190,'2. TEUs &amp; Activities - EF'!$J$9:$J$190),_xlfn.XLOOKUP($B712,'2. TEUs &amp; Activities - EF'!$B$9:$B$190,'2. TEUs &amp; Activities - EF'!$J$9:$J$190))*'3. Pollutant Emissions - EF'!$I712*IF(OR(ISBLANK($E712),$G712="Yes"),1,$E712)*IF($H712="Yes",1,(1-$F712))</f>
        <v>0.44199805068226122</v>
      </c>
      <c r="N712" s="5">
        <f>IF(ISBLANK($B712),_xlfn.XLOOKUP($A712,'2. TEUs &amp; Activities - EF'!$A$9:$A$190,'2. TEUs &amp; Activities - EF'!$M$9:$M$190),_xlfn.XLOOKUP($B712,'2. TEUs &amp; Activities - EF'!$B$9:$B$190,'2. TEUs &amp; Activities - EF'!$M$9:$M$190))*'3. Pollutant Emissions - EF'!$J712*IF(OR(ISBLANK($E712),$G712="Yes"),1,$E712)*IF($H712="Yes",1,(1-$F712))</f>
        <v>0.10607953216374269</v>
      </c>
      <c r="O712" s="130">
        <f>IFERROR(IF(OR($C712="",$C712="No CAS"),INDEX('DEQ Pollutant List'!$D$7:$D$611,MATCH($D712,'DEQ Pollutant List'!$B$7:$B$611,0)),INDEX('DEQ Pollutant List'!$D$7:$D$611,MATCH($C712,'DEQ Pollutant List'!$A$7:$A$611,0))),"")</f>
        <v>46</v>
      </c>
    </row>
    <row r="713" spans="1:15" ht="15" x14ac:dyDescent="0.25">
      <c r="A713" s="5" t="s">
        <v>1541</v>
      </c>
      <c r="B713" s="7"/>
      <c r="C713" s="13" t="s">
        <v>123</v>
      </c>
      <c r="D713" s="19" t="str">
        <f>IFERROR(IF(C713="No CAS","",INDEX('DEQ Pollutant List'!$B$7:$B$611,MATCH('3. Pollutant Emissions - EF'!C713,'DEQ Pollutant List'!$A$7:$A$611,0))),"")</f>
        <v>Benzo[b]fluoranthene</v>
      </c>
      <c r="E713" s="23">
        <v>0</v>
      </c>
      <c r="F713" s="21">
        <v>0</v>
      </c>
      <c r="G713" s="23" t="s">
        <v>1415</v>
      </c>
      <c r="H713" s="21" t="s">
        <v>1415</v>
      </c>
      <c r="I713" s="34">
        <v>1.6899999999999999E-4</v>
      </c>
      <c r="J713" s="11">
        <f t="shared" si="19"/>
        <v>1.6899999999999999E-4</v>
      </c>
      <c r="K713" s="6" t="s">
        <v>1418</v>
      </c>
      <c r="L713" s="20" t="s">
        <v>1587</v>
      </c>
      <c r="M713" s="7">
        <f>IF(ISBLANK($B713),_xlfn.XLOOKUP($A713,'2. TEUs &amp; Activities - EF'!$A$9:$A$190,'2. TEUs &amp; Activities - EF'!$J$9:$J$190),_xlfn.XLOOKUP($B713,'2. TEUs &amp; Activities - EF'!$B$9:$B$190,'2. TEUs &amp; Activities - EF'!$J$9:$J$190))*'3. Pollutant Emissions - EF'!$I713*IF(OR(ISBLANK($E713),$G713="Yes"),1,$E713)*IF($H713="Yes",1,(1-$F713))</f>
        <v>1.6636452241715398E-4</v>
      </c>
      <c r="N713" s="5">
        <f>IF(ISBLANK($B713),_xlfn.XLOOKUP($A713,'2. TEUs &amp; Activities - EF'!$A$9:$A$190,'2. TEUs &amp; Activities - EF'!$M$9:$M$190),_xlfn.XLOOKUP($B713,'2. TEUs &amp; Activities - EF'!$B$9:$B$190,'2. TEUs &amp; Activities - EF'!$M$9:$M$190))*'3. Pollutant Emissions - EF'!$J713*IF(OR(ISBLANK($E713),$G713="Yes"),1,$E713)*IF($H713="Yes",1,(1-$F713))</f>
        <v>3.9927485380116958E-5</v>
      </c>
      <c r="O713" s="130">
        <f>IFERROR(IF(OR($C713="",$C713="No CAS"),INDEX('DEQ Pollutant List'!$D$7:$D$611,MATCH($D713,'DEQ Pollutant List'!$B$7:$B$611,0)),INDEX('DEQ Pollutant List'!$D$7:$D$611,MATCH($C713,'DEQ Pollutant List'!$A$7:$A$611,0))),"")</f>
        <v>407</v>
      </c>
    </row>
    <row r="714" spans="1:15" ht="15" x14ac:dyDescent="0.25">
      <c r="A714" s="5" t="s">
        <v>1541</v>
      </c>
      <c r="B714" s="7"/>
      <c r="C714" s="13" t="s">
        <v>124</v>
      </c>
      <c r="D714" s="19" t="str">
        <f>IFERROR(IF(C714="No CAS","",INDEX('DEQ Pollutant List'!$B$7:$B$611,MATCH('3. Pollutant Emissions - EF'!C714,'DEQ Pollutant List'!$A$7:$A$611,0))),"")</f>
        <v>Benzo[e]pyrene</v>
      </c>
      <c r="E714" s="23">
        <v>0</v>
      </c>
      <c r="F714" s="21">
        <v>0</v>
      </c>
      <c r="G714" s="23" t="s">
        <v>1415</v>
      </c>
      <c r="H714" s="21" t="s">
        <v>1415</v>
      </c>
      <c r="I714" s="34">
        <v>4.2299999999999998E-4</v>
      </c>
      <c r="J714" s="11">
        <f t="shared" si="19"/>
        <v>4.2299999999999998E-4</v>
      </c>
      <c r="K714" s="6" t="s">
        <v>1418</v>
      </c>
      <c r="L714" s="20" t="s">
        <v>1587</v>
      </c>
      <c r="M714" s="7">
        <f>IF(ISBLANK($B714),_xlfn.XLOOKUP($A714,'2. TEUs &amp; Activities - EF'!$A$9:$A$190,'2. TEUs &amp; Activities - EF'!$J$9:$J$190),_xlfn.XLOOKUP($B714,'2. TEUs &amp; Activities - EF'!$B$9:$B$190,'2. TEUs &amp; Activities - EF'!$J$9:$J$190))*'3. Pollutant Emissions - EF'!$I714*IF(OR(ISBLANK($E714),$G714="Yes"),1,$E714)*IF($H714="Yes",1,(1-$F714))</f>
        <v>4.1640350877192978E-4</v>
      </c>
      <c r="N714" s="5">
        <f>IF(ISBLANK($B714),_xlfn.XLOOKUP($A714,'2. TEUs &amp; Activities - EF'!$A$9:$A$190,'2. TEUs &amp; Activities - EF'!$M$9:$M$190),_xlfn.XLOOKUP($B714,'2. TEUs &amp; Activities - EF'!$B$9:$B$190,'2. TEUs &amp; Activities - EF'!$M$9:$M$190))*'3. Pollutant Emissions - EF'!$J714*IF(OR(ISBLANK($E714),$G714="Yes"),1,$E714)*IF($H714="Yes",1,(1-$F714))</f>
        <v>9.9936842105263153E-5</v>
      </c>
      <c r="O714" s="130">
        <f>IFERROR(IF(OR($C714="",$C714="No CAS"),INDEX('DEQ Pollutant List'!$D$7:$D$611,MATCH($D714,'DEQ Pollutant List'!$B$7:$B$611,0)),INDEX('DEQ Pollutant List'!$D$7:$D$611,MATCH($C714,'DEQ Pollutant List'!$A$7:$A$611,0))),"")</f>
        <v>409</v>
      </c>
    </row>
    <row r="715" spans="1:15" ht="15" x14ac:dyDescent="0.25">
      <c r="A715" s="5" t="s">
        <v>1541</v>
      </c>
      <c r="B715" s="7"/>
      <c r="C715" s="13" t="s">
        <v>125</v>
      </c>
      <c r="D715" s="19" t="str">
        <f>IFERROR(IF(C715="No CAS","",INDEX('DEQ Pollutant List'!$B$7:$B$611,MATCH('3. Pollutant Emissions - EF'!C715,'DEQ Pollutant List'!$A$7:$A$611,0))),"")</f>
        <v>Benzo[g,h,i]perylene</v>
      </c>
      <c r="E715" s="23">
        <v>0</v>
      </c>
      <c r="F715" s="21">
        <v>0</v>
      </c>
      <c r="G715" s="23" t="s">
        <v>1415</v>
      </c>
      <c r="H715" s="21" t="s">
        <v>1415</v>
      </c>
      <c r="I715" s="34">
        <v>4.2200000000000001E-4</v>
      </c>
      <c r="J715" s="11">
        <f t="shared" si="19"/>
        <v>4.2200000000000001E-4</v>
      </c>
      <c r="K715" s="6" t="s">
        <v>1418</v>
      </c>
      <c r="L715" s="20" t="s">
        <v>1587</v>
      </c>
      <c r="M715" s="7">
        <f>IF(ISBLANK($B715),_xlfn.XLOOKUP($A715,'2. TEUs &amp; Activities - EF'!$A$9:$A$190,'2. TEUs &amp; Activities - EF'!$J$9:$J$190),_xlfn.XLOOKUP($B715,'2. TEUs &amp; Activities - EF'!$B$9:$B$190,'2. TEUs &amp; Activities - EF'!$J$9:$J$190))*'3. Pollutant Emissions - EF'!$I715*IF(OR(ISBLANK($E715),$G715="Yes"),1,$E715)*IF($H715="Yes",1,(1-$F715))</f>
        <v>4.1541910331384016E-4</v>
      </c>
      <c r="N715" s="5">
        <f>IF(ISBLANK($B715),_xlfn.XLOOKUP($A715,'2. TEUs &amp; Activities - EF'!$A$9:$A$190,'2. TEUs &amp; Activities - EF'!$M$9:$M$190),_xlfn.XLOOKUP($B715,'2. TEUs &amp; Activities - EF'!$B$9:$B$190,'2. TEUs &amp; Activities - EF'!$M$9:$M$190))*'3. Pollutant Emissions - EF'!$J715*IF(OR(ISBLANK($E715),$G715="Yes"),1,$E715)*IF($H715="Yes",1,(1-$F715))</f>
        <v>9.9700584795321635E-5</v>
      </c>
      <c r="O715" s="130">
        <f>IFERROR(IF(OR($C715="",$C715="No CAS"),INDEX('DEQ Pollutant List'!$D$7:$D$611,MATCH($D715,'DEQ Pollutant List'!$B$7:$B$611,0)),INDEX('DEQ Pollutant List'!$D$7:$D$611,MATCH($C715,'DEQ Pollutant List'!$A$7:$A$611,0))),"")</f>
        <v>410</v>
      </c>
    </row>
    <row r="716" spans="1:15" ht="15" x14ac:dyDescent="0.25">
      <c r="A716" s="5" t="s">
        <v>1541</v>
      </c>
      <c r="B716" s="7"/>
      <c r="C716" s="13" t="s">
        <v>86</v>
      </c>
      <c r="D716" s="19" t="str">
        <f>IFERROR(IF(C716="No CAS","",INDEX('DEQ Pollutant List'!$B$7:$B$611,MATCH('3. Pollutant Emissions - EF'!C716,'DEQ Pollutant List'!$A$7:$A$611,0))),"")</f>
        <v>Carbon tetrachloride</v>
      </c>
      <c r="E716" s="23">
        <v>0</v>
      </c>
      <c r="F716" s="21">
        <v>0</v>
      </c>
      <c r="G716" s="23" t="s">
        <v>1415</v>
      </c>
      <c r="H716" s="21" t="s">
        <v>1415</v>
      </c>
      <c r="I716" s="34">
        <v>3.7400000000000003E-2</v>
      </c>
      <c r="J716" s="11">
        <f t="shared" si="19"/>
        <v>3.7400000000000003E-2</v>
      </c>
      <c r="K716" s="6" t="s">
        <v>1418</v>
      </c>
      <c r="L716" s="20" t="s">
        <v>1587</v>
      </c>
      <c r="M716" s="7">
        <f>IF(ISBLANK($B716),_xlfn.XLOOKUP($A716,'2. TEUs &amp; Activities - EF'!$A$9:$A$190,'2. TEUs &amp; Activities - EF'!$J$9:$J$190),_xlfn.XLOOKUP($B716,'2. TEUs &amp; Activities - EF'!$B$9:$B$190,'2. TEUs &amp; Activities - EF'!$J$9:$J$190))*'3. Pollutant Emissions - EF'!$I716*IF(OR(ISBLANK($E716),$G716="Yes"),1,$E716)*IF($H716="Yes",1,(1-$F716))</f>
        <v>3.6816764132553609E-2</v>
      </c>
      <c r="N716" s="5">
        <f>IF(ISBLANK($B716),_xlfn.XLOOKUP($A716,'2. TEUs &amp; Activities - EF'!$A$9:$A$190,'2. TEUs &amp; Activities - EF'!$M$9:$M$190),_xlfn.XLOOKUP($B716,'2. TEUs &amp; Activities - EF'!$B$9:$B$190,'2. TEUs &amp; Activities - EF'!$M$9:$M$190))*'3. Pollutant Emissions - EF'!$J716*IF(OR(ISBLANK($E716),$G716="Yes"),1,$E716)*IF($H716="Yes",1,(1-$F716))</f>
        <v>8.836023391812867E-3</v>
      </c>
      <c r="O716" s="130">
        <f>IFERROR(IF(OR($C716="",$C716="No CAS"),INDEX('DEQ Pollutant List'!$D$7:$D$611,MATCH($D716,'DEQ Pollutant List'!$B$7:$B$611,0)),INDEX('DEQ Pollutant List'!$D$7:$D$611,MATCH($C716,'DEQ Pollutant List'!$A$7:$A$611,0))),"")</f>
        <v>91</v>
      </c>
    </row>
    <row r="717" spans="1:15" ht="15" x14ac:dyDescent="0.25">
      <c r="A717" s="5" t="s">
        <v>1541</v>
      </c>
      <c r="B717" s="7"/>
      <c r="C717" s="13" t="s">
        <v>89</v>
      </c>
      <c r="D717" s="19" t="str">
        <f>IFERROR(IF(C717="No CAS","",INDEX('DEQ Pollutant List'!$B$7:$B$611,MATCH('3. Pollutant Emissions - EF'!C717,'DEQ Pollutant List'!$A$7:$A$611,0))),"")</f>
        <v>Chloroform</v>
      </c>
      <c r="E717" s="23">
        <v>0</v>
      </c>
      <c r="F717" s="21">
        <v>0</v>
      </c>
      <c r="G717" s="23" t="s">
        <v>1415</v>
      </c>
      <c r="H717" s="21" t="s">
        <v>1415</v>
      </c>
      <c r="I717" s="34">
        <v>2.9100000000000001E-2</v>
      </c>
      <c r="J717" s="11">
        <f t="shared" si="19"/>
        <v>2.9100000000000001E-2</v>
      </c>
      <c r="K717" s="6" t="s">
        <v>1418</v>
      </c>
      <c r="L717" s="20" t="s">
        <v>1587</v>
      </c>
      <c r="M717" s="7">
        <f>IF(ISBLANK($B717),_xlfn.XLOOKUP($A717,'2. TEUs &amp; Activities - EF'!$A$9:$A$190,'2. TEUs &amp; Activities - EF'!$J$9:$J$190),_xlfn.XLOOKUP($B717,'2. TEUs &amp; Activities - EF'!$B$9:$B$190,'2. TEUs &amp; Activities - EF'!$J$9:$J$190))*'3. Pollutant Emissions - EF'!$I717*IF(OR(ISBLANK($E717),$G717="Yes"),1,$E717)*IF($H717="Yes",1,(1-$F717))</f>
        <v>2.8646198830409357E-2</v>
      </c>
      <c r="N717" s="5">
        <f>IF(ISBLANK($B717),_xlfn.XLOOKUP($A717,'2. TEUs &amp; Activities - EF'!$A$9:$A$190,'2. TEUs &amp; Activities - EF'!$M$9:$M$190),_xlfn.XLOOKUP($B717,'2. TEUs &amp; Activities - EF'!$B$9:$B$190,'2. TEUs &amp; Activities - EF'!$M$9:$M$190))*'3. Pollutant Emissions - EF'!$J717*IF(OR(ISBLANK($E717),$G717="Yes"),1,$E717)*IF($H717="Yes",1,(1-$F717))</f>
        <v>6.8750877192982462E-3</v>
      </c>
      <c r="O717" s="130">
        <f>IFERROR(IF(OR($C717="",$C717="No CAS"),INDEX('DEQ Pollutant List'!$D$7:$D$611,MATCH($D717,'DEQ Pollutant List'!$B$7:$B$611,0)),INDEX('DEQ Pollutant List'!$D$7:$D$611,MATCH($C717,'DEQ Pollutant List'!$A$7:$A$611,0))),"")</f>
        <v>118</v>
      </c>
    </row>
    <row r="718" spans="1:15" ht="15" x14ac:dyDescent="0.25">
      <c r="A718" s="5" t="s">
        <v>1541</v>
      </c>
      <c r="B718" s="7"/>
      <c r="C718" s="13" t="s">
        <v>128</v>
      </c>
      <c r="D718" s="19" t="str">
        <f>IFERROR(IF(C718="No CAS","",INDEX('DEQ Pollutant List'!$B$7:$B$611,MATCH('3. Pollutant Emissions - EF'!C718,'DEQ Pollutant List'!$A$7:$A$611,0))),"")</f>
        <v>Chrysene</v>
      </c>
      <c r="E718" s="23">
        <v>0</v>
      </c>
      <c r="F718" s="21">
        <v>0</v>
      </c>
      <c r="G718" s="23" t="s">
        <v>1415</v>
      </c>
      <c r="H718" s="21" t="s">
        <v>1415</v>
      </c>
      <c r="I718" s="34">
        <v>7.0699999999999995E-4</v>
      </c>
      <c r="J718" s="11">
        <f t="shared" si="19"/>
        <v>7.0699999999999995E-4</v>
      </c>
      <c r="K718" s="6" t="s">
        <v>1418</v>
      </c>
      <c r="L718" s="20" t="s">
        <v>1587</v>
      </c>
      <c r="M718" s="7">
        <f>IF(ISBLANK($B718),_xlfn.XLOOKUP($A718,'2. TEUs &amp; Activities - EF'!$A$9:$A$190,'2. TEUs &amp; Activities - EF'!$J$9:$J$190),_xlfn.XLOOKUP($B718,'2. TEUs &amp; Activities - EF'!$B$9:$B$190,'2. TEUs &amp; Activities - EF'!$J$9:$J$190))*'3. Pollutant Emissions - EF'!$I718*IF(OR(ISBLANK($E718),$G718="Yes"),1,$E718)*IF($H718="Yes",1,(1-$F718))</f>
        <v>6.959746588693957E-4</v>
      </c>
      <c r="N718" s="5">
        <f>IF(ISBLANK($B718),_xlfn.XLOOKUP($A718,'2. TEUs &amp; Activities - EF'!$A$9:$A$190,'2. TEUs &amp; Activities - EF'!$M$9:$M$190),_xlfn.XLOOKUP($B718,'2. TEUs &amp; Activities - EF'!$B$9:$B$190,'2. TEUs &amp; Activities - EF'!$M$9:$M$190))*'3. Pollutant Emissions - EF'!$J718*IF(OR(ISBLANK($E718),$G718="Yes"),1,$E718)*IF($H718="Yes",1,(1-$F718))</f>
        <v>1.6703391812865497E-4</v>
      </c>
      <c r="O718" s="130">
        <f>IFERROR(IF(OR($C718="",$C718="No CAS"),INDEX('DEQ Pollutant List'!$D$7:$D$611,MATCH($D718,'DEQ Pollutant List'!$B$7:$B$611,0)),INDEX('DEQ Pollutant List'!$D$7:$D$611,MATCH($C718,'DEQ Pollutant List'!$A$7:$A$611,0))),"")</f>
        <v>414</v>
      </c>
    </row>
    <row r="719" spans="1:15" ht="15" x14ac:dyDescent="0.25">
      <c r="A719" s="5" t="s">
        <v>1541</v>
      </c>
      <c r="B719" s="7"/>
      <c r="C719" s="13" t="s">
        <v>94</v>
      </c>
      <c r="D719" s="19" t="str">
        <f>IFERROR(IF(C719="No CAS","",INDEX('DEQ Pollutant List'!$B$7:$B$611,MATCH('3. Pollutant Emissions - EF'!C719,'DEQ Pollutant List'!$A$7:$A$611,0))),"")</f>
        <v>Dichloromethane (methylene chloride)</v>
      </c>
      <c r="E719" s="23">
        <v>0</v>
      </c>
      <c r="F719" s="21">
        <v>0</v>
      </c>
      <c r="G719" s="23" t="s">
        <v>1415</v>
      </c>
      <c r="H719" s="21" t="s">
        <v>1415</v>
      </c>
      <c r="I719" s="34">
        <v>2.0400000000000001E-2</v>
      </c>
      <c r="J719" s="11">
        <f t="shared" si="19"/>
        <v>2.0400000000000001E-2</v>
      </c>
      <c r="K719" s="6" t="s">
        <v>1418</v>
      </c>
      <c r="L719" s="20" t="s">
        <v>1587</v>
      </c>
      <c r="M719" s="7">
        <f>IF(ISBLANK($B719),_xlfn.XLOOKUP($A719,'2. TEUs &amp; Activities - EF'!$A$9:$A$190,'2. TEUs &amp; Activities - EF'!$J$9:$J$190),_xlfn.XLOOKUP($B719,'2. TEUs &amp; Activities - EF'!$B$9:$B$190,'2. TEUs &amp; Activities - EF'!$J$9:$J$190))*'3. Pollutant Emissions - EF'!$I719*IF(OR(ISBLANK($E719),$G719="Yes"),1,$E719)*IF($H719="Yes",1,(1-$F719))</f>
        <v>2.0081871345029242E-2</v>
      </c>
      <c r="N719" s="5">
        <f>IF(ISBLANK($B719),_xlfn.XLOOKUP($A719,'2. TEUs &amp; Activities - EF'!$A$9:$A$190,'2. TEUs &amp; Activities - EF'!$M$9:$M$190),_xlfn.XLOOKUP($B719,'2. TEUs &amp; Activities - EF'!$B$9:$B$190,'2. TEUs &amp; Activities - EF'!$M$9:$M$190))*'3. Pollutant Emissions - EF'!$J719*IF(OR(ISBLANK($E719),$G719="Yes"),1,$E719)*IF($H719="Yes",1,(1-$F719))</f>
        <v>4.8196491228070177E-3</v>
      </c>
      <c r="O719" s="130">
        <f>IFERROR(IF(OR($C719="",$C719="No CAS"),INDEX('DEQ Pollutant List'!$D$7:$D$611,MATCH($D719,'DEQ Pollutant List'!$B$7:$B$611,0)),INDEX('DEQ Pollutant List'!$D$7:$D$611,MATCH($C719,'DEQ Pollutant List'!$A$7:$A$611,0))),"")</f>
        <v>328</v>
      </c>
    </row>
    <row r="720" spans="1:15" ht="15" x14ac:dyDescent="0.25">
      <c r="A720" s="5" t="s">
        <v>1541</v>
      </c>
      <c r="B720" s="7"/>
      <c r="C720" s="13" t="s">
        <v>60</v>
      </c>
      <c r="D720" s="19" t="str">
        <f>IFERROR(IF(C720="No CAS","",INDEX('DEQ Pollutant List'!$B$7:$B$611,MATCH('3. Pollutant Emissions - EF'!C720,'DEQ Pollutant List'!$A$7:$A$611,0))),"")</f>
        <v>Ethyl benzene</v>
      </c>
      <c r="E720" s="23">
        <v>0</v>
      </c>
      <c r="F720" s="21">
        <v>0</v>
      </c>
      <c r="G720" s="23" t="s">
        <v>1415</v>
      </c>
      <c r="H720" s="21" t="s">
        <v>1415</v>
      </c>
      <c r="I720" s="34">
        <v>4.0500000000000001E-2</v>
      </c>
      <c r="J720" s="11">
        <f t="shared" si="19"/>
        <v>4.0500000000000001E-2</v>
      </c>
      <c r="K720" s="6" t="s">
        <v>1418</v>
      </c>
      <c r="L720" s="20" t="s">
        <v>1587</v>
      </c>
      <c r="M720" s="7">
        <f>IF(ISBLANK($B720),_xlfn.XLOOKUP($A720,'2. TEUs &amp; Activities - EF'!$A$9:$A$190,'2. TEUs &amp; Activities - EF'!$J$9:$J$190),_xlfn.XLOOKUP($B720,'2. TEUs &amp; Activities - EF'!$B$9:$B$190,'2. TEUs &amp; Activities - EF'!$J$9:$J$190))*'3. Pollutant Emissions - EF'!$I720*IF(OR(ISBLANK($E720),$G720="Yes"),1,$E720)*IF($H720="Yes",1,(1-$F720))</f>
        <v>3.9868421052631581E-2</v>
      </c>
      <c r="N720" s="5">
        <f>IF(ISBLANK($B720),_xlfn.XLOOKUP($A720,'2. TEUs &amp; Activities - EF'!$A$9:$A$190,'2. TEUs &amp; Activities - EF'!$M$9:$M$190),_xlfn.XLOOKUP($B720,'2. TEUs &amp; Activities - EF'!$B$9:$B$190,'2. TEUs &amp; Activities - EF'!$M$9:$M$190))*'3. Pollutant Emissions - EF'!$J720*IF(OR(ISBLANK($E720),$G720="Yes"),1,$E720)*IF($H720="Yes",1,(1-$F720))</f>
        <v>9.5684210526315802E-3</v>
      </c>
      <c r="O720" s="130">
        <f>IFERROR(IF(OR($C720="",$C720="No CAS"),INDEX('DEQ Pollutant List'!$D$7:$D$611,MATCH($D720,'DEQ Pollutant List'!$B$7:$B$611,0)),INDEX('DEQ Pollutant List'!$D$7:$D$611,MATCH($C720,'DEQ Pollutant List'!$A$7:$A$611,0))),"")</f>
        <v>229</v>
      </c>
    </row>
    <row r="721" spans="1:15" ht="15" x14ac:dyDescent="0.25">
      <c r="A721" s="5" t="s">
        <v>1541</v>
      </c>
      <c r="B721" s="7"/>
      <c r="C721" s="13" t="s">
        <v>702</v>
      </c>
      <c r="D721" s="19" t="str">
        <f>IFERROR(IF(C721="No CAS","",INDEX('DEQ Pollutant List'!$B$7:$B$611,MATCH('3. Pollutant Emissions - EF'!C721,'DEQ Pollutant List'!$A$7:$A$611,0))),"")</f>
        <v>Ethylene dibromide (EDB, 1,2-dibromoethane)</v>
      </c>
      <c r="E721" s="23">
        <v>0</v>
      </c>
      <c r="F721" s="21">
        <v>0</v>
      </c>
      <c r="G721" s="23" t="s">
        <v>1415</v>
      </c>
      <c r="H721" s="21" t="s">
        <v>1415</v>
      </c>
      <c r="I721" s="34">
        <v>4.5199999999999997E-2</v>
      </c>
      <c r="J721" s="11">
        <f t="shared" si="19"/>
        <v>4.5199999999999997E-2</v>
      </c>
      <c r="K721" s="6" t="s">
        <v>1418</v>
      </c>
      <c r="L721" s="20" t="s">
        <v>1587</v>
      </c>
      <c r="M721" s="7">
        <f>IF(ISBLANK($B721),_xlfn.XLOOKUP($A721,'2. TEUs &amp; Activities - EF'!$A$9:$A$190,'2. TEUs &amp; Activities - EF'!$J$9:$J$190),_xlfn.XLOOKUP($B721,'2. TEUs &amp; Activities - EF'!$B$9:$B$190,'2. TEUs &amp; Activities - EF'!$J$9:$J$190))*'3. Pollutant Emissions - EF'!$I721*IF(OR(ISBLANK($E721),$G721="Yes"),1,$E721)*IF($H721="Yes",1,(1-$F721))</f>
        <v>4.4495126705653018E-2</v>
      </c>
      <c r="N721" s="5">
        <f>IF(ISBLANK($B721),_xlfn.XLOOKUP($A721,'2. TEUs &amp; Activities - EF'!$A$9:$A$190,'2. TEUs &amp; Activities - EF'!$M$9:$M$190),_xlfn.XLOOKUP($B721,'2. TEUs &amp; Activities - EF'!$B$9:$B$190,'2. TEUs &amp; Activities - EF'!$M$9:$M$190))*'3. Pollutant Emissions - EF'!$J721*IF(OR(ISBLANK($E721),$G721="Yes"),1,$E721)*IF($H721="Yes",1,(1-$F721))</f>
        <v>1.0678830409356724E-2</v>
      </c>
      <c r="O721" s="130">
        <f>IFERROR(IF(OR($C721="",$C721="No CAS"),INDEX('DEQ Pollutant List'!$D$7:$D$611,MATCH($D721,'DEQ Pollutant List'!$B$7:$B$611,0)),INDEX('DEQ Pollutant List'!$D$7:$D$611,MATCH($C721,'DEQ Pollutant List'!$A$7:$A$611,0))),"")</f>
        <v>232</v>
      </c>
    </row>
    <row r="722" spans="1:15" ht="15" x14ac:dyDescent="0.25">
      <c r="A722" s="5" t="s">
        <v>1541</v>
      </c>
      <c r="B722" s="7"/>
      <c r="C722" s="13" t="s">
        <v>96</v>
      </c>
      <c r="D722" s="19" t="str">
        <f>IFERROR(IF(C722="No CAS","",INDEX('DEQ Pollutant List'!$B$7:$B$611,MATCH('3. Pollutant Emissions - EF'!C722,'DEQ Pollutant List'!$A$7:$A$611,0))),"")</f>
        <v>Ethylene dichloride (EDC, 1,2-dichloroethane)</v>
      </c>
      <c r="E722" s="23">
        <v>0</v>
      </c>
      <c r="F722" s="21">
        <v>0</v>
      </c>
      <c r="G722" s="23" t="s">
        <v>1415</v>
      </c>
      <c r="H722" s="21" t="s">
        <v>1415</v>
      </c>
      <c r="I722" s="34">
        <v>2.41E-2</v>
      </c>
      <c r="J722" s="11">
        <f t="shared" si="19"/>
        <v>2.41E-2</v>
      </c>
      <c r="K722" s="6" t="s">
        <v>1418</v>
      </c>
      <c r="L722" s="20" t="s">
        <v>1587</v>
      </c>
      <c r="M722" s="7">
        <f>IF(ISBLANK($B722),_xlfn.XLOOKUP($A722,'2. TEUs &amp; Activities - EF'!$A$9:$A$190,'2. TEUs &amp; Activities - EF'!$J$9:$J$190),_xlfn.XLOOKUP($B722,'2. TEUs &amp; Activities - EF'!$B$9:$B$190,'2. TEUs &amp; Activities - EF'!$J$9:$J$190))*'3. Pollutant Emissions - EF'!$I722*IF(OR(ISBLANK($E722),$G722="Yes"),1,$E722)*IF($H722="Yes",1,(1-$F722))</f>
        <v>2.3724171539961012E-2</v>
      </c>
      <c r="N722" s="5">
        <f>IF(ISBLANK($B722),_xlfn.XLOOKUP($A722,'2. TEUs &amp; Activities - EF'!$A$9:$A$190,'2. TEUs &amp; Activities - EF'!$M$9:$M$190),_xlfn.XLOOKUP($B722,'2. TEUs &amp; Activities - EF'!$B$9:$B$190,'2. TEUs &amp; Activities - EF'!$M$9:$M$190))*'3. Pollutant Emissions - EF'!$J722*IF(OR(ISBLANK($E722),$G722="Yes"),1,$E722)*IF($H722="Yes",1,(1-$F722))</f>
        <v>5.6938011695906437E-3</v>
      </c>
      <c r="O722" s="130">
        <f>IFERROR(IF(OR($C722="",$C722="No CAS"),INDEX('DEQ Pollutant List'!$D$7:$D$611,MATCH($D722,'DEQ Pollutant List'!$B$7:$B$611,0)),INDEX('DEQ Pollutant List'!$D$7:$D$611,MATCH($C722,'DEQ Pollutant List'!$A$7:$A$611,0))),"")</f>
        <v>233</v>
      </c>
    </row>
    <row r="723" spans="1:15" ht="15" x14ac:dyDescent="0.25">
      <c r="A723" s="5" t="s">
        <v>1541</v>
      </c>
      <c r="B723" s="7"/>
      <c r="C723" s="13" t="s">
        <v>129</v>
      </c>
      <c r="D723" s="19" t="str">
        <f>IFERROR(IF(C723="No CAS","",INDEX('DEQ Pollutant List'!$B$7:$B$611,MATCH('3. Pollutant Emissions - EF'!C723,'DEQ Pollutant List'!$A$7:$A$611,0))),"")</f>
        <v>Fluoranthene</v>
      </c>
      <c r="E723" s="23">
        <v>0</v>
      </c>
      <c r="F723" s="21">
        <v>0</v>
      </c>
      <c r="G723" s="23" t="s">
        <v>1415</v>
      </c>
      <c r="H723" s="21" t="s">
        <v>1415</v>
      </c>
      <c r="I723" s="34">
        <v>1.1299999999999999E-3</v>
      </c>
      <c r="J723" s="11">
        <f t="shared" si="19"/>
        <v>1.1299999999999999E-3</v>
      </c>
      <c r="K723" s="6" t="s">
        <v>1418</v>
      </c>
      <c r="L723" s="20" t="s">
        <v>1587</v>
      </c>
      <c r="M723" s="7">
        <f>IF(ISBLANK($B723),_xlfn.XLOOKUP($A723,'2. TEUs &amp; Activities - EF'!$A$9:$A$190,'2. TEUs &amp; Activities - EF'!$J$9:$J$190),_xlfn.XLOOKUP($B723,'2. TEUs &amp; Activities - EF'!$B$9:$B$190,'2. TEUs &amp; Activities - EF'!$J$9:$J$190))*'3. Pollutant Emissions - EF'!$I723*IF(OR(ISBLANK($E723),$G723="Yes"),1,$E723)*IF($H723="Yes",1,(1-$F723))</f>
        <v>1.1123781676413255E-3</v>
      </c>
      <c r="N723" s="5">
        <f>IF(ISBLANK($B723),_xlfn.XLOOKUP($A723,'2. TEUs &amp; Activities - EF'!$A$9:$A$190,'2. TEUs &amp; Activities - EF'!$M$9:$M$190),_xlfn.XLOOKUP($B723,'2. TEUs &amp; Activities - EF'!$B$9:$B$190,'2. TEUs &amp; Activities - EF'!$M$9:$M$190))*'3. Pollutant Emissions - EF'!$J723*IF(OR(ISBLANK($E723),$G723="Yes"),1,$E723)*IF($H723="Yes",1,(1-$F723))</f>
        <v>2.6697076023391814E-4</v>
      </c>
      <c r="O723" s="130">
        <f>IFERROR(IF(OR($C723="",$C723="No CAS"),INDEX('DEQ Pollutant List'!$D$7:$D$611,MATCH($D723,'DEQ Pollutant List'!$B$7:$B$611,0)),INDEX('DEQ Pollutant List'!$D$7:$D$611,MATCH($C723,'DEQ Pollutant List'!$A$7:$A$611,0))),"")</f>
        <v>424</v>
      </c>
    </row>
    <row r="724" spans="1:15" ht="15" x14ac:dyDescent="0.25">
      <c r="A724" s="5" t="s">
        <v>1541</v>
      </c>
      <c r="B724" s="7"/>
      <c r="C724" s="13" t="s">
        <v>130</v>
      </c>
      <c r="D724" s="19" t="str">
        <f>IFERROR(IF(C724="No CAS","",INDEX('DEQ Pollutant List'!$B$7:$B$611,MATCH('3. Pollutant Emissions - EF'!C724,'DEQ Pollutant List'!$A$7:$A$611,0))),"")</f>
        <v>Fluorene</v>
      </c>
      <c r="E724" s="23">
        <v>0</v>
      </c>
      <c r="F724" s="21">
        <v>0</v>
      </c>
      <c r="G724" s="23" t="s">
        <v>1415</v>
      </c>
      <c r="H724" s="21" t="s">
        <v>1415</v>
      </c>
      <c r="I724" s="34">
        <v>5.7800000000000004E-3</v>
      </c>
      <c r="J724" s="11">
        <f t="shared" si="19"/>
        <v>5.7800000000000004E-3</v>
      </c>
      <c r="K724" s="6" t="s">
        <v>1418</v>
      </c>
      <c r="L724" s="20" t="s">
        <v>1587</v>
      </c>
      <c r="M724" s="7">
        <f>IF(ISBLANK($B724),_xlfn.XLOOKUP($A724,'2. TEUs &amp; Activities - EF'!$A$9:$A$190,'2. TEUs &amp; Activities - EF'!$J$9:$J$190),_xlfn.XLOOKUP($B724,'2. TEUs &amp; Activities - EF'!$B$9:$B$190,'2. TEUs &amp; Activities - EF'!$J$9:$J$190))*'3. Pollutant Emissions - EF'!$I724*IF(OR(ISBLANK($E724),$G724="Yes"),1,$E724)*IF($H724="Yes",1,(1-$F724))</f>
        <v>5.6898635477582848E-3</v>
      </c>
      <c r="N724" s="5">
        <f>IF(ISBLANK($B724),_xlfn.XLOOKUP($A724,'2. TEUs &amp; Activities - EF'!$A$9:$A$190,'2. TEUs &amp; Activities - EF'!$M$9:$M$190),_xlfn.XLOOKUP($B724,'2. TEUs &amp; Activities - EF'!$B$9:$B$190,'2. TEUs &amp; Activities - EF'!$M$9:$M$190))*'3. Pollutant Emissions - EF'!$J724*IF(OR(ISBLANK($E724),$G724="Yes"),1,$E724)*IF($H724="Yes",1,(1-$F724))</f>
        <v>1.3655672514619884E-3</v>
      </c>
      <c r="O724" s="130">
        <f>IFERROR(IF(OR($C724="",$C724="No CAS"),INDEX('DEQ Pollutant List'!$D$7:$D$611,MATCH($D724,'DEQ Pollutant List'!$B$7:$B$611,0)),INDEX('DEQ Pollutant List'!$D$7:$D$611,MATCH($C724,'DEQ Pollutant List'!$A$7:$A$611,0))),"")</f>
        <v>425</v>
      </c>
    </row>
    <row r="725" spans="1:15" ht="15" x14ac:dyDescent="0.25">
      <c r="A725" s="5" t="s">
        <v>1541</v>
      </c>
      <c r="B725" s="7"/>
      <c r="C725" s="13" t="s">
        <v>47</v>
      </c>
      <c r="D725" s="19" t="str">
        <f>IFERROR(IF(C725="No CAS","",INDEX('DEQ Pollutant List'!$B$7:$B$611,MATCH('3. Pollutant Emissions - EF'!C725,'DEQ Pollutant List'!$A$7:$A$611,0))),"")</f>
        <v>Formaldehyde</v>
      </c>
      <c r="E725" s="23">
        <v>0</v>
      </c>
      <c r="F725" s="21">
        <v>0</v>
      </c>
      <c r="G725" s="23" t="s">
        <v>1415</v>
      </c>
      <c r="H725" s="21" t="s">
        <v>1415</v>
      </c>
      <c r="I725" s="34">
        <v>53.9</v>
      </c>
      <c r="J725" s="11">
        <f t="shared" si="19"/>
        <v>53.9</v>
      </c>
      <c r="K725" s="6" t="s">
        <v>1418</v>
      </c>
      <c r="L725" s="20" t="s">
        <v>1587</v>
      </c>
      <c r="M725" s="7">
        <f>IF(ISBLANK($B725),_xlfn.XLOOKUP($A725,'2. TEUs &amp; Activities - EF'!$A$9:$A$190,'2. TEUs &amp; Activities - EF'!$J$9:$J$190),_xlfn.XLOOKUP($B725,'2. TEUs &amp; Activities - EF'!$B$9:$B$190,'2. TEUs &amp; Activities - EF'!$J$9:$J$190))*'3. Pollutant Emissions - EF'!$I725*IF(OR(ISBLANK($E725),$G725="Yes"),1,$E725)*IF($H725="Yes",1,(1-$F725))</f>
        <v>53.05945419103314</v>
      </c>
      <c r="N725" s="5">
        <f>IF(ISBLANK($B725),_xlfn.XLOOKUP($A725,'2. TEUs &amp; Activities - EF'!$A$9:$A$190,'2. TEUs &amp; Activities - EF'!$M$9:$M$190),_xlfn.XLOOKUP($B725,'2. TEUs &amp; Activities - EF'!$B$9:$B$190,'2. TEUs &amp; Activities - EF'!$M$9:$M$190))*'3. Pollutant Emissions - EF'!$J725*IF(OR(ISBLANK($E725),$G725="Yes"),1,$E725)*IF($H725="Yes",1,(1-$F725))</f>
        <v>12.734269005847953</v>
      </c>
      <c r="O725" s="130">
        <f>IFERROR(IF(OR($C725="",$C725="No CAS"),INDEX('DEQ Pollutant List'!$D$7:$D$611,MATCH($D725,'DEQ Pollutant List'!$B$7:$B$611,0)),INDEX('DEQ Pollutant List'!$D$7:$D$611,MATCH($C725,'DEQ Pollutant List'!$A$7:$A$611,0))),"")</f>
        <v>250</v>
      </c>
    </row>
    <row r="726" spans="1:15" ht="15" x14ac:dyDescent="0.25">
      <c r="A726" s="5" t="s">
        <v>1541</v>
      </c>
      <c r="B726" s="7"/>
      <c r="C726" s="13" t="s">
        <v>61</v>
      </c>
      <c r="D726" s="19" t="str">
        <f>IFERROR(IF(C726="No CAS","",INDEX('DEQ Pollutant List'!$B$7:$B$611,MATCH('3. Pollutant Emissions - EF'!C726,'DEQ Pollutant List'!$A$7:$A$611,0))),"")</f>
        <v>Hexane</v>
      </c>
      <c r="E726" s="23">
        <v>0</v>
      </c>
      <c r="F726" s="21">
        <v>0</v>
      </c>
      <c r="G726" s="23" t="s">
        <v>1415</v>
      </c>
      <c r="H726" s="21" t="s">
        <v>1415</v>
      </c>
      <c r="I726" s="34">
        <v>1.1299999999999999</v>
      </c>
      <c r="J726" s="11">
        <f t="shared" si="19"/>
        <v>1.1299999999999999</v>
      </c>
      <c r="K726" s="6" t="s">
        <v>1418</v>
      </c>
      <c r="L726" s="20" t="s">
        <v>1587</v>
      </c>
      <c r="M726" s="7">
        <f>IF(ISBLANK($B726),_xlfn.XLOOKUP($A726,'2. TEUs &amp; Activities - EF'!$A$9:$A$190,'2. TEUs &amp; Activities - EF'!$J$9:$J$190),_xlfn.XLOOKUP($B726,'2. TEUs &amp; Activities - EF'!$B$9:$B$190,'2. TEUs &amp; Activities - EF'!$J$9:$J$190))*'3. Pollutant Emissions - EF'!$I726*IF(OR(ISBLANK($E726),$G726="Yes"),1,$E726)*IF($H726="Yes",1,(1-$F726))</f>
        <v>1.1123781676413254</v>
      </c>
      <c r="N726" s="5">
        <f>IF(ISBLANK($B726),_xlfn.XLOOKUP($A726,'2. TEUs &amp; Activities - EF'!$A$9:$A$190,'2. TEUs &amp; Activities - EF'!$M$9:$M$190),_xlfn.XLOOKUP($B726,'2. TEUs &amp; Activities - EF'!$B$9:$B$190,'2. TEUs &amp; Activities - EF'!$M$9:$M$190))*'3. Pollutant Emissions - EF'!$J726*IF(OR(ISBLANK($E726),$G726="Yes"),1,$E726)*IF($H726="Yes",1,(1-$F726))</f>
        <v>0.26697076023391808</v>
      </c>
      <c r="O726" s="130">
        <f>IFERROR(IF(OR($C726="",$C726="No CAS"),INDEX('DEQ Pollutant List'!$D$7:$D$611,MATCH($D726,'DEQ Pollutant List'!$B$7:$B$611,0)),INDEX('DEQ Pollutant List'!$D$7:$D$611,MATCH($C726,'DEQ Pollutant List'!$A$7:$A$611,0))),"")</f>
        <v>289</v>
      </c>
    </row>
    <row r="727" spans="1:15" ht="15" x14ac:dyDescent="0.25">
      <c r="A727" s="5" t="s">
        <v>1541</v>
      </c>
      <c r="B727" s="7"/>
      <c r="C727" s="13" t="s">
        <v>101</v>
      </c>
      <c r="D727" s="19" t="str">
        <f>IFERROR(IF(C727="No CAS","",INDEX('DEQ Pollutant List'!$B$7:$B$611,MATCH('3. Pollutant Emissions - EF'!C727,'DEQ Pollutant List'!$A$7:$A$611,0))),"")</f>
        <v>Methanol</v>
      </c>
      <c r="E727" s="23">
        <v>0</v>
      </c>
      <c r="F727" s="21">
        <v>0</v>
      </c>
      <c r="G727" s="23" t="s">
        <v>1415</v>
      </c>
      <c r="H727" s="21" t="s">
        <v>1415</v>
      </c>
      <c r="I727" s="34">
        <v>2.5499999999999998</v>
      </c>
      <c r="J727" s="11">
        <f t="shared" si="19"/>
        <v>2.5499999999999998</v>
      </c>
      <c r="K727" s="6" t="s">
        <v>1418</v>
      </c>
      <c r="L727" s="20" t="s">
        <v>1587</v>
      </c>
      <c r="M727" s="7">
        <f>IF(ISBLANK($B727),_xlfn.XLOOKUP($A727,'2. TEUs &amp; Activities - EF'!$A$9:$A$190,'2. TEUs &amp; Activities - EF'!$J$9:$J$190),_xlfn.XLOOKUP($B727,'2. TEUs &amp; Activities - EF'!$B$9:$B$190,'2. TEUs &amp; Activities - EF'!$J$9:$J$190))*'3. Pollutant Emissions - EF'!$I727*IF(OR(ISBLANK($E727),$G727="Yes"),1,$E727)*IF($H727="Yes",1,(1-$F727))</f>
        <v>2.5102339181286548</v>
      </c>
      <c r="N727" s="5">
        <f>IF(ISBLANK($B727),_xlfn.XLOOKUP($A727,'2. TEUs &amp; Activities - EF'!$A$9:$A$190,'2. TEUs &amp; Activities - EF'!$M$9:$M$190),_xlfn.XLOOKUP($B727,'2. TEUs &amp; Activities - EF'!$B$9:$B$190,'2. TEUs &amp; Activities - EF'!$M$9:$M$190))*'3. Pollutant Emissions - EF'!$J727*IF(OR(ISBLANK($E727),$G727="Yes"),1,$E727)*IF($H727="Yes",1,(1-$F727))</f>
        <v>0.60245614035087713</v>
      </c>
      <c r="O727" s="130">
        <f>IFERROR(IF(OR($C727="",$C727="No CAS"),INDEX('DEQ Pollutant List'!$D$7:$D$611,MATCH($D727,'DEQ Pollutant List'!$B$7:$B$611,0)),INDEX('DEQ Pollutant List'!$D$7:$D$611,MATCH($C727,'DEQ Pollutant List'!$A$7:$A$611,0))),"")</f>
        <v>321</v>
      </c>
    </row>
    <row r="728" spans="1:15" ht="15" x14ac:dyDescent="0.25">
      <c r="A728" s="5" t="s">
        <v>1541</v>
      </c>
      <c r="B728" s="7"/>
      <c r="C728" s="13" t="s">
        <v>49</v>
      </c>
      <c r="D728" s="19" t="str">
        <f>IFERROR(IF(C728="No CAS","",INDEX('DEQ Pollutant List'!$B$7:$B$611,MATCH('3. Pollutant Emissions - EF'!C728,'DEQ Pollutant List'!$A$7:$A$611,0))),"")</f>
        <v>Naphthalene</v>
      </c>
      <c r="E728" s="23">
        <v>0</v>
      </c>
      <c r="F728" s="21">
        <v>0</v>
      </c>
      <c r="G728" s="23" t="s">
        <v>1415</v>
      </c>
      <c r="H728" s="21" t="s">
        <v>1415</v>
      </c>
      <c r="I728" s="34">
        <v>7.5899999999999995E-2</v>
      </c>
      <c r="J728" s="11">
        <f t="shared" si="19"/>
        <v>7.5899999999999995E-2</v>
      </c>
      <c r="K728" s="6" t="s">
        <v>1418</v>
      </c>
      <c r="L728" s="20" t="s">
        <v>1587</v>
      </c>
      <c r="M728" s="7">
        <f>IF(ISBLANK($B728),_xlfn.XLOOKUP($A728,'2. TEUs &amp; Activities - EF'!$A$9:$A$190,'2. TEUs &amp; Activities - EF'!$J$9:$J$190),_xlfn.XLOOKUP($B728,'2. TEUs &amp; Activities - EF'!$B$9:$B$190,'2. TEUs &amp; Activities - EF'!$J$9:$J$190))*'3. Pollutant Emissions - EF'!$I728*IF(OR(ISBLANK($E728),$G728="Yes"),1,$E728)*IF($H728="Yes",1,(1-$F728))</f>
        <v>7.4716374269005847E-2</v>
      </c>
      <c r="N728" s="5">
        <f>IF(ISBLANK($B728),_xlfn.XLOOKUP($A728,'2. TEUs &amp; Activities - EF'!$A$9:$A$190,'2. TEUs &amp; Activities - EF'!$M$9:$M$190),_xlfn.XLOOKUP($B728,'2. TEUs &amp; Activities - EF'!$B$9:$B$190,'2. TEUs &amp; Activities - EF'!$M$9:$M$190))*'3. Pollutant Emissions - EF'!$J728*IF(OR(ISBLANK($E728),$G728="Yes"),1,$E728)*IF($H728="Yes",1,(1-$F728))</f>
        <v>1.7931929824561401E-2</v>
      </c>
      <c r="O728" s="130">
        <f>IFERROR(IF(OR($C728="",$C728="No CAS"),INDEX('DEQ Pollutant List'!$D$7:$D$611,MATCH($D728,'DEQ Pollutant List'!$B$7:$B$611,0)),INDEX('DEQ Pollutant List'!$D$7:$D$611,MATCH($C728,'DEQ Pollutant List'!$A$7:$A$611,0))),"")</f>
        <v>428</v>
      </c>
    </row>
    <row r="729" spans="1:15" ht="15" x14ac:dyDescent="0.25">
      <c r="A729" s="5" t="s">
        <v>1541</v>
      </c>
      <c r="B729" s="7"/>
      <c r="C729" s="13" t="s">
        <v>133</v>
      </c>
      <c r="D729" s="19" t="str">
        <f>IFERROR(IF(C729="No CAS","",INDEX('DEQ Pollutant List'!$B$7:$B$611,MATCH('3. Pollutant Emissions - EF'!C729,'DEQ Pollutant List'!$A$7:$A$611,0))),"")</f>
        <v>Phenanthrene</v>
      </c>
      <c r="E729" s="23">
        <v>0</v>
      </c>
      <c r="F729" s="21">
        <v>0</v>
      </c>
      <c r="G729" s="23" t="s">
        <v>1415</v>
      </c>
      <c r="H729" s="21" t="s">
        <v>1415</v>
      </c>
      <c r="I729" s="34">
        <v>1.06E-2</v>
      </c>
      <c r="J729" s="11">
        <f t="shared" si="19"/>
        <v>1.06E-2</v>
      </c>
      <c r="K729" s="6" t="s">
        <v>1418</v>
      </c>
      <c r="L729" s="20" t="s">
        <v>1587</v>
      </c>
      <c r="M729" s="7">
        <f>IF(ISBLANK($B729),_xlfn.XLOOKUP($A729,'2. TEUs &amp; Activities - EF'!$A$9:$A$190,'2. TEUs &amp; Activities - EF'!$J$9:$J$190),_xlfn.XLOOKUP($B729,'2. TEUs &amp; Activities - EF'!$B$9:$B$190,'2. TEUs &amp; Activities - EF'!$J$9:$J$190))*'3. Pollutant Emissions - EF'!$I729*IF(OR(ISBLANK($E729),$G729="Yes"),1,$E729)*IF($H729="Yes",1,(1-$F729))</f>
        <v>1.0434697855750488E-2</v>
      </c>
      <c r="N729" s="5">
        <f>IF(ISBLANK($B729),_xlfn.XLOOKUP($A729,'2. TEUs &amp; Activities - EF'!$A$9:$A$190,'2. TEUs &amp; Activities - EF'!$M$9:$M$190),_xlfn.XLOOKUP($B729,'2. TEUs &amp; Activities - EF'!$B$9:$B$190,'2. TEUs &amp; Activities - EF'!$M$9:$M$190))*'3. Pollutant Emissions - EF'!$J729*IF(OR(ISBLANK($E729),$G729="Yes"),1,$E729)*IF($H729="Yes",1,(1-$F729))</f>
        <v>2.5043274853801169E-3</v>
      </c>
      <c r="O729" s="130">
        <f>IFERROR(IF(OR($C729="",$C729="No CAS"),INDEX('DEQ Pollutant List'!$D$7:$D$611,MATCH($D729,'DEQ Pollutant List'!$B$7:$B$611,0)),INDEX('DEQ Pollutant List'!$D$7:$D$611,MATCH($C729,'DEQ Pollutant List'!$A$7:$A$611,0))),"")</f>
        <v>430</v>
      </c>
    </row>
    <row r="730" spans="1:15" ht="15" x14ac:dyDescent="0.25">
      <c r="A730" s="5" t="s">
        <v>1541</v>
      </c>
      <c r="B730" s="7"/>
      <c r="C730" s="13" t="s">
        <v>134</v>
      </c>
      <c r="D730" s="19" t="str">
        <f>IFERROR(IF(C730="No CAS","",INDEX('DEQ Pollutant List'!$B$7:$B$611,MATCH('3. Pollutant Emissions - EF'!C730,'DEQ Pollutant List'!$A$7:$A$611,0))),"")</f>
        <v>Pyrene</v>
      </c>
      <c r="E730" s="23">
        <v>0</v>
      </c>
      <c r="F730" s="21">
        <v>0</v>
      </c>
      <c r="G730" s="23" t="s">
        <v>1415</v>
      </c>
      <c r="H730" s="21" t="s">
        <v>1415</v>
      </c>
      <c r="I730" s="34">
        <v>1.39E-3</v>
      </c>
      <c r="J730" s="11">
        <f t="shared" si="19"/>
        <v>1.39E-3</v>
      </c>
      <c r="K730" s="6" t="s">
        <v>1418</v>
      </c>
      <c r="L730" s="20" t="s">
        <v>1587</v>
      </c>
      <c r="M730" s="7">
        <f>IF(ISBLANK($B730),_xlfn.XLOOKUP($A730,'2. TEUs &amp; Activities - EF'!$A$9:$A$190,'2. TEUs &amp; Activities - EF'!$J$9:$J$190),_xlfn.XLOOKUP($B730,'2. TEUs &amp; Activities - EF'!$B$9:$B$190,'2. TEUs &amp; Activities - EF'!$J$9:$J$190))*'3. Pollutant Emissions - EF'!$I730*IF(OR(ISBLANK($E730),$G730="Yes"),1,$E730)*IF($H730="Yes",1,(1-$F730))</f>
        <v>1.3683235867446393E-3</v>
      </c>
      <c r="N730" s="5">
        <f>IF(ISBLANK($B730),_xlfn.XLOOKUP($A730,'2. TEUs &amp; Activities - EF'!$A$9:$A$190,'2. TEUs &amp; Activities - EF'!$M$9:$M$190),_xlfn.XLOOKUP($B730,'2. TEUs &amp; Activities - EF'!$B$9:$B$190,'2. TEUs &amp; Activities - EF'!$M$9:$M$190))*'3. Pollutant Emissions - EF'!$J730*IF(OR(ISBLANK($E730),$G730="Yes"),1,$E730)*IF($H730="Yes",1,(1-$F730))</f>
        <v>3.2839766081871346E-4</v>
      </c>
      <c r="O730" s="130">
        <f>IFERROR(IF(OR($C730="",$C730="No CAS"),INDEX('DEQ Pollutant List'!$D$7:$D$611,MATCH($D730,'DEQ Pollutant List'!$B$7:$B$611,0)),INDEX('DEQ Pollutant List'!$D$7:$D$611,MATCH($C730,'DEQ Pollutant List'!$A$7:$A$611,0))),"")</f>
        <v>431</v>
      </c>
    </row>
    <row r="731" spans="1:15" ht="15" x14ac:dyDescent="0.25">
      <c r="A731" s="5" t="s">
        <v>1541</v>
      </c>
      <c r="B731" s="7"/>
      <c r="C731" s="13" t="s">
        <v>107</v>
      </c>
      <c r="D731" s="19" t="str">
        <f>IFERROR(IF(C731="No CAS","",INDEX('DEQ Pollutant List'!$B$7:$B$611,MATCH('3. Pollutant Emissions - EF'!C731,'DEQ Pollutant List'!$A$7:$A$611,0))),"")</f>
        <v>Styrene</v>
      </c>
      <c r="E731" s="23">
        <v>0</v>
      </c>
      <c r="F731" s="21">
        <v>0</v>
      </c>
      <c r="G731" s="23" t="s">
        <v>1415</v>
      </c>
      <c r="H731" s="21" t="s">
        <v>1415</v>
      </c>
      <c r="I731" s="34">
        <v>2.41E-2</v>
      </c>
      <c r="J731" s="11">
        <f t="shared" si="19"/>
        <v>2.41E-2</v>
      </c>
      <c r="K731" s="6" t="s">
        <v>1418</v>
      </c>
      <c r="L731" s="20" t="s">
        <v>1587</v>
      </c>
      <c r="M731" s="7">
        <f>IF(ISBLANK($B731),_xlfn.XLOOKUP($A731,'2. TEUs &amp; Activities - EF'!$A$9:$A$190,'2. TEUs &amp; Activities - EF'!$J$9:$J$190),_xlfn.XLOOKUP($B731,'2. TEUs &amp; Activities - EF'!$B$9:$B$190,'2. TEUs &amp; Activities - EF'!$J$9:$J$190))*'3. Pollutant Emissions - EF'!$I731*IF(OR(ISBLANK($E731),$G731="Yes"),1,$E731)*IF($H731="Yes",1,(1-$F731))</f>
        <v>2.3724171539961012E-2</v>
      </c>
      <c r="N731" s="5">
        <f>IF(ISBLANK($B731),_xlfn.XLOOKUP($A731,'2. TEUs &amp; Activities - EF'!$A$9:$A$190,'2. TEUs &amp; Activities - EF'!$M$9:$M$190),_xlfn.XLOOKUP($B731,'2. TEUs &amp; Activities - EF'!$B$9:$B$190,'2. TEUs &amp; Activities - EF'!$M$9:$M$190))*'3. Pollutant Emissions - EF'!$J731*IF(OR(ISBLANK($E731),$G731="Yes"),1,$E731)*IF($H731="Yes",1,(1-$F731))</f>
        <v>5.6938011695906437E-3</v>
      </c>
      <c r="O731" s="130">
        <f>IFERROR(IF(OR($C731="",$C731="No CAS"),INDEX('DEQ Pollutant List'!$D$7:$D$611,MATCH($D731,'DEQ Pollutant List'!$B$7:$B$611,0)),INDEX('DEQ Pollutant List'!$D$7:$D$611,MATCH($C731,'DEQ Pollutant List'!$A$7:$A$611,0))),"")</f>
        <v>585</v>
      </c>
    </row>
    <row r="732" spans="1:15" ht="15" x14ac:dyDescent="0.25">
      <c r="A732" s="5" t="s">
        <v>1541</v>
      </c>
      <c r="B732" s="7"/>
      <c r="C732" s="13" t="s">
        <v>68</v>
      </c>
      <c r="D732" s="19" t="str">
        <f>IFERROR(IF(C732="No CAS","",INDEX('DEQ Pollutant List'!$B$7:$B$611,MATCH('3. Pollutant Emissions - EF'!C732,'DEQ Pollutant List'!$A$7:$A$611,0))),"")</f>
        <v>Toluene</v>
      </c>
      <c r="E732" s="23">
        <v>0</v>
      </c>
      <c r="F732" s="21">
        <v>0</v>
      </c>
      <c r="G732" s="23" t="s">
        <v>1415</v>
      </c>
      <c r="H732" s="21" t="s">
        <v>1415</v>
      </c>
      <c r="I732" s="34">
        <v>0.41599999999999998</v>
      </c>
      <c r="J732" s="11">
        <f t="shared" si="19"/>
        <v>0.41599999999999998</v>
      </c>
      <c r="K732" s="6" t="s">
        <v>1418</v>
      </c>
      <c r="L732" s="20" t="s">
        <v>1587</v>
      </c>
      <c r="M732" s="7">
        <f>IF(ISBLANK($B732),_xlfn.XLOOKUP($A732,'2. TEUs &amp; Activities - EF'!$A$9:$A$190,'2. TEUs &amp; Activities - EF'!$J$9:$J$190),_xlfn.XLOOKUP($B732,'2. TEUs &amp; Activities - EF'!$B$9:$B$190,'2. TEUs &amp; Activities - EF'!$J$9:$J$190))*'3. Pollutant Emissions - EF'!$I732*IF(OR(ISBLANK($E732),$G732="Yes"),1,$E732)*IF($H732="Yes",1,(1-$F732))</f>
        <v>0.40951267056530211</v>
      </c>
      <c r="N732" s="5">
        <f>IF(ISBLANK($B732),_xlfn.XLOOKUP($A732,'2. TEUs &amp; Activities - EF'!$A$9:$A$190,'2. TEUs &amp; Activities - EF'!$M$9:$M$190),_xlfn.XLOOKUP($B732,'2. TEUs &amp; Activities - EF'!$B$9:$B$190,'2. TEUs &amp; Activities - EF'!$M$9:$M$190))*'3. Pollutant Emissions - EF'!$J732*IF(OR(ISBLANK($E732),$G732="Yes"),1,$E732)*IF($H732="Yes",1,(1-$F732))</f>
        <v>9.8283040935672514E-2</v>
      </c>
      <c r="O732" s="130">
        <f>IFERROR(IF(OR($C732="",$C732="No CAS"),INDEX('DEQ Pollutant List'!$D$7:$D$611,MATCH($D732,'DEQ Pollutant List'!$B$7:$B$611,0)),INDEX('DEQ Pollutant List'!$D$7:$D$611,MATCH($C732,'DEQ Pollutant List'!$A$7:$A$611,0))),"")</f>
        <v>600</v>
      </c>
    </row>
    <row r="733" spans="1:15" ht="15" x14ac:dyDescent="0.25">
      <c r="A733" s="5" t="s">
        <v>1541</v>
      </c>
      <c r="B733" s="7"/>
      <c r="C733" s="13" t="s">
        <v>111</v>
      </c>
      <c r="D733" s="19" t="str">
        <f>IFERROR(IF(C733="No CAS","",INDEX('DEQ Pollutant List'!$B$7:$B$611,MATCH('3. Pollutant Emissions - EF'!C733,'DEQ Pollutant List'!$A$7:$A$611,0))),"")</f>
        <v>Vinyl chloride</v>
      </c>
      <c r="E733" s="23">
        <v>0</v>
      </c>
      <c r="F733" s="21">
        <v>0</v>
      </c>
      <c r="G733" s="23" t="s">
        <v>1415</v>
      </c>
      <c r="H733" s="21" t="s">
        <v>1415</v>
      </c>
      <c r="I733" s="34">
        <v>1.52E-2</v>
      </c>
      <c r="J733" s="11">
        <f t="shared" si="19"/>
        <v>1.52E-2</v>
      </c>
      <c r="K733" s="6" t="s">
        <v>1418</v>
      </c>
      <c r="L733" s="20" t="s">
        <v>1587</v>
      </c>
      <c r="M733" s="7">
        <f>IF(ISBLANK($B733),_xlfn.XLOOKUP($A733,'2. TEUs &amp; Activities - EF'!$A$9:$A$190,'2. TEUs &amp; Activities - EF'!$J$9:$J$190),_xlfn.XLOOKUP($B733,'2. TEUs &amp; Activities - EF'!$B$9:$B$190,'2. TEUs &amp; Activities - EF'!$J$9:$J$190))*'3. Pollutant Emissions - EF'!$I733*IF(OR(ISBLANK($E733),$G733="Yes"),1,$E733)*IF($H733="Yes",1,(1-$F733))</f>
        <v>1.4962962962962963E-2</v>
      </c>
      <c r="N733" s="5">
        <f>IF(ISBLANK($B733),_xlfn.XLOOKUP($A733,'2. TEUs &amp; Activities - EF'!$A$9:$A$190,'2. TEUs &amp; Activities - EF'!$M$9:$M$190),_xlfn.XLOOKUP($B733,'2. TEUs &amp; Activities - EF'!$B$9:$B$190,'2. TEUs &amp; Activities - EF'!$M$9:$M$190))*'3. Pollutant Emissions - EF'!$J733*IF(OR(ISBLANK($E733),$G733="Yes"),1,$E733)*IF($H733="Yes",1,(1-$F733))</f>
        <v>3.5911111111111113E-3</v>
      </c>
      <c r="O733" s="130">
        <f>IFERROR(IF(OR($C733="",$C733="No CAS"),INDEX('DEQ Pollutant List'!$D$7:$D$611,MATCH($D733,'DEQ Pollutant List'!$B$7:$B$611,0)),INDEX('DEQ Pollutant List'!$D$7:$D$611,MATCH($C733,'DEQ Pollutant List'!$A$7:$A$611,0))),"")</f>
        <v>624</v>
      </c>
    </row>
    <row r="734" spans="1:15" ht="15" x14ac:dyDescent="0.25">
      <c r="A734" s="5" t="s">
        <v>1541</v>
      </c>
      <c r="B734" s="7"/>
      <c r="C734" s="13" t="s">
        <v>70</v>
      </c>
      <c r="D734" s="19" t="str">
        <f>IFERROR(IF(C734="No CAS","",INDEX('DEQ Pollutant List'!$B$7:$B$611,MATCH('3. Pollutant Emissions - EF'!C734,'DEQ Pollutant List'!$A$7:$A$611,0))),"")</f>
        <v>Xylene (mixture), including m-xylene, o-xylene, p-xylene</v>
      </c>
      <c r="E734" s="23">
        <v>0</v>
      </c>
      <c r="F734" s="21">
        <v>0</v>
      </c>
      <c r="G734" s="23" t="s">
        <v>1415</v>
      </c>
      <c r="H734" s="21" t="s">
        <v>1415</v>
      </c>
      <c r="I734" s="34">
        <v>0.188</v>
      </c>
      <c r="J734" s="11">
        <f t="shared" si="19"/>
        <v>0.188</v>
      </c>
      <c r="K734" s="6" t="s">
        <v>1418</v>
      </c>
      <c r="L734" s="20" t="s">
        <v>1587</v>
      </c>
      <c r="M734" s="7">
        <f>IF(ISBLANK($B734),_xlfn.XLOOKUP($A734,'2. TEUs &amp; Activities - EF'!$A$9:$A$190,'2. TEUs &amp; Activities - EF'!$J$9:$J$190),_xlfn.XLOOKUP($B734,'2. TEUs &amp; Activities - EF'!$B$9:$B$190,'2. TEUs &amp; Activities - EF'!$J$9:$J$190))*'3. Pollutant Emissions - EF'!$I734*IF(OR(ISBLANK($E734),$G734="Yes"),1,$E734)*IF($H734="Yes",1,(1-$F734))</f>
        <v>0.18506822612085769</v>
      </c>
      <c r="N734" s="5">
        <f>IF(ISBLANK($B734),_xlfn.XLOOKUP($A734,'2. TEUs &amp; Activities - EF'!$A$9:$A$190,'2. TEUs &amp; Activities - EF'!$M$9:$M$190),_xlfn.XLOOKUP($B734,'2. TEUs &amp; Activities - EF'!$B$9:$B$190,'2. TEUs &amp; Activities - EF'!$M$9:$M$190))*'3. Pollutant Emissions - EF'!$J734*IF(OR(ISBLANK($E734),$G734="Yes"),1,$E734)*IF($H734="Yes",1,(1-$F734))</f>
        <v>4.4416374269005847E-2</v>
      </c>
      <c r="O734" s="130">
        <f>IFERROR(IF(OR($C734="",$C734="No CAS"),INDEX('DEQ Pollutant List'!$D$7:$D$611,MATCH($D734,'DEQ Pollutant List'!$B$7:$B$611,0)),INDEX('DEQ Pollutant List'!$D$7:$D$611,MATCH($C734,'DEQ Pollutant List'!$A$7:$A$611,0))),"")</f>
        <v>628</v>
      </c>
    </row>
    <row r="735" spans="1:15" ht="15" x14ac:dyDescent="0.25">
      <c r="A735" s="5"/>
      <c r="B735" s="7"/>
      <c r="C735" s="13"/>
      <c r="D735" s="19" t="str">
        <f>IFERROR(IF(C735="No CAS","",INDEX('DEQ Pollutant List'!$B$7:$B$611,MATCH('3. Pollutant Emissions - EF'!C735,'DEQ Pollutant List'!$A$7:$A$611,0))),"")</f>
        <v/>
      </c>
      <c r="E735" s="23"/>
      <c r="F735" s="21"/>
      <c r="G735" s="23"/>
      <c r="H735" s="21"/>
      <c r="I735" s="34"/>
      <c r="J735" s="11"/>
      <c r="K735" s="6"/>
      <c r="L735" s="20"/>
      <c r="M735" s="7">
        <f>IF(ISBLANK($B735),_xlfn.XLOOKUP($A735,'2. TEUs &amp; Activities - EF'!$A$9:$A$190,'2. TEUs &amp; Activities - EF'!$J$9:$J$190),_xlfn.XLOOKUP($B735,'2. TEUs &amp; Activities - EF'!$B$9:$B$190,'2. TEUs &amp; Activities - EF'!$J$9:$J$190))*'3. Pollutant Emissions - EF'!$I735*IF(OR(ISBLANK($E735),$G735="Yes"),1,$E735)*IF($H735="Yes",1,(1-$F735))</f>
        <v>0</v>
      </c>
      <c r="N735" s="5">
        <f>IF(ISBLANK($B735),_xlfn.XLOOKUP($A735,'2. TEUs &amp; Activities - EF'!$A$9:$A$190,'2. TEUs &amp; Activities - EF'!$M$9:$M$190),_xlfn.XLOOKUP($B735,'2. TEUs &amp; Activities - EF'!$B$9:$B$190,'2. TEUs &amp; Activities - EF'!$M$9:$M$190))*'3. Pollutant Emissions - EF'!$J735*IF(OR(ISBLANK($E735),$G735="Yes"),1,$E735)*IF($H735="Yes",1,(1-$F735))</f>
        <v>0</v>
      </c>
      <c r="O735" s="130" t="str">
        <f>IFERROR(IF(OR($C735="",$C735="No CAS"),INDEX('DEQ Pollutant List'!$D$7:$D$611,MATCH($D735,'DEQ Pollutant List'!$B$7:$B$611,0)),INDEX('DEQ Pollutant List'!$D$7:$D$611,MATCH($C735,'DEQ Pollutant List'!$A$7:$A$611,0))),"")</f>
        <v/>
      </c>
    </row>
    <row r="736" spans="1:15" ht="15" x14ac:dyDescent="0.25">
      <c r="A736" s="5" t="s">
        <v>1326</v>
      </c>
      <c r="B736" s="7"/>
      <c r="C736" s="13" t="s">
        <v>53</v>
      </c>
      <c r="D736" s="19" t="str">
        <f>IFERROR(IF(C736="No CAS","",INDEX('DEQ Pollutant List'!$B$7:$B$611,MATCH('3. Pollutant Emissions - EF'!C736,'DEQ Pollutant List'!$A$7:$A$611,0))),"")</f>
        <v>Arsenic and compounds</v>
      </c>
      <c r="E736" s="23">
        <v>0</v>
      </c>
      <c r="F736" s="21">
        <v>0.9</v>
      </c>
      <c r="G736" s="23" t="s">
        <v>1415</v>
      </c>
      <c r="H736" s="21" t="s">
        <v>1548</v>
      </c>
      <c r="I736" s="34">
        <v>6.5770769229999998E-5</v>
      </c>
      <c r="J736" s="11">
        <f t="shared" ref="J736:J746" si="20">I736</f>
        <v>6.5770769229999998E-5</v>
      </c>
      <c r="K736" s="6" t="s">
        <v>1419</v>
      </c>
      <c r="L736" s="20" t="s">
        <v>1547</v>
      </c>
      <c r="M736" s="7">
        <f>IF(ISBLANK($B736),_xlfn.XLOOKUP($A736,'2. TEUs &amp; Activities - EF'!$A$9:$A$190,'2. TEUs &amp; Activities - EF'!$J$9:$J$190),_xlfn.XLOOKUP($B736,'2. TEUs &amp; Activities - EF'!$B$9:$B$190,'2. TEUs &amp; Activities - EF'!$J$9:$J$190))*'3. Pollutant Emissions - EF'!$I736*IF(OR(ISBLANK($E736),$G736="Yes"),1,$E736)*IF($H736="Yes",1,(1-$F736))</f>
        <v>1.2825299999849997</v>
      </c>
      <c r="N736" s="5">
        <f>IF(ISBLANK($B736),_xlfn.XLOOKUP($A736,'2. TEUs &amp; Activities - EF'!$A$9:$A$190,'2. TEUs &amp; Activities - EF'!$M$9:$M$190),_xlfn.XLOOKUP($B736,'2. TEUs &amp; Activities - EF'!$B$9:$B$190,'2. TEUs &amp; Activities - EF'!$M$9:$M$190))*'3. Pollutant Emissions - EF'!$J736*IF(OR(ISBLANK($E736),$G736="Yes"),1,$E736)*IF($H736="Yes",1,(1-$F736))</f>
        <v>3.5137808218767123E-3</v>
      </c>
      <c r="O736" s="130">
        <f>IFERROR(IF(OR($C736="",$C736="No CAS"),INDEX('DEQ Pollutant List'!$D$7:$D$611,MATCH($D736,'DEQ Pollutant List'!$B$7:$B$611,0)),INDEX('DEQ Pollutant List'!$D$7:$D$611,MATCH($C736,'DEQ Pollutant List'!$A$7:$A$611,0))),"")</f>
        <v>37</v>
      </c>
    </row>
    <row r="737" spans="1:15" ht="15" x14ac:dyDescent="0.25">
      <c r="A737" s="5" t="s">
        <v>1326</v>
      </c>
      <c r="B737" s="7"/>
      <c r="C737" s="13" t="s">
        <v>55</v>
      </c>
      <c r="D737" s="19" t="str">
        <f>IFERROR(IF(C737="No CAS","",INDEX('DEQ Pollutant List'!$B$7:$B$611,MATCH('3. Pollutant Emissions - EF'!C737,'DEQ Pollutant List'!$A$7:$A$611,0))),"")</f>
        <v>Beryllium and compounds</v>
      </c>
      <c r="E737" s="23">
        <v>0</v>
      </c>
      <c r="F737" s="21">
        <v>0.9</v>
      </c>
      <c r="G737" s="23" t="s">
        <v>1415</v>
      </c>
      <c r="H737" s="21" t="s">
        <v>1548</v>
      </c>
      <c r="I737" s="34">
        <v>2.42307692E-7</v>
      </c>
      <c r="J737" s="11">
        <f t="shared" si="20"/>
        <v>2.42307692E-7</v>
      </c>
      <c r="K737" s="6" t="s">
        <v>1419</v>
      </c>
      <c r="L737" s="20" t="s">
        <v>1547</v>
      </c>
      <c r="M737" s="7">
        <f>IF(ISBLANK($B737),_xlfn.XLOOKUP($A737,'2. TEUs &amp; Activities - EF'!$A$9:$A$190,'2. TEUs &amp; Activities - EF'!$J$9:$J$190),_xlfn.XLOOKUP($B737,'2. TEUs &amp; Activities - EF'!$B$9:$B$190,'2. TEUs &amp; Activities - EF'!$J$9:$J$190))*'3. Pollutant Emissions - EF'!$I737*IF(OR(ISBLANK($E737),$G737="Yes"),1,$E737)*IF($H737="Yes",1,(1-$F737))</f>
        <v>4.7249999939999992E-3</v>
      </c>
      <c r="N737" s="5">
        <f>IF(ISBLANK($B737),_xlfn.XLOOKUP($A737,'2. TEUs &amp; Activities - EF'!$A$9:$A$190,'2. TEUs &amp; Activities - EF'!$M$9:$M$190),_xlfn.XLOOKUP($B737,'2. TEUs &amp; Activities - EF'!$B$9:$B$190,'2. TEUs &amp; Activities - EF'!$M$9:$M$190))*'3. Pollutant Emissions - EF'!$J737*IF(OR(ISBLANK($E737),$G737="Yes"),1,$E737)*IF($H737="Yes",1,(1-$F737))</f>
        <v>1.2945205463013698E-5</v>
      </c>
      <c r="O737" s="130">
        <f>IFERROR(IF(OR($C737="",$C737="No CAS"),INDEX('DEQ Pollutant List'!$D$7:$D$611,MATCH($D737,'DEQ Pollutant List'!$B$7:$B$611,0)),INDEX('DEQ Pollutant List'!$D$7:$D$611,MATCH($C737,'DEQ Pollutant List'!$A$7:$A$611,0))),"")</f>
        <v>58</v>
      </c>
    </row>
    <row r="738" spans="1:15" ht="15" x14ac:dyDescent="0.25">
      <c r="A738" s="5" t="s">
        <v>1326</v>
      </c>
      <c r="B738" s="7"/>
      <c r="C738" s="13" t="s">
        <v>56</v>
      </c>
      <c r="D738" s="19" t="str">
        <f>IFERROR(IF(C738="No CAS","",INDEX('DEQ Pollutant List'!$B$7:$B$611,MATCH('3. Pollutant Emissions - EF'!C738,'DEQ Pollutant List'!$A$7:$A$611,0))),"")</f>
        <v>Cadmium and compounds</v>
      </c>
      <c r="E738" s="23">
        <v>0</v>
      </c>
      <c r="F738" s="21">
        <v>0.9</v>
      </c>
      <c r="G738" s="23" t="s">
        <v>1415</v>
      </c>
      <c r="H738" s="21" t="s">
        <v>1548</v>
      </c>
      <c r="I738" s="34">
        <v>4.936784615E-4</v>
      </c>
      <c r="J738" s="11">
        <f t="shared" si="20"/>
        <v>4.936784615E-4</v>
      </c>
      <c r="K738" s="6" t="s">
        <v>1419</v>
      </c>
      <c r="L738" s="20" t="s">
        <v>1547</v>
      </c>
      <c r="M738" s="7">
        <f>IF(ISBLANK($B738),_xlfn.XLOOKUP($A738,'2. TEUs &amp; Activities - EF'!$A$9:$A$190,'2. TEUs &amp; Activities - EF'!$J$9:$J$190),_xlfn.XLOOKUP($B738,'2. TEUs &amp; Activities - EF'!$B$9:$B$190,'2. TEUs &amp; Activities - EF'!$J$9:$J$190))*'3. Pollutant Emissions - EF'!$I738*IF(OR(ISBLANK($E738),$G738="Yes"),1,$E738)*IF($H738="Yes",1,(1-$F738))</f>
        <v>9.6267299992499975</v>
      </c>
      <c r="N738" s="5">
        <f>IF(ISBLANK($B738),_xlfn.XLOOKUP($A738,'2. TEUs &amp; Activities - EF'!$A$9:$A$190,'2. TEUs &amp; Activities - EF'!$M$9:$M$190),_xlfn.XLOOKUP($B738,'2. TEUs &amp; Activities - EF'!$B$9:$B$190,'2. TEUs &amp; Activities - EF'!$M$9:$M$190))*'3. Pollutant Emissions - EF'!$J738*IF(OR(ISBLANK($E738),$G738="Yes"),1,$E738)*IF($H738="Yes",1,(1-$F738))</f>
        <v>2.6374602737671234E-2</v>
      </c>
      <c r="O738" s="130">
        <f>IFERROR(IF(OR($C738="",$C738="No CAS"),INDEX('DEQ Pollutant List'!$D$7:$D$611,MATCH($D738,'DEQ Pollutant List'!$B$7:$B$611,0)),INDEX('DEQ Pollutant List'!$D$7:$D$611,MATCH($C738,'DEQ Pollutant List'!$A$7:$A$611,0))),"")</f>
        <v>83</v>
      </c>
    </row>
    <row r="739" spans="1:15" ht="15" x14ac:dyDescent="0.25">
      <c r="A739" s="5" t="s">
        <v>1326</v>
      </c>
      <c r="B739" s="7"/>
      <c r="C739" s="13" t="s">
        <v>57</v>
      </c>
      <c r="D739" s="19" t="str">
        <f>IFERROR(IF(C739="No CAS","",INDEX('DEQ Pollutant List'!$B$7:$B$611,MATCH('3. Pollutant Emissions - EF'!C739,'DEQ Pollutant List'!$A$7:$A$611,0))),"")</f>
        <v>Chromium VI, chromate and dichromate particulate</v>
      </c>
      <c r="E739" s="23">
        <v>0</v>
      </c>
      <c r="F739" s="21">
        <v>0.9</v>
      </c>
      <c r="G739" s="23" t="s">
        <v>1415</v>
      </c>
      <c r="H739" s="21" t="s">
        <v>1548</v>
      </c>
      <c r="I739" s="34">
        <v>2.3490833330000001E-6</v>
      </c>
      <c r="J739" s="11">
        <f t="shared" si="20"/>
        <v>2.3490833330000001E-6</v>
      </c>
      <c r="K739" s="6" t="s">
        <v>1419</v>
      </c>
      <c r="L739" s="20" t="s">
        <v>1547</v>
      </c>
      <c r="M739" s="7">
        <f>IF(ISBLANK($B739),_xlfn.XLOOKUP($A739,'2. TEUs &amp; Activities - EF'!$A$9:$A$190,'2. TEUs &amp; Activities - EF'!$J$9:$J$190),_xlfn.XLOOKUP($B739,'2. TEUs &amp; Activities - EF'!$B$9:$B$190,'2. TEUs &amp; Activities - EF'!$J$9:$J$190))*'3. Pollutant Emissions - EF'!$I739*IF(OR(ISBLANK($E739),$G739="Yes"),1,$E739)*IF($H739="Yes",1,(1-$F739))</f>
        <v>4.5807124993499995E-2</v>
      </c>
      <c r="N739" s="5">
        <f>IF(ISBLANK($B739),_xlfn.XLOOKUP($A739,'2. TEUs &amp; Activities - EF'!$A$9:$A$190,'2. TEUs &amp; Activities - EF'!$M$9:$M$190),_xlfn.XLOOKUP($B739,'2. TEUs &amp; Activities - EF'!$B$9:$B$190,'2. TEUs &amp; Activities - EF'!$M$9:$M$190))*'3. Pollutant Emissions - EF'!$J739*IF(OR(ISBLANK($E739),$G739="Yes"),1,$E739)*IF($H739="Yes",1,(1-$F739))</f>
        <v>1.2549897258493149E-4</v>
      </c>
      <c r="O739" s="130">
        <f>IFERROR(IF(OR($C739="",$C739="No CAS"),INDEX('DEQ Pollutant List'!$D$7:$D$611,MATCH($D739,'DEQ Pollutant List'!$B$7:$B$611,0)),INDEX('DEQ Pollutant List'!$D$7:$D$611,MATCH($C739,'DEQ Pollutant List'!$A$7:$A$611,0))),"")</f>
        <v>136</v>
      </c>
    </row>
    <row r="740" spans="1:15" ht="15" x14ac:dyDescent="0.25">
      <c r="A740" s="5" t="s">
        <v>1326</v>
      </c>
      <c r="B740" s="7"/>
      <c r="C740" s="13" t="s">
        <v>59</v>
      </c>
      <c r="D740" s="19" t="str">
        <f>IFERROR(IF(C740="No CAS","",INDEX('DEQ Pollutant List'!$B$7:$B$611,MATCH('3. Pollutant Emissions - EF'!C740,'DEQ Pollutant List'!$A$7:$A$611,0))),"")</f>
        <v>Copper and compounds</v>
      </c>
      <c r="E740" s="23">
        <v>0</v>
      </c>
      <c r="F740" s="21">
        <v>0.9</v>
      </c>
      <c r="G740" s="23" t="s">
        <v>1415</v>
      </c>
      <c r="H740" s="21" t="s">
        <v>1548</v>
      </c>
      <c r="I740" s="34">
        <v>2.0564646149999997E-3</v>
      </c>
      <c r="J740" s="11">
        <f t="shared" si="20"/>
        <v>2.0564646149999997E-3</v>
      </c>
      <c r="K740" s="6" t="s">
        <v>1419</v>
      </c>
      <c r="L740" s="20" t="s">
        <v>1547</v>
      </c>
      <c r="M740" s="7">
        <f>IF(ISBLANK($B740),_xlfn.XLOOKUP($A740,'2. TEUs &amp; Activities - EF'!$A$9:$A$190,'2. TEUs &amp; Activities - EF'!$J$9:$J$190),_xlfn.XLOOKUP($B740,'2. TEUs &amp; Activities - EF'!$B$9:$B$190,'2. TEUs &amp; Activities - EF'!$J$9:$J$190))*'3. Pollutant Emissions - EF'!$I740*IF(OR(ISBLANK($E740),$G740="Yes"),1,$E740)*IF($H740="Yes",1,(1-$F740))</f>
        <v>40.101059992499984</v>
      </c>
      <c r="N740" s="5">
        <f>IF(ISBLANK($B740),_xlfn.XLOOKUP($A740,'2. TEUs &amp; Activities - EF'!$A$9:$A$190,'2. TEUs &amp; Activities - EF'!$M$9:$M$190),_xlfn.XLOOKUP($B740,'2. TEUs &amp; Activities - EF'!$B$9:$B$190,'2. TEUs &amp; Activities - EF'!$M$9:$M$190))*'3. Pollutant Emissions - EF'!$J740*IF(OR(ISBLANK($E740),$G740="Yes"),1,$E740)*IF($H740="Yes",1,(1-$F740))</f>
        <v>0.1098659177876712</v>
      </c>
      <c r="O740" s="130">
        <f>IFERROR(IF(OR($C740="",$C740="No CAS"),INDEX('DEQ Pollutant List'!$D$7:$D$611,MATCH($D740,'DEQ Pollutant List'!$B$7:$B$611,0)),INDEX('DEQ Pollutant List'!$D$7:$D$611,MATCH($C740,'DEQ Pollutant List'!$A$7:$A$611,0))),"")</f>
        <v>149</v>
      </c>
    </row>
    <row r="741" spans="1:15" ht="15" x14ac:dyDescent="0.25">
      <c r="A741" s="5" t="s">
        <v>1326</v>
      </c>
      <c r="B741" s="7"/>
      <c r="C741" s="13" t="s">
        <v>62</v>
      </c>
      <c r="D741" s="19" t="str">
        <f>IFERROR(IF(C741="No CAS","",INDEX('DEQ Pollutant List'!$B$7:$B$611,MATCH('3. Pollutant Emissions - EF'!C741,'DEQ Pollutant List'!$A$7:$A$611,0))),"")</f>
        <v>Lead and compounds</v>
      </c>
      <c r="E741" s="23">
        <v>0</v>
      </c>
      <c r="F741" s="21">
        <v>0.9</v>
      </c>
      <c r="G741" s="23" t="s">
        <v>1415</v>
      </c>
      <c r="H741" s="21" t="s">
        <v>1548</v>
      </c>
      <c r="I741" s="34">
        <v>8.5156846150000003E-4</v>
      </c>
      <c r="J741" s="11">
        <f t="shared" si="20"/>
        <v>8.5156846150000003E-4</v>
      </c>
      <c r="K741" s="6" t="s">
        <v>1419</v>
      </c>
      <c r="L741" s="20" t="s">
        <v>1547</v>
      </c>
      <c r="M741" s="7">
        <f>IF(ISBLANK($B741),_xlfn.XLOOKUP($A741,'2. TEUs &amp; Activities - EF'!$A$9:$A$190,'2. TEUs &amp; Activities - EF'!$J$9:$J$190),_xlfn.XLOOKUP($B741,'2. TEUs &amp; Activities - EF'!$B$9:$B$190,'2. TEUs &amp; Activities - EF'!$J$9:$J$190))*'3. Pollutant Emissions - EF'!$I741*IF(OR(ISBLANK($E741),$G741="Yes"),1,$E741)*IF($H741="Yes",1,(1-$F741))</f>
        <v>16.605584999249999</v>
      </c>
      <c r="N741" s="5">
        <f>IF(ISBLANK($B741),_xlfn.XLOOKUP($A741,'2. TEUs &amp; Activities - EF'!$A$9:$A$190,'2. TEUs &amp; Activities - EF'!$M$9:$M$190),_xlfn.XLOOKUP($B741,'2. TEUs &amp; Activities - EF'!$B$9:$B$190,'2. TEUs &amp; Activities - EF'!$M$9:$M$190))*'3. Pollutant Emissions - EF'!$J741*IF(OR(ISBLANK($E741),$G741="Yes"),1,$E741)*IF($H741="Yes",1,(1-$F741))</f>
        <v>4.5494753422602736E-2</v>
      </c>
      <c r="O741" s="130">
        <f>IFERROR(IF(OR($C741="",$C741="No CAS"),INDEX('DEQ Pollutant List'!$D$7:$D$611,MATCH($D741,'DEQ Pollutant List'!$B$7:$B$611,0)),INDEX('DEQ Pollutant List'!$D$7:$D$611,MATCH($C741,'DEQ Pollutant List'!$A$7:$A$611,0))),"")</f>
        <v>305</v>
      </c>
    </row>
    <row r="742" spans="1:15" ht="15" x14ac:dyDescent="0.25">
      <c r="A742" s="5" t="s">
        <v>1326</v>
      </c>
      <c r="B742" s="7"/>
      <c r="C742" s="13" t="s">
        <v>63</v>
      </c>
      <c r="D742" s="19" t="str">
        <f>IFERROR(IF(C742="No CAS","",INDEX('DEQ Pollutant List'!$B$7:$B$611,MATCH('3. Pollutant Emissions - EF'!C742,'DEQ Pollutant List'!$A$7:$A$611,0))),"")</f>
        <v>Manganese and compounds</v>
      </c>
      <c r="E742" s="23">
        <v>0</v>
      </c>
      <c r="F742" s="21">
        <v>0.9</v>
      </c>
      <c r="G742" s="23" t="s">
        <v>1415</v>
      </c>
      <c r="H742" s="21" t="s">
        <v>1548</v>
      </c>
      <c r="I742" s="34">
        <v>1.5208923080000002E-4</v>
      </c>
      <c r="J742" s="11">
        <f t="shared" si="20"/>
        <v>1.5208923080000002E-4</v>
      </c>
      <c r="K742" s="6" t="s">
        <v>1419</v>
      </c>
      <c r="L742" s="20" t="s">
        <v>1547</v>
      </c>
      <c r="M742" s="7">
        <f>IF(ISBLANK($B742),_xlfn.XLOOKUP($A742,'2. TEUs &amp; Activities - EF'!$A$9:$A$190,'2. TEUs &amp; Activities - EF'!$J$9:$J$190),_xlfn.XLOOKUP($B742,'2. TEUs &amp; Activities - EF'!$B$9:$B$190,'2. TEUs &amp; Activities - EF'!$J$9:$J$190))*'3. Pollutant Emissions - EF'!$I742*IF(OR(ISBLANK($E742),$G742="Yes"),1,$E742)*IF($H742="Yes",1,(1-$F742))</f>
        <v>2.9657400005999999</v>
      </c>
      <c r="N742" s="5">
        <f>IF(ISBLANK($B742),_xlfn.XLOOKUP($A742,'2. TEUs &amp; Activities - EF'!$A$9:$A$190,'2. TEUs &amp; Activities - EF'!$M$9:$M$190),_xlfn.XLOOKUP($B742,'2. TEUs &amp; Activities - EF'!$B$9:$B$190,'2. TEUs &amp; Activities - EF'!$M$9:$M$190))*'3. Pollutant Emissions - EF'!$J742*IF(OR(ISBLANK($E742),$G742="Yes"),1,$E742)*IF($H742="Yes",1,(1-$F742))</f>
        <v>8.1253150701369858E-3</v>
      </c>
      <c r="O742" s="130">
        <f>IFERROR(IF(OR($C742="",$C742="No CAS"),INDEX('DEQ Pollutant List'!$D$7:$D$611,MATCH($D742,'DEQ Pollutant List'!$B$7:$B$611,0)),INDEX('DEQ Pollutant List'!$D$7:$D$611,MATCH($C742,'DEQ Pollutant List'!$A$7:$A$611,0))),"")</f>
        <v>312</v>
      </c>
    </row>
    <row r="743" spans="1:15" ht="15" x14ac:dyDescent="0.25">
      <c r="A743" s="5" t="s">
        <v>1326</v>
      </c>
      <c r="B743" s="7"/>
      <c r="C743" s="13" t="s">
        <v>64</v>
      </c>
      <c r="D743" s="19" t="str">
        <f>IFERROR(IF(C743="No CAS","",INDEX('DEQ Pollutant List'!$B$7:$B$611,MATCH('3. Pollutant Emissions - EF'!C743,'DEQ Pollutant List'!$A$7:$A$611,0))),"")</f>
        <v>Mercury and compounds</v>
      </c>
      <c r="E743" s="23">
        <v>0</v>
      </c>
      <c r="F743" s="21">
        <v>0.9</v>
      </c>
      <c r="G743" s="23" t="s">
        <v>1415</v>
      </c>
      <c r="H743" s="21" t="s">
        <v>1548</v>
      </c>
      <c r="I743" s="34">
        <v>3.6233333299999996E-7</v>
      </c>
      <c r="J743" s="11">
        <f t="shared" si="20"/>
        <v>3.6233333299999996E-7</v>
      </c>
      <c r="K743" s="6" t="s">
        <v>1419</v>
      </c>
      <c r="L743" s="20" t="s">
        <v>1547</v>
      </c>
      <c r="M743" s="7">
        <f>IF(ISBLANK($B743),_xlfn.XLOOKUP($A743,'2. TEUs &amp; Activities - EF'!$A$9:$A$190,'2. TEUs &amp; Activities - EF'!$J$9:$J$190),_xlfn.XLOOKUP($B743,'2. TEUs &amp; Activities - EF'!$B$9:$B$190,'2. TEUs &amp; Activities - EF'!$J$9:$J$190))*'3. Pollutant Emissions - EF'!$I743*IF(OR(ISBLANK($E743),$G743="Yes"),1,$E743)*IF($H743="Yes",1,(1-$F743))</f>
        <v>7.0654999934999978E-3</v>
      </c>
      <c r="N743" s="5">
        <f>IF(ISBLANK($B743),_xlfn.XLOOKUP($A743,'2. TEUs &amp; Activities - EF'!$A$9:$A$190,'2. TEUs &amp; Activities - EF'!$M$9:$M$190),_xlfn.XLOOKUP($B743,'2. TEUs &amp; Activities - EF'!$B$9:$B$190,'2. TEUs &amp; Activities - EF'!$M$9:$M$190))*'3. Pollutant Emissions - EF'!$J743*IF(OR(ISBLANK($E743),$G743="Yes"),1,$E743)*IF($H743="Yes",1,(1-$F743))</f>
        <v>1.9357534228767118E-5</v>
      </c>
      <c r="O743" s="130">
        <f>IFERROR(IF(OR($C743="",$C743="No CAS"),INDEX('DEQ Pollutant List'!$D$7:$D$611,MATCH($D743,'DEQ Pollutant List'!$B$7:$B$611,0)),INDEX('DEQ Pollutant List'!$D$7:$D$611,MATCH($C743,'DEQ Pollutant List'!$A$7:$A$611,0))),"")</f>
        <v>316</v>
      </c>
    </row>
    <row r="744" spans="1:15" ht="15" x14ac:dyDescent="0.25">
      <c r="A744" s="5" t="s">
        <v>1326</v>
      </c>
      <c r="B744" s="7"/>
      <c r="C744" s="13" t="s">
        <v>66</v>
      </c>
      <c r="D744" s="19" t="str">
        <f>IFERROR(IF(C744="No CAS","",INDEX('DEQ Pollutant List'!$B$7:$B$611,MATCH('3. Pollutant Emissions - EF'!C744,'DEQ Pollutant List'!$A$7:$A$611,0))),"")</f>
        <v>Nickel and compounds</v>
      </c>
      <c r="E744" s="23">
        <v>0</v>
      </c>
      <c r="F744" s="21">
        <v>0.9</v>
      </c>
      <c r="G744" s="23" t="s">
        <v>1415</v>
      </c>
      <c r="H744" s="21" t="s">
        <v>1548</v>
      </c>
      <c r="I744" s="34">
        <v>7.1923076920000001E-5</v>
      </c>
      <c r="J744" s="11">
        <f t="shared" si="20"/>
        <v>7.1923076920000001E-5</v>
      </c>
      <c r="K744" s="6" t="s">
        <v>1419</v>
      </c>
      <c r="L744" s="20" t="s">
        <v>1547</v>
      </c>
      <c r="M744" s="7">
        <f>IF(ISBLANK($B744),_xlfn.XLOOKUP($A744,'2. TEUs &amp; Activities - EF'!$A$9:$A$190,'2. TEUs &amp; Activities - EF'!$J$9:$J$190),_xlfn.XLOOKUP($B744,'2. TEUs &amp; Activities - EF'!$B$9:$B$190,'2. TEUs &amp; Activities - EF'!$J$9:$J$190))*'3. Pollutant Emissions - EF'!$I744*IF(OR(ISBLANK($E744),$G744="Yes"),1,$E744)*IF($H744="Yes",1,(1-$F744))</f>
        <v>1.4024999999399996</v>
      </c>
      <c r="N744" s="5">
        <f>IF(ISBLANK($B744),_xlfn.XLOOKUP($A744,'2. TEUs &amp; Activities - EF'!$A$9:$A$190,'2. TEUs &amp; Activities - EF'!$M$9:$M$190),_xlfn.XLOOKUP($B744,'2. TEUs &amp; Activities - EF'!$B$9:$B$190,'2. TEUs &amp; Activities - EF'!$M$9:$M$190))*'3. Pollutant Emissions - EF'!$J744*IF(OR(ISBLANK($E744),$G744="Yes"),1,$E744)*IF($H744="Yes",1,(1-$F744))</f>
        <v>3.8424657532602734E-3</v>
      </c>
      <c r="O744" s="130">
        <f>IFERROR(IF(OR($C744="",$C744="No CAS"),INDEX('DEQ Pollutant List'!$D$7:$D$611,MATCH($D744,'DEQ Pollutant List'!$B$7:$B$611,0)),INDEX('DEQ Pollutant List'!$D$7:$D$611,MATCH($C744,'DEQ Pollutant List'!$A$7:$A$611,0))),"")</f>
        <v>364</v>
      </c>
    </row>
    <row r="745" spans="1:15" ht="15" x14ac:dyDescent="0.25">
      <c r="A745" s="5" t="s">
        <v>1326</v>
      </c>
      <c r="B745" s="7"/>
      <c r="C745" s="13" t="s">
        <v>67</v>
      </c>
      <c r="D745" s="19" t="str">
        <f>IFERROR(IF(C745="No CAS","",INDEX('DEQ Pollutant List'!$B$7:$B$611,MATCH('3. Pollutant Emissions - EF'!C745,'DEQ Pollutant List'!$A$7:$A$611,0))),"")</f>
        <v>Selenium and compounds</v>
      </c>
      <c r="E745" s="23">
        <v>0</v>
      </c>
      <c r="F745" s="21">
        <v>0.9</v>
      </c>
      <c r="G745" s="23" t="s">
        <v>1415</v>
      </c>
      <c r="H745" s="21" t="s">
        <v>1548</v>
      </c>
      <c r="I745" s="34">
        <v>2.0000000000000002E-5</v>
      </c>
      <c r="J745" s="11">
        <f t="shared" si="20"/>
        <v>2.0000000000000002E-5</v>
      </c>
      <c r="K745" s="6" t="s">
        <v>1419</v>
      </c>
      <c r="L745" s="20" t="s">
        <v>1547</v>
      </c>
      <c r="M745" s="7">
        <f>IF(ISBLANK($B745),_xlfn.XLOOKUP($A745,'2. TEUs &amp; Activities - EF'!$A$9:$A$190,'2. TEUs &amp; Activities - EF'!$J$9:$J$190),_xlfn.XLOOKUP($B745,'2. TEUs &amp; Activities - EF'!$B$9:$B$190,'2. TEUs &amp; Activities - EF'!$J$9:$J$190))*'3. Pollutant Emissions - EF'!$I745*IF(OR(ISBLANK($E745),$G745="Yes"),1,$E745)*IF($H745="Yes",1,(1-$F745))</f>
        <v>0.38999999999999996</v>
      </c>
      <c r="N745" s="5">
        <f>IF(ISBLANK($B745),_xlfn.XLOOKUP($A745,'2. TEUs &amp; Activities - EF'!$A$9:$A$190,'2. TEUs &amp; Activities - EF'!$M$9:$M$190),_xlfn.XLOOKUP($B745,'2. TEUs &amp; Activities - EF'!$B$9:$B$190,'2. TEUs &amp; Activities - EF'!$M$9:$M$190))*'3. Pollutant Emissions - EF'!$J745*IF(OR(ISBLANK($E745),$G745="Yes"),1,$E745)*IF($H745="Yes",1,(1-$F745))</f>
        <v>1.0684931506849315E-3</v>
      </c>
      <c r="O745" s="130">
        <f>IFERROR(IF(OR($C745="",$C745="No CAS"),INDEX('DEQ Pollutant List'!$D$7:$D$611,MATCH($D745,'DEQ Pollutant List'!$B$7:$B$611,0)),INDEX('DEQ Pollutant List'!$D$7:$D$611,MATCH($C745,'DEQ Pollutant List'!$A$7:$A$611,0))),"")</f>
        <v>575</v>
      </c>
    </row>
    <row r="746" spans="1:15" ht="15" x14ac:dyDescent="0.25">
      <c r="A746" s="5" t="s">
        <v>1326</v>
      </c>
      <c r="B746" s="7"/>
      <c r="C746" s="13" t="s">
        <v>71</v>
      </c>
      <c r="D746" s="19" t="str">
        <f>IFERROR(IF(C746="No CAS","",INDEX('DEQ Pollutant List'!$B$7:$B$611,MATCH('3. Pollutant Emissions - EF'!C746,'DEQ Pollutant List'!$A$7:$A$611,0))),"")</f>
        <v>Zinc and compounds</v>
      </c>
      <c r="E746" s="23">
        <v>0</v>
      </c>
      <c r="F746" s="21">
        <v>0.9</v>
      </c>
      <c r="G746" s="23" t="s">
        <v>1415</v>
      </c>
      <c r="H746" s="21" t="s">
        <v>1548</v>
      </c>
      <c r="I746" s="34">
        <v>1.514464615E-3</v>
      </c>
      <c r="J746" s="11">
        <f t="shared" si="20"/>
        <v>1.514464615E-3</v>
      </c>
      <c r="K746" s="6" t="s">
        <v>1419</v>
      </c>
      <c r="L746" s="20" t="s">
        <v>1547</v>
      </c>
      <c r="M746" s="7">
        <f>IF(ISBLANK($B746),_xlfn.XLOOKUP($A746,'2. TEUs &amp; Activities - EF'!$A$9:$A$190,'2. TEUs &amp; Activities - EF'!$J$9:$J$190),_xlfn.XLOOKUP($B746,'2. TEUs &amp; Activities - EF'!$B$9:$B$190,'2. TEUs &amp; Activities - EF'!$J$9:$J$190))*'3. Pollutant Emissions - EF'!$I746*IF(OR(ISBLANK($E746),$G746="Yes"),1,$E746)*IF($H746="Yes",1,(1-$F746))</f>
        <v>29.532059992499995</v>
      </c>
      <c r="N746" s="5">
        <f>IF(ISBLANK($B746),_xlfn.XLOOKUP($A746,'2. TEUs &amp; Activities - EF'!$A$9:$A$190,'2. TEUs &amp; Activities - EF'!$M$9:$M$190),_xlfn.XLOOKUP($B746,'2. TEUs &amp; Activities - EF'!$B$9:$B$190,'2. TEUs &amp; Activities - EF'!$M$9:$M$190))*'3. Pollutant Emissions - EF'!$J746*IF(OR(ISBLANK($E746),$G746="Yes"),1,$E746)*IF($H746="Yes",1,(1-$F746))</f>
        <v>8.090975340410958E-2</v>
      </c>
      <c r="O746" s="130">
        <f>IFERROR(IF(OR($C746="",$C746="No CAS"),INDEX('DEQ Pollutant List'!$D$7:$D$611,MATCH($D746,'DEQ Pollutant List'!$B$7:$B$611,0)),INDEX('DEQ Pollutant List'!$D$7:$D$611,MATCH($C746,'DEQ Pollutant List'!$A$7:$A$611,0))),"")</f>
        <v>632</v>
      </c>
    </row>
    <row r="747" spans="1:15" ht="15" x14ac:dyDescent="0.25">
      <c r="A747" s="5"/>
      <c r="B747" s="7"/>
      <c r="C747" s="13"/>
      <c r="D747" s="19" t="str">
        <f>IFERROR(IF(C747="No CAS","",INDEX('DEQ Pollutant List'!$B$7:$B$611,MATCH('3. Pollutant Emissions - EF'!C747,'DEQ Pollutant List'!$A$7:$A$611,0))),"")</f>
        <v/>
      </c>
      <c r="E747" s="23"/>
      <c r="F747" s="21"/>
      <c r="G747" s="23"/>
      <c r="H747" s="21"/>
      <c r="I747" s="34"/>
      <c r="J747" s="11"/>
      <c r="K747" s="6"/>
      <c r="L747" s="20"/>
      <c r="M747" s="7">
        <f>IF(ISBLANK($B747),_xlfn.XLOOKUP($A747,'2. TEUs &amp; Activities - EF'!$A$9:$A$190,'2. TEUs &amp; Activities - EF'!$J$9:$J$190),_xlfn.XLOOKUP($B747,'2. TEUs &amp; Activities - EF'!$B$9:$B$190,'2. TEUs &amp; Activities - EF'!$J$9:$J$190))*'3. Pollutant Emissions - EF'!$I747*IF(OR(ISBLANK($E747),$G747="Yes"),1,$E747)*IF($H747="Yes",1,(1-$F747))</f>
        <v>0</v>
      </c>
      <c r="N747" s="5">
        <f>IF(ISBLANK($B747),_xlfn.XLOOKUP($A747,'2. TEUs &amp; Activities - EF'!$A$9:$A$190,'2. TEUs &amp; Activities - EF'!$M$9:$M$190),_xlfn.XLOOKUP($B747,'2. TEUs &amp; Activities - EF'!$B$9:$B$190,'2. TEUs &amp; Activities - EF'!$M$9:$M$190))*'3. Pollutant Emissions - EF'!$J747*IF(OR(ISBLANK($E747),$G747="Yes"),1,$E747)*IF($H747="Yes",1,(1-$F747))</f>
        <v>0</v>
      </c>
      <c r="O747" s="130" t="str">
        <f>IFERROR(IF(OR($C747="",$C747="No CAS"),INDEX('DEQ Pollutant List'!$D$7:$D$611,MATCH($D747,'DEQ Pollutant List'!$B$7:$B$611,0)),INDEX('DEQ Pollutant List'!$D$7:$D$611,MATCH($C747,'DEQ Pollutant List'!$A$7:$A$611,0))),"")</f>
        <v/>
      </c>
    </row>
    <row r="748" spans="1:15" ht="15" x14ac:dyDescent="0.25">
      <c r="A748" s="5" t="s">
        <v>1327</v>
      </c>
      <c r="B748" s="7"/>
      <c r="C748" s="13" t="s">
        <v>562</v>
      </c>
      <c r="D748" s="19" t="str">
        <f>IFERROR(IF(C748="No CAS","",INDEX('DEQ Pollutant List'!$B$7:$B$611,MATCH('3. Pollutant Emissions - EF'!C748,'DEQ Pollutant List'!$A$7:$A$611,0))),"")</f>
        <v>Chromic(VI) acid, including chromic acid aerosol mist and chromium trioxide</v>
      </c>
      <c r="E748" s="23">
        <v>0</v>
      </c>
      <c r="F748" s="21">
        <v>0</v>
      </c>
      <c r="G748" s="23" t="s">
        <v>1415</v>
      </c>
      <c r="H748" s="21" t="s">
        <v>1415</v>
      </c>
      <c r="I748" s="34">
        <v>2.4462033720663605E-5</v>
      </c>
      <c r="J748" s="11">
        <f t="shared" ref="J748:J755" si="21">I748</f>
        <v>2.4462033720663605E-5</v>
      </c>
      <c r="K748" s="6" t="s">
        <v>1420</v>
      </c>
      <c r="L748" s="20" t="s">
        <v>1655</v>
      </c>
      <c r="M748" s="7">
        <f>IF(ISBLANK($B748),_xlfn.XLOOKUP($A748,'2. TEUs &amp; Activities - EF'!$A$9:$A$190,'2. TEUs &amp; Activities - EF'!$J$9:$J$190),_xlfn.XLOOKUP($B748,'2. TEUs &amp; Activities - EF'!$B$9:$B$190,'2. TEUs &amp; Activities - EF'!$J$9:$J$190))*'3. Pollutant Emissions - EF'!$I748*IF(OR(ISBLANK($E748),$G748="Yes"),1,$E748)*IF($H748="Yes",1,(1-$F748))</f>
        <v>0.21428741539301319</v>
      </c>
      <c r="N748" s="5">
        <f>IF(ISBLANK($B748),_xlfn.XLOOKUP($A748,'2. TEUs &amp; Activities - EF'!$A$9:$A$190,'2. TEUs &amp; Activities - EF'!$M$9:$M$190),_xlfn.XLOOKUP($B748,'2. TEUs &amp; Activities - EF'!$B$9:$B$190,'2. TEUs &amp; Activities - EF'!$M$9:$M$190))*'3. Pollutant Emissions - EF'!$J748*IF(OR(ISBLANK($E748),$G748="Yes"),1,$E748)*IF($H748="Yes",1,(1-$F748))</f>
        <v>5.8708880929592654E-4</v>
      </c>
      <c r="O748" s="130">
        <f>IFERROR(IF(OR($C748="",$C748="No CAS"),INDEX('DEQ Pollutant List'!$D$7:$D$611,MATCH($D748,'DEQ Pollutant List'!$B$7:$B$611,0)),INDEX('DEQ Pollutant List'!$D$7:$D$611,MATCH($C748,'DEQ Pollutant List'!$A$7:$A$611,0))),"")</f>
        <v>140</v>
      </c>
    </row>
    <row r="749" spans="1:15" ht="15" x14ac:dyDescent="0.25">
      <c r="A749" s="5" t="s">
        <v>1327</v>
      </c>
      <c r="B749" s="7"/>
      <c r="C749" s="13" t="s">
        <v>66</v>
      </c>
      <c r="D749" s="19" t="str">
        <f>IFERROR(IF(C749="No CAS","",INDEX('DEQ Pollutant List'!$B$7:$B$611,MATCH('3. Pollutant Emissions - EF'!C749,'DEQ Pollutant List'!$A$7:$A$611,0))),"")</f>
        <v>Nickel and compounds</v>
      </c>
      <c r="E749" s="23">
        <v>0</v>
      </c>
      <c r="F749" s="21">
        <v>0</v>
      </c>
      <c r="G749" s="23" t="s">
        <v>1415</v>
      </c>
      <c r="H749" s="21" t="s">
        <v>1415</v>
      </c>
      <c r="I749" s="34">
        <v>6.3495246592380915E-5</v>
      </c>
      <c r="J749" s="11">
        <f t="shared" si="21"/>
        <v>6.3495246592380915E-5</v>
      </c>
      <c r="K749" s="6" t="s">
        <v>1420</v>
      </c>
      <c r="L749" s="20" t="s">
        <v>1655</v>
      </c>
      <c r="M749" s="7">
        <f>IF(ISBLANK($B749),_xlfn.XLOOKUP($A749,'2. TEUs &amp; Activities - EF'!$A$9:$A$190,'2. TEUs &amp; Activities - EF'!$J$9:$J$190),_xlfn.XLOOKUP($B749,'2. TEUs &amp; Activities - EF'!$B$9:$B$190,'2. TEUs &amp; Activities - EF'!$J$9:$J$190))*'3. Pollutant Emissions - EF'!$I749*IF(OR(ISBLANK($E749),$G749="Yes"),1,$E749)*IF($H749="Yes",1,(1-$F749))</f>
        <v>0.55621836014925685</v>
      </c>
      <c r="N749" s="5">
        <f>IF(ISBLANK($B749),_xlfn.XLOOKUP($A749,'2. TEUs &amp; Activities - EF'!$A$9:$A$190,'2. TEUs &amp; Activities - EF'!$M$9:$M$190),_xlfn.XLOOKUP($B749,'2. TEUs &amp; Activities - EF'!$B$9:$B$190,'2. TEUs &amp; Activities - EF'!$M$9:$M$190))*'3. Pollutant Emissions - EF'!$J749*IF(OR(ISBLANK($E749),$G749="Yes"),1,$E749)*IF($H749="Yes",1,(1-$F749))</f>
        <v>1.5238859182171421E-3</v>
      </c>
      <c r="O749" s="130">
        <f>IFERROR(IF(OR($C749="",$C749="No CAS"),INDEX('DEQ Pollutant List'!$D$7:$D$611,MATCH($D749,'DEQ Pollutant List'!$B$7:$B$611,0)),INDEX('DEQ Pollutant List'!$D$7:$D$611,MATCH($C749,'DEQ Pollutant List'!$A$7:$A$611,0))),"")</f>
        <v>364</v>
      </c>
    </row>
    <row r="750" spans="1:15" ht="15" x14ac:dyDescent="0.25">
      <c r="A750" s="5" t="s">
        <v>1327</v>
      </c>
      <c r="B750" s="7"/>
      <c r="C750" s="13" t="s">
        <v>1143</v>
      </c>
      <c r="D750" s="19" t="str">
        <f>IFERROR(IF(C750="No CAS","",INDEX('DEQ Pollutant List'!$B$7:$B$611,MATCH('3. Pollutant Emissions - EF'!C750,'DEQ Pollutant List'!$A$7:$A$611,0))),"")</f>
        <v>Sodium hydroxide</v>
      </c>
      <c r="E750" s="23">
        <v>0</v>
      </c>
      <c r="F750" s="21">
        <v>0</v>
      </c>
      <c r="G750" s="23" t="s">
        <v>1415</v>
      </c>
      <c r="H750" s="21" t="s">
        <v>1415</v>
      </c>
      <c r="I750" s="34">
        <v>4.077005620110599E-3</v>
      </c>
      <c r="J750" s="11">
        <f t="shared" si="21"/>
        <v>4.077005620110599E-3</v>
      </c>
      <c r="K750" s="6" t="s">
        <v>1420</v>
      </c>
      <c r="L750" s="20" t="s">
        <v>1655</v>
      </c>
      <c r="M750" s="7">
        <f>IF(ISBLANK($B750),_xlfn.XLOOKUP($A750,'2. TEUs &amp; Activities - EF'!$A$9:$A$190,'2. TEUs &amp; Activities - EF'!$J$9:$J$190),_xlfn.XLOOKUP($B750,'2. TEUs &amp; Activities - EF'!$B$9:$B$190,'2. TEUs &amp; Activities - EF'!$J$9:$J$190))*'3. Pollutant Emissions - EF'!$I750*IF(OR(ISBLANK($E750),$G750="Yes"),1,$E750)*IF($H750="Yes",1,(1-$F750))</f>
        <v>35.714569232168849</v>
      </c>
      <c r="N750" s="5">
        <f>IF(ISBLANK($B750),_xlfn.XLOOKUP($A750,'2. TEUs &amp; Activities - EF'!$A$9:$A$190,'2. TEUs &amp; Activities - EF'!$M$9:$M$190),_xlfn.XLOOKUP($B750,'2. TEUs &amp; Activities - EF'!$B$9:$B$190,'2. TEUs &amp; Activities - EF'!$M$9:$M$190))*'3. Pollutant Emissions - EF'!$J750*IF(OR(ISBLANK($E750),$G750="Yes"),1,$E750)*IF($H750="Yes",1,(1-$F750))</f>
        <v>9.784813488265437E-2</v>
      </c>
      <c r="O750" s="130">
        <f>IFERROR(IF(OR($C750="",$C750="No CAS"),INDEX('DEQ Pollutant List'!$D$7:$D$611,MATCH($D750,'DEQ Pollutant List'!$B$7:$B$611,0)),INDEX('DEQ Pollutant List'!$D$7:$D$611,MATCH($C750,'DEQ Pollutant List'!$A$7:$A$611,0))),"")</f>
        <v>582</v>
      </c>
    </row>
    <row r="751" spans="1:15" ht="15" x14ac:dyDescent="0.25">
      <c r="A751" s="5" t="s">
        <v>1327</v>
      </c>
      <c r="B751" s="7"/>
      <c r="C751" s="13" t="s">
        <v>71</v>
      </c>
      <c r="D751" s="19" t="str">
        <f>IFERROR(IF(C751="No CAS","",INDEX('DEQ Pollutant List'!$B$7:$B$611,MATCH('3. Pollutant Emissions - EF'!C751,'DEQ Pollutant List'!$A$7:$A$611,0))),"")</f>
        <v>Zinc and compounds</v>
      </c>
      <c r="E751" s="23">
        <v>0</v>
      </c>
      <c r="F751" s="21">
        <v>0</v>
      </c>
      <c r="G751" s="23" t="s">
        <v>1415</v>
      </c>
      <c r="H751" s="21" t="s">
        <v>1415</v>
      </c>
      <c r="I751" s="34">
        <v>4.7369492021366944E-3</v>
      </c>
      <c r="J751" s="11">
        <f t="shared" si="21"/>
        <v>4.7369492021366944E-3</v>
      </c>
      <c r="K751" s="6" t="s">
        <v>1420</v>
      </c>
      <c r="L751" s="20" t="s">
        <v>1655</v>
      </c>
      <c r="M751" s="7">
        <f>IF(ISBLANK($B751),_xlfn.XLOOKUP($A751,'2. TEUs &amp; Activities - EF'!$A$9:$A$190,'2. TEUs &amp; Activities - EF'!$J$9:$J$190),_xlfn.XLOOKUP($B751,'2. TEUs &amp; Activities - EF'!$B$9:$B$190,'2. TEUs &amp; Activities - EF'!$J$9:$J$190))*'3. Pollutant Emissions - EF'!$I751*IF(OR(ISBLANK($E751),$G751="Yes"),1,$E751)*IF($H751="Yes",1,(1-$F751))</f>
        <v>41.495675010717441</v>
      </c>
      <c r="N751" s="5">
        <f>IF(ISBLANK($B751),_xlfn.XLOOKUP($A751,'2. TEUs &amp; Activities - EF'!$A$9:$A$190,'2. TEUs &amp; Activities - EF'!$M$9:$M$190),_xlfn.XLOOKUP($B751,'2. TEUs &amp; Activities - EF'!$B$9:$B$190,'2. TEUs &amp; Activities - EF'!$M$9:$M$190))*'3. Pollutant Emissions - EF'!$J751*IF(OR(ISBLANK($E751),$G751="Yes"),1,$E751)*IF($H751="Yes",1,(1-$F751))</f>
        <v>0.11368678085128067</v>
      </c>
      <c r="O751" s="130">
        <f>IFERROR(IF(OR($C751="",$C751="No CAS"),INDEX('DEQ Pollutant List'!$D$7:$D$611,MATCH($D751,'DEQ Pollutant List'!$B$7:$B$611,0)),INDEX('DEQ Pollutant List'!$D$7:$D$611,MATCH($C751,'DEQ Pollutant List'!$A$7:$A$611,0))),"")</f>
        <v>632</v>
      </c>
    </row>
    <row r="752" spans="1:15" ht="15" x14ac:dyDescent="0.25">
      <c r="A752" s="5" t="s">
        <v>1328</v>
      </c>
      <c r="B752" s="7"/>
      <c r="C752" s="13" t="s">
        <v>97</v>
      </c>
      <c r="D752" s="19" t="str">
        <f>IFERROR(IF(C752="No CAS","",INDEX('DEQ Pollutant List'!$B$7:$B$611,MATCH('3. Pollutant Emissions - EF'!C752,'DEQ Pollutant List'!$A$7:$A$611,0))),"")</f>
        <v>Hydrochloric acid</v>
      </c>
      <c r="E752" s="23">
        <v>0</v>
      </c>
      <c r="F752" s="21">
        <v>0</v>
      </c>
      <c r="G752" s="23" t="s">
        <v>1415</v>
      </c>
      <c r="H752" s="21" t="s">
        <v>1415</v>
      </c>
      <c r="I752" s="34">
        <v>2.4143380672545401E-4</v>
      </c>
      <c r="J752" s="11">
        <f t="shared" si="21"/>
        <v>2.4143380672545401E-4</v>
      </c>
      <c r="K752" s="6" t="s">
        <v>1420</v>
      </c>
      <c r="L752" s="20" t="s">
        <v>1655</v>
      </c>
      <c r="M752" s="7">
        <f>IF(ISBLANK($B752),_xlfn.XLOOKUP($A752,'2. TEUs &amp; Activities - EF'!$A$9:$A$190,'2. TEUs &amp; Activities - EF'!$J$9:$J$190),_xlfn.XLOOKUP($B752,'2. TEUs &amp; Activities - EF'!$B$9:$B$190,'2. TEUs &amp; Activities - EF'!$J$9:$J$190))*'3. Pollutant Emissions - EF'!$I752*IF(OR(ISBLANK($E752),$G752="Yes"),1,$E752)*IF($H752="Yes",1,(1-$F752))</f>
        <v>2.114960146914977</v>
      </c>
      <c r="N752" s="5">
        <f>IF(ISBLANK($B752),_xlfn.XLOOKUP($A752,'2. TEUs &amp; Activities - EF'!$A$9:$A$190,'2. TEUs &amp; Activities - EF'!$M$9:$M$190),_xlfn.XLOOKUP($B752,'2. TEUs &amp; Activities - EF'!$B$9:$B$190,'2. TEUs &amp; Activities - EF'!$M$9:$M$190))*'3. Pollutant Emissions - EF'!$J752*IF(OR(ISBLANK($E752),$G752="Yes"),1,$E752)*IF($H752="Yes",1,(1-$F752))</f>
        <v>5.7944113614108962E-3</v>
      </c>
      <c r="O752" s="130">
        <f>IFERROR(IF(OR($C752="",$C752="No CAS"),INDEX('DEQ Pollutant List'!$D$7:$D$611,MATCH($D752,'DEQ Pollutant List'!$B$7:$B$611,0)),INDEX('DEQ Pollutant List'!$D$7:$D$611,MATCH($C752,'DEQ Pollutant List'!$A$7:$A$611,0))),"")</f>
        <v>292</v>
      </c>
    </row>
    <row r="753" spans="1:15" ht="15" x14ac:dyDescent="0.25">
      <c r="A753" s="5" t="s">
        <v>1328</v>
      </c>
      <c r="B753" s="7"/>
      <c r="C753" s="13" t="s">
        <v>98</v>
      </c>
      <c r="D753" s="19" t="str">
        <f>IFERROR(IF(C753="No CAS","",INDEX('DEQ Pollutant List'!$B$7:$B$611,MATCH('3. Pollutant Emissions - EF'!C753,'DEQ Pollutant List'!$A$7:$A$611,0))),"")</f>
        <v>Hydrogen fluoride</v>
      </c>
      <c r="E753" s="23">
        <v>0</v>
      </c>
      <c r="F753" s="21">
        <v>0</v>
      </c>
      <c r="G753" s="23" t="s">
        <v>1415</v>
      </c>
      <c r="H753" s="21" t="s">
        <v>1415</v>
      </c>
      <c r="I753" s="34">
        <v>1.1639491255884555E-3</v>
      </c>
      <c r="J753" s="11">
        <f t="shared" si="21"/>
        <v>1.1639491255884555E-3</v>
      </c>
      <c r="K753" s="6" t="s">
        <v>1420</v>
      </c>
      <c r="L753" s="20" t="s">
        <v>1655</v>
      </c>
      <c r="M753" s="7">
        <f>IF(ISBLANK($B753),_xlfn.XLOOKUP($A753,'2. TEUs &amp; Activities - EF'!$A$9:$A$190,'2. TEUs &amp; Activities - EF'!$J$9:$J$190),_xlfn.XLOOKUP($B753,'2. TEUs &amp; Activities - EF'!$B$9:$B$190,'2. TEUs &amp; Activities - EF'!$J$9:$J$190))*'3. Pollutant Emissions - EF'!$I753*IF(OR(ISBLANK($E753),$G753="Yes"),1,$E753)*IF($H753="Yes",1,(1-$F753))</f>
        <v>10.19619434015487</v>
      </c>
      <c r="N753" s="5">
        <f>IF(ISBLANK($B753),_xlfn.XLOOKUP($A753,'2. TEUs &amp; Activities - EF'!$A$9:$A$190,'2. TEUs &amp; Activities - EF'!$M$9:$M$190),_xlfn.XLOOKUP($B753,'2. TEUs &amp; Activities - EF'!$B$9:$B$190,'2. TEUs &amp; Activities - EF'!$M$9:$M$190))*'3. Pollutant Emissions - EF'!$J753*IF(OR(ISBLANK($E753),$G753="Yes"),1,$E753)*IF($H753="Yes",1,(1-$F753))</f>
        <v>2.7934779014122932E-2</v>
      </c>
      <c r="O753" s="130">
        <f>IFERROR(IF(OR($C753="",$C753="No CAS"),INDEX('DEQ Pollutant List'!$D$7:$D$611,MATCH($D753,'DEQ Pollutant List'!$B$7:$B$611,0)),INDEX('DEQ Pollutant List'!$D$7:$D$611,MATCH($C753,'DEQ Pollutant List'!$A$7:$A$611,0))),"")</f>
        <v>240</v>
      </c>
    </row>
    <row r="754" spans="1:15" ht="15" x14ac:dyDescent="0.25">
      <c r="A754" s="5" t="s">
        <v>1328</v>
      </c>
      <c r="B754" s="7"/>
      <c r="C754" s="13" t="s">
        <v>886</v>
      </c>
      <c r="D754" s="19" t="str">
        <f>IFERROR(IF(C754="No CAS","",INDEX('DEQ Pollutant List'!$B$7:$B$611,MATCH('3. Pollutant Emissions - EF'!C754,'DEQ Pollutant List'!$A$7:$A$611,0))),"")</f>
        <v>Nitric acid</v>
      </c>
      <c r="E754" s="23">
        <v>0</v>
      </c>
      <c r="F754" s="21">
        <v>0</v>
      </c>
      <c r="G754" s="23" t="s">
        <v>1415</v>
      </c>
      <c r="H754" s="21" t="s">
        <v>1415</v>
      </c>
      <c r="I754" s="34">
        <v>1.3019991654879669E-2</v>
      </c>
      <c r="J754" s="11">
        <f t="shared" si="21"/>
        <v>1.3019991654879669E-2</v>
      </c>
      <c r="K754" s="6" t="s">
        <v>1420</v>
      </c>
      <c r="L754" s="20" t="s">
        <v>1655</v>
      </c>
      <c r="M754" s="7">
        <f>IF(ISBLANK($B754),_xlfn.XLOOKUP($A754,'2. TEUs &amp; Activities - EF'!$A$9:$A$190,'2. TEUs &amp; Activities - EF'!$J$9:$J$190),_xlfn.XLOOKUP($B754,'2. TEUs &amp; Activities - EF'!$B$9:$B$190,'2. TEUs &amp; Activities - EF'!$J$9:$J$190))*'3. Pollutant Emissions - EF'!$I754*IF(OR(ISBLANK($E754),$G754="Yes"),1,$E754)*IF($H754="Yes",1,(1-$F754))</f>
        <v>114.0551268967459</v>
      </c>
      <c r="N754" s="5">
        <f>IF(ISBLANK($B754),_xlfn.XLOOKUP($A754,'2. TEUs &amp; Activities - EF'!$A$9:$A$190,'2. TEUs &amp; Activities - EF'!$M$9:$M$190),_xlfn.XLOOKUP($B754,'2. TEUs &amp; Activities - EF'!$B$9:$B$190,'2. TEUs &amp; Activities - EF'!$M$9:$M$190))*'3. Pollutant Emissions - EF'!$J754*IF(OR(ISBLANK($E754),$G754="Yes"),1,$E754)*IF($H754="Yes",1,(1-$F754))</f>
        <v>0.31247979971711204</v>
      </c>
      <c r="O754" s="130">
        <f>IFERROR(IF(OR($C754="",$C754="No CAS"),INDEX('DEQ Pollutant List'!$D$7:$D$611,MATCH($D754,'DEQ Pollutant List'!$B$7:$B$611,0)),INDEX('DEQ Pollutant List'!$D$7:$D$611,MATCH($C754,'DEQ Pollutant List'!$A$7:$A$611,0))),"")</f>
        <v>377</v>
      </c>
    </row>
    <row r="755" spans="1:15" ht="15" x14ac:dyDescent="0.25">
      <c r="A755" s="5" t="s">
        <v>1328</v>
      </c>
      <c r="B755" s="7"/>
      <c r="C755" s="13" t="s">
        <v>1143</v>
      </c>
      <c r="D755" s="19" t="str">
        <f>IFERROR(IF(C755="No CAS","",INDEX('DEQ Pollutant List'!$B$7:$B$611,MATCH('3. Pollutant Emissions - EF'!C755,'DEQ Pollutant List'!$A$7:$A$611,0))),"")</f>
        <v>Sodium hydroxide</v>
      </c>
      <c r="E755" s="23">
        <v>0</v>
      </c>
      <c r="F755" s="21">
        <v>0</v>
      </c>
      <c r="G755" s="23" t="s">
        <v>1415</v>
      </c>
      <c r="H755" s="21" t="s">
        <v>1415</v>
      </c>
      <c r="I755" s="34">
        <v>2.2747826892807188E-3</v>
      </c>
      <c r="J755" s="11">
        <f t="shared" si="21"/>
        <v>2.2747826892807188E-3</v>
      </c>
      <c r="K755" s="6" t="s">
        <v>1420</v>
      </c>
      <c r="L755" s="20" t="s">
        <v>1655</v>
      </c>
      <c r="M755" s="7">
        <f>IF(ISBLANK($B755),_xlfn.XLOOKUP($A755,'2. TEUs &amp; Activities - EF'!$A$9:$A$190,'2. TEUs &amp; Activities - EF'!$J$9:$J$190),_xlfn.XLOOKUP($B755,'2. TEUs &amp; Activities - EF'!$B$9:$B$190,'2. TEUs &amp; Activities - EF'!$J$9:$J$190))*'3. Pollutant Emissions - EF'!$I755*IF(OR(ISBLANK($E755),$G755="Yes"),1,$E755)*IF($H755="Yes",1,(1-$F755))</f>
        <v>19.927096358099096</v>
      </c>
      <c r="N755" s="5">
        <f>IF(ISBLANK($B755),_xlfn.XLOOKUP($A755,'2. TEUs &amp; Activities - EF'!$A$9:$A$190,'2. TEUs &amp; Activities - EF'!$M$9:$M$190),_xlfn.XLOOKUP($B755,'2. TEUs &amp; Activities - EF'!$B$9:$B$190,'2. TEUs &amp; Activities - EF'!$M$9:$M$190))*'3. Pollutant Emissions - EF'!$J755*IF(OR(ISBLANK($E755),$G755="Yes"),1,$E755)*IF($H755="Yes",1,(1-$F755))</f>
        <v>5.4594784542737251E-2</v>
      </c>
      <c r="O755" s="130">
        <f>IFERROR(IF(OR($C755="",$C755="No CAS"),INDEX('DEQ Pollutant List'!$D$7:$D$611,MATCH($D755,'DEQ Pollutant List'!$B$7:$B$611,0)),INDEX('DEQ Pollutant List'!$D$7:$D$611,MATCH($C755,'DEQ Pollutant List'!$A$7:$A$611,0))),"")</f>
        <v>582</v>
      </c>
    </row>
    <row r="756" spans="1:15" ht="15" x14ac:dyDescent="0.25">
      <c r="A756" s="5" t="s">
        <v>1328</v>
      </c>
      <c r="B756" s="7"/>
      <c r="C756" s="13" t="s">
        <v>71</v>
      </c>
      <c r="D756" s="19" t="str">
        <f>IFERROR(IF(C756="No CAS","",INDEX('DEQ Pollutant List'!$B$7:$B$611,MATCH('3. Pollutant Emissions - EF'!C756,'DEQ Pollutant List'!$A$7:$A$611,0))),"")</f>
        <v>Zinc and compounds</v>
      </c>
      <c r="E756" s="23">
        <v>0</v>
      </c>
      <c r="F756" s="21">
        <v>0</v>
      </c>
      <c r="G756" s="23" t="s">
        <v>1415</v>
      </c>
      <c r="H756" s="21" t="s">
        <v>1415</v>
      </c>
      <c r="I756" s="34"/>
      <c r="J756" s="11"/>
      <c r="K756" s="6" t="s">
        <v>1420</v>
      </c>
      <c r="L756" s="20" t="s">
        <v>1655</v>
      </c>
      <c r="M756" s="7">
        <f>IF(ISBLANK($B756),_xlfn.XLOOKUP($A756,'2. TEUs &amp; Activities - EF'!$A$9:$A$190,'2. TEUs &amp; Activities - EF'!$J$9:$J$190),_xlfn.XLOOKUP($B756,'2. TEUs &amp; Activities - EF'!$B$9:$B$190,'2. TEUs &amp; Activities - EF'!$J$9:$J$190))*'3. Pollutant Emissions - EF'!$I756*IF(OR(ISBLANK($E756),$G756="Yes"),1,$E756)*IF($H756="Yes",1,(1-$F756))</f>
        <v>0</v>
      </c>
      <c r="N756" s="5">
        <f>IF(ISBLANK($B756),_xlfn.XLOOKUP($A756,'2. TEUs &amp; Activities - EF'!$A$9:$A$190,'2. TEUs &amp; Activities - EF'!$M$9:$M$190),_xlfn.XLOOKUP($B756,'2. TEUs &amp; Activities - EF'!$B$9:$B$190,'2. TEUs &amp; Activities - EF'!$M$9:$M$190))*'3. Pollutant Emissions - EF'!$J756*IF(OR(ISBLANK($E756),$G756="Yes"),1,$E756)*IF($H756="Yes",1,(1-$F756))</f>
        <v>0</v>
      </c>
      <c r="O756" s="130">
        <f>IFERROR(IF(OR($C756="",$C756="No CAS"),INDEX('DEQ Pollutant List'!$D$7:$D$611,MATCH($D756,'DEQ Pollutant List'!$B$7:$B$611,0)),INDEX('DEQ Pollutant List'!$D$7:$D$611,MATCH($C756,'DEQ Pollutant List'!$A$7:$A$611,0))),"")</f>
        <v>632</v>
      </c>
    </row>
    <row r="757" spans="1:15" ht="15" x14ac:dyDescent="0.25">
      <c r="A757" s="5" t="s">
        <v>1329</v>
      </c>
      <c r="B757" s="7"/>
      <c r="C757" s="13" t="s">
        <v>66</v>
      </c>
      <c r="D757" s="19" t="str">
        <f>IFERROR(IF(C757="No CAS","",INDEX('DEQ Pollutant List'!$B$7:$B$611,MATCH('3. Pollutant Emissions - EF'!C757,'DEQ Pollutant List'!$A$7:$A$611,0))),"")</f>
        <v>Nickel and compounds</v>
      </c>
      <c r="E757" s="23">
        <v>0</v>
      </c>
      <c r="F757" s="21">
        <v>0</v>
      </c>
      <c r="G757" s="23" t="s">
        <v>1415</v>
      </c>
      <c r="H757" s="21" t="s">
        <v>1415</v>
      </c>
      <c r="I757" s="34">
        <v>1.6355193358821053E-3</v>
      </c>
      <c r="J757" s="11">
        <f t="shared" ref="J757:J761" si="22">I757</f>
        <v>1.6355193358821053E-3</v>
      </c>
      <c r="K757" s="6" t="s">
        <v>1420</v>
      </c>
      <c r="L757" s="20" t="s">
        <v>1655</v>
      </c>
      <c r="M757" s="7">
        <f>IF(ISBLANK($B757),_xlfn.XLOOKUP($A757,'2. TEUs &amp; Activities - EF'!$A$9:$A$190,'2. TEUs &amp; Activities - EF'!$J$9:$J$190),_xlfn.XLOOKUP($B757,'2. TEUs &amp; Activities - EF'!$B$9:$B$190,'2. TEUs &amp; Activities - EF'!$J$9:$J$190))*'3. Pollutant Emissions - EF'!$I757*IF(OR(ISBLANK($E757),$G757="Yes"),1,$E757)*IF($H757="Yes",1,(1-$F757))</f>
        <v>14.327149382327242</v>
      </c>
      <c r="N757" s="5">
        <f>IF(ISBLANK($B757),_xlfn.XLOOKUP($A757,'2. TEUs &amp; Activities - EF'!$A$9:$A$190,'2. TEUs &amp; Activities - EF'!$M$9:$M$190),_xlfn.XLOOKUP($B757,'2. TEUs &amp; Activities - EF'!$B$9:$B$190,'2. TEUs &amp; Activities - EF'!$M$9:$M$190))*'3. Pollutant Emissions - EF'!$J757*IF(OR(ISBLANK($E757),$G757="Yes"),1,$E757)*IF($H757="Yes",1,(1-$F757))</f>
        <v>3.9252464061170528E-2</v>
      </c>
      <c r="O757" s="130">
        <f>IFERROR(IF(OR($C757="",$C757="No CAS"),INDEX('DEQ Pollutant List'!$D$7:$D$611,MATCH($D757,'DEQ Pollutant List'!$B$7:$B$611,0)),INDEX('DEQ Pollutant List'!$D$7:$D$611,MATCH($C757,'DEQ Pollutant List'!$A$7:$A$611,0))),"")</f>
        <v>364</v>
      </c>
    </row>
    <row r="758" spans="1:15" ht="15" x14ac:dyDescent="0.25">
      <c r="A758" s="5" t="s">
        <v>1329</v>
      </c>
      <c r="B758" s="7"/>
      <c r="C758" s="13" t="s">
        <v>886</v>
      </c>
      <c r="D758" s="19" t="str">
        <f>IFERROR(IF(C758="No CAS","",INDEX('DEQ Pollutant List'!$B$7:$B$611,MATCH('3. Pollutant Emissions - EF'!C758,'DEQ Pollutant List'!$A$7:$A$611,0))),"")</f>
        <v>Nitric acid</v>
      </c>
      <c r="E758" s="23">
        <v>0</v>
      </c>
      <c r="F758" s="21">
        <v>0</v>
      </c>
      <c r="G758" s="23" t="s">
        <v>1415</v>
      </c>
      <c r="H758" s="21" t="s">
        <v>1415</v>
      </c>
      <c r="I758" s="34">
        <v>3.1091775798881426E-3</v>
      </c>
      <c r="J758" s="11">
        <f t="shared" si="22"/>
        <v>3.1091775798881426E-3</v>
      </c>
      <c r="K758" s="6" t="s">
        <v>1420</v>
      </c>
      <c r="L758" s="20" t="s">
        <v>1655</v>
      </c>
      <c r="M758" s="7">
        <f>IF(ISBLANK($B758),_xlfn.XLOOKUP($A758,'2. TEUs &amp; Activities - EF'!$A$9:$A$190,'2. TEUs &amp; Activities - EF'!$J$9:$J$190),_xlfn.XLOOKUP($B758,'2. TEUs &amp; Activities - EF'!$B$9:$B$190,'2. TEUs &amp; Activities - EF'!$J$9:$J$190))*'3. Pollutant Emissions - EF'!$I758*IF(OR(ISBLANK($E758),$G758="Yes"),1,$E758)*IF($H758="Yes",1,(1-$F758))</f>
        <v>27.236395599820128</v>
      </c>
      <c r="N758" s="5">
        <f>IF(ISBLANK($B758),_xlfn.XLOOKUP($A758,'2. TEUs &amp; Activities - EF'!$A$9:$A$190,'2. TEUs &amp; Activities - EF'!$M$9:$M$190),_xlfn.XLOOKUP($B758,'2. TEUs &amp; Activities - EF'!$B$9:$B$190,'2. TEUs &amp; Activities - EF'!$M$9:$M$190))*'3. Pollutant Emissions - EF'!$J758*IF(OR(ISBLANK($E758),$G758="Yes"),1,$E758)*IF($H758="Yes",1,(1-$F758))</f>
        <v>7.4620261917315425E-2</v>
      </c>
      <c r="O758" s="130">
        <f>IFERROR(IF(OR($C758="",$C758="No CAS"),INDEX('DEQ Pollutant List'!$D$7:$D$611,MATCH($D758,'DEQ Pollutant List'!$B$7:$B$611,0)),INDEX('DEQ Pollutant List'!$D$7:$D$611,MATCH($C758,'DEQ Pollutant List'!$A$7:$A$611,0))),"")</f>
        <v>377</v>
      </c>
    </row>
    <row r="759" spans="1:15" ht="15" x14ac:dyDescent="0.25">
      <c r="A759" s="5" t="s">
        <v>1329</v>
      </c>
      <c r="B759" s="7"/>
      <c r="C759" s="13" t="s">
        <v>1158</v>
      </c>
      <c r="D759" s="19" t="str">
        <f>IFERROR(IF(C759="No CAS","",INDEX('DEQ Pollutant List'!$B$7:$B$611,MATCH('3. Pollutant Emissions - EF'!C759,'DEQ Pollutant List'!$A$7:$A$611,0))),"")</f>
        <v>Sulfuric acid</v>
      </c>
      <c r="E759" s="23">
        <v>0</v>
      </c>
      <c r="F759" s="21">
        <v>0</v>
      </c>
      <c r="G759" s="23" t="s">
        <v>1415</v>
      </c>
      <c r="H759" s="21" t="s">
        <v>1415</v>
      </c>
      <c r="I759" s="34">
        <v>3.6934770053025641E-3</v>
      </c>
      <c r="J759" s="11">
        <f t="shared" si="22"/>
        <v>3.6934770053025641E-3</v>
      </c>
      <c r="K759" s="6" t="s">
        <v>1420</v>
      </c>
      <c r="L759" s="20" t="s">
        <v>1655</v>
      </c>
      <c r="M759" s="7">
        <f>IF(ISBLANK($B759),_xlfn.XLOOKUP($A759,'2. TEUs &amp; Activities - EF'!$A$9:$A$190,'2. TEUs &amp; Activities - EF'!$J$9:$J$190),_xlfn.XLOOKUP($B759,'2. TEUs &amp; Activities - EF'!$B$9:$B$190,'2. TEUs &amp; Activities - EF'!$J$9:$J$190))*'3. Pollutant Emissions - EF'!$I759*IF(OR(ISBLANK($E759),$G759="Yes"),1,$E759)*IF($H759="Yes",1,(1-$F759))</f>
        <v>32.35485856645046</v>
      </c>
      <c r="N759" s="5">
        <f>IF(ISBLANK($B759),_xlfn.XLOOKUP($A759,'2. TEUs &amp; Activities - EF'!$A$9:$A$190,'2. TEUs &amp; Activities - EF'!$M$9:$M$190),_xlfn.XLOOKUP($B759,'2. TEUs &amp; Activities - EF'!$B$9:$B$190,'2. TEUs &amp; Activities - EF'!$M$9:$M$190))*'3. Pollutant Emissions - EF'!$J759*IF(OR(ISBLANK($E759),$G759="Yes"),1,$E759)*IF($H759="Yes",1,(1-$F759))</f>
        <v>8.8643448127261534E-2</v>
      </c>
      <c r="O759" s="130">
        <f>IFERROR(IF(OR($C759="",$C759="No CAS"),INDEX('DEQ Pollutant List'!$D$7:$D$611,MATCH($D759,'DEQ Pollutant List'!$B$7:$B$611,0)),INDEX('DEQ Pollutant List'!$D$7:$D$611,MATCH($C759,'DEQ Pollutant List'!$A$7:$A$611,0))),"")</f>
        <v>591</v>
      </c>
    </row>
    <row r="760" spans="1:15" ht="15" x14ac:dyDescent="0.25">
      <c r="A760" s="5" t="s">
        <v>1329</v>
      </c>
      <c r="B760" s="7"/>
      <c r="C760" s="13" t="s">
        <v>1143</v>
      </c>
      <c r="D760" s="19" t="str">
        <f>IFERROR(IF(C760="No CAS","",INDEX('DEQ Pollutant List'!$B$7:$B$611,MATCH('3. Pollutant Emissions - EF'!C760,'DEQ Pollutant List'!$A$7:$A$611,0))),"")</f>
        <v>Sodium hydroxide</v>
      </c>
      <c r="E760" s="23">
        <v>0</v>
      </c>
      <c r="F760" s="21">
        <v>0</v>
      </c>
      <c r="G760" s="23" t="s">
        <v>1415</v>
      </c>
      <c r="H760" s="21" t="s">
        <v>1415</v>
      </c>
      <c r="I760" s="34">
        <v>4.672912388234589E-3</v>
      </c>
      <c r="J760" s="11">
        <f t="shared" si="22"/>
        <v>4.672912388234589E-3</v>
      </c>
      <c r="K760" s="6" t="s">
        <v>1420</v>
      </c>
      <c r="L760" s="20" t="s">
        <v>1655</v>
      </c>
      <c r="M760" s="7">
        <f>IF(ISBLANK($B760),_xlfn.XLOOKUP($A760,'2. TEUs &amp; Activities - EF'!$A$9:$A$190,'2. TEUs &amp; Activities - EF'!$J$9:$J$190),_xlfn.XLOOKUP($B760,'2. TEUs &amp; Activities - EF'!$B$9:$B$190,'2. TEUs &amp; Activities - EF'!$J$9:$J$190))*'3. Pollutant Emissions - EF'!$I760*IF(OR(ISBLANK($E760),$G760="Yes"),1,$E760)*IF($H760="Yes",1,(1-$F760))</f>
        <v>40.934712520935001</v>
      </c>
      <c r="N760" s="5">
        <f>IF(ISBLANK($B760),_xlfn.XLOOKUP($A760,'2. TEUs &amp; Activities - EF'!$A$9:$A$190,'2. TEUs &amp; Activities - EF'!$M$9:$M$190),_xlfn.XLOOKUP($B760,'2. TEUs &amp; Activities - EF'!$B$9:$B$190,'2. TEUs &amp; Activities - EF'!$M$9:$M$190))*'3. Pollutant Emissions - EF'!$J760*IF(OR(ISBLANK($E760),$G760="Yes"),1,$E760)*IF($H760="Yes",1,(1-$F760))</f>
        <v>0.11214989731763014</v>
      </c>
      <c r="O760" s="130">
        <f>IFERROR(IF(OR($C760="",$C760="No CAS"),INDEX('DEQ Pollutant List'!$D$7:$D$611,MATCH($D760,'DEQ Pollutant List'!$B$7:$B$611,0)),INDEX('DEQ Pollutant List'!$D$7:$D$611,MATCH($C760,'DEQ Pollutant List'!$A$7:$A$611,0))),"")</f>
        <v>582</v>
      </c>
    </row>
    <row r="761" spans="1:15" ht="15" x14ac:dyDescent="0.25">
      <c r="A761" s="5" t="s">
        <v>1329</v>
      </c>
      <c r="B761" s="7"/>
      <c r="C761" s="13" t="s">
        <v>71</v>
      </c>
      <c r="D761" s="19" t="str">
        <f>IFERROR(IF(C761="No CAS","",INDEX('DEQ Pollutant List'!$B$7:$B$611,MATCH('3. Pollutant Emissions - EF'!C761,'DEQ Pollutant List'!$A$7:$A$611,0))),"")</f>
        <v>Zinc and compounds</v>
      </c>
      <c r="E761" s="23">
        <v>0</v>
      </c>
      <c r="F761" s="21">
        <v>0</v>
      </c>
      <c r="G761" s="23" t="s">
        <v>1415</v>
      </c>
      <c r="H761" s="21" t="s">
        <v>1415</v>
      </c>
      <c r="I761" s="34">
        <v>0</v>
      </c>
      <c r="J761" s="11">
        <f t="shared" si="22"/>
        <v>0</v>
      </c>
      <c r="K761" s="6" t="s">
        <v>1420</v>
      </c>
      <c r="L761" s="20" t="s">
        <v>1655</v>
      </c>
      <c r="M761" s="7">
        <f>IF(ISBLANK($B761),_xlfn.XLOOKUP($A761,'2. TEUs &amp; Activities - EF'!$A$9:$A$190,'2. TEUs &amp; Activities - EF'!$J$9:$J$190),_xlfn.XLOOKUP($B761,'2. TEUs &amp; Activities - EF'!$B$9:$B$190,'2. TEUs &amp; Activities - EF'!$J$9:$J$190))*'3. Pollutant Emissions - EF'!$I761*IF(OR(ISBLANK($E761),$G761="Yes"),1,$E761)*IF($H761="Yes",1,(1-$F761))</f>
        <v>0</v>
      </c>
      <c r="N761" s="5">
        <f>IF(ISBLANK($B761),_xlfn.XLOOKUP($A761,'2. TEUs &amp; Activities - EF'!$A$9:$A$190,'2. TEUs &amp; Activities - EF'!$M$9:$M$190),_xlfn.XLOOKUP($B761,'2. TEUs &amp; Activities - EF'!$B$9:$B$190,'2. TEUs &amp; Activities - EF'!$M$9:$M$190))*'3. Pollutant Emissions - EF'!$J761*IF(OR(ISBLANK($E761),$G761="Yes"),1,$E761)*IF($H761="Yes",1,(1-$F761))</f>
        <v>0</v>
      </c>
      <c r="O761" s="130">
        <f>IFERROR(IF(OR($C761="",$C761="No CAS"),INDEX('DEQ Pollutant List'!$D$7:$D$611,MATCH($D761,'DEQ Pollutant List'!$B$7:$B$611,0)),INDEX('DEQ Pollutant List'!$D$7:$D$611,MATCH($C761,'DEQ Pollutant List'!$A$7:$A$611,0))),"")</f>
        <v>632</v>
      </c>
    </row>
    <row r="762" spans="1:15" ht="15" x14ac:dyDescent="0.25">
      <c r="A762" s="5"/>
      <c r="B762" s="7"/>
      <c r="C762" s="13"/>
      <c r="D762" s="19" t="s">
        <v>1536</v>
      </c>
      <c r="E762" s="23"/>
      <c r="F762" s="21"/>
      <c r="G762" s="23"/>
      <c r="H762" s="21"/>
      <c r="I762" s="34"/>
      <c r="J762" s="11"/>
      <c r="K762" s="6"/>
      <c r="L762" s="20"/>
      <c r="M762" s="7"/>
      <c r="N762" s="5"/>
      <c r="O762" s="130" t="str">
        <f>IFERROR(IF(OR($C762="",$C762="No CAS"),INDEX('DEQ Pollutant List'!$D$7:$D$611,MATCH($D762,'DEQ Pollutant List'!$B$7:$B$611,0)),INDEX('DEQ Pollutant List'!$D$7:$D$611,MATCH($C762,'DEQ Pollutant List'!$A$7:$A$611,0))),"")</f>
        <v/>
      </c>
    </row>
    <row r="763" spans="1:15" ht="15" x14ac:dyDescent="0.25">
      <c r="A763" s="5" t="s">
        <v>1329</v>
      </c>
      <c r="B763" s="7"/>
      <c r="C763" s="13">
        <v>239</v>
      </c>
      <c r="D763" s="19" t="str">
        <f>IFERROR(IF(C763="No CAS","",INDEX('DEQ Pollutant List'!$B$7:$B$611,MATCH('3. Pollutant Emissions - EF'!C763,'DEQ Pollutant List'!$A$7:$A$611,0))),"")</f>
        <v>Fluorides</v>
      </c>
      <c r="E763" s="23">
        <v>0</v>
      </c>
      <c r="F763" s="21">
        <v>0</v>
      </c>
      <c r="G763" s="23" t="s">
        <v>1415</v>
      </c>
      <c r="H763" s="21" t="s">
        <v>1415</v>
      </c>
      <c r="I763" s="34">
        <v>7.7729439497203651E-4</v>
      </c>
      <c r="J763" s="11">
        <f t="shared" ref="J763" si="23">I763</f>
        <v>7.7729439497203651E-4</v>
      </c>
      <c r="K763" s="6" t="s">
        <v>1420</v>
      </c>
      <c r="L763" s="20" t="s">
        <v>1655</v>
      </c>
      <c r="M763" s="7">
        <f>IF(ISBLANK($B763),_xlfn.XLOOKUP($A763,'2. TEUs &amp; Activities - EF'!$A$9:$A$190,'2. TEUs &amp; Activities - EF'!$J$9:$J$190),_xlfn.XLOOKUP($B763,'2. TEUs &amp; Activities - EF'!$B$9:$B$190,'2. TEUs &amp; Activities - EF'!$J$9:$J$190))*'3. Pollutant Emissions - EF'!$I763*IF(OR(ISBLANK($E763),$G763="Yes"),1,$E763)*IF($H763="Yes",1,(1-$F763))</f>
        <v>6.8090988999550399</v>
      </c>
      <c r="N763" s="5">
        <f>IF(ISBLANK($B763),_xlfn.XLOOKUP($A763,'2. TEUs &amp; Activities - EF'!$A$9:$A$190,'2. TEUs &amp; Activities - EF'!$M$9:$M$190),_xlfn.XLOOKUP($B763,'2. TEUs &amp; Activities - EF'!$B$9:$B$190,'2. TEUs &amp; Activities - EF'!$M$9:$M$190))*'3. Pollutant Emissions - EF'!$J763*IF(OR(ISBLANK($E763),$G763="Yes"),1,$E763)*IF($H763="Yes",1,(1-$F763))</f>
        <v>1.8655065479328877E-2</v>
      </c>
      <c r="O763" s="130">
        <f>IFERROR(IF(OR($C763="",$C763="No CAS"),INDEX('DEQ Pollutant List'!$D$7:$D$611,MATCH($D763,'DEQ Pollutant List'!$B$7:$B$611,0)),INDEX('DEQ Pollutant List'!$D$7:$D$611,MATCH($C763,'DEQ Pollutant List'!$A$7:$A$611,0))),"")</f>
        <v>239</v>
      </c>
    </row>
    <row r="764" spans="1:15" ht="15" x14ac:dyDescent="0.25">
      <c r="A764" s="5"/>
      <c r="B764" s="7"/>
      <c r="C764" s="13"/>
      <c r="D764" s="19"/>
      <c r="E764" s="23"/>
      <c r="F764" s="21"/>
      <c r="G764" s="23"/>
      <c r="H764" s="21"/>
      <c r="I764" s="34"/>
      <c r="J764" s="11"/>
      <c r="K764" s="6"/>
      <c r="L764" s="20"/>
      <c r="M764" s="7"/>
      <c r="N764" s="5"/>
      <c r="O764" s="130" t="str">
        <f>IFERROR(IF(OR($C764="",$C764="No CAS"),INDEX('DEQ Pollutant List'!$D$7:$D$611,MATCH($D764,'DEQ Pollutant List'!$B$7:$B$611,0)),INDEX('DEQ Pollutant List'!$D$7:$D$611,MATCH($C764,'DEQ Pollutant List'!$A$7:$A$611,0))),"")</f>
        <v/>
      </c>
    </row>
    <row r="765" spans="1:15" ht="15" x14ac:dyDescent="0.25">
      <c r="A765" s="5" t="s">
        <v>1330</v>
      </c>
      <c r="B765" s="7"/>
      <c r="C765" s="13" t="s">
        <v>562</v>
      </c>
      <c r="D765" s="19" t="str">
        <f>IFERROR(IF(C765="No CAS","",INDEX('DEQ Pollutant List'!$B$7:$B$611,MATCH('3. Pollutant Emissions - EF'!C765,'DEQ Pollutant List'!$A$7:$A$611,0))),"")</f>
        <v>Chromic(VI) acid, including chromic acid aerosol mist and chromium trioxide</v>
      </c>
      <c r="E765" s="23">
        <v>0</v>
      </c>
      <c r="F765" s="21">
        <v>0</v>
      </c>
      <c r="G765" s="23" t="s">
        <v>1415</v>
      </c>
      <c r="H765" s="21" t="s">
        <v>1415</v>
      </c>
      <c r="I765" s="34">
        <v>1.6935314956559455E-4</v>
      </c>
      <c r="J765" s="11">
        <f t="shared" ref="J765:J770" si="24">I765</f>
        <v>1.6935314956559455E-4</v>
      </c>
      <c r="K765" s="6" t="s">
        <v>1420</v>
      </c>
      <c r="L765" s="20" t="s">
        <v>1655</v>
      </c>
      <c r="M765" s="7">
        <f>IF(ISBLANK($B765),_xlfn.XLOOKUP($A765,'2. TEUs &amp; Activities - EF'!$A$9:$A$190,'2. TEUs &amp; Activities - EF'!$J$9:$J$190),_xlfn.XLOOKUP($B765,'2. TEUs &amp; Activities - EF'!$B$9:$B$190,'2. TEUs &amp; Activities - EF'!$J$9:$J$190))*'3. Pollutant Emissions - EF'!$I765*IF(OR(ISBLANK($E765),$G765="Yes"),1,$E765)*IF($H765="Yes",1,(1-$F765))</f>
        <v>1.4835335901946083</v>
      </c>
      <c r="N765" s="5"/>
      <c r="O765" s="130">
        <f>IFERROR(IF(OR($C765="",$C765="No CAS"),INDEX('DEQ Pollutant List'!$D$7:$D$611,MATCH($D765,'DEQ Pollutant List'!$B$7:$B$611,0)),INDEX('DEQ Pollutant List'!$D$7:$D$611,MATCH($C765,'DEQ Pollutant List'!$A$7:$A$611,0))),"")</f>
        <v>140</v>
      </c>
    </row>
    <row r="766" spans="1:15" ht="15" x14ac:dyDescent="0.25">
      <c r="A766" s="5" t="s">
        <v>1330</v>
      </c>
      <c r="B766" s="7"/>
      <c r="C766" s="13" t="s">
        <v>98</v>
      </c>
      <c r="D766" s="19" t="str">
        <f>IFERROR(IF(C766="No CAS","",INDEX('DEQ Pollutant List'!$B$7:$B$611,MATCH('3. Pollutant Emissions - EF'!C766,'DEQ Pollutant List'!$A$7:$A$611,0))),"")</f>
        <v>Hydrogen fluoride</v>
      </c>
      <c r="E766" s="23">
        <v>0</v>
      </c>
      <c r="F766" s="21">
        <v>0</v>
      </c>
      <c r="G766" s="23" t="s">
        <v>1415</v>
      </c>
      <c r="H766" s="21" t="s">
        <v>1415</v>
      </c>
      <c r="I766" s="34">
        <v>6.2528079463485299E-3</v>
      </c>
      <c r="J766" s="11">
        <f t="shared" si="24"/>
        <v>6.2528079463485299E-3</v>
      </c>
      <c r="K766" s="6" t="s">
        <v>1420</v>
      </c>
      <c r="L766" s="20" t="s">
        <v>1655</v>
      </c>
      <c r="M766" s="7">
        <f>IF(ISBLANK($B766),_xlfn.XLOOKUP($A766,'2. TEUs &amp; Activities - EF'!$A$9:$A$190,'2. TEUs &amp; Activities - EF'!$J$9:$J$190),_xlfn.XLOOKUP($B766,'2. TEUs &amp; Activities - EF'!$B$9:$B$190,'2. TEUs &amp; Activities - EF'!$J$9:$J$190))*'3. Pollutant Emissions - EF'!$I766*IF(OR(ISBLANK($E766),$G766="Yes"),1,$E766)*IF($H766="Yes",1,(1-$F766))</f>
        <v>54.774597610013124</v>
      </c>
      <c r="N766" s="5">
        <f>IF(ISBLANK($B766),_xlfn.XLOOKUP($A766,'2. TEUs &amp; Activities - EF'!$A$9:$A$190,'2. TEUs &amp; Activities - EF'!$M$9:$M$190),_xlfn.XLOOKUP($B766,'2. TEUs &amp; Activities - EF'!$B$9:$B$190,'2. TEUs &amp; Activities - EF'!$M$9:$M$190))*'3. Pollutant Emissions - EF'!$J766*IF(OR(ISBLANK($E766),$G766="Yes"),1,$E766)*IF($H766="Yes",1,(1-$F766))</f>
        <v>0.15006739071236472</v>
      </c>
      <c r="O766" s="130">
        <f>IFERROR(IF(OR($C766="",$C766="No CAS"),INDEX('DEQ Pollutant List'!$D$7:$D$611,MATCH($D766,'DEQ Pollutant List'!$B$7:$B$611,0)),INDEX('DEQ Pollutant List'!$D$7:$D$611,MATCH($C766,'DEQ Pollutant List'!$A$7:$A$611,0))),"")</f>
        <v>240</v>
      </c>
    </row>
    <row r="767" spans="1:15" ht="15" x14ac:dyDescent="0.25">
      <c r="A767" s="5" t="s">
        <v>1330</v>
      </c>
      <c r="B767" s="7"/>
      <c r="C767" s="13" t="s">
        <v>886</v>
      </c>
      <c r="D767" s="19" t="str">
        <f>IFERROR(IF(C767="No CAS","",INDEX('DEQ Pollutant List'!$B$7:$B$611,MATCH('3. Pollutant Emissions - EF'!C767,'DEQ Pollutant List'!$A$7:$A$611,0))),"")</f>
        <v>Nitric acid</v>
      </c>
      <c r="E767" s="23">
        <v>0</v>
      </c>
      <c r="F767" s="21">
        <v>0</v>
      </c>
      <c r="G767" s="23" t="s">
        <v>1415</v>
      </c>
      <c r="H767" s="21" t="s">
        <v>1415</v>
      </c>
      <c r="I767" s="34">
        <v>2.5011231785394092E-2</v>
      </c>
      <c r="J767" s="11">
        <f t="shared" si="24"/>
        <v>2.5011231785394092E-2</v>
      </c>
      <c r="K767" s="6" t="s">
        <v>1420</v>
      </c>
      <c r="L767" s="20" t="s">
        <v>1655</v>
      </c>
      <c r="M767" s="7">
        <f>IF(ISBLANK($B767),_xlfn.XLOOKUP($A767,'2. TEUs &amp; Activities - EF'!$A$9:$A$190,'2. TEUs &amp; Activities - EF'!$J$9:$J$190),_xlfn.XLOOKUP($B767,'2. TEUs &amp; Activities - EF'!$B$9:$B$190,'2. TEUs &amp; Activities - EF'!$J$9:$J$190))*'3. Pollutant Emissions - EF'!$I767*IF(OR(ISBLANK($E767),$G767="Yes"),1,$E767)*IF($H767="Yes",1,(1-$F767))</f>
        <v>219.09839044005224</v>
      </c>
      <c r="N767" s="5">
        <f>IF(ISBLANK($B767),_xlfn.XLOOKUP($A767,'2. TEUs &amp; Activities - EF'!$A$9:$A$190,'2. TEUs &amp; Activities - EF'!$M$9:$M$190),_xlfn.XLOOKUP($B767,'2. TEUs &amp; Activities - EF'!$B$9:$B$190,'2. TEUs &amp; Activities - EF'!$M$9:$M$190))*'3. Pollutant Emissions - EF'!$J767*IF(OR(ISBLANK($E767),$G767="Yes"),1,$E767)*IF($H767="Yes",1,(1-$F767))</f>
        <v>0.6002695628494582</v>
      </c>
      <c r="O767" s="130">
        <f>IFERROR(IF(OR($C767="",$C767="No CAS"),INDEX('DEQ Pollutant List'!$D$7:$D$611,MATCH($D767,'DEQ Pollutant List'!$B$7:$B$611,0)),INDEX('DEQ Pollutant List'!$D$7:$D$611,MATCH($C767,'DEQ Pollutant List'!$A$7:$A$611,0))),"")</f>
        <v>377</v>
      </c>
    </row>
    <row r="768" spans="1:15" ht="15" x14ac:dyDescent="0.25">
      <c r="A768" s="5" t="s">
        <v>1330</v>
      </c>
      <c r="B768" s="7"/>
      <c r="C768" s="13" t="s">
        <v>1066</v>
      </c>
      <c r="D768" s="19" t="str">
        <f>IFERROR(IF(C768="No CAS","",INDEX('DEQ Pollutant List'!$B$7:$B$611,MATCH('3. Pollutant Emissions - EF'!C768,'DEQ Pollutant List'!$A$7:$A$611,0))),"")</f>
        <v>Phosphoric acid</v>
      </c>
      <c r="E768" s="23">
        <v>0</v>
      </c>
      <c r="F768" s="21">
        <v>0</v>
      </c>
      <c r="G768" s="23" t="s">
        <v>1415</v>
      </c>
      <c r="H768" s="21" t="s">
        <v>1415</v>
      </c>
      <c r="I768" s="34">
        <v>5.4844730428866293E-4</v>
      </c>
      <c r="J768" s="11">
        <f t="shared" si="24"/>
        <v>5.4844730428866293E-4</v>
      </c>
      <c r="K768" s="6" t="s">
        <v>1420</v>
      </c>
      <c r="L768" s="20" t="s">
        <v>1655</v>
      </c>
      <c r="M768" s="7">
        <f>IF(ISBLANK($B768),_xlfn.XLOOKUP($A768,'2. TEUs &amp; Activities - EF'!$A$9:$A$190,'2. TEUs &amp; Activities - EF'!$J$9:$J$190),_xlfn.XLOOKUP($B768,'2. TEUs &amp; Activities - EF'!$B$9:$B$190,'2. TEUs &amp; Activities - EF'!$J$9:$J$190))*'3. Pollutant Emissions - EF'!$I768*IF(OR(ISBLANK($E768),$G768="Yes"),1,$E768)*IF($H768="Yes",1,(1-$F768))</f>
        <v>4.8043983855686871</v>
      </c>
      <c r="N768" s="5">
        <f>IF(ISBLANK($B768),_xlfn.XLOOKUP($A768,'2. TEUs &amp; Activities - EF'!$A$9:$A$190,'2. TEUs &amp; Activities - EF'!$M$9:$M$190),_xlfn.XLOOKUP($B768,'2. TEUs &amp; Activities - EF'!$B$9:$B$190,'2. TEUs &amp; Activities - EF'!$M$9:$M$190))*'3. Pollutant Emissions - EF'!$J768*IF(OR(ISBLANK($E768),$G768="Yes"),1,$E768)*IF($H768="Yes",1,(1-$F768))</f>
        <v>1.316273530292791E-2</v>
      </c>
      <c r="O768" s="130">
        <f>IFERROR(IF(OR($C768="",$C768="No CAS"),INDEX('DEQ Pollutant List'!$D$7:$D$611,MATCH($D768,'DEQ Pollutant List'!$B$7:$B$611,0)),INDEX('DEQ Pollutant List'!$D$7:$D$611,MATCH($C768,'DEQ Pollutant List'!$A$7:$A$611,0))),"")</f>
        <v>507</v>
      </c>
    </row>
    <row r="769" spans="1:15" ht="15" x14ac:dyDescent="0.25">
      <c r="A769" s="5" t="s">
        <v>1330</v>
      </c>
      <c r="B769" s="7"/>
      <c r="C769" s="13" t="s">
        <v>1143</v>
      </c>
      <c r="D769" s="19" t="str">
        <f>IFERROR(IF(C769="No CAS","",INDEX('DEQ Pollutant List'!$B$7:$B$611,MATCH('3. Pollutant Emissions - EF'!C769,'DEQ Pollutant List'!$A$7:$A$611,0))),"")</f>
        <v>Sodium hydroxide</v>
      </c>
      <c r="E769" s="23">
        <v>0</v>
      </c>
      <c r="F769" s="21">
        <v>0</v>
      </c>
      <c r="G769" s="23" t="s">
        <v>1415</v>
      </c>
      <c r="H769" s="21" t="s">
        <v>1415</v>
      </c>
      <c r="I769" s="34">
        <v>0</v>
      </c>
      <c r="J769" s="11">
        <f t="shared" si="24"/>
        <v>0</v>
      </c>
      <c r="K769" s="6" t="s">
        <v>1420</v>
      </c>
      <c r="L769" s="20" t="s">
        <v>1655</v>
      </c>
      <c r="M769" s="7">
        <f>IF(ISBLANK($B769),_xlfn.XLOOKUP($A769,'2. TEUs &amp; Activities - EF'!$A$9:$A$190,'2. TEUs &amp; Activities - EF'!$J$9:$J$190),_xlfn.XLOOKUP($B769,'2. TEUs &amp; Activities - EF'!$B$9:$B$190,'2. TEUs &amp; Activities - EF'!$J$9:$J$190))*'3. Pollutant Emissions - EF'!$I769*IF(OR(ISBLANK($E769),$G769="Yes"),1,$E769)*IF($H769="Yes",1,(1-$F769))</f>
        <v>0</v>
      </c>
      <c r="N769" s="5">
        <f>IF(ISBLANK($B769),_xlfn.XLOOKUP($A769,'2. TEUs &amp; Activities - EF'!$A$9:$A$190,'2. TEUs &amp; Activities - EF'!$M$9:$M$190),_xlfn.XLOOKUP($B769,'2. TEUs &amp; Activities - EF'!$B$9:$B$190,'2. TEUs &amp; Activities - EF'!$M$9:$M$190))*'3. Pollutant Emissions - EF'!$J769*IF(OR(ISBLANK($E769),$G769="Yes"),1,$E769)*IF($H769="Yes",1,(1-$F769))</f>
        <v>0</v>
      </c>
      <c r="O769" s="130">
        <f>IFERROR(IF(OR($C769="",$C769="No CAS"),INDEX('DEQ Pollutant List'!$D$7:$D$611,MATCH($D769,'DEQ Pollutant List'!$B$7:$B$611,0)),INDEX('DEQ Pollutant List'!$D$7:$D$611,MATCH($C769,'DEQ Pollutant List'!$A$7:$A$611,0))),"")</f>
        <v>582</v>
      </c>
    </row>
    <row r="770" spans="1:15" ht="15" x14ac:dyDescent="0.25">
      <c r="A770" s="5" t="s">
        <v>1330</v>
      </c>
      <c r="B770" s="7"/>
      <c r="C770" s="13" t="s">
        <v>71</v>
      </c>
      <c r="D770" s="19" t="str">
        <f>IFERROR(IF(C770="No CAS","",INDEX('DEQ Pollutant List'!$B$7:$B$611,MATCH('3. Pollutant Emissions - EF'!C770,'DEQ Pollutant List'!$A$7:$A$611,0))),"")</f>
        <v>Zinc and compounds</v>
      </c>
      <c r="E770" s="23">
        <v>0</v>
      </c>
      <c r="F770" s="21">
        <v>0</v>
      </c>
      <c r="G770" s="23" t="s">
        <v>1415</v>
      </c>
      <c r="H770" s="21" t="s">
        <v>1415</v>
      </c>
      <c r="I770" s="34">
        <v>0</v>
      </c>
      <c r="J770" s="11">
        <f t="shared" si="24"/>
        <v>0</v>
      </c>
      <c r="K770" s="6" t="s">
        <v>1420</v>
      </c>
      <c r="L770" s="20" t="s">
        <v>1655</v>
      </c>
      <c r="M770" s="7">
        <f>IF(ISBLANK($B770),_xlfn.XLOOKUP($A770,'2. TEUs &amp; Activities - EF'!$A$9:$A$190,'2. TEUs &amp; Activities - EF'!$J$9:$J$190),_xlfn.XLOOKUP($B770,'2. TEUs &amp; Activities - EF'!$B$9:$B$190,'2. TEUs &amp; Activities - EF'!$J$9:$J$190))*'3. Pollutant Emissions - EF'!$I770*IF(OR(ISBLANK($E770),$G770="Yes"),1,$E770)*IF($H770="Yes",1,(1-$F770))</f>
        <v>0</v>
      </c>
      <c r="N770" s="5">
        <f>IF(ISBLANK($B770),_xlfn.XLOOKUP($A770,'2. TEUs &amp; Activities - EF'!$A$9:$A$190,'2. TEUs &amp; Activities - EF'!$M$9:$M$190),_xlfn.XLOOKUP($B770,'2. TEUs &amp; Activities - EF'!$B$9:$B$190,'2. TEUs &amp; Activities - EF'!$M$9:$M$190))*'3. Pollutant Emissions - EF'!$J770*IF(OR(ISBLANK($E770),$G770="Yes"),1,$E770)*IF($H770="Yes",1,(1-$F770))</f>
        <v>0</v>
      </c>
      <c r="O770" s="130">
        <f>IFERROR(IF(OR($C770="",$C770="No CAS"),INDEX('DEQ Pollutant List'!$D$7:$D$611,MATCH($D770,'DEQ Pollutant List'!$B$7:$B$611,0)),INDEX('DEQ Pollutant List'!$D$7:$D$611,MATCH($C770,'DEQ Pollutant List'!$A$7:$A$611,0))),"")</f>
        <v>632</v>
      </c>
    </row>
    <row r="771" spans="1:15" ht="15" x14ac:dyDescent="0.25">
      <c r="A771" s="5"/>
      <c r="B771" s="7"/>
      <c r="C771" s="13"/>
      <c r="D771" s="19" t="s">
        <v>1536</v>
      </c>
      <c r="E771" s="23"/>
      <c r="F771" s="21"/>
      <c r="G771" s="23"/>
      <c r="H771" s="21"/>
      <c r="I771" s="34"/>
      <c r="J771" s="11"/>
      <c r="K771" s="6"/>
      <c r="L771" s="20"/>
      <c r="M771" s="7"/>
      <c r="N771" s="5"/>
      <c r="O771" s="130" t="str">
        <f>IFERROR(IF(OR($C771="",$C771="No CAS"),INDEX('DEQ Pollutant List'!$D$7:$D$611,MATCH($D771,'DEQ Pollutant List'!$B$7:$B$611,0)),INDEX('DEQ Pollutant List'!$D$7:$D$611,MATCH($C771,'DEQ Pollutant List'!$A$7:$A$611,0))),"")</f>
        <v/>
      </c>
    </row>
    <row r="772" spans="1:15" ht="15" x14ac:dyDescent="0.25">
      <c r="A772" s="5" t="s">
        <v>1330</v>
      </c>
      <c r="B772" s="7"/>
      <c r="C772" s="13">
        <v>239</v>
      </c>
      <c r="D772" s="19" t="str">
        <f>IFERROR(IF(C772="No CAS","",INDEX('DEQ Pollutant List'!$B$7:$B$611,MATCH('3. Pollutant Emissions - EF'!C772,'DEQ Pollutant List'!$A$7:$A$611,0))),"")</f>
        <v>Fluorides</v>
      </c>
      <c r="E772" s="23">
        <v>0</v>
      </c>
      <c r="F772" s="21">
        <v>0</v>
      </c>
      <c r="G772" s="23" t="s">
        <v>1415</v>
      </c>
      <c r="H772" s="21" t="s">
        <v>1415</v>
      </c>
      <c r="I772" s="34">
        <v>6.8012552506371924E-3</v>
      </c>
      <c r="J772" s="11">
        <f t="shared" ref="J772" si="25">I772</f>
        <v>6.8012552506371924E-3</v>
      </c>
      <c r="K772" s="6"/>
      <c r="L772" s="20" t="s">
        <v>1655</v>
      </c>
      <c r="M772" s="7">
        <f>IF(ISBLANK($B772),_xlfn.XLOOKUP($A772,'2. TEUs &amp; Activities - EF'!$A$9:$A$190,'2. TEUs &amp; Activities - EF'!$J$9:$J$190),_xlfn.XLOOKUP($B772,'2. TEUs &amp; Activities - EF'!$B$9:$B$190,'2. TEUs &amp; Activities - EF'!$J$9:$J$190))*'3. Pollutant Emissions - EF'!$I772*IF(OR(ISBLANK($E772),$G772="Yes"),1,$E772)*IF($H772="Yes",1,(1-$F772))</f>
        <v>59.578995995581806</v>
      </c>
      <c r="N772" s="5">
        <f>IF(ISBLANK($B772),_xlfn.XLOOKUP($A772,'2. TEUs &amp; Activities - EF'!$A$9:$A$190,'2. TEUs &amp; Activities - EF'!$M$9:$M$190),_xlfn.XLOOKUP($B772,'2. TEUs &amp; Activities - EF'!$B$9:$B$190,'2. TEUs &amp; Activities - EF'!$M$9:$M$190))*'3. Pollutant Emissions - EF'!$J772*IF(OR(ISBLANK($E772),$G772="Yes"),1,$E772)*IF($H772="Yes",1,(1-$F772))</f>
        <v>0.16323012601529263</v>
      </c>
      <c r="O772" s="130">
        <f>IFERROR(IF(OR($C772="",$C772="No CAS"),INDEX('DEQ Pollutant List'!$D$7:$D$611,MATCH($D772,'DEQ Pollutant List'!$B$7:$B$611,0)),INDEX('DEQ Pollutant List'!$D$7:$D$611,MATCH($C772,'DEQ Pollutant List'!$A$7:$A$611,0))),"")</f>
        <v>239</v>
      </c>
    </row>
    <row r="773" spans="1:15" ht="15" x14ac:dyDescent="0.25">
      <c r="A773" s="5"/>
      <c r="B773" s="7"/>
      <c r="C773" s="13"/>
      <c r="D773" s="19"/>
      <c r="E773" s="23"/>
      <c r="F773" s="21"/>
      <c r="G773" s="23"/>
      <c r="H773" s="21"/>
      <c r="I773" s="34"/>
      <c r="J773" s="11"/>
      <c r="K773" s="6"/>
      <c r="L773" s="20"/>
      <c r="M773" s="7"/>
      <c r="N773" s="5"/>
      <c r="O773" s="130" t="str">
        <f>IFERROR(IF(OR($C773="",$C773="No CAS"),INDEX('DEQ Pollutant List'!$D$7:$D$611,MATCH($D773,'DEQ Pollutant List'!$B$7:$B$611,0)),INDEX('DEQ Pollutant List'!$D$7:$D$611,MATCH($C773,'DEQ Pollutant List'!$A$7:$A$611,0))),"")</f>
        <v/>
      </c>
    </row>
    <row r="774" spans="1:15" ht="15" x14ac:dyDescent="0.25">
      <c r="A774" s="5" t="s">
        <v>1331</v>
      </c>
      <c r="B774" s="7"/>
      <c r="C774" s="13" t="s">
        <v>97</v>
      </c>
      <c r="D774" s="19" t="str">
        <f>IFERROR(IF(C774="No CAS","",INDEX('DEQ Pollutant List'!$B$7:$B$611,MATCH('3. Pollutant Emissions - EF'!C774,'DEQ Pollutant List'!$A$7:$A$611,0))),"")</f>
        <v>Hydrochloric acid</v>
      </c>
      <c r="E774" s="23">
        <v>0</v>
      </c>
      <c r="F774" s="21">
        <v>0</v>
      </c>
      <c r="G774" s="23" t="s">
        <v>1415</v>
      </c>
      <c r="H774" s="21" t="s">
        <v>1415</v>
      </c>
      <c r="I774" s="34">
        <v>4.1380399277570236E-3</v>
      </c>
      <c r="J774" s="11">
        <f t="shared" ref="J774:J787" si="26">I774</f>
        <v>4.1380399277570236E-3</v>
      </c>
      <c r="K774" s="6" t="s">
        <v>1420</v>
      </c>
      <c r="L774" s="20" t="s">
        <v>1655</v>
      </c>
      <c r="M774" s="7">
        <f>IF(ISBLANK($B774),_xlfn.XLOOKUP($A774,'2. TEUs &amp; Activities - EF'!$A$9:$A$190,'2. TEUs &amp; Activities - EF'!$J$9:$J$190),_xlfn.XLOOKUP($B774,'2. TEUs &amp; Activities - EF'!$B$9:$B$190,'2. TEUs &amp; Activities - EF'!$J$9:$J$190))*'3. Pollutant Emissions - EF'!$I774*IF(OR(ISBLANK($E774),$G774="Yes"),1,$E774)*IF($H774="Yes",1,(1-$F774))</f>
        <v>36.249229767151526</v>
      </c>
      <c r="N774" s="5">
        <f>IF(ISBLANK($B774),_xlfn.XLOOKUP($A774,'2. TEUs &amp; Activities - EF'!$A$9:$A$190,'2. TEUs &amp; Activities - EF'!$M$9:$M$190),_xlfn.XLOOKUP($B774,'2. TEUs &amp; Activities - EF'!$B$9:$B$190,'2. TEUs &amp; Activities - EF'!$M$9:$M$190))*'3. Pollutant Emissions - EF'!$J774*IF(OR(ISBLANK($E774),$G774="Yes"),1,$E774)*IF($H774="Yes",1,(1-$F774))</f>
        <v>9.9312958266168566E-2</v>
      </c>
      <c r="O774" s="130">
        <f>IFERROR(IF(OR($C774="",$C774="No CAS"),INDEX('DEQ Pollutant List'!$D$7:$D$611,MATCH($D774,'DEQ Pollutant List'!$B$7:$B$611,0)),INDEX('DEQ Pollutant List'!$D$7:$D$611,MATCH($C774,'DEQ Pollutant List'!$A$7:$A$611,0))),"")</f>
        <v>292</v>
      </c>
    </row>
    <row r="775" spans="1:15" ht="15" x14ac:dyDescent="0.25">
      <c r="A775" s="5" t="s">
        <v>1331</v>
      </c>
      <c r="B775" s="7"/>
      <c r="C775" s="13" t="s">
        <v>886</v>
      </c>
      <c r="D775" s="19" t="str">
        <f>IFERROR(IF(C775="No CAS","",INDEX('DEQ Pollutant List'!$B$7:$B$611,MATCH('3. Pollutant Emissions - EF'!C775,'DEQ Pollutant List'!$A$7:$A$611,0))),"")</f>
        <v>Nitric acid</v>
      </c>
      <c r="E775" s="23">
        <v>0</v>
      </c>
      <c r="F775" s="21">
        <v>0</v>
      </c>
      <c r="G775" s="23" t="s">
        <v>1415</v>
      </c>
      <c r="H775" s="21" t="s">
        <v>1415</v>
      </c>
      <c r="I775" s="34">
        <v>1.1473372732413997E-2</v>
      </c>
      <c r="J775" s="11">
        <f t="shared" si="26"/>
        <v>1.1473372732413997E-2</v>
      </c>
      <c r="K775" s="6" t="s">
        <v>1420</v>
      </c>
      <c r="L775" s="20" t="s">
        <v>1655</v>
      </c>
      <c r="M775" s="7">
        <f>IF(ISBLANK($B775),_xlfn.XLOOKUP($A775,'2. TEUs &amp; Activities - EF'!$A$9:$A$190,'2. TEUs &amp; Activities - EF'!$J$9:$J$190),_xlfn.XLOOKUP($B775,'2. TEUs &amp; Activities - EF'!$B$9:$B$190,'2. TEUs &amp; Activities - EF'!$J$9:$J$190))*'3. Pollutant Emissions - EF'!$I775*IF(OR(ISBLANK($E775),$G775="Yes"),1,$E775)*IF($H775="Yes",1,(1-$F775))</f>
        <v>100.50674513594662</v>
      </c>
      <c r="N775" s="5">
        <f>IF(ISBLANK($B775),_xlfn.XLOOKUP($A775,'2. TEUs &amp; Activities - EF'!$A$9:$A$190,'2. TEUs &amp; Activities - EF'!$M$9:$M$190),_xlfn.XLOOKUP($B775,'2. TEUs &amp; Activities - EF'!$B$9:$B$190,'2. TEUs &amp; Activities - EF'!$M$9:$M$190))*'3. Pollutant Emissions - EF'!$J775*IF(OR(ISBLANK($E775),$G775="Yes"),1,$E775)*IF($H775="Yes",1,(1-$F775))</f>
        <v>0.27536094557793589</v>
      </c>
      <c r="O775" s="130">
        <f>IFERROR(IF(OR($C775="",$C775="No CAS"),INDEX('DEQ Pollutant List'!$D$7:$D$611,MATCH($D775,'DEQ Pollutant List'!$B$7:$B$611,0)),INDEX('DEQ Pollutant List'!$D$7:$D$611,MATCH($C775,'DEQ Pollutant List'!$A$7:$A$611,0))),"")</f>
        <v>377</v>
      </c>
    </row>
    <row r="776" spans="1:15" ht="15" x14ac:dyDescent="0.25">
      <c r="A776" s="5" t="s">
        <v>1331</v>
      </c>
      <c r="B776" s="7"/>
      <c r="C776" s="13" t="s">
        <v>1158</v>
      </c>
      <c r="D776" s="19" t="str">
        <f>IFERROR(IF(C776="No CAS","",INDEX('DEQ Pollutant List'!$B$7:$B$611,MATCH('3. Pollutant Emissions - EF'!C776,'DEQ Pollutant List'!$A$7:$A$611,0))),"")</f>
        <v>Sulfuric acid</v>
      </c>
      <c r="E776" s="23">
        <v>0</v>
      </c>
      <c r="F776" s="21">
        <v>0</v>
      </c>
      <c r="G776" s="23" t="s">
        <v>1415</v>
      </c>
      <c r="H776" s="21" t="s">
        <v>1415</v>
      </c>
      <c r="I776" s="34">
        <v>2.5141376298665119E-3</v>
      </c>
      <c r="J776" s="11">
        <f t="shared" si="26"/>
        <v>2.5141376298665119E-3</v>
      </c>
      <c r="K776" s="6" t="s">
        <v>1420</v>
      </c>
      <c r="L776" s="20" t="s">
        <v>1655</v>
      </c>
      <c r="M776" s="7">
        <f>IF(ISBLANK($B776),_xlfn.XLOOKUP($A776,'2. TEUs &amp; Activities - EF'!$A$9:$A$190,'2. TEUs &amp; Activities - EF'!$J$9:$J$190),_xlfn.XLOOKUP($B776,'2. TEUs &amp; Activities - EF'!$B$9:$B$190,'2. TEUs &amp; Activities - EF'!$J$9:$J$190))*'3. Pollutant Emissions - EF'!$I776*IF(OR(ISBLANK($E776),$G776="Yes"),1,$E776)*IF($H776="Yes",1,(1-$F776))</f>
        <v>22.023845637630643</v>
      </c>
      <c r="N776" s="5">
        <f>IF(ISBLANK($B776),_xlfn.XLOOKUP($A776,'2. TEUs &amp; Activities - EF'!$A$9:$A$190,'2. TEUs &amp; Activities - EF'!$M$9:$M$190),_xlfn.XLOOKUP($B776,'2. TEUs &amp; Activities - EF'!$B$9:$B$190,'2. TEUs &amp; Activities - EF'!$M$9:$M$190))*'3. Pollutant Emissions - EF'!$J776*IF(OR(ISBLANK($E776),$G776="Yes"),1,$E776)*IF($H776="Yes",1,(1-$F776))</f>
        <v>6.0339303116796285E-2</v>
      </c>
      <c r="O776" s="130">
        <f>IFERROR(IF(OR($C776="",$C776="No CAS"),INDEX('DEQ Pollutant List'!$D$7:$D$611,MATCH($D776,'DEQ Pollutant List'!$B$7:$B$611,0)),INDEX('DEQ Pollutant List'!$D$7:$D$611,MATCH($C776,'DEQ Pollutant List'!$A$7:$A$611,0))),"")</f>
        <v>591</v>
      </c>
    </row>
    <row r="777" spans="1:15" ht="15" x14ac:dyDescent="0.25">
      <c r="A777" s="5" t="s">
        <v>1331</v>
      </c>
      <c r="B777" s="7"/>
      <c r="C777" s="13" t="s">
        <v>562</v>
      </c>
      <c r="D777" s="19" t="str">
        <f>IFERROR(IF(C777="No CAS","",INDEX('DEQ Pollutant List'!$B$7:$B$611,MATCH('3. Pollutant Emissions - EF'!C777,'DEQ Pollutant List'!$A$7:$A$611,0))),"")</f>
        <v>Chromic(VI) acid, including chromic acid aerosol mist and chromium trioxide</v>
      </c>
      <c r="E777" s="23">
        <v>0</v>
      </c>
      <c r="F777" s="21">
        <v>0</v>
      </c>
      <c r="G777" s="23" t="s">
        <v>1415</v>
      </c>
      <c r="H777" s="21" t="s">
        <v>1415</v>
      </c>
      <c r="I777" s="34">
        <v>3.3899999999999997E-5</v>
      </c>
      <c r="J777" s="11">
        <f t="shared" si="26"/>
        <v>3.3899999999999997E-5</v>
      </c>
      <c r="K777" s="6" t="s">
        <v>1420</v>
      </c>
      <c r="L777" s="20" t="s">
        <v>1655</v>
      </c>
      <c r="M777" s="7">
        <f>IF(ISBLANK($B777),_xlfn.XLOOKUP($A777,'2. TEUs &amp; Activities - EF'!$A$9:$A$190,'2. TEUs &amp; Activities - EF'!$J$9:$J$190),_xlfn.XLOOKUP($B777,'2. TEUs &amp; Activities - EF'!$B$9:$B$190,'2. TEUs &amp; Activities - EF'!$J$9:$J$190))*'3. Pollutant Emissions - EF'!$I777*IF(OR(ISBLANK($E777),$G777="Yes"),1,$E777)*IF($H777="Yes",1,(1-$F777))</f>
        <v>0.29696399999999995</v>
      </c>
      <c r="N777" s="5">
        <f>IF(ISBLANK($B777),_xlfn.XLOOKUP($A777,'2. TEUs &amp; Activities - EF'!$A$9:$A$190,'2. TEUs &amp; Activities - EF'!$M$9:$M$190),_xlfn.XLOOKUP($B777,'2. TEUs &amp; Activities - EF'!$B$9:$B$190,'2. TEUs &amp; Activities - EF'!$M$9:$M$190))*'3. Pollutant Emissions - EF'!$J777*IF(OR(ISBLANK($E777),$G777="Yes"),1,$E777)*IF($H777="Yes",1,(1-$F777))</f>
        <v>8.1359999999999994E-4</v>
      </c>
      <c r="O777" s="130">
        <f>IFERROR(IF(OR($C777="",$C777="No CAS"),INDEX('DEQ Pollutant List'!$D$7:$D$611,MATCH($D777,'DEQ Pollutant List'!$B$7:$B$611,0)),INDEX('DEQ Pollutant List'!$D$7:$D$611,MATCH($C777,'DEQ Pollutant List'!$A$7:$A$611,0))),"")</f>
        <v>140</v>
      </c>
    </row>
    <row r="778" spans="1:15" ht="15" x14ac:dyDescent="0.25">
      <c r="A778" s="5" t="s">
        <v>1331</v>
      </c>
      <c r="B778" s="7"/>
      <c r="C778" s="13" t="s">
        <v>92</v>
      </c>
      <c r="D778" s="19" t="str">
        <f>IFERROR(IF(C778="No CAS","",INDEX('DEQ Pollutant List'!$B$7:$B$611,MATCH('3. Pollutant Emissions - EF'!C778,'DEQ Pollutant List'!$A$7:$A$611,0))),"")</f>
        <v>Cyanide, hydrogen</v>
      </c>
      <c r="E778" s="23">
        <v>0</v>
      </c>
      <c r="F778" s="21">
        <v>0</v>
      </c>
      <c r="G778" s="23" t="s">
        <v>1415</v>
      </c>
      <c r="H778" s="21" t="s">
        <v>1415</v>
      </c>
      <c r="I778" s="34">
        <v>4.8521724864313374E-5</v>
      </c>
      <c r="J778" s="11">
        <f t="shared" si="26"/>
        <v>4.8521724864313374E-5</v>
      </c>
      <c r="K778" s="6" t="s">
        <v>1420</v>
      </c>
      <c r="L778" s="20" t="s">
        <v>1655</v>
      </c>
      <c r="M778" s="7">
        <f>IF(ISBLANK($B778),_xlfn.XLOOKUP($A778,'2. TEUs &amp; Activities - EF'!$A$9:$A$190,'2. TEUs &amp; Activities - EF'!$J$9:$J$190),_xlfn.XLOOKUP($B778,'2. TEUs &amp; Activities - EF'!$B$9:$B$190,'2. TEUs &amp; Activities - EF'!$J$9:$J$190))*'3. Pollutant Emissions - EF'!$I778*IF(OR(ISBLANK($E778),$G778="Yes"),1,$E778)*IF($H778="Yes",1,(1-$F778))</f>
        <v>0.42505030981138514</v>
      </c>
      <c r="N778" s="5">
        <f>IF(ISBLANK($B778),_xlfn.XLOOKUP($A778,'2. TEUs &amp; Activities - EF'!$A$9:$A$190,'2. TEUs &amp; Activities - EF'!$M$9:$M$190),_xlfn.XLOOKUP($B778,'2. TEUs &amp; Activities - EF'!$B$9:$B$190,'2. TEUs &amp; Activities - EF'!$M$9:$M$190))*'3. Pollutant Emissions - EF'!$J778*IF(OR(ISBLANK($E778),$G778="Yes"),1,$E778)*IF($H778="Yes",1,(1-$F778))</f>
        <v>1.164521396743521E-3</v>
      </c>
      <c r="O778" s="130">
        <f>IFERROR(IF(OR($C778="",$C778="No CAS"),INDEX('DEQ Pollutant List'!$D$7:$D$611,MATCH($D778,'DEQ Pollutant List'!$B$7:$B$611,0)),INDEX('DEQ Pollutant List'!$D$7:$D$611,MATCH($C778,'DEQ Pollutant List'!$A$7:$A$611,0))),"")</f>
        <v>161</v>
      </c>
    </row>
    <row r="779" spans="1:15" ht="15" x14ac:dyDescent="0.25">
      <c r="A779" s="5" t="s">
        <v>1331</v>
      </c>
      <c r="B779" s="7"/>
      <c r="C779" s="13" t="s">
        <v>56</v>
      </c>
      <c r="D779" s="19" t="str">
        <f>IFERROR(IF(C779="No CAS","",INDEX('DEQ Pollutant List'!$B$7:$B$611,MATCH('3. Pollutant Emissions - EF'!C779,'DEQ Pollutant List'!$A$7:$A$611,0))),"")</f>
        <v>Cadmium and compounds</v>
      </c>
      <c r="E779" s="23">
        <v>0</v>
      </c>
      <c r="F779" s="21">
        <v>0</v>
      </c>
      <c r="G779" s="23" t="s">
        <v>1415</v>
      </c>
      <c r="H779" s="21" t="s">
        <v>1415</v>
      </c>
      <c r="I779" s="34">
        <v>1.1485284502083146E-4</v>
      </c>
      <c r="J779" s="11">
        <f t="shared" si="26"/>
        <v>1.1485284502083146E-4</v>
      </c>
      <c r="K779" s="6" t="s">
        <v>1420</v>
      </c>
      <c r="L779" s="20" t="s">
        <v>1655</v>
      </c>
      <c r="M779" s="7">
        <f>IF(ISBLANK($B779),_xlfn.XLOOKUP($A779,'2. TEUs &amp; Activities - EF'!$A$9:$A$190,'2. TEUs &amp; Activities - EF'!$J$9:$J$190),_xlfn.XLOOKUP($B779,'2. TEUs &amp; Activities - EF'!$B$9:$B$190,'2. TEUs &amp; Activities - EF'!$J$9:$J$190))*'3. Pollutant Emissions - EF'!$I779*IF(OR(ISBLANK($E779),$G779="Yes"),1,$E779)*IF($H779="Yes",1,(1-$F779))</f>
        <v>1.0061109223824836</v>
      </c>
      <c r="N779" s="5">
        <f>IF(ISBLANK($B779),_xlfn.XLOOKUP($A779,'2. TEUs &amp; Activities - EF'!$A$9:$A$190,'2. TEUs &amp; Activities - EF'!$M$9:$M$190),_xlfn.XLOOKUP($B779,'2. TEUs &amp; Activities - EF'!$B$9:$B$190,'2. TEUs &amp; Activities - EF'!$M$9:$M$190))*'3. Pollutant Emissions - EF'!$J779*IF(OR(ISBLANK($E779),$G779="Yes"),1,$E779)*IF($H779="Yes",1,(1-$F779))</f>
        <v>2.7564682804999551E-3</v>
      </c>
      <c r="O779" s="130">
        <f>IFERROR(IF(OR($C779="",$C779="No CAS"),INDEX('DEQ Pollutant List'!$D$7:$D$611,MATCH($D779,'DEQ Pollutant List'!$B$7:$B$611,0)),INDEX('DEQ Pollutant List'!$D$7:$D$611,MATCH($C779,'DEQ Pollutant List'!$A$7:$A$611,0))),"")</f>
        <v>83</v>
      </c>
    </row>
    <row r="780" spans="1:15" ht="15" x14ac:dyDescent="0.25">
      <c r="A780" s="5" t="s">
        <v>1331</v>
      </c>
      <c r="B780" s="7"/>
      <c r="C780" s="13" t="s">
        <v>1143</v>
      </c>
      <c r="D780" s="19" t="str">
        <f>IFERROR(IF(C780="No CAS","",INDEX('DEQ Pollutant List'!$B$7:$B$611,MATCH('3. Pollutant Emissions - EF'!C780,'DEQ Pollutant List'!$A$7:$A$611,0))),"")</f>
        <v>Sodium hydroxide</v>
      </c>
      <c r="E780" s="23">
        <v>0</v>
      </c>
      <c r="F780" s="21">
        <v>0</v>
      </c>
      <c r="G780" s="23" t="s">
        <v>1415</v>
      </c>
      <c r="H780" s="21" t="s">
        <v>1415</v>
      </c>
      <c r="I780" s="34">
        <v>1.2401496585216094E-2</v>
      </c>
      <c r="J780" s="11">
        <f t="shared" si="26"/>
        <v>1.2401496585216094E-2</v>
      </c>
      <c r="K780" s="6" t="s">
        <v>1420</v>
      </c>
      <c r="L780" s="20" t="s">
        <v>1655</v>
      </c>
      <c r="M780" s="7">
        <f>IF(ISBLANK($B780),_xlfn.XLOOKUP($A780,'2. TEUs &amp; Activities - EF'!$A$9:$A$190,'2. TEUs &amp; Activities - EF'!$J$9:$J$190),_xlfn.XLOOKUP($B780,'2. TEUs &amp; Activities - EF'!$B$9:$B$190,'2. TEUs &amp; Activities - EF'!$J$9:$J$190))*'3. Pollutant Emissions - EF'!$I780*IF(OR(ISBLANK($E780),$G780="Yes"),1,$E780)*IF($H780="Yes",1,(1-$F780))</f>
        <v>108.63711008649298</v>
      </c>
      <c r="N780" s="5">
        <f>IF(ISBLANK($B780),_xlfn.XLOOKUP($A780,'2. TEUs &amp; Activities - EF'!$A$9:$A$190,'2. TEUs &amp; Activities - EF'!$M$9:$M$190),_xlfn.XLOOKUP($B780,'2. TEUs &amp; Activities - EF'!$B$9:$B$190,'2. TEUs &amp; Activities - EF'!$M$9:$M$190))*'3. Pollutant Emissions - EF'!$J780*IF(OR(ISBLANK($E780),$G780="Yes"),1,$E780)*IF($H780="Yes",1,(1-$F780))</f>
        <v>0.29763591804518624</v>
      </c>
      <c r="O780" s="130">
        <f>IFERROR(IF(OR($C780="",$C780="No CAS"),INDEX('DEQ Pollutant List'!$D$7:$D$611,MATCH($D780,'DEQ Pollutant List'!$B$7:$B$611,0)),INDEX('DEQ Pollutant List'!$D$7:$D$611,MATCH($C780,'DEQ Pollutant List'!$A$7:$A$611,0))),"")</f>
        <v>582</v>
      </c>
    </row>
    <row r="781" spans="1:15" ht="15" x14ac:dyDescent="0.25">
      <c r="A781" s="5" t="s">
        <v>1331</v>
      </c>
      <c r="B781" s="7"/>
      <c r="C781" s="13" t="s">
        <v>71</v>
      </c>
      <c r="D781" s="19" t="str">
        <f>IFERROR(IF(C781="No CAS","",INDEX('DEQ Pollutant List'!$B$7:$B$611,MATCH('3. Pollutant Emissions - EF'!C781,'DEQ Pollutant List'!$A$7:$A$611,0))),"")</f>
        <v>Zinc and compounds</v>
      </c>
      <c r="E781" s="23">
        <v>0</v>
      </c>
      <c r="F781" s="21">
        <v>0</v>
      </c>
      <c r="G781" s="23" t="s">
        <v>1415</v>
      </c>
      <c r="H781" s="21" t="s">
        <v>1415</v>
      </c>
      <c r="I781" s="34">
        <v>0</v>
      </c>
      <c r="J781" s="11">
        <f t="shared" si="26"/>
        <v>0</v>
      </c>
      <c r="K781" s="6" t="s">
        <v>1420</v>
      </c>
      <c r="L781" s="20" t="s">
        <v>1655</v>
      </c>
      <c r="M781" s="7">
        <f>IF(ISBLANK($B781),_xlfn.XLOOKUP($A781,'2. TEUs &amp; Activities - EF'!$A$9:$A$190,'2. TEUs &amp; Activities - EF'!$J$9:$J$190),_xlfn.XLOOKUP($B781,'2. TEUs &amp; Activities - EF'!$B$9:$B$190,'2. TEUs &amp; Activities - EF'!$J$9:$J$190))*'3. Pollutant Emissions - EF'!$I781*IF(OR(ISBLANK($E781),$G781="Yes"),1,$E781)*IF($H781="Yes",1,(1-$F781))</f>
        <v>0</v>
      </c>
      <c r="N781" s="5">
        <f>IF(ISBLANK($B781),_xlfn.XLOOKUP($A781,'2. TEUs &amp; Activities - EF'!$A$9:$A$190,'2. TEUs &amp; Activities - EF'!$M$9:$M$190),_xlfn.XLOOKUP($B781,'2. TEUs &amp; Activities - EF'!$B$9:$B$190,'2. TEUs &amp; Activities - EF'!$M$9:$M$190))*'3. Pollutant Emissions - EF'!$J781*IF(OR(ISBLANK($E781),$G781="Yes"),1,$E781)*IF($H781="Yes",1,(1-$F781))</f>
        <v>0</v>
      </c>
      <c r="O781" s="130">
        <f>IFERROR(IF(OR($C781="",$C781="No CAS"),INDEX('DEQ Pollutant List'!$D$7:$D$611,MATCH($D781,'DEQ Pollutant List'!$B$7:$B$611,0)),INDEX('DEQ Pollutant List'!$D$7:$D$611,MATCH($C781,'DEQ Pollutant List'!$A$7:$A$611,0))),"")</f>
        <v>632</v>
      </c>
    </row>
    <row r="782" spans="1:15" ht="15" x14ac:dyDescent="0.25">
      <c r="A782" s="5" t="s">
        <v>1331</v>
      </c>
      <c r="B782" s="7"/>
      <c r="C782" s="13" t="s">
        <v>864</v>
      </c>
      <c r="D782" s="175" t="str">
        <f>IFERROR(IF(C782="No CAS","",INDEX('DEQ Pollutant List'!$B$7:$B$611,MATCH('3. Pollutant Emissions - EF'!C782,'DEQ Pollutant List'!$A$7:$A$611,0))),"")</f>
        <v>Nickel chloride</v>
      </c>
      <c r="E782" s="23">
        <v>0</v>
      </c>
      <c r="F782" s="21">
        <v>0</v>
      </c>
      <c r="G782" s="23" t="s">
        <v>1415</v>
      </c>
      <c r="H782" s="21" t="s">
        <v>1415</v>
      </c>
      <c r="I782" s="34">
        <v>4.8286761345090802E-4</v>
      </c>
      <c r="J782" s="11">
        <f t="shared" si="26"/>
        <v>4.8286761345090802E-4</v>
      </c>
      <c r="K782" s="6" t="s">
        <v>1420</v>
      </c>
      <c r="L782" s="20" t="s">
        <v>1655</v>
      </c>
      <c r="M782" s="7">
        <f>IF(ISBLANK($B782),_xlfn.XLOOKUP($A782,'2. TEUs &amp; Activities - EF'!$A$9:$A$190,'2. TEUs &amp; Activities - EF'!$J$9:$J$190),_xlfn.XLOOKUP($B782,'2. TEUs &amp; Activities - EF'!$B$9:$B$190,'2. TEUs &amp; Activities - EF'!$J$9:$J$190))*'3. Pollutant Emissions - EF'!$I782*IF(OR(ISBLANK($E782),$G782="Yes"),1,$E782)*IF($H782="Yes",1,(1-$F782))</f>
        <v>4.229920293829954</v>
      </c>
      <c r="N782" s="5">
        <f>IF(ISBLANK($B782),_xlfn.XLOOKUP($A782,'2. TEUs &amp; Activities - EF'!$A$9:$A$190,'2. TEUs &amp; Activities - EF'!$M$9:$M$190),_xlfn.XLOOKUP($B782,'2. TEUs &amp; Activities - EF'!$B$9:$B$190,'2. TEUs &amp; Activities - EF'!$M$9:$M$190))*'3. Pollutant Emissions - EF'!$J782*IF(OR(ISBLANK($E782),$G782="Yes"),1,$E782)*IF($H782="Yes",1,(1-$F782))</f>
        <v>1.1588822722821792E-2</v>
      </c>
      <c r="O782" s="130">
        <f>IFERROR(IF(OR($C782="",$C782="No CAS"),INDEX('DEQ Pollutant List'!$D$7:$D$611,MATCH($D783,'DEQ Pollutant List'!$B$7:$B$611,0)),INDEX('DEQ Pollutant List'!$D$7:$D$611,MATCH($C782,'DEQ Pollutant List'!$A$7:$A$611,0))),"")</f>
        <v>641</v>
      </c>
    </row>
    <row r="783" spans="1:15" ht="15" x14ac:dyDescent="0.25">
      <c r="A783" s="5" t="s">
        <v>1332</v>
      </c>
      <c r="B783" s="7"/>
      <c r="C783" s="13" t="s">
        <v>562</v>
      </c>
      <c r="D783" s="19" t="str">
        <f>IFERROR(IF(C783="No CAS","",INDEX('DEQ Pollutant List'!$B$7:$B$611,MATCH('3. Pollutant Emissions - EF'!C783,'DEQ Pollutant List'!$A$7:$A$611,0))),"")</f>
        <v>Chromic(VI) acid, including chromic acid aerosol mist and chromium trioxide</v>
      </c>
      <c r="E783" s="23">
        <v>0</v>
      </c>
      <c r="F783" s="21">
        <v>0</v>
      </c>
      <c r="G783" s="23" t="s">
        <v>1415</v>
      </c>
      <c r="H783" s="21" t="s">
        <v>1415</v>
      </c>
      <c r="I783" s="34">
        <v>1.2494055706727247E-4</v>
      </c>
      <c r="J783" s="11">
        <f t="shared" si="26"/>
        <v>1.2494055706727247E-4</v>
      </c>
      <c r="K783" s="6" t="s">
        <v>1420</v>
      </c>
      <c r="L783" s="20" t="s">
        <v>1655</v>
      </c>
      <c r="M783" s="7">
        <f>IF(ISBLANK($B783),_xlfn.XLOOKUP($A783,'2. TEUs &amp; Activities - EF'!$A$9:$A$190,'2. TEUs &amp; Activities - EF'!$J$9:$J$190),_xlfn.XLOOKUP($B783,'2. TEUs &amp; Activities - EF'!$B$9:$B$190,'2. TEUs &amp; Activities - EF'!$J$9:$J$190))*'3. Pollutant Emissions - EF'!$I783*IF(OR(ISBLANK($E783),$G783="Yes"),1,$E783)*IF($H783="Yes",1,(1-$F783))</f>
        <v>1.0944792799093068</v>
      </c>
      <c r="N783" s="5">
        <f>IF(ISBLANK($B783),_xlfn.XLOOKUP($A783,'2. TEUs &amp; Activities - EF'!$A$9:$A$190,'2. TEUs &amp; Activities - EF'!$M$9:$M$190),_xlfn.XLOOKUP($B783,'2. TEUs &amp; Activities - EF'!$B$9:$B$190,'2. TEUs &amp; Activities - EF'!$M$9:$M$190))*'3. Pollutant Emissions - EF'!$J783*IF(OR(ISBLANK($E783),$G783="Yes"),1,$E783)*IF($H783="Yes",1,(1-$F783))</f>
        <v>2.9985733696145395E-3</v>
      </c>
      <c r="O783" s="130">
        <f>IFERROR(IF(OR($C783="",$C783="No CAS"),INDEX('DEQ Pollutant List'!$D$7:$D$611,MATCH(#REF!,'DEQ Pollutant List'!$B$7:$B$611,0)),INDEX('DEQ Pollutant List'!$D$7:$D$611,MATCH($C783,'DEQ Pollutant List'!$A$7:$A$611,0))),"")</f>
        <v>140</v>
      </c>
    </row>
    <row r="784" spans="1:15" ht="15" x14ac:dyDescent="0.25">
      <c r="A784" s="5" t="s">
        <v>1332</v>
      </c>
      <c r="B784" s="7"/>
      <c r="C784" s="13" t="s">
        <v>98</v>
      </c>
      <c r="D784" s="19" t="str">
        <f>IFERROR(IF(C784="No CAS","",INDEX('DEQ Pollutant List'!$B$7:$B$611,MATCH('3. Pollutant Emissions - EF'!C784,'DEQ Pollutant List'!$A$7:$A$611,0))),"")</f>
        <v>Hydrogen fluoride</v>
      </c>
      <c r="E784" s="23">
        <v>0</v>
      </c>
      <c r="F784" s="21">
        <v>0</v>
      </c>
      <c r="G784" s="23" t="s">
        <v>1415</v>
      </c>
      <c r="H784" s="21" t="s">
        <v>1415</v>
      </c>
      <c r="I784" s="34">
        <v>8.7674194625225954E-6</v>
      </c>
      <c r="J784" s="11">
        <f t="shared" si="26"/>
        <v>8.7674194625225954E-6</v>
      </c>
      <c r="K784" s="6" t="s">
        <v>1420</v>
      </c>
      <c r="L784" s="20" t="s">
        <v>1655</v>
      </c>
      <c r="M784" s="7">
        <f>IF(ISBLANK($B784),_xlfn.XLOOKUP($A784,'2. TEUs &amp; Activities - EF'!$A$9:$A$190,'2. TEUs &amp; Activities - EF'!$J$9:$J$190),_xlfn.XLOOKUP($B784,'2. TEUs &amp; Activities - EF'!$B$9:$B$190,'2. TEUs &amp; Activities - EF'!$J$9:$J$190))*'3. Pollutant Emissions - EF'!$I784*IF(OR(ISBLANK($E784),$G784="Yes"),1,$E784)*IF($H784="Yes",1,(1-$F784))</f>
        <v>7.6802594491697934E-2</v>
      </c>
      <c r="N784" s="5">
        <f>IF(ISBLANK($B784),_xlfn.XLOOKUP($A784,'2. TEUs &amp; Activities - EF'!$A$9:$A$190,'2. TEUs &amp; Activities - EF'!$M$9:$M$190),_xlfn.XLOOKUP($B784,'2. TEUs &amp; Activities - EF'!$B$9:$B$190,'2. TEUs &amp; Activities - EF'!$M$9:$M$190))*'3. Pollutant Emissions - EF'!$J784*IF(OR(ISBLANK($E784),$G784="Yes"),1,$E784)*IF($H784="Yes",1,(1-$F784))</f>
        <v>2.1041806710054228E-4</v>
      </c>
      <c r="O784" s="130">
        <f>IFERROR(IF(OR($C784="",$C784="No CAS"),INDEX('DEQ Pollutant List'!$D$7:$D$611,MATCH($D784,'DEQ Pollutant List'!$B$7:$B$611,0)),INDEX('DEQ Pollutant List'!$D$7:$D$611,MATCH($C784,'DEQ Pollutant List'!$A$7:$A$611,0))),"")</f>
        <v>240</v>
      </c>
    </row>
    <row r="785" spans="1:15" ht="15" x14ac:dyDescent="0.25">
      <c r="A785" s="5" t="s">
        <v>1332</v>
      </c>
      <c r="B785" s="7"/>
      <c r="C785" s="13" t="s">
        <v>886</v>
      </c>
      <c r="D785" s="19" t="str">
        <f>IFERROR(IF(C785="No CAS","",INDEX('DEQ Pollutant List'!$B$7:$B$611,MATCH('3. Pollutant Emissions - EF'!C785,'DEQ Pollutant List'!$A$7:$A$611,0))),"")</f>
        <v>Nitric acid</v>
      </c>
      <c r="E785" s="23">
        <v>0</v>
      </c>
      <c r="F785" s="21">
        <v>0</v>
      </c>
      <c r="G785" s="23" t="s">
        <v>1415</v>
      </c>
      <c r="H785" s="21" t="s">
        <v>1415</v>
      </c>
      <c r="I785" s="34">
        <v>3.3387065607718381E-3</v>
      </c>
      <c r="J785" s="11">
        <f t="shared" si="26"/>
        <v>3.3387065607718381E-3</v>
      </c>
      <c r="K785" s="6" t="s">
        <v>1420</v>
      </c>
      <c r="L785" s="20" t="s">
        <v>1655</v>
      </c>
      <c r="M785" s="7">
        <f>IF(ISBLANK($B785),_xlfn.XLOOKUP($A785,'2. TEUs &amp; Activities - EF'!$A$9:$A$190,'2. TEUs &amp; Activities - EF'!$J$9:$J$190),_xlfn.XLOOKUP($B785,'2. TEUs &amp; Activities - EF'!$B$9:$B$190,'2. TEUs &amp; Activities - EF'!$J$9:$J$190))*'3. Pollutant Emissions - EF'!$I785*IF(OR(ISBLANK($E785),$G785="Yes"),1,$E785)*IF($H785="Yes",1,(1-$F785))</f>
        <v>29.247069472361304</v>
      </c>
      <c r="N785" s="5">
        <f>IF(ISBLANK($B785),_xlfn.XLOOKUP($A785,'2. TEUs &amp; Activities - EF'!$A$9:$A$190,'2. TEUs &amp; Activities - EF'!$M$9:$M$190),_xlfn.XLOOKUP($B785,'2. TEUs &amp; Activities - EF'!$B$9:$B$190,'2. TEUs &amp; Activities - EF'!$M$9:$M$190))*'3. Pollutant Emissions - EF'!$J785*IF(OR(ISBLANK($E785),$G785="Yes"),1,$E785)*IF($H785="Yes",1,(1-$F785))</f>
        <v>8.0128957458524108E-2</v>
      </c>
      <c r="O785" s="130">
        <f>IFERROR(IF(OR($C785="",$C785="No CAS"),INDEX('DEQ Pollutant List'!$D$7:$D$611,MATCH($D785,'DEQ Pollutant List'!$B$7:$B$611,0)),INDEX('DEQ Pollutant List'!$D$7:$D$611,MATCH($C785,'DEQ Pollutant List'!$A$7:$A$611,0))),"")</f>
        <v>377</v>
      </c>
    </row>
    <row r="786" spans="1:15" ht="15" x14ac:dyDescent="0.25">
      <c r="A786" s="5" t="s">
        <v>1332</v>
      </c>
      <c r="B786" s="7"/>
      <c r="C786" s="13" t="s">
        <v>1143</v>
      </c>
      <c r="D786" s="19" t="str">
        <f>IFERROR(IF(C786="No CAS","",INDEX('DEQ Pollutant List'!$B$7:$B$611,MATCH('3. Pollutant Emissions - EF'!C786,'DEQ Pollutant List'!$A$7:$A$611,0))),"")</f>
        <v>Sodium hydroxide</v>
      </c>
      <c r="E786" s="23">
        <v>0</v>
      </c>
      <c r="F786" s="21">
        <v>0</v>
      </c>
      <c r="G786" s="23" t="s">
        <v>1415</v>
      </c>
      <c r="H786" s="21" t="s">
        <v>1415</v>
      </c>
      <c r="I786" s="34">
        <v>3.001839923882847E-3</v>
      </c>
      <c r="J786" s="11">
        <f t="shared" si="26"/>
        <v>3.001839923882847E-3</v>
      </c>
      <c r="K786" s="6" t="s">
        <v>1420</v>
      </c>
      <c r="L786" s="20" t="s">
        <v>1655</v>
      </c>
      <c r="M786" s="7">
        <f>IF(ISBLANK($B786),_xlfn.XLOOKUP($A786,'2. TEUs &amp; Activities - EF'!$A$9:$A$190,'2. TEUs &amp; Activities - EF'!$J$9:$J$190),_xlfn.XLOOKUP($B786,'2. TEUs &amp; Activities - EF'!$B$9:$B$190,'2. TEUs &amp; Activities - EF'!$J$9:$J$190))*'3. Pollutant Emissions - EF'!$I786*IF(OR(ISBLANK($E786),$G786="Yes"),1,$E786)*IF($H786="Yes",1,(1-$F786))</f>
        <v>26.296117733213741</v>
      </c>
      <c r="N786" s="5">
        <f>IF(ISBLANK($B786),_xlfn.XLOOKUP($A786,'2. TEUs &amp; Activities - EF'!$A$9:$A$190,'2. TEUs &amp; Activities - EF'!$M$9:$M$190),_xlfn.XLOOKUP($B786,'2. TEUs &amp; Activities - EF'!$B$9:$B$190,'2. TEUs &amp; Activities - EF'!$M$9:$M$190))*'3. Pollutant Emissions - EF'!$J786*IF(OR(ISBLANK($E786),$G786="Yes"),1,$E786)*IF($H786="Yes",1,(1-$F786))</f>
        <v>7.2044158173188322E-2</v>
      </c>
      <c r="O786" s="130">
        <f>IFERROR(IF(OR($C786="",$C786="No CAS"),INDEX('DEQ Pollutant List'!$D$7:$D$611,MATCH($D786,'DEQ Pollutant List'!$B$7:$B$611,0)),INDEX('DEQ Pollutant List'!$D$7:$D$611,MATCH($C786,'DEQ Pollutant List'!$A$7:$A$611,0))),"")</f>
        <v>582</v>
      </c>
    </row>
    <row r="787" spans="1:15" ht="15" x14ac:dyDescent="0.25">
      <c r="A787" s="5" t="s">
        <v>1332</v>
      </c>
      <c r="B787" s="7"/>
      <c r="C787" s="13" t="s">
        <v>71</v>
      </c>
      <c r="D787" s="19" t="str">
        <f>IFERROR(IF(C787="No CAS","",INDEX('DEQ Pollutant List'!$B$7:$B$611,MATCH('3. Pollutant Emissions - EF'!C787,'DEQ Pollutant List'!$A$7:$A$611,0))),"")</f>
        <v>Zinc and compounds</v>
      </c>
      <c r="E787" s="23">
        <v>0</v>
      </c>
      <c r="F787" s="21">
        <v>0</v>
      </c>
      <c r="G787" s="23" t="s">
        <v>1415</v>
      </c>
      <c r="H787" s="21" t="s">
        <v>1415</v>
      </c>
      <c r="I787" s="34">
        <v>0</v>
      </c>
      <c r="J787" s="11">
        <f t="shared" si="26"/>
        <v>0</v>
      </c>
      <c r="K787" s="6" t="s">
        <v>1420</v>
      </c>
      <c r="L787" s="20" t="s">
        <v>1655</v>
      </c>
      <c r="M787" s="7">
        <f>IF(ISBLANK($B787),_xlfn.XLOOKUP($A787,'2. TEUs &amp; Activities - EF'!$A$9:$A$190,'2. TEUs &amp; Activities - EF'!$J$9:$J$190),_xlfn.XLOOKUP($B787,'2. TEUs &amp; Activities - EF'!$B$9:$B$190,'2. TEUs &amp; Activities - EF'!$J$9:$J$190))*'3. Pollutant Emissions - EF'!$I787*IF(OR(ISBLANK($E787),$G787="Yes"),1,$E787)*IF($H787="Yes",1,(1-$F787))</f>
        <v>0</v>
      </c>
      <c r="N787" s="5">
        <f>IF(ISBLANK($B787),_xlfn.XLOOKUP($A787,'2. TEUs &amp; Activities - EF'!$A$9:$A$190,'2. TEUs &amp; Activities - EF'!$M$9:$M$190),_xlfn.XLOOKUP($B787,'2. TEUs &amp; Activities - EF'!$B$9:$B$190,'2. TEUs &amp; Activities - EF'!$M$9:$M$190))*'3. Pollutant Emissions - EF'!$J787*IF(OR(ISBLANK($E787),$G787="Yes"),1,$E787)*IF($H787="Yes",1,(1-$F787))</f>
        <v>0</v>
      </c>
      <c r="O787" s="130">
        <f>IFERROR(IF(OR($C787="",$C787="No CAS"),INDEX('DEQ Pollutant List'!$D$7:$D$611,MATCH($D787,'DEQ Pollutant List'!$B$7:$B$611,0)),INDEX('DEQ Pollutant List'!$D$7:$D$611,MATCH($C787,'DEQ Pollutant List'!$A$7:$A$611,0))),"")</f>
        <v>632</v>
      </c>
    </row>
    <row r="788" spans="1:15" ht="15" x14ac:dyDescent="0.25">
      <c r="A788" s="5"/>
      <c r="B788" s="7"/>
      <c r="C788" s="13"/>
      <c r="D788" s="19"/>
      <c r="E788" s="23"/>
      <c r="F788" s="21"/>
      <c r="G788" s="23"/>
      <c r="H788" s="21"/>
      <c r="I788" s="34"/>
      <c r="J788" s="11"/>
      <c r="K788" s="6"/>
      <c r="L788" s="20"/>
      <c r="M788" s="7"/>
      <c r="N788" s="5"/>
      <c r="O788" s="130" t="str">
        <f>IFERROR(IF(OR($C788="",$C788="No CAS"),INDEX('DEQ Pollutant List'!$D$7:$D$611,MATCH($D788,'DEQ Pollutant List'!$B$7:$B$611,0)),INDEX('DEQ Pollutant List'!$D$7:$D$611,MATCH($C788,'DEQ Pollutant List'!$A$7:$A$611,0))),"")</f>
        <v/>
      </c>
    </row>
    <row r="789" spans="1:15" ht="15" x14ac:dyDescent="0.25">
      <c r="A789" s="5"/>
      <c r="B789" s="7"/>
      <c r="C789" s="13"/>
      <c r="D789" s="19" t="s">
        <v>1536</v>
      </c>
      <c r="E789" s="23"/>
      <c r="F789" s="21"/>
      <c r="G789" s="23"/>
      <c r="H789" s="21"/>
      <c r="I789" s="34"/>
      <c r="J789" s="11"/>
      <c r="K789" s="6"/>
      <c r="L789" s="20"/>
      <c r="M789" s="7"/>
      <c r="N789" s="5"/>
      <c r="O789" s="130" t="str">
        <f>IFERROR(IF(OR($C789="",$C789="No CAS"),INDEX('DEQ Pollutant List'!$D$7:$D$611,MATCH($D789,'DEQ Pollutant List'!$B$7:$B$611,0)),INDEX('DEQ Pollutant List'!$D$7:$D$611,MATCH($C789,'DEQ Pollutant List'!$A$7:$A$611,0))),"")</f>
        <v/>
      </c>
    </row>
    <row r="790" spans="1:15" ht="15" x14ac:dyDescent="0.25">
      <c r="A790" s="5" t="s">
        <v>1512</v>
      </c>
      <c r="B790" s="7"/>
      <c r="C790" s="13" t="s">
        <v>1066</v>
      </c>
      <c r="D790" s="19" t="str">
        <f>IFERROR(IF(C790="No CAS","",INDEX('DEQ Pollutant List'!$B$7:$B$611,MATCH('3. Pollutant Emissions - EF'!C790,'DEQ Pollutant List'!$A$7:$A$611,0))),"")</f>
        <v>Phosphoric acid</v>
      </c>
      <c r="E790" s="23">
        <v>0</v>
      </c>
      <c r="F790" s="21">
        <v>0</v>
      </c>
      <c r="G790" s="23" t="s">
        <v>1415</v>
      </c>
      <c r="H790" s="21" t="s">
        <v>1415</v>
      </c>
      <c r="I790" s="34">
        <v>1.2831689434870087E-5</v>
      </c>
      <c r="J790" s="11">
        <f>I790</f>
        <v>1.2831689434870087E-5</v>
      </c>
      <c r="K790" s="6" t="s">
        <v>1420</v>
      </c>
      <c r="L790" s="20" t="s">
        <v>1514</v>
      </c>
      <c r="M790" s="7">
        <f>IF(ISBLANK($B790),_xlfn.XLOOKUP($A790,'2. TEUs &amp; Activities - EF'!$A$9:$A$190,'2. TEUs &amp; Activities - EF'!$J$9:$J$190),_xlfn.XLOOKUP($B790,'2. TEUs &amp; Activities - EF'!$B$9:$B$190,'2. TEUs &amp; Activities - EF'!$J$9:$J$190))*'3. Pollutant Emissions - EF'!$I790*IF(OR(ISBLANK($E790),$G790="Yes"),1,$E790)*IF($H790="Yes",1,(1-$F790))</f>
        <v>0.11240559944946196</v>
      </c>
      <c r="N790" s="5">
        <f>IF(ISBLANK($B790),_xlfn.XLOOKUP($A790,'2. TEUs &amp; Activities - EF'!$A$9:$A$190,'2. TEUs &amp; Activities - EF'!$M$9:$M$190),_xlfn.XLOOKUP($B790,'2. TEUs &amp; Activities - EF'!$B$9:$B$190,'2. TEUs &amp; Activities - EF'!$M$9:$M$190))*'3. Pollutant Emissions - EF'!$J790*IF(OR(ISBLANK($E790),$G790="Yes"),1,$E790)*IF($H790="Yes",1,(1-$F790))</f>
        <v>3.079605464368821E-4</v>
      </c>
      <c r="O790" s="130">
        <f>IFERROR(IF(OR($C790="",$C790="No CAS"),INDEX('DEQ Pollutant List'!$D$7:$D$611,MATCH($D790,'DEQ Pollutant List'!$B$7:$B$611,0)),INDEX('DEQ Pollutant List'!$D$7:$D$611,MATCH($C790,'DEQ Pollutant List'!$A$7:$A$611,0))),"")</f>
        <v>507</v>
      </c>
    </row>
    <row r="791" spans="1:15" ht="15" x14ac:dyDescent="0.25">
      <c r="A791" s="5" t="s">
        <v>1512</v>
      </c>
      <c r="B791" s="7"/>
      <c r="C791" s="13" t="s">
        <v>1143</v>
      </c>
      <c r="D791" s="19" t="str">
        <f>IFERROR(IF(C791="No CAS","",INDEX('DEQ Pollutant List'!$B$7:$B$611,MATCH('3. Pollutant Emissions - EF'!C791,'DEQ Pollutant List'!$A$7:$A$611,0))),"")</f>
        <v>Sodium hydroxide</v>
      </c>
      <c r="E791" s="23">
        <v>0</v>
      </c>
      <c r="F791" s="21">
        <v>0</v>
      </c>
      <c r="G791" s="23" t="s">
        <v>1415</v>
      </c>
      <c r="H791" s="21" t="s">
        <v>1415</v>
      </c>
      <c r="I791" s="34">
        <v>3.9235136568695009E-7</v>
      </c>
      <c r="J791" s="11">
        <f>I791</f>
        <v>3.9235136568695009E-7</v>
      </c>
      <c r="K791" s="6" t="s">
        <v>1420</v>
      </c>
      <c r="L791" s="20" t="s">
        <v>1515</v>
      </c>
      <c r="M791" s="7">
        <f>IF(ISBLANK($B791),_xlfn.XLOOKUP($A791,'2. TEUs &amp; Activities - EF'!$A$9:$A$190,'2. TEUs &amp; Activities - EF'!$J$9:$J$190),_xlfn.XLOOKUP($B791,'2. TEUs &amp; Activities - EF'!$B$9:$B$190,'2. TEUs &amp; Activities - EF'!$J$9:$J$190))*'3. Pollutant Emissions - EF'!$I791*IF(OR(ISBLANK($E791),$G791="Yes"),1,$E791)*IF($H791="Yes",1,(1-$F791))</f>
        <v>3.4369979634176827E-3</v>
      </c>
      <c r="N791" s="5">
        <f>IF(ISBLANK($B791),_xlfn.XLOOKUP($A791,'2. TEUs &amp; Activities - EF'!$A$9:$A$190,'2. TEUs &amp; Activities - EF'!$M$9:$M$190),_xlfn.XLOOKUP($B791,'2. TEUs &amp; Activities - EF'!$B$9:$B$190,'2. TEUs &amp; Activities - EF'!$M$9:$M$190))*'3. Pollutant Emissions - EF'!$J791*IF(OR(ISBLANK($E791),$G791="Yes"),1,$E791)*IF($H791="Yes",1,(1-$F791))</f>
        <v>9.416432776486803E-6</v>
      </c>
      <c r="O791" s="130">
        <f>IFERROR(IF(OR($C791="",$C791="No CAS"),INDEX('DEQ Pollutant List'!$D$7:$D$611,MATCH($D791,'DEQ Pollutant List'!$B$7:$B$611,0)),INDEX('DEQ Pollutant List'!$D$7:$D$611,MATCH($C791,'DEQ Pollutant List'!$A$7:$A$611,0))),"")</f>
        <v>582</v>
      </c>
    </row>
    <row r="792" spans="1:15" ht="15" x14ac:dyDescent="0.25">
      <c r="A792" s="5" t="s">
        <v>1313</v>
      </c>
      <c r="B792" s="7"/>
      <c r="C792" s="13" t="s">
        <v>48</v>
      </c>
      <c r="D792" s="19" t="str">
        <f>IFERROR(IF(C792="No CAS","",INDEX('DEQ Pollutant List'!$B$7:$B$611,MATCH('3. Pollutant Emissions - EF'!C792,'DEQ Pollutant List'!$A$7:$A$611,0))),"")</f>
        <v>Benzo[a]pyrene</v>
      </c>
      <c r="E792" s="23">
        <v>0</v>
      </c>
      <c r="F792" s="21">
        <v>0</v>
      </c>
      <c r="G792" s="23" t="s">
        <v>1415</v>
      </c>
      <c r="H792" s="21" t="s">
        <v>1415</v>
      </c>
      <c r="I792" s="34">
        <v>1.1999999999999999E-6</v>
      </c>
      <c r="J792" s="11">
        <f t="shared" ref="J792:J795" si="27">I792</f>
        <v>1.1999999999999999E-6</v>
      </c>
      <c r="K792" s="6" t="s">
        <v>1416</v>
      </c>
      <c r="L792" s="20"/>
      <c r="M792" s="7">
        <f>IF(ISBLANK($B792),_xlfn.XLOOKUP($A792,'2. TEUs &amp; Activities - EF'!$A$9:$A$190,'2. TEUs &amp; Activities - EF'!$J$9:$J$190),_xlfn.XLOOKUP($B792,'2. TEUs &amp; Activities - EF'!$B$9:$B$190,'2. TEUs &amp; Activities - EF'!$J$9:$J$190))*'3. Pollutant Emissions - EF'!$I792*IF(OR(ISBLANK($E792),$G792="Yes"),1,$E792)*IF($H792="Yes",1,(1-$F792))</f>
        <v>4.3284705882352937E-5</v>
      </c>
      <c r="N792" s="5">
        <f>IF(ISBLANK($B792),_xlfn.XLOOKUP($A792,'2. TEUs &amp; Activities - EF'!$A$9:$A$190,'2. TEUs &amp; Activities - EF'!$M$9:$M$190),_xlfn.XLOOKUP($B792,'2. TEUs &amp; Activities - EF'!$B$9:$B$190,'2. TEUs &amp; Activities - EF'!$M$9:$M$190))*'3. Pollutant Emissions - EF'!$J792*IF(OR(ISBLANK($E792),$G792="Yes"),1,$E792)*IF($H792="Yes",1,(1-$F792))</f>
        <v>1.1858823529411765E-7</v>
      </c>
      <c r="O792" s="130">
        <f>IFERROR(IF(OR($C792="",$C792="No CAS"),INDEX('DEQ Pollutant List'!$D$7:$D$611,MATCH($D792,'DEQ Pollutant List'!$B$7:$B$611,0)),INDEX('DEQ Pollutant List'!$D$7:$D$611,MATCH($C792,'DEQ Pollutant List'!$A$7:$A$611,0))),"")</f>
        <v>406</v>
      </c>
    </row>
    <row r="793" spans="1:15" ht="15" x14ac:dyDescent="0.25">
      <c r="A793" s="5" t="s">
        <v>1314</v>
      </c>
      <c r="B793" s="7"/>
      <c r="C793" s="13" t="s">
        <v>48</v>
      </c>
      <c r="D793" s="19" t="str">
        <f>IFERROR(IF(C793="No CAS","",INDEX('DEQ Pollutant List'!$B$7:$B$611,MATCH('3. Pollutant Emissions - EF'!C793,'DEQ Pollutant List'!$A$7:$A$611,0))),"")</f>
        <v>Benzo[a]pyrene</v>
      </c>
      <c r="E793" s="23">
        <v>0</v>
      </c>
      <c r="F793" s="21">
        <v>0</v>
      </c>
      <c r="G793" s="23" t="s">
        <v>1415</v>
      </c>
      <c r="H793" s="21" t="s">
        <v>1415</v>
      </c>
      <c r="I793" s="34">
        <v>1.1999999999999999E-6</v>
      </c>
      <c r="J793" s="11">
        <f t="shared" si="27"/>
        <v>1.1999999999999999E-6</v>
      </c>
      <c r="K793" s="6" t="s">
        <v>1416</v>
      </c>
      <c r="L793" s="20"/>
      <c r="M793" s="7">
        <f>IF(ISBLANK($B793),_xlfn.XLOOKUP($A793,'2. TEUs &amp; Activities - EF'!$A$9:$A$190,'2. TEUs &amp; Activities - EF'!$J$9:$J$190),_xlfn.XLOOKUP($B793,'2. TEUs &amp; Activities - EF'!$B$9:$B$190,'2. TEUs &amp; Activities - EF'!$J$9:$J$190))*'3. Pollutant Emissions - EF'!$I793*IF(OR(ISBLANK($E793),$G793="Yes"),1,$E793)*IF($H793="Yes",1,(1-$F793))</f>
        <v>3.4421647058823522E-5</v>
      </c>
      <c r="N793" s="5">
        <f>IF(ISBLANK($B793),_xlfn.XLOOKUP($A793,'2. TEUs &amp; Activities - EF'!$A$9:$A$190,'2. TEUs &amp; Activities - EF'!$M$9:$M$190),_xlfn.XLOOKUP($B793,'2. TEUs &amp; Activities - EF'!$B$9:$B$190,'2. TEUs &amp; Activities - EF'!$M$9:$M$190))*'3. Pollutant Emissions - EF'!$J793*IF(OR(ISBLANK($E793),$G793="Yes"),1,$E793)*IF($H793="Yes",1,(1-$F793))</f>
        <v>9.4305882352941165E-8</v>
      </c>
      <c r="O793" s="130">
        <f>IFERROR(IF(OR($C793="",$C793="No CAS"),INDEX('DEQ Pollutant List'!$D$7:$D$611,MATCH($D793,'DEQ Pollutant List'!$B$7:$B$611,0)),INDEX('DEQ Pollutant List'!$D$7:$D$611,MATCH($C793,'DEQ Pollutant List'!$A$7:$A$611,0))),"")</f>
        <v>406</v>
      </c>
    </row>
    <row r="794" spans="1:15" ht="15" x14ac:dyDescent="0.25">
      <c r="A794" s="5" t="s">
        <v>1315</v>
      </c>
      <c r="B794" s="7"/>
      <c r="C794" s="13" t="s">
        <v>48</v>
      </c>
      <c r="D794" s="19" t="str">
        <f>IFERROR(IF(C794="No CAS","",INDEX('DEQ Pollutant List'!$B$7:$B$611,MATCH('3. Pollutant Emissions - EF'!C794,'DEQ Pollutant List'!$A$7:$A$611,0))),"")</f>
        <v>Benzo[a]pyrene</v>
      </c>
      <c r="E794" s="23">
        <v>0</v>
      </c>
      <c r="F794" s="21">
        <v>0</v>
      </c>
      <c r="G794" s="23" t="s">
        <v>1415</v>
      </c>
      <c r="H794" s="21" t="s">
        <v>1415</v>
      </c>
      <c r="I794" s="34">
        <v>1.1999999999999999E-6</v>
      </c>
      <c r="J794" s="11">
        <f t="shared" si="27"/>
        <v>1.1999999999999999E-6</v>
      </c>
      <c r="K794" s="6" t="s">
        <v>1416</v>
      </c>
      <c r="L794" s="20"/>
      <c r="M794" s="7">
        <f>IF(ISBLANK($B794),_xlfn.XLOOKUP($A794,'2. TEUs &amp; Activities - EF'!$A$9:$A$190,'2. TEUs &amp; Activities - EF'!$J$9:$J$190),_xlfn.XLOOKUP($B794,'2. TEUs &amp; Activities - EF'!$B$9:$B$190,'2. TEUs &amp; Activities - EF'!$J$9:$J$190))*'3. Pollutant Emissions - EF'!$I794*IF(OR(ISBLANK($E794),$G794="Yes"),1,$E794)*IF($H794="Yes",1,(1-$F794))</f>
        <v>8.6569411764705873E-5</v>
      </c>
      <c r="N794" s="5">
        <f>IF(ISBLANK($B794),_xlfn.XLOOKUP($A794,'2. TEUs &amp; Activities - EF'!$A$9:$A$190,'2. TEUs &amp; Activities - EF'!$M$9:$M$190),_xlfn.XLOOKUP($B794,'2. TEUs &amp; Activities - EF'!$B$9:$B$190,'2. TEUs &amp; Activities - EF'!$M$9:$M$190))*'3. Pollutant Emissions - EF'!$J794*IF(OR(ISBLANK($E794),$G794="Yes"),1,$E794)*IF($H794="Yes",1,(1-$F794))</f>
        <v>2.3717647058823531E-7</v>
      </c>
      <c r="O794" s="130">
        <f>IFERROR(IF(OR($C794="",$C794="No CAS"),INDEX('DEQ Pollutant List'!$D$7:$D$611,MATCH($D794,'DEQ Pollutant List'!$B$7:$B$611,0)),INDEX('DEQ Pollutant List'!$D$7:$D$611,MATCH($C794,'DEQ Pollutant List'!$A$7:$A$611,0))),"")</f>
        <v>406</v>
      </c>
    </row>
    <row r="795" spans="1:15" ht="15" x14ac:dyDescent="0.25">
      <c r="A795" s="5" t="s">
        <v>1316</v>
      </c>
      <c r="B795" s="7"/>
      <c r="C795" s="13" t="s">
        <v>48</v>
      </c>
      <c r="D795" s="19" t="str">
        <f>IFERROR(IF(C795="No CAS","",INDEX('DEQ Pollutant List'!$B$7:$B$611,MATCH('3. Pollutant Emissions - EF'!C795,'DEQ Pollutant List'!$A$7:$A$611,0))),"")</f>
        <v>Benzo[a]pyrene</v>
      </c>
      <c r="E795" s="23">
        <v>0</v>
      </c>
      <c r="F795" s="21">
        <v>0</v>
      </c>
      <c r="G795" s="23" t="s">
        <v>1415</v>
      </c>
      <c r="H795" s="21" t="s">
        <v>1415</v>
      </c>
      <c r="I795" s="34">
        <v>1.1999999999999999E-6</v>
      </c>
      <c r="J795" s="11">
        <f t="shared" si="27"/>
        <v>1.1999999999999999E-6</v>
      </c>
      <c r="K795" s="6" t="s">
        <v>1416</v>
      </c>
      <c r="L795" s="20"/>
      <c r="M795" s="7">
        <f>IF(ISBLANK($B795),_xlfn.XLOOKUP($A795,'2. TEUs &amp; Activities - EF'!$A$9:$A$190,'2. TEUs &amp; Activities - EF'!$J$9:$J$190),_xlfn.XLOOKUP($B795,'2. TEUs &amp; Activities - EF'!$B$9:$B$190,'2. TEUs &amp; Activities - EF'!$J$9:$J$190))*'3. Pollutant Emissions - EF'!$I795*IF(OR(ISBLANK($E795),$G795="Yes"),1,$E795)*IF($H795="Yes",1,(1-$F795))</f>
        <v>8.6569411764705873E-5</v>
      </c>
      <c r="N795" s="5">
        <f>IF(ISBLANK($B795),_xlfn.XLOOKUP($A795,'2. TEUs &amp; Activities - EF'!$A$9:$A$190,'2. TEUs &amp; Activities - EF'!$M$9:$M$190),_xlfn.XLOOKUP($B795,'2. TEUs &amp; Activities - EF'!$B$9:$B$190,'2. TEUs &amp; Activities - EF'!$M$9:$M$190))*'3. Pollutant Emissions - EF'!$J795*IF(OR(ISBLANK($E795),$G795="Yes"),1,$E795)*IF($H795="Yes",1,(1-$F795))</f>
        <v>2.3717647058823531E-7</v>
      </c>
      <c r="O795" s="130">
        <f>IFERROR(IF(OR($C795="",$C795="No CAS"),INDEX('DEQ Pollutant List'!$D$7:$D$611,MATCH($D795,'DEQ Pollutant List'!$B$7:$B$611,0)),INDEX('DEQ Pollutant List'!$D$7:$D$611,MATCH($C795,'DEQ Pollutant List'!$A$7:$A$611,0))),"")</f>
        <v>406</v>
      </c>
    </row>
    <row r="796" spans="1:15" ht="15" x14ac:dyDescent="0.25">
      <c r="A796" s="5"/>
      <c r="B796" s="7"/>
      <c r="C796" s="13"/>
      <c r="D796" s="19" t="str">
        <f>IFERROR(IF(C796="No CAS","",INDEX('DEQ Pollutant List'!$B$7:$B$611,MATCH('3. Pollutant Emissions - EF'!C796,'DEQ Pollutant List'!$A$7:$A$611,0))),"")</f>
        <v/>
      </c>
      <c r="E796" s="23"/>
      <c r="F796" s="21"/>
      <c r="G796" s="23"/>
      <c r="H796" s="21"/>
      <c r="I796" s="34"/>
      <c r="J796" s="11"/>
      <c r="K796" s="6"/>
      <c r="L796" s="20"/>
      <c r="M796" s="7">
        <f>IF(ISBLANK($B796),_xlfn.XLOOKUP($A796,'2. TEUs &amp; Activities - EF'!$A$9:$A$190,'2. TEUs &amp; Activities - EF'!$J$9:$J$190),_xlfn.XLOOKUP($B796,'2. TEUs &amp; Activities - EF'!$B$9:$B$190,'2. TEUs &amp; Activities - EF'!$J$9:$J$190))*'3. Pollutant Emissions - EF'!$I796*IF(OR(ISBLANK($E796),$G796="Yes"),1,$E796)*IF($H796="Yes",1,(1-$F796))</f>
        <v>0</v>
      </c>
      <c r="N796" s="5">
        <f>IF(ISBLANK($B796),_xlfn.XLOOKUP($A796,'2. TEUs &amp; Activities - EF'!$A$9:$A$190,'2. TEUs &amp; Activities - EF'!$M$9:$M$190),_xlfn.XLOOKUP($B796,'2. TEUs &amp; Activities - EF'!$B$9:$B$190,'2. TEUs &amp; Activities - EF'!$M$9:$M$190))*'3. Pollutant Emissions - EF'!$J796*IF(OR(ISBLANK($E796),$G796="Yes"),1,$E796)*IF($H796="Yes",1,(1-$F796))</f>
        <v>0</v>
      </c>
      <c r="O796" s="130" t="str">
        <f>IFERROR(IF(OR($C796="",$C796="No CAS"),INDEX('DEQ Pollutant List'!$D$7:$D$611,MATCH($D796,'DEQ Pollutant List'!$B$7:$B$611,0)),INDEX('DEQ Pollutant List'!$D$7:$D$611,MATCH($C796,'DEQ Pollutant List'!$A$7:$A$611,0))),"")</f>
        <v/>
      </c>
    </row>
    <row r="797" spans="1:15" ht="15" x14ac:dyDescent="0.25">
      <c r="A797" s="5" t="s">
        <v>1317</v>
      </c>
      <c r="B797" s="7"/>
      <c r="C797" s="13" t="s">
        <v>48</v>
      </c>
      <c r="D797" s="19" t="str">
        <f>IFERROR(IF(C797="No CAS","",INDEX('DEQ Pollutant List'!$B$7:$B$611,MATCH('3. Pollutant Emissions - EF'!C797,'DEQ Pollutant List'!$A$7:$A$611,0))),"")</f>
        <v>Benzo[a]pyrene</v>
      </c>
      <c r="E797" s="23">
        <v>0</v>
      </c>
      <c r="F797" s="21">
        <v>0</v>
      </c>
      <c r="G797" s="23" t="s">
        <v>1415</v>
      </c>
      <c r="H797" s="21" t="s">
        <v>1415</v>
      </c>
      <c r="I797" s="34">
        <v>1.1999999999999999E-6</v>
      </c>
      <c r="J797" s="11">
        <f t="shared" ref="J797:J808" si="28">I797</f>
        <v>1.1999999999999999E-6</v>
      </c>
      <c r="K797" s="6" t="s">
        <v>1416</v>
      </c>
      <c r="L797" s="20"/>
      <c r="M797" s="7">
        <f>IF(ISBLANK($B797),_xlfn.XLOOKUP($A797,'2. TEUs &amp; Activities - EF'!$A$9:$A$190,'2. TEUs &amp; Activities - EF'!$J$9:$J$190),_xlfn.XLOOKUP($B797,'2. TEUs &amp; Activities - EF'!$B$9:$B$190,'2. TEUs &amp; Activities - EF'!$J$9:$J$190))*'3. Pollutant Emissions - EF'!$I797*IF(OR(ISBLANK($E797),$G797="Yes"),1,$E797)*IF($H797="Yes",1,(1-$F797))</f>
        <v>3.6070588235294118E-5</v>
      </c>
      <c r="N797" s="5">
        <f>IF(ISBLANK($B797),_xlfn.XLOOKUP($A797,'2. TEUs &amp; Activities - EF'!$A$9:$A$190,'2. TEUs &amp; Activities - EF'!$M$9:$M$190),_xlfn.XLOOKUP($B797,'2. TEUs &amp; Activities - EF'!$B$9:$B$190,'2. TEUs &amp; Activities - EF'!$M$9:$M$190))*'3. Pollutant Emissions - EF'!$J797*IF(OR(ISBLANK($E797),$G797="Yes"),1,$E797)*IF($H797="Yes",1,(1-$F797))</f>
        <v>9.8823529411764696E-8</v>
      </c>
      <c r="O797" s="130">
        <f>IFERROR(IF(OR($C797="",$C797="No CAS"),INDEX('DEQ Pollutant List'!$D$7:$D$611,MATCH($D797,'DEQ Pollutant List'!$B$7:$B$611,0)),INDEX('DEQ Pollutant List'!$D$7:$D$611,MATCH($C797,'DEQ Pollutant List'!$A$7:$A$611,0))),"")</f>
        <v>406</v>
      </c>
    </row>
    <row r="798" spans="1:15" ht="15" x14ac:dyDescent="0.25">
      <c r="A798" s="5" t="s">
        <v>1318</v>
      </c>
      <c r="B798" s="7"/>
      <c r="C798" s="13" t="s">
        <v>48</v>
      </c>
      <c r="D798" s="19" t="str">
        <f>IFERROR(IF(C798="No CAS","",INDEX('DEQ Pollutant List'!$B$7:$B$611,MATCH('3. Pollutant Emissions - EF'!C798,'DEQ Pollutant List'!$A$7:$A$611,0))),"")</f>
        <v>Benzo[a]pyrene</v>
      </c>
      <c r="E798" s="23">
        <v>0</v>
      </c>
      <c r="F798" s="21">
        <v>0</v>
      </c>
      <c r="G798" s="23" t="s">
        <v>1415</v>
      </c>
      <c r="H798" s="21" t="s">
        <v>1415</v>
      </c>
      <c r="I798" s="34">
        <v>1.1999999999999999E-6</v>
      </c>
      <c r="J798" s="11">
        <f t="shared" si="28"/>
        <v>1.1999999999999999E-6</v>
      </c>
      <c r="K798" s="6" t="s">
        <v>1416</v>
      </c>
      <c r="L798" s="20"/>
      <c r="M798" s="7">
        <f>IF(ISBLANK($B798),_xlfn.XLOOKUP($A798,'2. TEUs &amp; Activities - EF'!$A$9:$A$190,'2. TEUs &amp; Activities - EF'!$J$9:$J$190),_xlfn.XLOOKUP($B798,'2. TEUs &amp; Activities - EF'!$B$9:$B$190,'2. TEUs &amp; Activities - EF'!$J$9:$J$190))*'3. Pollutant Emissions - EF'!$I798*IF(OR(ISBLANK($E798),$G798="Yes"),1,$E798)*IF($H798="Yes",1,(1-$F798))</f>
        <v>5.1529411764705875E-6</v>
      </c>
      <c r="N798" s="5">
        <f>IF(ISBLANK($B798),_xlfn.XLOOKUP($A798,'2. TEUs &amp; Activities - EF'!$A$9:$A$190,'2. TEUs &amp; Activities - EF'!$M$9:$M$190),_xlfn.XLOOKUP($B798,'2. TEUs &amp; Activities - EF'!$B$9:$B$190,'2. TEUs &amp; Activities - EF'!$M$9:$M$190))*'3. Pollutant Emissions - EF'!$J798*IF(OR(ISBLANK($E798),$G798="Yes"),1,$E798)*IF($H798="Yes",1,(1-$F798))</f>
        <v>1.4117647058823529E-8</v>
      </c>
      <c r="O798" s="130">
        <f>IFERROR(IF(OR($C798="",$C798="No CAS"),INDEX('DEQ Pollutant List'!$D$7:$D$611,MATCH($D798,'DEQ Pollutant List'!$B$7:$B$611,0)),INDEX('DEQ Pollutant List'!$D$7:$D$611,MATCH($C798,'DEQ Pollutant List'!$A$7:$A$611,0))),"")</f>
        <v>406</v>
      </c>
    </row>
    <row r="799" spans="1:15" ht="15" x14ac:dyDescent="0.25">
      <c r="A799" s="5" t="s">
        <v>1319</v>
      </c>
      <c r="B799" s="7"/>
      <c r="C799" s="13" t="s">
        <v>48</v>
      </c>
      <c r="D799" s="19" t="str">
        <f>IFERROR(IF(C799="No CAS","",INDEX('DEQ Pollutant List'!$B$7:$B$611,MATCH('3. Pollutant Emissions - EF'!C799,'DEQ Pollutant List'!$A$7:$A$611,0))),"")</f>
        <v>Benzo[a]pyrene</v>
      </c>
      <c r="E799" s="23">
        <v>0</v>
      </c>
      <c r="F799" s="21">
        <v>0</v>
      </c>
      <c r="G799" s="23" t="s">
        <v>1415</v>
      </c>
      <c r="H799" s="21" t="s">
        <v>1415</v>
      </c>
      <c r="I799" s="34">
        <v>1.1999999999999999E-6</v>
      </c>
      <c r="J799" s="11">
        <f t="shared" si="28"/>
        <v>1.1999999999999999E-6</v>
      </c>
      <c r="K799" s="6" t="s">
        <v>1416</v>
      </c>
      <c r="L799" s="20"/>
      <c r="M799" s="7">
        <f>IF(ISBLANK($B799),_xlfn.XLOOKUP($A799,'2. TEUs &amp; Activities - EF'!$A$9:$A$190,'2. TEUs &amp; Activities - EF'!$J$9:$J$190),_xlfn.XLOOKUP($B799,'2. TEUs &amp; Activities - EF'!$B$9:$B$190,'2. TEUs &amp; Activities - EF'!$J$9:$J$190))*'3. Pollutant Emissions - EF'!$I799*IF(OR(ISBLANK($E799),$G799="Yes"),1,$E799)*IF($H799="Yes",1,(1-$F799))</f>
        <v>9.2752941176470583E-6</v>
      </c>
      <c r="N799" s="5">
        <f>IF(ISBLANK($B799),_xlfn.XLOOKUP($A799,'2. TEUs &amp; Activities - EF'!$A$9:$A$190,'2. TEUs &amp; Activities - EF'!$M$9:$M$190),_xlfn.XLOOKUP($B799,'2. TEUs &amp; Activities - EF'!$B$9:$B$190,'2. TEUs &amp; Activities - EF'!$M$9:$M$190))*'3. Pollutant Emissions - EF'!$J799*IF(OR(ISBLANK($E799),$G799="Yes"),1,$E799)*IF($H799="Yes",1,(1-$F799))</f>
        <v>2.5411764705882355E-8</v>
      </c>
      <c r="O799" s="130">
        <f>IFERROR(IF(OR($C799="",$C799="No CAS"),INDEX('DEQ Pollutant List'!$D$7:$D$611,MATCH($D799,'DEQ Pollutant List'!$B$7:$B$611,0)),INDEX('DEQ Pollutant List'!$D$7:$D$611,MATCH($C799,'DEQ Pollutant List'!$A$7:$A$611,0))),"")</f>
        <v>406</v>
      </c>
    </row>
    <row r="800" spans="1:15" ht="15" x14ac:dyDescent="0.25">
      <c r="A800" s="5" t="s">
        <v>1320</v>
      </c>
      <c r="B800" s="7"/>
      <c r="C800" s="13" t="s">
        <v>48</v>
      </c>
      <c r="D800" s="19" t="str">
        <f>IFERROR(IF(C800="No CAS","",INDEX('DEQ Pollutant List'!$B$7:$B$611,MATCH('3. Pollutant Emissions - EF'!C800,'DEQ Pollutant List'!$A$7:$A$611,0))),"")</f>
        <v>Benzo[a]pyrene</v>
      </c>
      <c r="E800" s="23">
        <v>0</v>
      </c>
      <c r="F800" s="21">
        <v>0</v>
      </c>
      <c r="G800" s="23" t="s">
        <v>1415</v>
      </c>
      <c r="H800" s="21" t="s">
        <v>1415</v>
      </c>
      <c r="I800" s="34">
        <v>1.1999999999999999E-6</v>
      </c>
      <c r="J800" s="11">
        <f t="shared" si="28"/>
        <v>1.1999999999999999E-6</v>
      </c>
      <c r="K800" s="6" t="s">
        <v>1416</v>
      </c>
      <c r="L800" s="20"/>
      <c r="M800" s="7">
        <f>IF(ISBLANK($B800),_xlfn.XLOOKUP($A800,'2. TEUs &amp; Activities - EF'!$A$9:$A$190,'2. TEUs &amp; Activities - EF'!$J$9:$J$190),_xlfn.XLOOKUP($B800,'2. TEUs &amp; Activities - EF'!$B$9:$B$190,'2. TEUs &amp; Activities - EF'!$J$9:$J$190))*'3. Pollutant Emissions - EF'!$I800*IF(OR(ISBLANK($E800),$G800="Yes"),1,$E800)*IF($H800="Yes",1,(1-$F800))</f>
        <v>2.5764705882352938E-5</v>
      </c>
      <c r="N800" s="5">
        <f>IF(ISBLANK($B800),_xlfn.XLOOKUP($A800,'2. TEUs &amp; Activities - EF'!$A$9:$A$190,'2. TEUs &amp; Activities - EF'!$M$9:$M$190),_xlfn.XLOOKUP($B800,'2. TEUs &amp; Activities - EF'!$B$9:$B$190,'2. TEUs &amp; Activities - EF'!$M$9:$M$190))*'3. Pollutant Emissions - EF'!$J800*IF(OR(ISBLANK($E800),$G800="Yes"),1,$E800)*IF($H800="Yes",1,(1-$F800))</f>
        <v>7.0588235294117648E-8</v>
      </c>
      <c r="O800" s="130">
        <f>IFERROR(IF(OR($C800="",$C800="No CAS"),INDEX('DEQ Pollutant List'!$D$7:$D$611,MATCH($D800,'DEQ Pollutant List'!$B$7:$B$611,0)),INDEX('DEQ Pollutant List'!$D$7:$D$611,MATCH($C800,'DEQ Pollutant List'!$A$7:$A$611,0))),"")</f>
        <v>406</v>
      </c>
    </row>
    <row r="801" spans="1:15" ht="15" x14ac:dyDescent="0.25">
      <c r="A801" s="5" t="s">
        <v>1321</v>
      </c>
      <c r="B801" s="7"/>
      <c r="C801" s="13" t="s">
        <v>48</v>
      </c>
      <c r="D801" s="19" t="str">
        <f>IFERROR(IF(C801="No CAS","",INDEX('DEQ Pollutant List'!$B$7:$B$611,MATCH('3. Pollutant Emissions - EF'!C801,'DEQ Pollutant List'!$A$7:$A$611,0))),"")</f>
        <v>Benzo[a]pyrene</v>
      </c>
      <c r="E801" s="23">
        <v>0</v>
      </c>
      <c r="F801" s="21">
        <v>0</v>
      </c>
      <c r="G801" s="23" t="s">
        <v>1415</v>
      </c>
      <c r="H801" s="21" t="s">
        <v>1415</v>
      </c>
      <c r="I801" s="34">
        <v>1.1999999999999999E-6</v>
      </c>
      <c r="J801" s="11">
        <f t="shared" si="28"/>
        <v>1.1999999999999999E-6</v>
      </c>
      <c r="K801" s="6" t="s">
        <v>1416</v>
      </c>
      <c r="L801" s="20"/>
      <c r="M801" s="7">
        <f>IF(ISBLANK($B801),_xlfn.XLOOKUP($A801,'2. TEUs &amp; Activities - EF'!$A$9:$A$190,'2. TEUs &amp; Activities - EF'!$J$9:$J$190),_xlfn.XLOOKUP($B801,'2. TEUs &amp; Activities - EF'!$B$9:$B$190,'2. TEUs &amp; Activities - EF'!$J$9:$J$190))*'3. Pollutant Emissions - EF'!$I801*IF(OR(ISBLANK($E801),$G801="Yes"),1,$E801)*IF($H801="Yes",1,(1-$F801))</f>
        <v>1.8550588235294117E-5</v>
      </c>
      <c r="N801" s="5">
        <f>IF(ISBLANK($B801),_xlfn.XLOOKUP($A801,'2. TEUs &amp; Activities - EF'!$A$9:$A$190,'2. TEUs &amp; Activities - EF'!$M$9:$M$190),_xlfn.XLOOKUP($B801,'2. TEUs &amp; Activities - EF'!$B$9:$B$190,'2. TEUs &amp; Activities - EF'!$M$9:$M$190))*'3. Pollutant Emissions - EF'!$J801*IF(OR(ISBLANK($E801),$G801="Yes"),1,$E801)*IF($H801="Yes",1,(1-$F801))</f>
        <v>5.082352941176471E-8</v>
      </c>
      <c r="O801" s="130">
        <f>IFERROR(IF(OR($C801="",$C801="No CAS"),INDEX('DEQ Pollutant List'!$D$7:$D$611,MATCH($D801,'DEQ Pollutant List'!$B$7:$B$611,0)),INDEX('DEQ Pollutant List'!$D$7:$D$611,MATCH($C801,'DEQ Pollutant List'!$A$7:$A$611,0))),"")</f>
        <v>406</v>
      </c>
    </row>
    <row r="802" spans="1:15" ht="15" x14ac:dyDescent="0.25">
      <c r="A802" s="5" t="s">
        <v>1322</v>
      </c>
      <c r="B802" s="7"/>
      <c r="C802" s="13" t="s">
        <v>48</v>
      </c>
      <c r="D802" s="19" t="str">
        <f>IFERROR(IF(C802="No CAS","",INDEX('DEQ Pollutant List'!$B$7:$B$611,MATCH('3. Pollutant Emissions - EF'!C802,'DEQ Pollutant List'!$A$7:$A$611,0))),"")</f>
        <v>Benzo[a]pyrene</v>
      </c>
      <c r="E802" s="23">
        <v>0</v>
      </c>
      <c r="F802" s="21">
        <v>0</v>
      </c>
      <c r="G802" s="23" t="s">
        <v>1415</v>
      </c>
      <c r="H802" s="21" t="s">
        <v>1415</v>
      </c>
      <c r="I802" s="34">
        <v>1.1999999999999999E-6</v>
      </c>
      <c r="J802" s="11">
        <f t="shared" si="28"/>
        <v>1.1999999999999999E-6</v>
      </c>
      <c r="K802" s="6" t="s">
        <v>1416</v>
      </c>
      <c r="L802" s="20"/>
      <c r="M802" s="7">
        <f>IF(ISBLANK($B802),_xlfn.XLOOKUP($A802,'2. TEUs &amp; Activities - EF'!$A$9:$A$190,'2. TEUs &amp; Activities - EF'!$J$9:$J$190),_xlfn.XLOOKUP($B802,'2. TEUs &amp; Activities - EF'!$B$9:$B$190,'2. TEUs &amp; Activities - EF'!$J$9:$J$190))*'3. Pollutant Emissions - EF'!$I802*IF(OR(ISBLANK($E802),$G802="Yes"),1,$E802)*IF($H802="Yes",1,(1-$F802))</f>
        <v>7.5645176470588225E-6</v>
      </c>
      <c r="N802" s="5">
        <f>IF(ISBLANK($B802),_xlfn.XLOOKUP($A802,'2. TEUs &amp; Activities - EF'!$A$9:$A$190,'2. TEUs &amp; Activities - EF'!$M$9:$M$190),_xlfn.XLOOKUP($B802,'2. TEUs &amp; Activities - EF'!$B$9:$B$190,'2. TEUs &amp; Activities - EF'!$M$9:$M$190))*'3. Pollutant Emissions - EF'!$J802*IF(OR(ISBLANK($E802),$G802="Yes"),1,$E802)*IF($H802="Yes",1,(1-$F802))</f>
        <v>1.9764705882352938E-8</v>
      </c>
      <c r="O802" s="130">
        <f>IFERROR(IF(OR($C802="",$C802="No CAS"),INDEX('DEQ Pollutant List'!$D$7:$D$611,MATCH($D802,'DEQ Pollutant List'!$B$7:$B$611,0)),INDEX('DEQ Pollutant List'!$D$7:$D$611,MATCH($C802,'DEQ Pollutant List'!$A$7:$A$611,0))),"")</f>
        <v>406</v>
      </c>
    </row>
    <row r="803" spans="1:15" ht="15" x14ac:dyDescent="0.25">
      <c r="A803" s="5" t="s">
        <v>1323</v>
      </c>
      <c r="B803" s="7"/>
      <c r="C803" s="13" t="s">
        <v>48</v>
      </c>
      <c r="D803" s="19" t="str">
        <f>IFERROR(IF(C803="No CAS","",INDEX('DEQ Pollutant List'!$B$7:$B$611,MATCH('3. Pollutant Emissions - EF'!C803,'DEQ Pollutant List'!$A$7:$A$611,0))),"")</f>
        <v>Benzo[a]pyrene</v>
      </c>
      <c r="E803" s="23">
        <v>0</v>
      </c>
      <c r="F803" s="21">
        <v>0</v>
      </c>
      <c r="G803" s="23" t="s">
        <v>1415</v>
      </c>
      <c r="H803" s="21" t="s">
        <v>1415</v>
      </c>
      <c r="I803" s="34">
        <v>1.1999999999999999E-6</v>
      </c>
      <c r="J803" s="11">
        <f t="shared" si="28"/>
        <v>1.1999999999999999E-6</v>
      </c>
      <c r="K803" s="6" t="s">
        <v>1416</v>
      </c>
      <c r="L803" s="20"/>
      <c r="M803" s="7">
        <f>IF(ISBLANK($B803),_xlfn.XLOOKUP($A803,'2. TEUs &amp; Activities - EF'!$A$9:$A$190,'2. TEUs &amp; Activities - EF'!$J$9:$J$190),_xlfn.XLOOKUP($B803,'2. TEUs &amp; Activities - EF'!$B$9:$B$190,'2. TEUs &amp; Activities - EF'!$J$9:$J$190))*'3. Pollutant Emissions - EF'!$I803*IF(OR(ISBLANK($E803),$G803="Yes"),1,$E803)*IF($H803="Yes",1,(1-$F803))</f>
        <v>7.5645176470588225E-6</v>
      </c>
      <c r="N803" s="5">
        <f>IF(ISBLANK($B803),_xlfn.XLOOKUP($A803,'2. TEUs &amp; Activities - EF'!$A$9:$A$190,'2. TEUs &amp; Activities - EF'!$M$9:$M$190),_xlfn.XLOOKUP($B803,'2. TEUs &amp; Activities - EF'!$B$9:$B$190,'2. TEUs &amp; Activities - EF'!$M$9:$M$190))*'3. Pollutant Emissions - EF'!$J803*IF(OR(ISBLANK($E803),$G803="Yes"),1,$E803)*IF($H803="Yes",1,(1-$F803))</f>
        <v>1.9764705882352938E-8</v>
      </c>
      <c r="O803" s="130">
        <f>IFERROR(IF(OR($C803="",$C803="No CAS"),INDEX('DEQ Pollutant List'!$D$7:$D$611,MATCH($D803,'DEQ Pollutant List'!$B$7:$B$611,0)),INDEX('DEQ Pollutant List'!$D$7:$D$611,MATCH($C803,'DEQ Pollutant List'!$A$7:$A$611,0))),"")</f>
        <v>406</v>
      </c>
    </row>
    <row r="804" spans="1:15" ht="15" x14ac:dyDescent="0.25">
      <c r="A804" s="5" t="s">
        <v>1324</v>
      </c>
      <c r="B804" s="7"/>
      <c r="C804" s="13" t="s">
        <v>48</v>
      </c>
      <c r="D804" s="19" t="str">
        <f>IFERROR(IF(C804="No CAS","",INDEX('DEQ Pollutant List'!$B$7:$B$611,MATCH('3. Pollutant Emissions - EF'!C804,'DEQ Pollutant List'!$A$7:$A$611,0))),"")</f>
        <v>Benzo[a]pyrene</v>
      </c>
      <c r="E804" s="23">
        <v>0</v>
      </c>
      <c r="F804" s="21">
        <v>0</v>
      </c>
      <c r="G804" s="23" t="s">
        <v>1415</v>
      </c>
      <c r="H804" s="21" t="s">
        <v>1415</v>
      </c>
      <c r="I804" s="34">
        <v>1.1999999999999999E-6</v>
      </c>
      <c r="J804" s="11">
        <f t="shared" si="28"/>
        <v>1.1999999999999999E-6</v>
      </c>
      <c r="K804" s="6" t="s">
        <v>1416</v>
      </c>
      <c r="L804" s="20"/>
      <c r="M804" s="7">
        <f>IF(ISBLANK($B804),_xlfn.XLOOKUP($A804,'2. TEUs &amp; Activities - EF'!$A$9:$A$190,'2. TEUs &amp; Activities - EF'!$J$9:$J$190),_xlfn.XLOOKUP($B804,'2. TEUs &amp; Activities - EF'!$B$9:$B$190,'2. TEUs &amp; Activities - EF'!$J$9:$J$190))*'3. Pollutant Emissions - EF'!$I804*IF(OR(ISBLANK($E804),$G804="Yes"),1,$E804)*IF($H804="Yes",1,(1-$F804))</f>
        <v>3.0917647058823529E-6</v>
      </c>
      <c r="N804" s="5">
        <f>IF(ISBLANK($B804),_xlfn.XLOOKUP($A804,'2. TEUs &amp; Activities - EF'!$A$9:$A$190,'2. TEUs &amp; Activities - EF'!$M$9:$M$190),_xlfn.XLOOKUP($B804,'2. TEUs &amp; Activities - EF'!$B$9:$B$190,'2. TEUs &amp; Activities - EF'!$M$9:$M$190))*'3. Pollutant Emissions - EF'!$J804*IF(OR(ISBLANK($E804),$G804="Yes"),1,$E804)*IF($H804="Yes",1,(1-$F804))</f>
        <v>8.4705882352941172E-9</v>
      </c>
      <c r="O804" s="130">
        <f>IFERROR(IF(OR($C804="",$C804="No CAS"),INDEX('DEQ Pollutant List'!$D$7:$D$611,MATCH($D804,'DEQ Pollutant List'!$B$7:$B$611,0)),INDEX('DEQ Pollutant List'!$D$7:$D$611,MATCH($C804,'DEQ Pollutant List'!$A$7:$A$611,0))),"")</f>
        <v>406</v>
      </c>
    </row>
    <row r="805" spans="1:15" ht="15" x14ac:dyDescent="0.25">
      <c r="A805" s="5" t="s">
        <v>1325</v>
      </c>
      <c r="B805" s="7"/>
      <c r="C805" s="13" t="s">
        <v>48</v>
      </c>
      <c r="D805" s="19" t="str">
        <f>IFERROR(IF(C805="No CAS","",INDEX('DEQ Pollutant List'!$B$7:$B$611,MATCH('3. Pollutant Emissions - EF'!C805,'DEQ Pollutant List'!$A$7:$A$611,0))),"")</f>
        <v>Benzo[a]pyrene</v>
      </c>
      <c r="E805" s="23">
        <v>0</v>
      </c>
      <c r="F805" s="21">
        <v>0</v>
      </c>
      <c r="G805" s="23" t="s">
        <v>1415</v>
      </c>
      <c r="H805" s="21" t="s">
        <v>1415</v>
      </c>
      <c r="I805" s="34">
        <v>1.1999999999999999E-6</v>
      </c>
      <c r="J805" s="11">
        <f t="shared" si="28"/>
        <v>1.1999999999999999E-6</v>
      </c>
      <c r="K805" s="6" t="s">
        <v>1416</v>
      </c>
      <c r="L805" s="20"/>
      <c r="M805" s="7">
        <f>IF(ISBLANK($B805),_xlfn.XLOOKUP($A805,'2. TEUs &amp; Activities - EF'!$A$9:$A$190,'2. TEUs &amp; Activities - EF'!$J$9:$J$190),_xlfn.XLOOKUP($B805,'2. TEUs &amp; Activities - EF'!$B$9:$B$190,'2. TEUs &amp; Activities - EF'!$J$9:$J$190))*'3. Pollutant Emissions - EF'!$I805*IF(OR(ISBLANK($E805),$G805="Yes"),1,$E805)*IF($H805="Yes",1,(1-$F805))</f>
        <v>1.0305882352941175E-5</v>
      </c>
      <c r="N805" s="5">
        <f>IF(ISBLANK($B805),_xlfn.XLOOKUP($A805,'2. TEUs &amp; Activities - EF'!$A$9:$A$190,'2. TEUs &amp; Activities - EF'!$M$9:$M$190),_xlfn.XLOOKUP($B805,'2. TEUs &amp; Activities - EF'!$B$9:$B$190,'2. TEUs &amp; Activities - EF'!$M$9:$M$190))*'3. Pollutant Emissions - EF'!$J805*IF(OR(ISBLANK($E805),$G805="Yes"),1,$E805)*IF($H805="Yes",1,(1-$F805))</f>
        <v>2.8235294117647058E-8</v>
      </c>
      <c r="O805" s="130">
        <f>IFERROR(IF(OR($C805="",$C805="No CAS"),INDEX('DEQ Pollutant List'!$D$7:$D$611,MATCH($D805,'DEQ Pollutant List'!$B$7:$B$611,0)),INDEX('DEQ Pollutant List'!$D$7:$D$611,MATCH($C805,'DEQ Pollutant List'!$A$7:$A$611,0))),"")</f>
        <v>406</v>
      </c>
    </row>
    <row r="806" spans="1:15" ht="15" x14ac:dyDescent="0.25">
      <c r="A806" s="5" t="s">
        <v>1542</v>
      </c>
      <c r="B806" s="7"/>
      <c r="C806" s="13" t="s">
        <v>48</v>
      </c>
      <c r="D806" s="19" t="str">
        <f>IFERROR(IF(C806="No CAS","",INDEX('DEQ Pollutant List'!$B$7:$B$611,MATCH('3. Pollutant Emissions - EF'!C806,'DEQ Pollutant List'!$A$7:$A$611,0))),"")</f>
        <v>Benzo[a]pyrene</v>
      </c>
      <c r="E806" s="23">
        <v>0</v>
      </c>
      <c r="F806" s="21">
        <v>0</v>
      </c>
      <c r="G806" s="23" t="s">
        <v>1415</v>
      </c>
      <c r="H806" s="21" t="s">
        <v>1415</v>
      </c>
      <c r="I806" s="34">
        <v>1.1999999999999999E-6</v>
      </c>
      <c r="J806" s="11">
        <f t="shared" si="28"/>
        <v>1.1999999999999999E-6</v>
      </c>
      <c r="K806" s="6" t="s">
        <v>1416</v>
      </c>
      <c r="L806" s="20"/>
      <c r="M806" s="7">
        <f>IF(ISBLANK($B806),_xlfn.XLOOKUP($A806,'2. TEUs &amp; Activities - EF'!$A$9:$A$190,'2. TEUs &amp; Activities - EF'!$J$9:$J$190),_xlfn.XLOOKUP($B806,'2. TEUs &amp; Activities - EF'!$B$9:$B$190,'2. TEUs &amp; Activities - EF'!$J$9:$J$190))*'3. Pollutant Emissions - EF'!$I806*IF(OR(ISBLANK($E806),$G806="Yes"),1,$E806)*IF($H806="Yes",1,(1-$F806))</f>
        <v>1.7675999999999998E-7</v>
      </c>
      <c r="N806" s="5">
        <f>IF(ISBLANK($B806),_xlfn.XLOOKUP($A806,'2. TEUs &amp; Activities - EF'!$A$9:$A$190,'2. TEUs &amp; Activities - EF'!$M$9:$M$190),_xlfn.XLOOKUP($B806,'2. TEUs &amp; Activities - EF'!$B$9:$B$190,'2. TEUs &amp; Activities - EF'!$M$9:$M$190))*'3. Pollutant Emissions - EF'!$J806*IF(OR(ISBLANK($E806),$G806="Yes"),1,$E806)*IF($H806="Yes",1,(1-$F806))</f>
        <v>4.2422399999999989E-8</v>
      </c>
      <c r="O806" s="130">
        <f>IFERROR(IF(OR($C806="",$C806="No CAS"),INDEX('DEQ Pollutant List'!$D$7:$D$611,MATCH($D806,'DEQ Pollutant List'!$B$7:$B$611,0)),INDEX('DEQ Pollutant List'!$D$7:$D$611,MATCH($C806,'DEQ Pollutant List'!$A$7:$A$611,0))),"")</f>
        <v>406</v>
      </c>
    </row>
    <row r="807" spans="1:15" ht="15" x14ac:dyDescent="0.25">
      <c r="A807" s="5" t="s">
        <v>1543</v>
      </c>
      <c r="B807" s="7"/>
      <c r="C807" s="13" t="s">
        <v>48</v>
      </c>
      <c r="D807" s="19" t="str">
        <f>IFERROR(IF(C807="No CAS","",INDEX('DEQ Pollutant List'!$B$7:$B$611,MATCH('3. Pollutant Emissions - EF'!C807,'DEQ Pollutant List'!$A$7:$A$611,0))),"")</f>
        <v>Benzo[a]pyrene</v>
      </c>
      <c r="E807" s="23">
        <v>0</v>
      </c>
      <c r="F807" s="21">
        <v>0</v>
      </c>
      <c r="G807" s="23" t="s">
        <v>1415</v>
      </c>
      <c r="H807" s="21" t="s">
        <v>1415</v>
      </c>
      <c r="I807" s="34">
        <v>1.1999999999999999E-6</v>
      </c>
      <c r="J807" s="11">
        <f t="shared" si="28"/>
        <v>1.1999999999999999E-6</v>
      </c>
      <c r="K807" s="6" t="s">
        <v>1416</v>
      </c>
      <c r="L807" s="20"/>
      <c r="M807" s="7">
        <f>IF(ISBLANK($B807),_xlfn.XLOOKUP($A807,'2. TEUs &amp; Activities - EF'!$A$9:$A$190,'2. TEUs &amp; Activities - EF'!$J$9:$J$190),_xlfn.XLOOKUP($B807,'2. TEUs &amp; Activities - EF'!$B$9:$B$190,'2. TEUs &amp; Activities - EF'!$J$9:$J$190))*'3. Pollutant Emissions - EF'!$I807*IF(OR(ISBLANK($E807),$G807="Yes"),1,$E807)*IF($H807="Yes",1,(1-$F807))</f>
        <v>2.3580000000000001E-7</v>
      </c>
      <c r="N807" s="5">
        <f>IF(ISBLANK($B807),_xlfn.XLOOKUP($A807,'2. TEUs &amp; Activities - EF'!$A$9:$A$190,'2. TEUs &amp; Activities - EF'!$M$9:$M$190),_xlfn.XLOOKUP($B807,'2. TEUs &amp; Activities - EF'!$B$9:$B$190,'2. TEUs &amp; Activities - EF'!$M$9:$M$190))*'3. Pollutant Emissions - EF'!$J807*IF(OR(ISBLANK($E807),$G807="Yes"),1,$E807)*IF($H807="Yes",1,(1-$F807))</f>
        <v>5.6591999999999995E-8</v>
      </c>
      <c r="O807" s="130">
        <f>IFERROR(IF(OR($C807="",$C807="No CAS"),INDEX('DEQ Pollutant List'!$D$7:$D$611,MATCH($D807,'DEQ Pollutant List'!$B$7:$B$611,0)),INDEX('DEQ Pollutant List'!$D$7:$D$611,MATCH($C807,'DEQ Pollutant List'!$A$7:$A$611,0))),"")</f>
        <v>406</v>
      </c>
    </row>
    <row r="808" spans="1:15" ht="15" x14ac:dyDescent="0.25">
      <c r="A808" s="5" t="s">
        <v>1541</v>
      </c>
      <c r="B808" s="7"/>
      <c r="C808" s="13" t="s">
        <v>48</v>
      </c>
      <c r="D808" s="19" t="str">
        <f>IFERROR(IF(C808="No CAS","",INDEX('DEQ Pollutant List'!$B$7:$B$611,MATCH('3. Pollutant Emissions - EF'!C808,'DEQ Pollutant List'!$A$7:$A$611,0))),"")</f>
        <v>Benzo[a]pyrene</v>
      </c>
      <c r="E808" s="23">
        <v>0</v>
      </c>
      <c r="F808" s="21">
        <v>0</v>
      </c>
      <c r="G808" s="23" t="s">
        <v>1415</v>
      </c>
      <c r="H808" s="21" t="s">
        <v>1415</v>
      </c>
      <c r="I808" s="34">
        <v>1.1999999999999999E-6</v>
      </c>
      <c r="J808" s="11">
        <f t="shared" si="28"/>
        <v>1.1999999999999999E-6</v>
      </c>
      <c r="K808" s="6" t="s">
        <v>1416</v>
      </c>
      <c r="L808" s="20"/>
      <c r="M808" s="7">
        <f>IF(ISBLANK($B808),_xlfn.XLOOKUP($A808,'2. TEUs &amp; Activities - EF'!$A$9:$A$190,'2. TEUs &amp; Activities - EF'!$J$9:$J$190),_xlfn.XLOOKUP($B808,'2. TEUs &amp; Activities - EF'!$B$9:$B$190,'2. TEUs &amp; Activities - EF'!$J$9:$J$190))*'3. Pollutant Emissions - EF'!$I808*IF(OR(ISBLANK($E808),$G808="Yes"),1,$E808)*IF($H808="Yes",1,(1-$F808))</f>
        <v>1.1812865497076023E-6</v>
      </c>
      <c r="N808" s="5">
        <f>IF(ISBLANK($B808),_xlfn.XLOOKUP($A808,'2. TEUs &amp; Activities - EF'!$A$9:$A$190,'2. TEUs &amp; Activities - EF'!$M$9:$M$190),_xlfn.XLOOKUP($B808,'2. TEUs &amp; Activities - EF'!$B$9:$B$190,'2. TEUs &amp; Activities - EF'!$M$9:$M$190))*'3. Pollutant Emissions - EF'!$J808*IF(OR(ISBLANK($E808),$G808="Yes"),1,$E808)*IF($H808="Yes",1,(1-$F808))</f>
        <v>2.8350877192982456E-7</v>
      </c>
      <c r="O808" s="130">
        <f>IFERROR(IF(OR($C808="",$C808="No CAS"),INDEX('DEQ Pollutant List'!$D$7:$D$611,MATCH($D808,'DEQ Pollutant List'!$B$7:$B$611,0)),INDEX('DEQ Pollutant List'!$D$7:$D$611,MATCH($C808,'DEQ Pollutant List'!$A$7:$A$611,0))),"")</f>
        <v>406</v>
      </c>
    </row>
    <row r="809" spans="1:15" ht="15" x14ac:dyDescent="0.25">
      <c r="A809" s="5"/>
      <c r="B809" s="7"/>
      <c r="C809" s="13"/>
      <c r="D809" s="19" t="str">
        <f>IFERROR(IF(C809="No CAS","",INDEX('DEQ Pollutant List'!$B$7:$B$611,MATCH('3. Pollutant Emissions - EF'!C809,'DEQ Pollutant List'!$A$7:$A$611,0))),"")</f>
        <v/>
      </c>
      <c r="E809" s="23"/>
      <c r="F809" s="21"/>
      <c r="G809" s="23"/>
      <c r="H809" s="21"/>
      <c r="I809" s="34"/>
      <c r="J809" s="11"/>
      <c r="K809" s="6"/>
      <c r="L809" s="20"/>
      <c r="M809" s="7">
        <f>IF(ISBLANK($B809),_xlfn.XLOOKUP($A809,'2. TEUs &amp; Activities - EF'!$A$9:$A$190,'2. TEUs &amp; Activities - EF'!$J$9:$J$190),_xlfn.XLOOKUP($B809,'2. TEUs &amp; Activities - EF'!$B$9:$B$190,'2. TEUs &amp; Activities - EF'!$J$9:$J$190))*'3. Pollutant Emissions - EF'!$I809*IF(OR(ISBLANK($E809),$G809="Yes"),1,$E809)*IF($H809="Yes",1,(1-$F809))</f>
        <v>0</v>
      </c>
      <c r="N809" s="5">
        <f>IF(ISBLANK($B809),_xlfn.XLOOKUP($A809,'2. TEUs &amp; Activities - EF'!$A$9:$A$190,'2. TEUs &amp; Activities - EF'!$M$9:$M$190),_xlfn.XLOOKUP($B809,'2. TEUs &amp; Activities - EF'!$B$9:$B$190,'2. TEUs &amp; Activities - EF'!$M$9:$M$190))*'3. Pollutant Emissions - EF'!$J809*IF(OR(ISBLANK($E809),$G809="Yes"),1,$E809)*IF($H809="Yes",1,(1-$F809))</f>
        <v>0</v>
      </c>
      <c r="O809" s="130" t="str">
        <f>IFERROR(IF(OR($C809="",$C809="No CAS"),INDEX('DEQ Pollutant List'!$D$7:$D$611,MATCH($D809,'DEQ Pollutant List'!$B$7:$B$611,0)),INDEX('DEQ Pollutant List'!$D$7:$D$611,MATCH($C809,'DEQ Pollutant List'!$A$7:$A$611,0))),"")</f>
        <v/>
      </c>
    </row>
    <row r="810" spans="1:15" ht="15" x14ac:dyDescent="0.25">
      <c r="A810" s="5" t="s">
        <v>1550</v>
      </c>
      <c r="B810" s="7"/>
      <c r="C810" s="13" t="s">
        <v>50</v>
      </c>
      <c r="D810" s="19" t="str">
        <f>IFERROR(IF(C810="No CAS","",INDEX('DEQ Pollutant List'!$B$7:$B$611,MATCH('3. Pollutant Emissions - EF'!C810,'DEQ Pollutant List'!$A$7:$A$611,0))),"")</f>
        <v>Acetaldehyde</v>
      </c>
      <c r="E810" s="23">
        <v>0</v>
      </c>
      <c r="F810" s="21">
        <v>0</v>
      </c>
      <c r="G810" s="23" t="s">
        <v>1415</v>
      </c>
      <c r="H810" s="21" t="s">
        <v>1415</v>
      </c>
      <c r="I810" s="34">
        <v>4.3E-3</v>
      </c>
      <c r="J810" s="11">
        <f t="shared" ref="J810:J835" si="29">I810</f>
        <v>4.3E-3</v>
      </c>
      <c r="K810" s="6" t="s">
        <v>1416</v>
      </c>
      <c r="L810" s="20" t="s">
        <v>1422</v>
      </c>
      <c r="M810" s="7">
        <f>IF(ISBLANK($B810),_xlfn.XLOOKUP($A810,'2. TEUs &amp; Activities - EF'!$A$9:$A$190,'2. TEUs &amp; Activities - EF'!$J$9:$J$190),_xlfn.XLOOKUP($B810,'2. TEUs &amp; Activities - EF'!$B$9:$B$190,'2. TEUs &amp; Activities - EF'!$J$9:$J$190))*'3. Pollutant Emissions - EF'!$I810*IF(OR(ISBLANK($E810),$G810="Yes"),1,$E810)*IF($H810="Yes",1,(1-$F810))</f>
        <v>9.1400294117647066E-2</v>
      </c>
      <c r="N810" s="5">
        <f>IF(ISBLANK($B810),_xlfn.XLOOKUP($A810,'2. TEUs &amp; Activities - EF'!$A$9:$A$190,'2. TEUs &amp; Activities - EF'!$M$9:$M$190),_xlfn.XLOOKUP($B810,'2. TEUs &amp; Activities - EF'!$B$9:$B$190,'2. TEUs &amp; Activities - EF'!$M$9:$M$190))*'3. Pollutant Emissions - EF'!$J810*IF(OR(ISBLANK($E810),$G810="Yes"),1,$E810)*IF($H810="Yes",1,(1-$F810))</f>
        <v>2.5041176470588236E-4</v>
      </c>
      <c r="O810" s="130">
        <f>IFERROR(IF(OR($C810="",$C810="No CAS"),INDEX('DEQ Pollutant List'!$D$7:$D$611,MATCH($D810,'DEQ Pollutant List'!$B$7:$B$611,0)),INDEX('DEQ Pollutant List'!$D$7:$D$611,MATCH($C810,'DEQ Pollutant List'!$A$7:$A$611,0))),"")</f>
        <v>1</v>
      </c>
    </row>
    <row r="811" spans="1:15" ht="15" x14ac:dyDescent="0.25">
      <c r="A811" s="5" t="s">
        <v>1550</v>
      </c>
      <c r="B811" s="7"/>
      <c r="C811" s="13" t="s">
        <v>51</v>
      </c>
      <c r="D811" s="19" t="str">
        <f>IFERROR(IF(C811="No CAS","",INDEX('DEQ Pollutant List'!$B$7:$B$611,MATCH('3. Pollutant Emissions - EF'!C811,'DEQ Pollutant List'!$A$7:$A$611,0))),"")</f>
        <v>Acrolein</v>
      </c>
      <c r="E811" s="23">
        <v>0</v>
      </c>
      <c r="F811" s="21">
        <v>0</v>
      </c>
      <c r="G811" s="23" t="s">
        <v>1415</v>
      </c>
      <c r="H811" s="21" t="s">
        <v>1415</v>
      </c>
      <c r="I811" s="34">
        <v>2.7000000000000001E-3</v>
      </c>
      <c r="J811" s="11">
        <f t="shared" si="29"/>
        <v>2.7000000000000001E-3</v>
      </c>
      <c r="K811" s="6" t="s">
        <v>1416</v>
      </c>
      <c r="L811" s="20" t="s">
        <v>1422</v>
      </c>
      <c r="M811" s="7">
        <f>IF(ISBLANK($B811),_xlfn.XLOOKUP($A811,'2. TEUs &amp; Activities - EF'!$A$9:$A$190,'2. TEUs &amp; Activities - EF'!$J$9:$J$190),_xlfn.XLOOKUP($B811,'2. TEUs &amp; Activities - EF'!$B$9:$B$190,'2. TEUs &amp; Activities - EF'!$J$9:$J$190))*'3. Pollutant Emissions - EF'!$I811*IF(OR(ISBLANK($E811),$G811="Yes"),1,$E811)*IF($H811="Yes",1,(1-$F811))</f>
        <v>5.7390882352941187E-2</v>
      </c>
      <c r="N811" s="5">
        <f>IF(ISBLANK($B811),_xlfn.XLOOKUP($A811,'2. TEUs &amp; Activities - EF'!$A$9:$A$190,'2. TEUs &amp; Activities - EF'!$M$9:$M$190),_xlfn.XLOOKUP($B811,'2. TEUs &amp; Activities - EF'!$B$9:$B$190,'2. TEUs &amp; Activities - EF'!$M$9:$M$190))*'3. Pollutant Emissions - EF'!$J811*IF(OR(ISBLANK($E811),$G811="Yes"),1,$E811)*IF($H811="Yes",1,(1-$F811))</f>
        <v>1.5723529411764707E-4</v>
      </c>
      <c r="O811" s="130">
        <f>IFERROR(IF(OR($C811="",$C811="No CAS"),INDEX('DEQ Pollutant List'!$D$7:$D$611,MATCH($D811,'DEQ Pollutant List'!$B$7:$B$611,0)),INDEX('DEQ Pollutant List'!$D$7:$D$611,MATCH($C811,'DEQ Pollutant List'!$A$7:$A$611,0))),"")</f>
        <v>5</v>
      </c>
    </row>
    <row r="812" spans="1:15" ht="15" x14ac:dyDescent="0.25">
      <c r="A812" s="5" t="s">
        <v>1550</v>
      </c>
      <c r="B812" s="7"/>
      <c r="C812" s="13" t="s">
        <v>52</v>
      </c>
      <c r="D812" s="19" t="str">
        <f>IFERROR(IF(C812="No CAS","",INDEX('DEQ Pollutant List'!$B$7:$B$611,MATCH('3. Pollutant Emissions - EF'!C812,'DEQ Pollutant List'!$A$7:$A$611,0))),"")</f>
        <v>Ammonia</v>
      </c>
      <c r="E812" s="23">
        <v>0</v>
      </c>
      <c r="F812" s="21">
        <v>0</v>
      </c>
      <c r="G812" s="23" t="s">
        <v>1415</v>
      </c>
      <c r="H812" s="21" t="s">
        <v>1415</v>
      </c>
      <c r="I812" s="34">
        <v>3.2</v>
      </c>
      <c r="J812" s="11">
        <f t="shared" si="29"/>
        <v>3.2</v>
      </c>
      <c r="K812" s="6" t="s">
        <v>1416</v>
      </c>
      <c r="L812" s="20" t="s">
        <v>1586</v>
      </c>
      <c r="M812" s="7">
        <f>IF(ISBLANK($B812),_xlfn.XLOOKUP($A812,'2. TEUs &amp; Activities - EF'!$A$9:$A$190,'2. TEUs &amp; Activities - EF'!$J$9:$J$190),_xlfn.XLOOKUP($B812,'2. TEUs &amp; Activities - EF'!$B$9:$B$190,'2. TEUs &amp; Activities - EF'!$J$9:$J$190))*'3. Pollutant Emissions - EF'!$I812*IF(OR(ISBLANK($E812),$G812="Yes"),1,$E812)*IF($H812="Yes",1,(1-$F812))</f>
        <v>68.018823529411776</v>
      </c>
      <c r="N812" s="5">
        <f>IF(ISBLANK($B812),_xlfn.XLOOKUP($A812,'2. TEUs &amp; Activities - EF'!$A$9:$A$190,'2. TEUs &amp; Activities - EF'!$M$9:$M$190),_xlfn.XLOOKUP($B812,'2. TEUs &amp; Activities - EF'!$B$9:$B$190,'2. TEUs &amp; Activities - EF'!$M$9:$M$190))*'3. Pollutant Emissions - EF'!$J812*IF(OR(ISBLANK($E812),$G812="Yes"),1,$E812)*IF($H812="Yes",1,(1-$F812))</f>
        <v>0.18635294117647061</v>
      </c>
      <c r="O812" s="130">
        <f>IFERROR(IF(OR($C812="",$C812="No CAS"),INDEX('DEQ Pollutant List'!$D$7:$D$611,MATCH($D812,'DEQ Pollutant List'!$B$7:$B$611,0)),INDEX('DEQ Pollutant List'!$D$7:$D$611,MATCH($C812,'DEQ Pollutant List'!$A$7:$A$611,0))),"")</f>
        <v>26</v>
      </c>
    </row>
    <row r="813" spans="1:15" ht="15" x14ac:dyDescent="0.25">
      <c r="A813" s="5" t="s">
        <v>1550</v>
      </c>
      <c r="B813" s="7"/>
      <c r="C813" s="13" t="s">
        <v>53</v>
      </c>
      <c r="D813" s="19" t="str">
        <f>IFERROR(IF(C813="No CAS","",INDEX('DEQ Pollutant List'!$B$7:$B$611,MATCH('3. Pollutant Emissions - EF'!C813,'DEQ Pollutant List'!$A$7:$A$611,0))),"")</f>
        <v>Arsenic and compounds</v>
      </c>
      <c r="E813" s="23">
        <v>0</v>
      </c>
      <c r="F813" s="21">
        <v>0</v>
      </c>
      <c r="G813" s="23" t="s">
        <v>1415</v>
      </c>
      <c r="H813" s="21" t="s">
        <v>1415</v>
      </c>
      <c r="I813" s="34">
        <v>2.0000000000000001E-4</v>
      </c>
      <c r="J813" s="11">
        <f t="shared" si="29"/>
        <v>2.0000000000000001E-4</v>
      </c>
      <c r="K813" s="6" t="s">
        <v>1416</v>
      </c>
      <c r="L813" s="20" t="s">
        <v>1422</v>
      </c>
      <c r="M813" s="7">
        <f>IF(ISBLANK($B813),_xlfn.XLOOKUP($A813,'2. TEUs &amp; Activities - EF'!$A$9:$A$190,'2. TEUs &amp; Activities - EF'!$J$9:$J$190),_xlfn.XLOOKUP($B813,'2. TEUs &amp; Activities - EF'!$B$9:$B$190,'2. TEUs &amp; Activities - EF'!$J$9:$J$190))*'3. Pollutant Emissions - EF'!$I813*IF(OR(ISBLANK($E813),$G813="Yes"),1,$E813)*IF($H813="Yes",1,(1-$F813))</f>
        <v>4.2511764705882357E-3</v>
      </c>
      <c r="N813" s="5">
        <f>IF(ISBLANK($B813),_xlfn.XLOOKUP($A813,'2. TEUs &amp; Activities - EF'!$A$9:$A$190,'2. TEUs &amp; Activities - EF'!$M$9:$M$190),_xlfn.XLOOKUP($B813,'2. TEUs &amp; Activities - EF'!$B$9:$B$190,'2. TEUs &amp; Activities - EF'!$M$9:$M$190))*'3. Pollutant Emissions - EF'!$J813*IF(OR(ISBLANK($E813),$G813="Yes"),1,$E813)*IF($H813="Yes",1,(1-$F813))</f>
        <v>1.1647058823529413E-5</v>
      </c>
      <c r="O813" s="130">
        <f>IFERROR(IF(OR($C813="",$C813="No CAS"),INDEX('DEQ Pollutant List'!$D$7:$D$611,MATCH($D813,'DEQ Pollutant List'!$B$7:$B$611,0)),INDEX('DEQ Pollutant List'!$D$7:$D$611,MATCH($C813,'DEQ Pollutant List'!$A$7:$A$611,0))),"")</f>
        <v>37</v>
      </c>
    </row>
    <row r="814" spans="1:15" ht="15" x14ac:dyDescent="0.25">
      <c r="A814" s="5" t="s">
        <v>1550</v>
      </c>
      <c r="B814" s="7"/>
      <c r="C814" s="13" t="s">
        <v>54</v>
      </c>
      <c r="D814" s="19" t="str">
        <f>IFERROR(IF(C814="No CAS","",INDEX('DEQ Pollutant List'!$B$7:$B$611,MATCH('3. Pollutant Emissions - EF'!C814,'DEQ Pollutant List'!$A$7:$A$611,0))),"")</f>
        <v>Barium and compounds</v>
      </c>
      <c r="E814" s="23">
        <v>0</v>
      </c>
      <c r="F814" s="21">
        <v>0</v>
      </c>
      <c r="G814" s="23" t="s">
        <v>1415</v>
      </c>
      <c r="H814" s="21" t="s">
        <v>1415</v>
      </c>
      <c r="I814" s="34">
        <v>4.4000000000000003E-3</v>
      </c>
      <c r="J814" s="11">
        <f t="shared" si="29"/>
        <v>4.4000000000000003E-3</v>
      </c>
      <c r="K814" s="6" t="s">
        <v>1416</v>
      </c>
      <c r="L814" s="20" t="s">
        <v>1422</v>
      </c>
      <c r="M814" s="7">
        <f>IF(ISBLANK($B814),_xlfn.XLOOKUP($A814,'2. TEUs &amp; Activities - EF'!$A$9:$A$190,'2. TEUs &amp; Activities - EF'!$J$9:$J$190),_xlfn.XLOOKUP($B814,'2. TEUs &amp; Activities - EF'!$B$9:$B$190,'2. TEUs &amp; Activities - EF'!$J$9:$J$190))*'3. Pollutant Emissions - EF'!$I814*IF(OR(ISBLANK($E814),$G814="Yes"),1,$E814)*IF($H814="Yes",1,(1-$F814))</f>
        <v>9.3525882352941195E-2</v>
      </c>
      <c r="N814" s="5">
        <f>IF(ISBLANK($B814),_xlfn.XLOOKUP($A814,'2. TEUs &amp; Activities - EF'!$A$9:$A$190,'2. TEUs &amp; Activities - EF'!$M$9:$M$190),_xlfn.XLOOKUP($B814,'2. TEUs &amp; Activities - EF'!$B$9:$B$190,'2. TEUs &amp; Activities - EF'!$M$9:$M$190))*'3. Pollutant Emissions - EF'!$J814*IF(OR(ISBLANK($E814),$G814="Yes"),1,$E814)*IF($H814="Yes",1,(1-$F814))</f>
        <v>2.5623529411764712E-4</v>
      </c>
      <c r="O814" s="130">
        <f>IFERROR(IF(OR($C814="",$C814="No CAS"),INDEX('DEQ Pollutant List'!$D$7:$D$611,MATCH($D814,'DEQ Pollutant List'!$B$7:$B$611,0)),INDEX('DEQ Pollutant List'!$D$7:$D$611,MATCH($C814,'DEQ Pollutant List'!$A$7:$A$611,0))),"")</f>
        <v>45</v>
      </c>
    </row>
    <row r="815" spans="1:15" ht="15" x14ac:dyDescent="0.25">
      <c r="A815" s="5" t="s">
        <v>1550</v>
      </c>
      <c r="B815" s="7"/>
      <c r="C815" s="13" t="s">
        <v>46</v>
      </c>
      <c r="D815" s="19" t="str">
        <f>IFERROR(IF(C815="No CAS","",INDEX('DEQ Pollutant List'!$B$7:$B$611,MATCH('3. Pollutant Emissions - EF'!C815,'DEQ Pollutant List'!$A$7:$A$611,0))),"")</f>
        <v>Benzene</v>
      </c>
      <c r="E815" s="23">
        <v>0</v>
      </c>
      <c r="F815" s="21">
        <v>0</v>
      </c>
      <c r="G815" s="23" t="s">
        <v>1415</v>
      </c>
      <c r="H815" s="21" t="s">
        <v>1415</v>
      </c>
      <c r="I815" s="34">
        <v>8.0000000000000002E-3</v>
      </c>
      <c r="J815" s="11">
        <f t="shared" si="29"/>
        <v>8.0000000000000002E-3</v>
      </c>
      <c r="K815" s="6" t="s">
        <v>1416</v>
      </c>
      <c r="L815" s="20" t="s">
        <v>1422</v>
      </c>
      <c r="M815" s="7">
        <f>IF(ISBLANK($B815),_xlfn.XLOOKUP($A815,'2. TEUs &amp; Activities - EF'!$A$9:$A$190,'2. TEUs &amp; Activities - EF'!$J$9:$J$190),_xlfn.XLOOKUP($B815,'2. TEUs &amp; Activities - EF'!$B$9:$B$190,'2. TEUs &amp; Activities - EF'!$J$9:$J$190))*'3. Pollutant Emissions - EF'!$I815*IF(OR(ISBLANK($E815),$G815="Yes"),1,$E815)*IF($H815="Yes",1,(1-$F815))</f>
        <v>0.17004705882352944</v>
      </c>
      <c r="N815" s="5">
        <f>IF(ISBLANK($B815),_xlfn.XLOOKUP($A815,'2. TEUs &amp; Activities - EF'!$A$9:$A$190,'2. TEUs &amp; Activities - EF'!$M$9:$M$190),_xlfn.XLOOKUP($B815,'2. TEUs &amp; Activities - EF'!$B$9:$B$190,'2. TEUs &amp; Activities - EF'!$M$9:$M$190))*'3. Pollutant Emissions - EF'!$J815*IF(OR(ISBLANK($E815),$G815="Yes"),1,$E815)*IF($H815="Yes",1,(1-$F815))</f>
        <v>4.6588235294117654E-4</v>
      </c>
      <c r="O815" s="130">
        <f>IFERROR(IF(OR($C815="",$C815="No CAS"),INDEX('DEQ Pollutant List'!$D$7:$D$611,MATCH($D815,'DEQ Pollutant List'!$B$7:$B$611,0)),INDEX('DEQ Pollutant List'!$D$7:$D$611,MATCH($C815,'DEQ Pollutant List'!$A$7:$A$611,0))),"")</f>
        <v>46</v>
      </c>
    </row>
    <row r="816" spans="1:15" ht="15" x14ac:dyDescent="0.25">
      <c r="A816" s="5" t="s">
        <v>1550</v>
      </c>
      <c r="B816" s="7"/>
      <c r="C816" s="13" t="s">
        <v>55</v>
      </c>
      <c r="D816" s="19" t="str">
        <f>IFERROR(IF(C816="No CAS","",INDEX('DEQ Pollutant List'!$B$7:$B$611,MATCH('3. Pollutant Emissions - EF'!C816,'DEQ Pollutant List'!$A$7:$A$611,0))),"")</f>
        <v>Beryllium and compounds</v>
      </c>
      <c r="E816" s="23">
        <v>0</v>
      </c>
      <c r="F816" s="21">
        <v>0</v>
      </c>
      <c r="G816" s="23" t="s">
        <v>1415</v>
      </c>
      <c r="H816" s="21" t="s">
        <v>1415</v>
      </c>
      <c r="I816" s="34">
        <v>1.2E-5</v>
      </c>
      <c r="J816" s="11">
        <f t="shared" si="29"/>
        <v>1.2E-5</v>
      </c>
      <c r="K816" s="6" t="s">
        <v>1416</v>
      </c>
      <c r="L816" s="20" t="s">
        <v>1422</v>
      </c>
      <c r="M816" s="7">
        <f>IF(ISBLANK($B816),_xlfn.XLOOKUP($A816,'2. TEUs &amp; Activities - EF'!$A$9:$A$190,'2. TEUs &amp; Activities - EF'!$J$9:$J$190),_xlfn.XLOOKUP($B816,'2. TEUs &amp; Activities - EF'!$B$9:$B$190,'2. TEUs &amp; Activities - EF'!$J$9:$J$190))*'3. Pollutant Emissions - EF'!$I816*IF(OR(ISBLANK($E816),$G816="Yes"),1,$E816)*IF($H816="Yes",1,(1-$F816))</f>
        <v>2.5507058823529417E-4</v>
      </c>
      <c r="N816" s="5">
        <f>IF(ISBLANK($B816),_xlfn.XLOOKUP($A816,'2. TEUs &amp; Activities - EF'!$A$9:$A$190,'2. TEUs &amp; Activities - EF'!$M$9:$M$190),_xlfn.XLOOKUP($B816,'2. TEUs &amp; Activities - EF'!$B$9:$B$190,'2. TEUs &amp; Activities - EF'!$M$9:$M$190))*'3. Pollutant Emissions - EF'!$J816*IF(OR(ISBLANK($E816),$G816="Yes"),1,$E816)*IF($H816="Yes",1,(1-$F816))</f>
        <v>6.9882352941176484E-7</v>
      </c>
      <c r="O816" s="130">
        <f>IFERROR(IF(OR($C816="",$C816="No CAS"),INDEX('DEQ Pollutant List'!$D$7:$D$611,MATCH($D816,'DEQ Pollutant List'!$B$7:$B$611,0)),INDEX('DEQ Pollutant List'!$D$7:$D$611,MATCH($C816,'DEQ Pollutant List'!$A$7:$A$611,0))),"")</f>
        <v>58</v>
      </c>
    </row>
    <row r="817" spans="1:15" ht="15" x14ac:dyDescent="0.25">
      <c r="A817" s="5" t="s">
        <v>1550</v>
      </c>
      <c r="B817" s="7"/>
      <c r="C817" s="13" t="s">
        <v>56</v>
      </c>
      <c r="D817" s="19" t="str">
        <f>IFERROR(IF(C817="No CAS","",INDEX('DEQ Pollutant List'!$B$7:$B$611,MATCH('3. Pollutant Emissions - EF'!C817,'DEQ Pollutant List'!$A$7:$A$611,0))),"")</f>
        <v>Cadmium and compounds</v>
      </c>
      <c r="E817" s="23">
        <v>0</v>
      </c>
      <c r="F817" s="21">
        <v>0</v>
      </c>
      <c r="G817" s="23" t="s">
        <v>1415</v>
      </c>
      <c r="H817" s="21" t="s">
        <v>1415</v>
      </c>
      <c r="I817" s="34">
        <v>1.1000000000000001E-3</v>
      </c>
      <c r="J817" s="11">
        <f t="shared" si="29"/>
        <v>1.1000000000000001E-3</v>
      </c>
      <c r="K817" s="6" t="s">
        <v>1416</v>
      </c>
      <c r="L817" s="20" t="s">
        <v>1422</v>
      </c>
      <c r="M817" s="7">
        <f>IF(ISBLANK($B817),_xlfn.XLOOKUP($A817,'2. TEUs &amp; Activities - EF'!$A$9:$A$190,'2. TEUs &amp; Activities - EF'!$J$9:$J$190),_xlfn.XLOOKUP($B817,'2. TEUs &amp; Activities - EF'!$B$9:$B$190,'2. TEUs &amp; Activities - EF'!$J$9:$J$190))*'3. Pollutant Emissions - EF'!$I817*IF(OR(ISBLANK($E817),$G817="Yes"),1,$E817)*IF($H817="Yes",1,(1-$F817))</f>
        <v>2.3381470588235299E-2</v>
      </c>
      <c r="N817" s="5">
        <f>IF(ISBLANK($B817),_xlfn.XLOOKUP($A817,'2. TEUs &amp; Activities - EF'!$A$9:$A$190,'2. TEUs &amp; Activities - EF'!$M$9:$M$190),_xlfn.XLOOKUP($B817,'2. TEUs &amp; Activities - EF'!$B$9:$B$190,'2. TEUs &amp; Activities - EF'!$M$9:$M$190))*'3. Pollutant Emissions - EF'!$J817*IF(OR(ISBLANK($E817),$G817="Yes"),1,$E817)*IF($H817="Yes",1,(1-$F817))</f>
        <v>6.4058823529411781E-5</v>
      </c>
      <c r="O817" s="130">
        <f>IFERROR(IF(OR($C817="",$C817="No CAS"),INDEX('DEQ Pollutant List'!$D$7:$D$611,MATCH($D817,'DEQ Pollutant List'!$B$7:$B$611,0)),INDEX('DEQ Pollutant List'!$D$7:$D$611,MATCH($C817,'DEQ Pollutant List'!$A$7:$A$611,0))),"")</f>
        <v>83</v>
      </c>
    </row>
    <row r="818" spans="1:15" ht="15" x14ac:dyDescent="0.25">
      <c r="A818" s="5" t="s">
        <v>1550</v>
      </c>
      <c r="B818" s="7"/>
      <c r="C818" s="13" t="s">
        <v>57</v>
      </c>
      <c r="D818" s="19" t="str">
        <f>IFERROR(IF(C818="No CAS","",INDEX('DEQ Pollutant List'!$B$7:$B$611,MATCH('3. Pollutant Emissions - EF'!C818,'DEQ Pollutant List'!$A$7:$A$611,0))),"")</f>
        <v>Chromium VI, chromate and dichromate particulate</v>
      </c>
      <c r="E818" s="23">
        <v>0</v>
      </c>
      <c r="F818" s="21">
        <v>0</v>
      </c>
      <c r="G818" s="23" t="s">
        <v>1415</v>
      </c>
      <c r="H818" s="21" t="s">
        <v>1415</v>
      </c>
      <c r="I818" s="34">
        <v>1.4E-3</v>
      </c>
      <c r="J818" s="11">
        <f t="shared" si="29"/>
        <v>1.4E-3</v>
      </c>
      <c r="K818" s="6" t="s">
        <v>1416</v>
      </c>
      <c r="L818" s="20" t="s">
        <v>1422</v>
      </c>
      <c r="M818" s="7">
        <f>IF(ISBLANK($B818),_xlfn.XLOOKUP($A818,'2. TEUs &amp; Activities - EF'!$A$9:$A$190,'2. TEUs &amp; Activities - EF'!$J$9:$J$190),_xlfn.XLOOKUP($B818,'2. TEUs &amp; Activities - EF'!$B$9:$B$190,'2. TEUs &amp; Activities - EF'!$J$9:$J$190))*'3. Pollutant Emissions - EF'!$I818*IF(OR(ISBLANK($E818),$G818="Yes"),1,$E818)*IF($H818="Yes",1,(1-$F818))</f>
        <v>2.9758235294117648E-2</v>
      </c>
      <c r="N818" s="5">
        <f>IF(ISBLANK($B818),_xlfn.XLOOKUP($A818,'2. TEUs &amp; Activities - EF'!$A$9:$A$190,'2. TEUs &amp; Activities - EF'!$M$9:$M$190),_xlfn.XLOOKUP($B818,'2. TEUs &amp; Activities - EF'!$B$9:$B$190,'2. TEUs &amp; Activities - EF'!$M$9:$M$190))*'3. Pollutant Emissions - EF'!$J818*IF(OR(ISBLANK($E818),$G818="Yes"),1,$E818)*IF($H818="Yes",1,(1-$F818))</f>
        <v>8.1529411764705894E-5</v>
      </c>
      <c r="O818" s="130">
        <f>IFERROR(IF(OR($C818="",$C818="No CAS"),INDEX('DEQ Pollutant List'!$D$7:$D$611,MATCH($D818,'DEQ Pollutant List'!$B$7:$B$611,0)),INDEX('DEQ Pollutant List'!$D$7:$D$611,MATCH($C818,'DEQ Pollutant List'!$A$7:$A$611,0))),"")</f>
        <v>136</v>
      </c>
    </row>
    <row r="819" spans="1:15" ht="15" x14ac:dyDescent="0.25">
      <c r="A819" s="5" t="s">
        <v>1550</v>
      </c>
      <c r="B819" s="7"/>
      <c r="C819" s="13" t="s">
        <v>58</v>
      </c>
      <c r="D819" s="19" t="str">
        <f>IFERROR(IF(C819="No CAS","",INDEX('DEQ Pollutant List'!$B$7:$B$611,MATCH('3. Pollutant Emissions - EF'!C819,'DEQ Pollutant List'!$A$7:$A$611,0))),"")</f>
        <v>Cobalt and compounds</v>
      </c>
      <c r="E819" s="23">
        <v>0</v>
      </c>
      <c r="F819" s="21">
        <v>0</v>
      </c>
      <c r="G819" s="23" t="s">
        <v>1415</v>
      </c>
      <c r="H819" s="21" t="s">
        <v>1415</v>
      </c>
      <c r="I819" s="34">
        <v>8.3999999999999995E-5</v>
      </c>
      <c r="J819" s="11">
        <f t="shared" si="29"/>
        <v>8.3999999999999995E-5</v>
      </c>
      <c r="K819" s="6" t="s">
        <v>1416</v>
      </c>
      <c r="L819" s="20" t="s">
        <v>1422</v>
      </c>
      <c r="M819" s="7">
        <f>IF(ISBLANK($B819),_xlfn.XLOOKUP($A819,'2. TEUs &amp; Activities - EF'!$A$9:$A$190,'2. TEUs &amp; Activities - EF'!$J$9:$J$190),_xlfn.XLOOKUP($B819,'2. TEUs &amp; Activities - EF'!$B$9:$B$190,'2. TEUs &amp; Activities - EF'!$J$9:$J$190))*'3. Pollutant Emissions - EF'!$I819*IF(OR(ISBLANK($E819),$G819="Yes"),1,$E819)*IF($H819="Yes",1,(1-$F819))</f>
        <v>1.7854941176470589E-3</v>
      </c>
      <c r="N819" s="5">
        <f>IF(ISBLANK($B819),_xlfn.XLOOKUP($A819,'2. TEUs &amp; Activities - EF'!$A$9:$A$190,'2. TEUs &amp; Activities - EF'!$M$9:$M$190),_xlfn.XLOOKUP($B819,'2. TEUs &amp; Activities - EF'!$B$9:$B$190,'2. TEUs &amp; Activities - EF'!$M$9:$M$190))*'3. Pollutant Emissions - EF'!$J819*IF(OR(ISBLANK($E819),$G819="Yes"),1,$E819)*IF($H819="Yes",1,(1-$F819))</f>
        <v>4.891764705882353E-6</v>
      </c>
      <c r="O819" s="130">
        <f>IFERROR(IF(OR($C819="",$C819="No CAS"),INDEX('DEQ Pollutant List'!$D$7:$D$611,MATCH($D819,'DEQ Pollutant List'!$B$7:$B$611,0)),INDEX('DEQ Pollutant List'!$D$7:$D$611,MATCH($C819,'DEQ Pollutant List'!$A$7:$A$611,0))),"")</f>
        <v>146</v>
      </c>
    </row>
    <row r="820" spans="1:15" ht="15" x14ac:dyDescent="0.25">
      <c r="A820" s="5" t="s">
        <v>1550</v>
      </c>
      <c r="B820" s="7"/>
      <c r="C820" s="13" t="s">
        <v>59</v>
      </c>
      <c r="D820" s="19" t="str">
        <f>IFERROR(IF(C820="No CAS","",INDEX('DEQ Pollutant List'!$B$7:$B$611,MATCH('3. Pollutant Emissions - EF'!C820,'DEQ Pollutant List'!$A$7:$A$611,0))),"")</f>
        <v>Copper and compounds</v>
      </c>
      <c r="E820" s="23">
        <v>0</v>
      </c>
      <c r="F820" s="21">
        <v>0</v>
      </c>
      <c r="G820" s="23" t="s">
        <v>1415</v>
      </c>
      <c r="H820" s="21" t="s">
        <v>1415</v>
      </c>
      <c r="I820" s="34">
        <v>8.4999999999999995E-4</v>
      </c>
      <c r="J820" s="11">
        <f t="shared" si="29"/>
        <v>8.4999999999999995E-4</v>
      </c>
      <c r="K820" s="6" t="s">
        <v>1416</v>
      </c>
      <c r="L820" s="20" t="s">
        <v>1422</v>
      </c>
      <c r="M820" s="7">
        <f>IF(ISBLANK($B820),_xlfn.XLOOKUP($A820,'2. TEUs &amp; Activities - EF'!$A$9:$A$190,'2. TEUs &amp; Activities - EF'!$J$9:$J$190),_xlfn.XLOOKUP($B820,'2. TEUs &amp; Activities - EF'!$B$9:$B$190,'2. TEUs &amp; Activities - EF'!$J$9:$J$190))*'3. Pollutant Emissions - EF'!$I820*IF(OR(ISBLANK($E820),$G820="Yes"),1,$E820)*IF($H820="Yes",1,(1-$F820))</f>
        <v>1.80675E-2</v>
      </c>
      <c r="N820" s="5">
        <f>IF(ISBLANK($B820),_xlfn.XLOOKUP($A820,'2. TEUs &amp; Activities - EF'!$A$9:$A$190,'2. TEUs &amp; Activities - EF'!$M$9:$M$190),_xlfn.XLOOKUP($B820,'2. TEUs &amp; Activities - EF'!$B$9:$B$190,'2. TEUs &amp; Activities - EF'!$M$9:$M$190))*'3. Pollutant Emissions - EF'!$J820*IF(OR(ISBLANK($E820),$G820="Yes"),1,$E820)*IF($H820="Yes",1,(1-$F820))</f>
        <v>4.9500000000000004E-5</v>
      </c>
      <c r="O820" s="130">
        <f>IFERROR(IF(OR($C820="",$C820="No CAS"),INDEX('DEQ Pollutant List'!$D$7:$D$611,MATCH($D820,'DEQ Pollutant List'!$B$7:$B$611,0)),INDEX('DEQ Pollutant List'!$D$7:$D$611,MATCH($C820,'DEQ Pollutant List'!$A$7:$A$611,0))),"")</f>
        <v>149</v>
      </c>
    </row>
    <row r="821" spans="1:15" ht="15" x14ac:dyDescent="0.25">
      <c r="A821" s="5" t="s">
        <v>1550</v>
      </c>
      <c r="B821" s="7"/>
      <c r="C821" s="13" t="s">
        <v>60</v>
      </c>
      <c r="D821" s="19" t="str">
        <f>IFERROR(IF(C821="No CAS","",INDEX('DEQ Pollutant List'!$B$7:$B$611,MATCH('3. Pollutant Emissions - EF'!C821,'DEQ Pollutant List'!$A$7:$A$611,0))),"")</f>
        <v>Ethyl benzene</v>
      </c>
      <c r="E821" s="23">
        <v>0</v>
      </c>
      <c r="F821" s="21">
        <v>0</v>
      </c>
      <c r="G821" s="23" t="s">
        <v>1415</v>
      </c>
      <c r="H821" s="21" t="s">
        <v>1415</v>
      </c>
      <c r="I821" s="34">
        <v>9.4999999999999998E-3</v>
      </c>
      <c r="J821" s="11">
        <f t="shared" si="29"/>
        <v>9.4999999999999998E-3</v>
      </c>
      <c r="K821" s="6" t="s">
        <v>1416</v>
      </c>
      <c r="L821" s="20" t="s">
        <v>1422</v>
      </c>
      <c r="M821" s="7">
        <f>IF(ISBLANK($B821),_xlfn.XLOOKUP($A821,'2. TEUs &amp; Activities - EF'!$A$9:$A$190,'2. TEUs &amp; Activities - EF'!$J$9:$J$190),_xlfn.XLOOKUP($B821,'2. TEUs &amp; Activities - EF'!$B$9:$B$190,'2. TEUs &amp; Activities - EF'!$J$9:$J$190))*'3. Pollutant Emissions - EF'!$I821*IF(OR(ISBLANK($E821),$G821="Yes"),1,$E821)*IF($H821="Yes",1,(1-$F821))</f>
        <v>0.20193088235294118</v>
      </c>
      <c r="N821" s="5">
        <f>IF(ISBLANK($B821),_xlfn.XLOOKUP($A821,'2. TEUs &amp; Activities - EF'!$A$9:$A$190,'2. TEUs &amp; Activities - EF'!$M$9:$M$190),_xlfn.XLOOKUP($B821,'2. TEUs &amp; Activities - EF'!$B$9:$B$190,'2. TEUs &amp; Activities - EF'!$M$9:$M$190))*'3. Pollutant Emissions - EF'!$J821*IF(OR(ISBLANK($E821),$G821="Yes"),1,$E821)*IF($H821="Yes",1,(1-$F821))</f>
        <v>5.5323529411764713E-4</v>
      </c>
      <c r="O821" s="130">
        <f>IFERROR(IF(OR($C821="",$C821="No CAS"),INDEX('DEQ Pollutant List'!$D$7:$D$611,MATCH($D821,'DEQ Pollutant List'!$B$7:$B$611,0)),INDEX('DEQ Pollutant List'!$D$7:$D$611,MATCH($C821,'DEQ Pollutant List'!$A$7:$A$611,0))),"")</f>
        <v>229</v>
      </c>
    </row>
    <row r="822" spans="1:15" ht="15" x14ac:dyDescent="0.25">
      <c r="A822" s="5" t="s">
        <v>1550</v>
      </c>
      <c r="B822" s="7"/>
      <c r="C822" s="13" t="s">
        <v>47</v>
      </c>
      <c r="D822" s="19" t="str">
        <f>IFERROR(IF(C822="No CAS","",INDEX('DEQ Pollutant List'!$B$7:$B$611,MATCH('3. Pollutant Emissions - EF'!C822,'DEQ Pollutant List'!$A$7:$A$611,0))),"")</f>
        <v>Formaldehyde</v>
      </c>
      <c r="E822" s="23">
        <v>0</v>
      </c>
      <c r="F822" s="21">
        <v>0</v>
      </c>
      <c r="G822" s="23" t="s">
        <v>1415</v>
      </c>
      <c r="H822" s="21" t="s">
        <v>1415</v>
      </c>
      <c r="I822" s="34">
        <v>1.7000000000000001E-2</v>
      </c>
      <c r="J822" s="11">
        <f t="shared" si="29"/>
        <v>1.7000000000000001E-2</v>
      </c>
      <c r="K822" s="6" t="s">
        <v>1416</v>
      </c>
      <c r="L822" s="20" t="s">
        <v>1422</v>
      </c>
      <c r="M822" s="7">
        <f>IF(ISBLANK($B822),_xlfn.XLOOKUP($A822,'2. TEUs &amp; Activities - EF'!$A$9:$A$190,'2. TEUs &amp; Activities - EF'!$J$9:$J$190),_xlfn.XLOOKUP($B822,'2. TEUs &amp; Activities - EF'!$B$9:$B$190,'2. TEUs &amp; Activities - EF'!$J$9:$J$190))*'3. Pollutant Emissions - EF'!$I822*IF(OR(ISBLANK($E822),$G822="Yes"),1,$E822)*IF($H822="Yes",1,(1-$F822))</f>
        <v>0.36135000000000006</v>
      </c>
      <c r="N822" s="5">
        <f>IF(ISBLANK($B822),_xlfn.XLOOKUP($A822,'2. TEUs &amp; Activities - EF'!$A$9:$A$190,'2. TEUs &amp; Activities - EF'!$M$9:$M$190),_xlfn.XLOOKUP($B822,'2. TEUs &amp; Activities - EF'!$B$9:$B$190,'2. TEUs &amp; Activities - EF'!$M$9:$M$190))*'3. Pollutant Emissions - EF'!$J822*IF(OR(ISBLANK($E822),$G822="Yes"),1,$E822)*IF($H822="Yes",1,(1-$F822))</f>
        <v>9.9000000000000021E-4</v>
      </c>
      <c r="O822" s="130">
        <f>IFERROR(IF(OR($C822="",$C822="No CAS"),INDEX('DEQ Pollutant List'!$D$7:$D$611,MATCH($D822,'DEQ Pollutant List'!$B$7:$B$611,0)),INDEX('DEQ Pollutant List'!$D$7:$D$611,MATCH($C822,'DEQ Pollutant List'!$A$7:$A$611,0))),"")</f>
        <v>250</v>
      </c>
    </row>
    <row r="823" spans="1:15" ht="15" x14ac:dyDescent="0.25">
      <c r="A823" s="5" t="s">
        <v>1550</v>
      </c>
      <c r="B823" s="7"/>
      <c r="C823" s="13" t="s">
        <v>61</v>
      </c>
      <c r="D823" s="19" t="str">
        <f>IFERROR(IF(C823="No CAS","",INDEX('DEQ Pollutant List'!$B$7:$B$611,MATCH('3. Pollutant Emissions - EF'!C823,'DEQ Pollutant List'!$A$7:$A$611,0))),"")</f>
        <v>Hexane</v>
      </c>
      <c r="E823" s="23">
        <v>0</v>
      </c>
      <c r="F823" s="21">
        <v>0</v>
      </c>
      <c r="G823" s="23" t="s">
        <v>1415</v>
      </c>
      <c r="H823" s="21" t="s">
        <v>1415</v>
      </c>
      <c r="I823" s="34">
        <v>6.3E-3</v>
      </c>
      <c r="J823" s="11">
        <f t="shared" si="29"/>
        <v>6.3E-3</v>
      </c>
      <c r="K823" s="6" t="s">
        <v>1416</v>
      </c>
      <c r="L823" s="20" t="s">
        <v>1422</v>
      </c>
      <c r="M823" s="7">
        <f>IF(ISBLANK($B823),_xlfn.XLOOKUP($A823,'2. TEUs &amp; Activities - EF'!$A$9:$A$190,'2. TEUs &amp; Activities - EF'!$J$9:$J$190),_xlfn.XLOOKUP($B823,'2. TEUs &amp; Activities - EF'!$B$9:$B$190,'2. TEUs &amp; Activities - EF'!$J$9:$J$190))*'3. Pollutant Emissions - EF'!$I823*IF(OR(ISBLANK($E823),$G823="Yes"),1,$E823)*IF($H823="Yes",1,(1-$F823))</f>
        <v>0.13391205882352941</v>
      </c>
      <c r="N823" s="5">
        <f>IF(ISBLANK($B823),_xlfn.XLOOKUP($A823,'2. TEUs &amp; Activities - EF'!$A$9:$A$190,'2. TEUs &amp; Activities - EF'!$M$9:$M$190),_xlfn.XLOOKUP($B823,'2. TEUs &amp; Activities - EF'!$B$9:$B$190,'2. TEUs &amp; Activities - EF'!$M$9:$M$190))*'3. Pollutant Emissions - EF'!$J823*IF(OR(ISBLANK($E823),$G823="Yes"),1,$E823)*IF($H823="Yes",1,(1-$F823))</f>
        <v>3.6688235294117652E-4</v>
      </c>
      <c r="O823" s="130">
        <f>IFERROR(IF(OR($C823="",$C823="No CAS"),INDEX('DEQ Pollutant List'!$D$7:$D$611,MATCH($D823,'DEQ Pollutant List'!$B$7:$B$611,0)),INDEX('DEQ Pollutant List'!$D$7:$D$611,MATCH($C823,'DEQ Pollutant List'!$A$7:$A$611,0))),"")</f>
        <v>289</v>
      </c>
    </row>
    <row r="824" spans="1:15" ht="15" x14ac:dyDescent="0.25">
      <c r="A824" s="5" t="s">
        <v>1550</v>
      </c>
      <c r="B824" s="7"/>
      <c r="C824" s="13" t="s">
        <v>62</v>
      </c>
      <c r="D824" s="19" t="str">
        <f>IFERROR(IF(C824="No CAS","",INDEX('DEQ Pollutant List'!$B$7:$B$611,MATCH('3. Pollutant Emissions - EF'!C824,'DEQ Pollutant List'!$A$7:$A$611,0))),"")</f>
        <v>Lead and compounds</v>
      </c>
      <c r="E824" s="23">
        <v>0</v>
      </c>
      <c r="F824" s="21">
        <v>0</v>
      </c>
      <c r="G824" s="23" t="s">
        <v>1415</v>
      </c>
      <c r="H824" s="21" t="s">
        <v>1415</v>
      </c>
      <c r="I824" s="34">
        <v>5.0000000000000001E-4</v>
      </c>
      <c r="J824" s="11">
        <f t="shared" si="29"/>
        <v>5.0000000000000001E-4</v>
      </c>
      <c r="K824" s="6" t="s">
        <v>1416</v>
      </c>
      <c r="L824" s="20" t="s">
        <v>1422</v>
      </c>
      <c r="M824" s="7">
        <f>IF(ISBLANK($B824),_xlfn.XLOOKUP($A824,'2. TEUs &amp; Activities - EF'!$A$9:$A$190,'2. TEUs &amp; Activities - EF'!$J$9:$J$190),_xlfn.XLOOKUP($B824,'2. TEUs &amp; Activities - EF'!$B$9:$B$190,'2. TEUs &amp; Activities - EF'!$J$9:$J$190))*'3. Pollutant Emissions - EF'!$I824*IF(OR(ISBLANK($E824),$G824="Yes"),1,$E824)*IF($H824="Yes",1,(1-$F824))</f>
        <v>1.062794117647059E-2</v>
      </c>
      <c r="N824" s="5">
        <f>IF(ISBLANK($B824),_xlfn.XLOOKUP($A824,'2. TEUs &amp; Activities - EF'!$A$9:$A$190,'2. TEUs &amp; Activities - EF'!$M$9:$M$190),_xlfn.XLOOKUP($B824,'2. TEUs &amp; Activities - EF'!$B$9:$B$190,'2. TEUs &amp; Activities - EF'!$M$9:$M$190))*'3. Pollutant Emissions - EF'!$J824*IF(OR(ISBLANK($E824),$G824="Yes"),1,$E824)*IF($H824="Yes",1,(1-$F824))</f>
        <v>2.9117647058823534E-5</v>
      </c>
      <c r="O824" s="130">
        <f>IFERROR(IF(OR($C824="",$C824="No CAS"),INDEX('DEQ Pollutant List'!$D$7:$D$611,MATCH($D824,'DEQ Pollutant List'!$B$7:$B$611,0)),INDEX('DEQ Pollutant List'!$D$7:$D$611,MATCH($C824,'DEQ Pollutant List'!$A$7:$A$611,0))),"")</f>
        <v>305</v>
      </c>
    </row>
    <row r="825" spans="1:15" ht="15" x14ac:dyDescent="0.25">
      <c r="A825" s="5" t="s">
        <v>1550</v>
      </c>
      <c r="B825" s="7"/>
      <c r="C825" s="13" t="s">
        <v>63</v>
      </c>
      <c r="D825" s="19" t="str">
        <f>IFERROR(IF(C825="No CAS","",INDEX('DEQ Pollutant List'!$B$7:$B$611,MATCH('3. Pollutant Emissions - EF'!C825,'DEQ Pollutant List'!$A$7:$A$611,0))),"")</f>
        <v>Manganese and compounds</v>
      </c>
      <c r="E825" s="23">
        <v>0</v>
      </c>
      <c r="F825" s="21">
        <v>0</v>
      </c>
      <c r="G825" s="23" t="s">
        <v>1415</v>
      </c>
      <c r="H825" s="21" t="s">
        <v>1415</v>
      </c>
      <c r="I825" s="34">
        <v>3.8000000000000002E-4</v>
      </c>
      <c r="J825" s="11">
        <f t="shared" si="29"/>
        <v>3.8000000000000002E-4</v>
      </c>
      <c r="K825" s="6" t="s">
        <v>1416</v>
      </c>
      <c r="L825" s="20" t="s">
        <v>1422</v>
      </c>
      <c r="M825" s="7">
        <f>IF(ISBLANK($B825),_xlfn.XLOOKUP($A825,'2. TEUs &amp; Activities - EF'!$A$9:$A$190,'2. TEUs &amp; Activities - EF'!$J$9:$J$190),_xlfn.XLOOKUP($B825,'2. TEUs &amp; Activities - EF'!$B$9:$B$190,'2. TEUs &amp; Activities - EF'!$J$9:$J$190))*'3. Pollutant Emissions - EF'!$I825*IF(OR(ISBLANK($E825),$G825="Yes"),1,$E825)*IF($H825="Yes",1,(1-$F825))</f>
        <v>8.077235294117649E-3</v>
      </c>
      <c r="N825" s="5">
        <f>IF(ISBLANK($B825),_xlfn.XLOOKUP($A825,'2. TEUs &amp; Activities - EF'!$A$9:$A$190,'2. TEUs &amp; Activities - EF'!$M$9:$M$190),_xlfn.XLOOKUP($B825,'2. TEUs &amp; Activities - EF'!$B$9:$B$190,'2. TEUs &amp; Activities - EF'!$M$9:$M$190))*'3. Pollutant Emissions - EF'!$J825*IF(OR(ISBLANK($E825),$G825="Yes"),1,$E825)*IF($H825="Yes",1,(1-$F825))</f>
        <v>2.2129411764705887E-5</v>
      </c>
      <c r="O825" s="130">
        <f>IFERROR(IF(OR($C825="",$C825="No CAS"),INDEX('DEQ Pollutant List'!$D$7:$D$611,MATCH($D825,'DEQ Pollutant List'!$B$7:$B$611,0)),INDEX('DEQ Pollutant List'!$D$7:$D$611,MATCH($C825,'DEQ Pollutant List'!$A$7:$A$611,0))),"")</f>
        <v>312</v>
      </c>
    </row>
    <row r="826" spans="1:15" ht="15" x14ac:dyDescent="0.25">
      <c r="A826" s="5" t="s">
        <v>1550</v>
      </c>
      <c r="B826" s="7"/>
      <c r="C826" s="13" t="s">
        <v>64</v>
      </c>
      <c r="D826" s="19" t="str">
        <f>IFERROR(IF(C826="No CAS","",INDEX('DEQ Pollutant List'!$B$7:$B$611,MATCH('3. Pollutant Emissions - EF'!C826,'DEQ Pollutant List'!$A$7:$A$611,0))),"")</f>
        <v>Mercury and compounds</v>
      </c>
      <c r="E826" s="23">
        <v>0</v>
      </c>
      <c r="F826" s="21">
        <v>0</v>
      </c>
      <c r="G826" s="23" t="s">
        <v>1415</v>
      </c>
      <c r="H826" s="21" t="s">
        <v>1415</v>
      </c>
      <c r="I826" s="34">
        <v>2.5999999999999998E-4</v>
      </c>
      <c r="J826" s="11">
        <f t="shared" si="29"/>
        <v>2.5999999999999998E-4</v>
      </c>
      <c r="K826" s="6" t="s">
        <v>1416</v>
      </c>
      <c r="L826" s="20" t="s">
        <v>1422</v>
      </c>
      <c r="M826" s="7">
        <f>IF(ISBLANK($B826),_xlfn.XLOOKUP($A826,'2. TEUs &amp; Activities - EF'!$A$9:$A$190,'2. TEUs &amp; Activities - EF'!$J$9:$J$190),_xlfn.XLOOKUP($B826,'2. TEUs &amp; Activities - EF'!$B$9:$B$190,'2. TEUs &amp; Activities - EF'!$J$9:$J$190))*'3. Pollutant Emissions - EF'!$I826*IF(OR(ISBLANK($E826),$G826="Yes"),1,$E826)*IF($H826="Yes",1,(1-$F826))</f>
        <v>5.5265294117647062E-3</v>
      </c>
      <c r="N826" s="5">
        <f>IF(ISBLANK($B826),_xlfn.XLOOKUP($A826,'2. TEUs &amp; Activities - EF'!$A$9:$A$190,'2. TEUs &amp; Activities - EF'!$M$9:$M$190),_xlfn.XLOOKUP($B826,'2. TEUs &amp; Activities - EF'!$B$9:$B$190,'2. TEUs &amp; Activities - EF'!$M$9:$M$190))*'3. Pollutant Emissions - EF'!$J826*IF(OR(ISBLANK($E826),$G826="Yes"),1,$E826)*IF($H826="Yes",1,(1-$F826))</f>
        <v>1.5141176470588235E-5</v>
      </c>
      <c r="O826" s="130">
        <f>IFERROR(IF(OR($C826="",$C826="No CAS"),INDEX('DEQ Pollutant List'!$D$7:$D$611,MATCH($D826,'DEQ Pollutant List'!$B$7:$B$611,0)),INDEX('DEQ Pollutant List'!$D$7:$D$611,MATCH($C826,'DEQ Pollutant List'!$A$7:$A$611,0))),"")</f>
        <v>316</v>
      </c>
    </row>
    <row r="827" spans="1:15" ht="15" x14ac:dyDescent="0.25">
      <c r="A827" s="5" t="s">
        <v>1550</v>
      </c>
      <c r="B827" s="7"/>
      <c r="C827" s="13" t="s">
        <v>65</v>
      </c>
      <c r="D827" s="19" t="str">
        <f>IFERROR(IF(C827="No CAS","",INDEX('DEQ Pollutant List'!$B$7:$B$611,MATCH('3. Pollutant Emissions - EF'!C827,'DEQ Pollutant List'!$A$7:$A$611,0))),"")</f>
        <v>Molybdenum trioxide</v>
      </c>
      <c r="E827" s="23">
        <v>0</v>
      </c>
      <c r="F827" s="21">
        <v>0</v>
      </c>
      <c r="G827" s="23" t="s">
        <v>1415</v>
      </c>
      <c r="H827" s="21" t="s">
        <v>1415</v>
      </c>
      <c r="I827" s="34">
        <v>1.65E-3</v>
      </c>
      <c r="J827" s="11">
        <f t="shared" si="29"/>
        <v>1.65E-3</v>
      </c>
      <c r="K827" s="6" t="s">
        <v>1416</v>
      </c>
      <c r="L827" s="20" t="s">
        <v>1422</v>
      </c>
      <c r="M827" s="7">
        <f>IF(ISBLANK($B827),_xlfn.XLOOKUP($A827,'2. TEUs &amp; Activities - EF'!$A$9:$A$190,'2. TEUs &amp; Activities - EF'!$J$9:$J$190),_xlfn.XLOOKUP($B827,'2. TEUs &amp; Activities - EF'!$B$9:$B$190,'2. TEUs &amp; Activities - EF'!$J$9:$J$190))*'3. Pollutant Emissions - EF'!$I827*IF(OR(ISBLANK($E827),$G827="Yes"),1,$E827)*IF($H827="Yes",1,(1-$F827))</f>
        <v>3.5072205882352943E-2</v>
      </c>
      <c r="N827" s="5">
        <f>IF(ISBLANK($B827),_xlfn.XLOOKUP($A827,'2. TEUs &amp; Activities - EF'!$A$9:$A$190,'2. TEUs &amp; Activities - EF'!$M$9:$M$190),_xlfn.XLOOKUP($B827,'2. TEUs &amp; Activities - EF'!$B$9:$B$190,'2. TEUs &amp; Activities - EF'!$M$9:$M$190))*'3. Pollutant Emissions - EF'!$J827*IF(OR(ISBLANK($E827),$G827="Yes"),1,$E827)*IF($H827="Yes",1,(1-$F827))</f>
        <v>9.6088235294117664E-5</v>
      </c>
      <c r="O827" s="130">
        <f>IFERROR(IF(OR($C827="",$C827="No CAS"),INDEX('DEQ Pollutant List'!$D$7:$D$611,MATCH($D827,'DEQ Pollutant List'!$B$7:$B$611,0)),INDEX('DEQ Pollutant List'!$D$7:$D$611,MATCH($C827,'DEQ Pollutant List'!$A$7:$A$611,0))),"")</f>
        <v>361</v>
      </c>
    </row>
    <row r="828" spans="1:15" ht="15" x14ac:dyDescent="0.25">
      <c r="A828" s="5" t="s">
        <v>1550</v>
      </c>
      <c r="B828" s="7"/>
      <c r="C828" s="13" t="s">
        <v>49</v>
      </c>
      <c r="D828" s="19" t="str">
        <f>IFERROR(IF(C828="No CAS","",INDEX('DEQ Pollutant List'!$B$7:$B$611,MATCH('3. Pollutant Emissions - EF'!C828,'DEQ Pollutant List'!$A$7:$A$611,0))),"")</f>
        <v>Naphthalene</v>
      </c>
      <c r="E828" s="23">
        <v>0</v>
      </c>
      <c r="F828" s="21">
        <v>0</v>
      </c>
      <c r="G828" s="23" t="s">
        <v>1415</v>
      </c>
      <c r="H828" s="21" t="s">
        <v>1415</v>
      </c>
      <c r="I828" s="34">
        <v>2.9999999999999997E-4</v>
      </c>
      <c r="J828" s="11">
        <f t="shared" si="29"/>
        <v>2.9999999999999997E-4</v>
      </c>
      <c r="K828" s="6" t="s">
        <v>1416</v>
      </c>
      <c r="L828" s="20" t="s">
        <v>1422</v>
      </c>
      <c r="M828" s="7">
        <f>IF(ISBLANK($B828),_xlfn.XLOOKUP($A828,'2. TEUs &amp; Activities - EF'!$A$9:$A$190,'2. TEUs &amp; Activities - EF'!$J$9:$J$190),_xlfn.XLOOKUP($B828,'2. TEUs &amp; Activities - EF'!$B$9:$B$190,'2. TEUs &amp; Activities - EF'!$J$9:$J$190))*'3. Pollutant Emissions - EF'!$I828*IF(OR(ISBLANK($E828),$G828="Yes"),1,$E828)*IF($H828="Yes",1,(1-$F828))</f>
        <v>6.3767647058823526E-3</v>
      </c>
      <c r="N828" s="5">
        <f>IF(ISBLANK($B828),_xlfn.XLOOKUP($A828,'2. TEUs &amp; Activities - EF'!$A$9:$A$190,'2. TEUs &amp; Activities - EF'!$M$9:$M$190),_xlfn.XLOOKUP($B828,'2. TEUs &amp; Activities - EF'!$B$9:$B$190,'2. TEUs &amp; Activities - EF'!$M$9:$M$190))*'3. Pollutant Emissions - EF'!$J828*IF(OR(ISBLANK($E828),$G828="Yes"),1,$E828)*IF($H828="Yes",1,(1-$F828))</f>
        <v>1.7470588235294117E-5</v>
      </c>
      <c r="O828" s="130">
        <f>IFERROR(IF(OR($C828="",$C828="No CAS"),INDEX('DEQ Pollutant List'!$D$7:$D$611,MATCH($D828,'DEQ Pollutant List'!$B$7:$B$611,0)),INDEX('DEQ Pollutant List'!$D$7:$D$611,MATCH($C828,'DEQ Pollutant List'!$A$7:$A$611,0))),"")</f>
        <v>428</v>
      </c>
    </row>
    <row r="829" spans="1:15" ht="15" x14ac:dyDescent="0.25">
      <c r="A829" s="5" t="s">
        <v>1550</v>
      </c>
      <c r="B829" s="7"/>
      <c r="C829" s="13" t="s">
        <v>66</v>
      </c>
      <c r="D829" s="19" t="str">
        <f>IFERROR(IF(C829="No CAS","",INDEX('DEQ Pollutant List'!$B$7:$B$611,MATCH('3. Pollutant Emissions - EF'!C829,'DEQ Pollutant List'!$A$7:$A$611,0))),"")</f>
        <v>Nickel and compounds</v>
      </c>
      <c r="E829" s="23">
        <v>0</v>
      </c>
      <c r="F829" s="21">
        <v>0</v>
      </c>
      <c r="G829" s="23" t="s">
        <v>1415</v>
      </c>
      <c r="H829" s="21" t="s">
        <v>1415</v>
      </c>
      <c r="I829" s="34">
        <v>2.0999999999999999E-3</v>
      </c>
      <c r="J829" s="11">
        <f t="shared" si="29"/>
        <v>2.0999999999999999E-3</v>
      </c>
      <c r="K829" s="6" t="s">
        <v>1416</v>
      </c>
      <c r="L829" s="20" t="s">
        <v>1422</v>
      </c>
      <c r="M829" s="7">
        <f>IF(ISBLANK($B829),_xlfn.XLOOKUP($A829,'2. TEUs &amp; Activities - EF'!$A$9:$A$190,'2. TEUs &amp; Activities - EF'!$J$9:$J$190),_xlfn.XLOOKUP($B829,'2. TEUs &amp; Activities - EF'!$B$9:$B$190,'2. TEUs &amp; Activities - EF'!$J$9:$J$190))*'3. Pollutant Emissions - EF'!$I829*IF(OR(ISBLANK($E829),$G829="Yes"),1,$E829)*IF($H829="Yes",1,(1-$F829))</f>
        <v>4.4637352941176468E-2</v>
      </c>
      <c r="N829" s="5">
        <f>IF(ISBLANK($B829),_xlfn.XLOOKUP($A829,'2. TEUs &amp; Activities - EF'!$A$9:$A$190,'2. TEUs &amp; Activities - EF'!$M$9:$M$190),_xlfn.XLOOKUP($B829,'2. TEUs &amp; Activities - EF'!$B$9:$B$190,'2. TEUs &amp; Activities - EF'!$M$9:$M$190))*'3. Pollutant Emissions - EF'!$J829*IF(OR(ISBLANK($E829),$G829="Yes"),1,$E829)*IF($H829="Yes",1,(1-$F829))</f>
        <v>1.2229411764705882E-4</v>
      </c>
      <c r="O829" s="130">
        <f>IFERROR(IF(OR($C829="",$C829="No CAS"),INDEX('DEQ Pollutant List'!$D$7:$D$611,MATCH($D829,'DEQ Pollutant List'!$B$7:$B$611,0)),INDEX('DEQ Pollutant List'!$D$7:$D$611,MATCH($C829,'DEQ Pollutant List'!$A$7:$A$611,0))),"")</f>
        <v>364</v>
      </c>
    </row>
    <row r="830" spans="1:15" ht="15" x14ac:dyDescent="0.25">
      <c r="A830" s="5" t="s">
        <v>1550</v>
      </c>
      <c r="B830" s="7"/>
      <c r="C830" s="13">
        <v>401</v>
      </c>
      <c r="D830" s="19" t="str">
        <f>IFERROR(IF(C830="No CAS","",INDEX('DEQ Pollutant List'!$B$7:$B$611,MATCH('3. Pollutant Emissions - EF'!C830,'DEQ Pollutant List'!$A$7:$A$611,0))),"")</f>
        <v>Polycyclic aromatic hydrocarbons (PAHs)</v>
      </c>
      <c r="E830" s="23">
        <v>0</v>
      </c>
      <c r="F830" s="21">
        <v>0</v>
      </c>
      <c r="G830" s="23" t="s">
        <v>1415</v>
      </c>
      <c r="H830" s="21" t="s">
        <v>1415</v>
      </c>
      <c r="I830" s="34">
        <v>1E-4</v>
      </c>
      <c r="J830" s="11">
        <f t="shared" si="29"/>
        <v>1E-4</v>
      </c>
      <c r="K830" s="6" t="s">
        <v>1416</v>
      </c>
      <c r="L830" s="20" t="s">
        <v>1422</v>
      </c>
      <c r="M830" s="7">
        <f>IF(ISBLANK($B830),_xlfn.XLOOKUP($A830,'2. TEUs &amp; Activities - EF'!$A$9:$A$190,'2. TEUs &amp; Activities - EF'!$J$9:$J$190),_xlfn.XLOOKUP($B830,'2. TEUs &amp; Activities - EF'!$B$9:$B$190,'2. TEUs &amp; Activities - EF'!$J$9:$J$190))*'3. Pollutant Emissions - EF'!$I830*IF(OR(ISBLANK($E830),$G830="Yes"),1,$E830)*IF($H830="Yes",1,(1-$F830))</f>
        <v>2.1255882352941178E-3</v>
      </c>
      <c r="N830" s="5">
        <f>IF(ISBLANK($B830),_xlfn.XLOOKUP($A830,'2. TEUs &amp; Activities - EF'!$A$9:$A$190,'2. TEUs &amp; Activities - EF'!$M$9:$M$190),_xlfn.XLOOKUP($B830,'2. TEUs &amp; Activities - EF'!$B$9:$B$190,'2. TEUs &amp; Activities - EF'!$M$9:$M$190))*'3. Pollutant Emissions - EF'!$J830*IF(OR(ISBLANK($E830),$G830="Yes"),1,$E830)*IF($H830="Yes",1,(1-$F830))</f>
        <v>5.8235294117647067E-6</v>
      </c>
      <c r="O830" s="130">
        <f>IFERROR(IF(OR($C830="",$C830="No CAS"),INDEX('DEQ Pollutant List'!$D$7:$D$611,MATCH($D830,'DEQ Pollutant List'!$B$7:$B$611,0)),INDEX('DEQ Pollutant List'!$D$7:$D$611,MATCH($C830,'DEQ Pollutant List'!$A$7:$A$611,0))),"")</f>
        <v>401</v>
      </c>
    </row>
    <row r="831" spans="1:15" ht="15" x14ac:dyDescent="0.25">
      <c r="A831" s="5" t="s">
        <v>1550</v>
      </c>
      <c r="B831" s="7"/>
      <c r="C831" s="13" t="s">
        <v>67</v>
      </c>
      <c r="D831" s="19" t="str">
        <f>IFERROR(IF(C831="No CAS","",INDEX('DEQ Pollutant List'!$B$7:$B$611,MATCH('3. Pollutant Emissions - EF'!C831,'DEQ Pollutant List'!$A$7:$A$611,0))),"")</f>
        <v>Selenium and compounds</v>
      </c>
      <c r="E831" s="23">
        <v>0</v>
      </c>
      <c r="F831" s="21">
        <v>0</v>
      </c>
      <c r="G831" s="23" t="s">
        <v>1415</v>
      </c>
      <c r="H831" s="21" t="s">
        <v>1415</v>
      </c>
      <c r="I831" s="34">
        <v>2.4000000000000001E-5</v>
      </c>
      <c r="J831" s="11">
        <f t="shared" si="29"/>
        <v>2.4000000000000001E-5</v>
      </c>
      <c r="K831" s="6" t="s">
        <v>1416</v>
      </c>
      <c r="L831" s="20" t="s">
        <v>1422</v>
      </c>
      <c r="M831" s="7">
        <f>IF(ISBLANK($B831),_xlfn.XLOOKUP($A831,'2. TEUs &amp; Activities - EF'!$A$9:$A$190,'2. TEUs &amp; Activities - EF'!$J$9:$J$190),_xlfn.XLOOKUP($B831,'2. TEUs &amp; Activities - EF'!$B$9:$B$190,'2. TEUs &amp; Activities - EF'!$J$9:$J$190))*'3. Pollutant Emissions - EF'!$I831*IF(OR(ISBLANK($E831),$G831="Yes"),1,$E831)*IF($H831="Yes",1,(1-$F831))</f>
        <v>5.1014117647058834E-4</v>
      </c>
      <c r="N831" s="5">
        <f>IF(ISBLANK($B831),_xlfn.XLOOKUP($A831,'2. TEUs &amp; Activities - EF'!$A$9:$A$190,'2. TEUs &amp; Activities - EF'!$M$9:$M$190),_xlfn.XLOOKUP($B831,'2. TEUs &amp; Activities - EF'!$B$9:$B$190,'2. TEUs &amp; Activities - EF'!$M$9:$M$190))*'3. Pollutant Emissions - EF'!$J831*IF(OR(ISBLANK($E831),$G831="Yes"),1,$E831)*IF($H831="Yes",1,(1-$F831))</f>
        <v>1.3976470588235297E-6</v>
      </c>
      <c r="O831" s="130">
        <f>IFERROR(IF(OR($C831="",$C831="No CAS"),INDEX('DEQ Pollutant List'!$D$7:$D$611,MATCH($D831,'DEQ Pollutant List'!$B$7:$B$611,0)),INDEX('DEQ Pollutant List'!$D$7:$D$611,MATCH($C831,'DEQ Pollutant List'!$A$7:$A$611,0))),"")</f>
        <v>575</v>
      </c>
    </row>
    <row r="832" spans="1:15" ht="15" x14ac:dyDescent="0.25">
      <c r="A832" s="5" t="s">
        <v>1550</v>
      </c>
      <c r="B832" s="7"/>
      <c r="C832" s="13" t="s">
        <v>68</v>
      </c>
      <c r="D832" s="19" t="str">
        <f>IFERROR(IF(C832="No CAS","",INDEX('DEQ Pollutant List'!$B$7:$B$611,MATCH('3. Pollutant Emissions - EF'!C832,'DEQ Pollutant List'!$A$7:$A$611,0))),"")</f>
        <v>Toluene</v>
      </c>
      <c r="E832" s="23">
        <v>0</v>
      </c>
      <c r="F832" s="21">
        <v>0</v>
      </c>
      <c r="G832" s="23" t="s">
        <v>1415</v>
      </c>
      <c r="H832" s="21" t="s">
        <v>1415</v>
      </c>
      <c r="I832" s="34">
        <v>3.6600000000000001E-2</v>
      </c>
      <c r="J832" s="11">
        <f t="shared" si="29"/>
        <v>3.6600000000000001E-2</v>
      </c>
      <c r="K832" s="6" t="s">
        <v>1416</v>
      </c>
      <c r="L832" s="20" t="s">
        <v>1422</v>
      </c>
      <c r="M832" s="7">
        <f>IF(ISBLANK($B832),_xlfn.XLOOKUP($A832,'2. TEUs &amp; Activities - EF'!$A$9:$A$190,'2. TEUs &amp; Activities - EF'!$J$9:$J$190),_xlfn.XLOOKUP($B832,'2. TEUs &amp; Activities - EF'!$B$9:$B$190,'2. TEUs &amp; Activities - EF'!$J$9:$J$190))*'3. Pollutant Emissions - EF'!$I832*IF(OR(ISBLANK($E832),$G832="Yes"),1,$E832)*IF($H832="Yes",1,(1-$F832))</f>
        <v>0.77796529411764714</v>
      </c>
      <c r="N832" s="5">
        <f>IF(ISBLANK($B832),_xlfn.XLOOKUP($A832,'2. TEUs &amp; Activities - EF'!$A$9:$A$190,'2. TEUs &amp; Activities - EF'!$M$9:$M$190),_xlfn.XLOOKUP($B832,'2. TEUs &amp; Activities - EF'!$B$9:$B$190,'2. TEUs &amp; Activities - EF'!$M$9:$M$190))*'3. Pollutant Emissions - EF'!$J832*IF(OR(ISBLANK($E832),$G832="Yes"),1,$E832)*IF($H832="Yes",1,(1-$F832))</f>
        <v>2.1314117647058825E-3</v>
      </c>
      <c r="O832" s="130">
        <f>IFERROR(IF(OR($C832="",$C832="No CAS"),INDEX('DEQ Pollutant List'!$D$7:$D$611,MATCH($D832,'DEQ Pollutant List'!$B$7:$B$611,0)),INDEX('DEQ Pollutant List'!$D$7:$D$611,MATCH($C832,'DEQ Pollutant List'!$A$7:$A$611,0))),"")</f>
        <v>600</v>
      </c>
    </row>
    <row r="833" spans="1:15" ht="15" x14ac:dyDescent="0.25">
      <c r="A833" s="5" t="s">
        <v>1550</v>
      </c>
      <c r="B833" s="7"/>
      <c r="C833" s="13" t="s">
        <v>69</v>
      </c>
      <c r="D833" s="19" t="str">
        <f>IFERROR(IF(C833="No CAS","",INDEX('DEQ Pollutant List'!$B$7:$B$611,MATCH('3. Pollutant Emissions - EF'!C833,'DEQ Pollutant List'!$A$7:$A$611,0))),"")</f>
        <v>Vanadium (fume or dust)</v>
      </c>
      <c r="E833" s="23">
        <v>0</v>
      </c>
      <c r="F833" s="21">
        <v>0</v>
      </c>
      <c r="G833" s="23" t="s">
        <v>1415</v>
      </c>
      <c r="H833" s="21" t="s">
        <v>1415</v>
      </c>
      <c r="I833" s="34">
        <v>2.3E-3</v>
      </c>
      <c r="J833" s="11">
        <f t="shared" si="29"/>
        <v>2.3E-3</v>
      </c>
      <c r="K833" s="6" t="s">
        <v>1416</v>
      </c>
      <c r="L833" s="20" t="s">
        <v>1422</v>
      </c>
      <c r="M833" s="7">
        <f>IF(ISBLANK($B833),_xlfn.XLOOKUP($A833,'2. TEUs &amp; Activities - EF'!$A$9:$A$190,'2. TEUs &amp; Activities - EF'!$J$9:$J$190),_xlfn.XLOOKUP($B833,'2. TEUs &amp; Activities - EF'!$B$9:$B$190,'2. TEUs &amp; Activities - EF'!$J$9:$J$190))*'3. Pollutant Emissions - EF'!$I833*IF(OR(ISBLANK($E833),$G833="Yes"),1,$E833)*IF($H833="Yes",1,(1-$F833))</f>
        <v>4.8888529411764706E-2</v>
      </c>
      <c r="N833" s="5">
        <f>IF(ISBLANK($B833),_xlfn.XLOOKUP($A833,'2. TEUs &amp; Activities - EF'!$A$9:$A$190,'2. TEUs &amp; Activities - EF'!$M$9:$M$190),_xlfn.XLOOKUP($B833,'2. TEUs &amp; Activities - EF'!$B$9:$B$190,'2. TEUs &amp; Activities - EF'!$M$9:$M$190))*'3. Pollutant Emissions - EF'!$J833*IF(OR(ISBLANK($E833),$G833="Yes"),1,$E833)*IF($H833="Yes",1,(1-$F833))</f>
        <v>1.3394117647058825E-4</v>
      </c>
      <c r="O833" s="130">
        <f>IFERROR(IF(OR($C833="",$C833="No CAS"),INDEX('DEQ Pollutant List'!$D$7:$D$611,MATCH($D833,'DEQ Pollutant List'!$B$7:$B$611,0)),INDEX('DEQ Pollutant List'!$D$7:$D$611,MATCH($C833,'DEQ Pollutant List'!$A$7:$A$611,0))),"")</f>
        <v>620</v>
      </c>
    </row>
    <row r="834" spans="1:15" ht="15" x14ac:dyDescent="0.25">
      <c r="A834" s="5" t="s">
        <v>1550</v>
      </c>
      <c r="B834" s="7"/>
      <c r="C834" s="13" t="s">
        <v>70</v>
      </c>
      <c r="D834" s="19" t="str">
        <f>IFERROR(IF(C834="No CAS","",INDEX('DEQ Pollutant List'!$B$7:$B$611,MATCH('3. Pollutant Emissions - EF'!C834,'DEQ Pollutant List'!$A$7:$A$611,0))),"")</f>
        <v>Xylene (mixture), including m-xylene, o-xylene, p-xylene</v>
      </c>
      <c r="E834" s="23">
        <v>0</v>
      </c>
      <c r="F834" s="21">
        <v>0</v>
      </c>
      <c r="G834" s="23" t="s">
        <v>1415</v>
      </c>
      <c r="H834" s="21" t="s">
        <v>1415</v>
      </c>
      <c r="I834" s="34">
        <v>2.7199999999999998E-2</v>
      </c>
      <c r="J834" s="11">
        <f t="shared" si="29"/>
        <v>2.7199999999999998E-2</v>
      </c>
      <c r="K834" s="6" t="s">
        <v>1416</v>
      </c>
      <c r="L834" s="20" t="s">
        <v>1422</v>
      </c>
      <c r="M834" s="7">
        <f>IF(ISBLANK($B834),_xlfn.XLOOKUP($A834,'2. TEUs &amp; Activities - EF'!$A$9:$A$190,'2. TEUs &amp; Activities - EF'!$J$9:$J$190),_xlfn.XLOOKUP($B834,'2. TEUs &amp; Activities - EF'!$B$9:$B$190,'2. TEUs &amp; Activities - EF'!$J$9:$J$190))*'3. Pollutant Emissions - EF'!$I834*IF(OR(ISBLANK($E834),$G834="Yes"),1,$E834)*IF($H834="Yes",1,(1-$F834))</f>
        <v>0.57816000000000001</v>
      </c>
      <c r="N834" s="5">
        <f>IF(ISBLANK($B834),_xlfn.XLOOKUP($A834,'2. TEUs &amp; Activities - EF'!$A$9:$A$190,'2. TEUs &amp; Activities - EF'!$M$9:$M$190),_xlfn.XLOOKUP($B834,'2. TEUs &amp; Activities - EF'!$B$9:$B$190,'2. TEUs &amp; Activities - EF'!$M$9:$M$190))*'3. Pollutant Emissions - EF'!$J834*IF(OR(ISBLANK($E834),$G834="Yes"),1,$E834)*IF($H834="Yes",1,(1-$F834))</f>
        <v>1.5840000000000001E-3</v>
      </c>
      <c r="O834" s="130">
        <f>IFERROR(IF(OR($C834="",$C834="No CAS"),INDEX('DEQ Pollutant List'!$D$7:$D$611,MATCH($D834,'DEQ Pollutant List'!$B$7:$B$611,0)),INDEX('DEQ Pollutant List'!$D$7:$D$611,MATCH($C834,'DEQ Pollutant List'!$A$7:$A$611,0))),"")</f>
        <v>628</v>
      </c>
    </row>
    <row r="835" spans="1:15" ht="15" x14ac:dyDescent="0.25">
      <c r="A835" s="5" t="s">
        <v>1550</v>
      </c>
      <c r="B835" s="7"/>
      <c r="C835" s="13" t="s">
        <v>71</v>
      </c>
      <c r="D835" s="19" t="str">
        <f>IFERROR(IF(C835="No CAS","",INDEX('DEQ Pollutant List'!$B$7:$B$611,MATCH('3. Pollutant Emissions - EF'!C835,'DEQ Pollutant List'!$A$7:$A$611,0))),"")</f>
        <v>Zinc and compounds</v>
      </c>
      <c r="E835" s="23">
        <v>0</v>
      </c>
      <c r="F835" s="21">
        <v>0</v>
      </c>
      <c r="G835" s="23" t="s">
        <v>1415</v>
      </c>
      <c r="H835" s="21" t="s">
        <v>1415</v>
      </c>
      <c r="I835" s="34">
        <v>2.9000000000000001E-2</v>
      </c>
      <c r="J835" s="11">
        <f t="shared" si="29"/>
        <v>2.9000000000000001E-2</v>
      </c>
      <c r="K835" s="6" t="s">
        <v>1416</v>
      </c>
      <c r="L835" s="20" t="s">
        <v>1422</v>
      </c>
      <c r="M835" s="7">
        <f>IF(ISBLANK($B835),_xlfn.XLOOKUP($A835,'2. TEUs &amp; Activities - EF'!$A$9:$A$190,'2. TEUs &amp; Activities - EF'!$J$9:$J$190),_xlfn.XLOOKUP($B835,'2. TEUs &amp; Activities - EF'!$B$9:$B$190,'2. TEUs &amp; Activities - EF'!$J$9:$J$190))*'3. Pollutant Emissions - EF'!$I835*IF(OR(ISBLANK($E835),$G835="Yes"),1,$E835)*IF($H835="Yes",1,(1-$F835))</f>
        <v>0.61642058823529422</v>
      </c>
      <c r="N835" s="5">
        <f>IF(ISBLANK($B835),_xlfn.XLOOKUP($A835,'2. TEUs &amp; Activities - EF'!$A$9:$A$190,'2. TEUs &amp; Activities - EF'!$M$9:$M$190),_xlfn.XLOOKUP($B835,'2. TEUs &amp; Activities - EF'!$B$9:$B$190,'2. TEUs &amp; Activities - EF'!$M$9:$M$190))*'3. Pollutant Emissions - EF'!$J835*IF(OR(ISBLANK($E835),$G835="Yes"),1,$E835)*IF($H835="Yes",1,(1-$F835))</f>
        <v>1.688823529411765E-3</v>
      </c>
      <c r="O835" s="130">
        <f>IFERROR(IF(OR($C835="",$C835="No CAS"),INDEX('DEQ Pollutant List'!$D$7:$D$611,MATCH($D835,'DEQ Pollutant List'!$B$7:$B$611,0)),INDEX('DEQ Pollutant List'!$D$7:$D$611,MATCH($C835,'DEQ Pollutant List'!$A$7:$A$611,0))),"")</f>
        <v>632</v>
      </c>
    </row>
    <row r="836" spans="1:15" ht="15" x14ac:dyDescent="0.25">
      <c r="A836" s="5"/>
      <c r="B836" s="7"/>
      <c r="C836" s="13"/>
      <c r="D836" s="19" t="str">
        <f>IFERROR(IF(C836="No CAS","",INDEX('DEQ Pollutant List'!$B$7:$B$611,MATCH('3. Pollutant Emissions - EF'!C836,'DEQ Pollutant List'!$A$7:$A$611,0))),"")</f>
        <v/>
      </c>
      <c r="E836" s="23"/>
      <c r="F836" s="21"/>
      <c r="G836" s="23"/>
      <c r="H836" s="21"/>
      <c r="I836" s="34"/>
      <c r="J836" s="11"/>
      <c r="K836" s="6"/>
      <c r="L836" s="20"/>
      <c r="M836" s="7">
        <f>IF(ISBLANK($B836),_xlfn.XLOOKUP($A836,'2. TEUs &amp; Activities - EF'!$A$9:$A$190,'2. TEUs &amp; Activities - EF'!$J$9:$J$190),_xlfn.XLOOKUP($B836,'2. TEUs &amp; Activities - EF'!$B$9:$B$190,'2. TEUs &amp; Activities - EF'!$J$9:$J$190))*'3. Pollutant Emissions - EF'!$I836*IF(OR(ISBLANK($E836),$G836="Yes"),1,$E836)*IF($H836="Yes",1,(1-$F836))</f>
        <v>0</v>
      </c>
      <c r="N836" s="5">
        <f>IF(ISBLANK($B836),_xlfn.XLOOKUP($A836,'2. TEUs &amp; Activities - EF'!$A$9:$A$190,'2. TEUs &amp; Activities - EF'!$M$9:$M$190),_xlfn.XLOOKUP($B836,'2. TEUs &amp; Activities - EF'!$B$9:$B$190,'2. TEUs &amp; Activities - EF'!$M$9:$M$190))*'3. Pollutant Emissions - EF'!$J836*IF(OR(ISBLANK($E836),$G836="Yes"),1,$E836)*IF($H836="Yes",1,(1-$F836))</f>
        <v>0</v>
      </c>
      <c r="O836" s="130" t="str">
        <f>IFERROR(IF(OR($C836="",$C836="No CAS"),INDEX('DEQ Pollutant List'!$D$7:$D$611,MATCH($D836,'DEQ Pollutant List'!$B$7:$B$611,0)),INDEX('DEQ Pollutant List'!$D$7:$D$611,MATCH($C836,'DEQ Pollutant List'!$A$7:$A$611,0))),"")</f>
        <v/>
      </c>
    </row>
    <row r="837" spans="1:15" ht="15" x14ac:dyDescent="0.25">
      <c r="A837" s="5" t="s">
        <v>1559</v>
      </c>
      <c r="B837" s="7"/>
      <c r="C837" s="13" t="s">
        <v>50</v>
      </c>
      <c r="D837" s="19" t="str">
        <f>IFERROR(IF(C837="No CAS","",INDEX('DEQ Pollutant List'!$B$7:$B$611,MATCH('3. Pollutant Emissions - EF'!C837,'DEQ Pollutant List'!$A$7:$A$611,0))),"")</f>
        <v>Acetaldehyde</v>
      </c>
      <c r="E837" s="23">
        <v>0</v>
      </c>
      <c r="F837" s="21">
        <v>0</v>
      </c>
      <c r="G837" s="23" t="s">
        <v>1415</v>
      </c>
      <c r="H837" s="21" t="s">
        <v>1415</v>
      </c>
      <c r="I837" s="34">
        <v>4.3E-3</v>
      </c>
      <c r="J837" s="11">
        <f t="shared" ref="J837:J862" si="30">I837</f>
        <v>4.3E-3</v>
      </c>
      <c r="K837" s="6" t="s">
        <v>1416</v>
      </c>
      <c r="L837" s="20" t="s">
        <v>1422</v>
      </c>
      <c r="M837" s="7">
        <f>IF(ISBLANK($B837),_xlfn.XLOOKUP($A837,'2. TEUs &amp; Activities - EF'!$A$9:$A$190,'2. TEUs &amp; Activities - EF'!$J$9:$J$190),_xlfn.XLOOKUP($B837,'2. TEUs &amp; Activities - EF'!$B$9:$B$190,'2. TEUs &amp; Activities - EF'!$J$9:$J$190))*'3. Pollutant Emissions - EF'!$I837*IF(OR(ISBLANK($E837),$G837="Yes"),1,$E837)*IF($H837="Yes",1,(1-$F837))</f>
        <v>9.1400294117647066E-2</v>
      </c>
      <c r="N837" s="5">
        <f>IF(ISBLANK($B837),_xlfn.XLOOKUP($A837,'2. TEUs &amp; Activities - EF'!$A$9:$A$190,'2. TEUs &amp; Activities - EF'!$M$9:$M$190),_xlfn.XLOOKUP($B837,'2. TEUs &amp; Activities - EF'!$B$9:$B$190,'2. TEUs &amp; Activities - EF'!$M$9:$M$190))*'3. Pollutant Emissions - EF'!$J837*IF(OR(ISBLANK($E837),$G837="Yes"),1,$E837)*IF($H837="Yes",1,(1-$F837))</f>
        <v>2.5041176470588236E-4</v>
      </c>
      <c r="O837" s="130">
        <f>IFERROR(IF(OR($C837="",$C837="No CAS"),INDEX('DEQ Pollutant List'!$D$7:$D$611,MATCH($D837,'DEQ Pollutant List'!$B$7:$B$611,0)),INDEX('DEQ Pollutant List'!$D$7:$D$611,MATCH($C837,'DEQ Pollutant List'!$A$7:$A$611,0))),"")</f>
        <v>1</v>
      </c>
    </row>
    <row r="838" spans="1:15" ht="15" x14ac:dyDescent="0.25">
      <c r="A838" s="5" t="s">
        <v>1559</v>
      </c>
      <c r="B838" s="7"/>
      <c r="C838" s="13" t="s">
        <v>51</v>
      </c>
      <c r="D838" s="19" t="str">
        <f>IFERROR(IF(C838="No CAS","",INDEX('DEQ Pollutant List'!$B$7:$B$611,MATCH('3. Pollutant Emissions - EF'!C838,'DEQ Pollutant List'!$A$7:$A$611,0))),"")</f>
        <v>Acrolein</v>
      </c>
      <c r="E838" s="23">
        <v>0</v>
      </c>
      <c r="F838" s="21">
        <v>0</v>
      </c>
      <c r="G838" s="23" t="s">
        <v>1415</v>
      </c>
      <c r="H838" s="21" t="s">
        <v>1415</v>
      </c>
      <c r="I838" s="34">
        <v>2.7000000000000001E-3</v>
      </c>
      <c r="J838" s="11">
        <f t="shared" si="30"/>
        <v>2.7000000000000001E-3</v>
      </c>
      <c r="K838" s="6" t="s">
        <v>1416</v>
      </c>
      <c r="L838" s="20" t="s">
        <v>1422</v>
      </c>
      <c r="M838" s="7">
        <f>IF(ISBLANK($B838),_xlfn.XLOOKUP($A838,'2. TEUs &amp; Activities - EF'!$A$9:$A$190,'2. TEUs &amp; Activities - EF'!$J$9:$J$190),_xlfn.XLOOKUP($B838,'2. TEUs &amp; Activities - EF'!$B$9:$B$190,'2. TEUs &amp; Activities - EF'!$J$9:$J$190))*'3. Pollutant Emissions - EF'!$I838*IF(OR(ISBLANK($E838),$G838="Yes"),1,$E838)*IF($H838="Yes",1,(1-$F838))</f>
        <v>5.7390882352941187E-2</v>
      </c>
      <c r="N838" s="5">
        <f>IF(ISBLANK($B838),_xlfn.XLOOKUP($A838,'2. TEUs &amp; Activities - EF'!$A$9:$A$190,'2. TEUs &amp; Activities - EF'!$M$9:$M$190),_xlfn.XLOOKUP($B838,'2. TEUs &amp; Activities - EF'!$B$9:$B$190,'2. TEUs &amp; Activities - EF'!$M$9:$M$190))*'3. Pollutant Emissions - EF'!$J838*IF(OR(ISBLANK($E838),$G838="Yes"),1,$E838)*IF($H838="Yes",1,(1-$F838))</f>
        <v>1.5723529411764707E-4</v>
      </c>
      <c r="O838" s="130">
        <f>IFERROR(IF(OR($C838="",$C838="No CAS"),INDEX('DEQ Pollutant List'!$D$7:$D$611,MATCH($D838,'DEQ Pollutant List'!$B$7:$B$611,0)),INDEX('DEQ Pollutant List'!$D$7:$D$611,MATCH($C838,'DEQ Pollutant List'!$A$7:$A$611,0))),"")</f>
        <v>5</v>
      </c>
    </row>
    <row r="839" spans="1:15" ht="15" x14ac:dyDescent="0.25">
      <c r="A839" s="5" t="s">
        <v>1559</v>
      </c>
      <c r="B839" s="7"/>
      <c r="C839" s="13" t="s">
        <v>52</v>
      </c>
      <c r="D839" s="19" t="str">
        <f>IFERROR(IF(C839="No CAS","",INDEX('DEQ Pollutant List'!$B$7:$B$611,MATCH('3. Pollutant Emissions - EF'!C839,'DEQ Pollutant List'!$A$7:$A$611,0))),"")</f>
        <v>Ammonia</v>
      </c>
      <c r="E839" s="23">
        <v>0</v>
      </c>
      <c r="F839" s="21">
        <v>0</v>
      </c>
      <c r="G839" s="23" t="s">
        <v>1415</v>
      </c>
      <c r="H839" s="21" t="s">
        <v>1415</v>
      </c>
      <c r="I839" s="34">
        <v>3.2</v>
      </c>
      <c r="J839" s="11">
        <f t="shared" si="30"/>
        <v>3.2</v>
      </c>
      <c r="K839" s="6" t="s">
        <v>1416</v>
      </c>
      <c r="L839" s="20" t="s">
        <v>1586</v>
      </c>
      <c r="M839" s="7">
        <f>IF(ISBLANK($B839),_xlfn.XLOOKUP($A839,'2. TEUs &amp; Activities - EF'!$A$9:$A$190,'2. TEUs &amp; Activities - EF'!$J$9:$J$190),_xlfn.XLOOKUP($B839,'2. TEUs &amp; Activities - EF'!$B$9:$B$190,'2. TEUs &amp; Activities - EF'!$J$9:$J$190))*'3. Pollutant Emissions - EF'!$I839*IF(OR(ISBLANK($E839),$G839="Yes"),1,$E839)*IF($H839="Yes",1,(1-$F839))</f>
        <v>68.018823529411776</v>
      </c>
      <c r="N839" s="5">
        <f>IF(ISBLANK($B839),_xlfn.XLOOKUP($A839,'2. TEUs &amp; Activities - EF'!$A$9:$A$190,'2. TEUs &amp; Activities - EF'!$M$9:$M$190),_xlfn.XLOOKUP($B839,'2. TEUs &amp; Activities - EF'!$B$9:$B$190,'2. TEUs &amp; Activities - EF'!$M$9:$M$190))*'3. Pollutant Emissions - EF'!$J839*IF(OR(ISBLANK($E839),$G839="Yes"),1,$E839)*IF($H839="Yes",1,(1-$F839))</f>
        <v>0.18635294117647061</v>
      </c>
      <c r="O839" s="130">
        <f>IFERROR(IF(OR($C839="",$C839="No CAS"),INDEX('DEQ Pollutant List'!$D$7:$D$611,MATCH($D839,'DEQ Pollutant List'!$B$7:$B$611,0)),INDEX('DEQ Pollutant List'!$D$7:$D$611,MATCH($C839,'DEQ Pollutant List'!$A$7:$A$611,0))),"")</f>
        <v>26</v>
      </c>
    </row>
    <row r="840" spans="1:15" ht="15" x14ac:dyDescent="0.25">
      <c r="A840" s="5" t="s">
        <v>1559</v>
      </c>
      <c r="B840" s="7"/>
      <c r="C840" s="13" t="s">
        <v>53</v>
      </c>
      <c r="D840" s="19" t="str">
        <f>IFERROR(IF(C840="No CAS","",INDEX('DEQ Pollutant List'!$B$7:$B$611,MATCH('3. Pollutant Emissions - EF'!C840,'DEQ Pollutant List'!$A$7:$A$611,0))),"")</f>
        <v>Arsenic and compounds</v>
      </c>
      <c r="E840" s="23">
        <v>0</v>
      </c>
      <c r="F840" s="21">
        <v>0</v>
      </c>
      <c r="G840" s="23" t="s">
        <v>1415</v>
      </c>
      <c r="H840" s="21" t="s">
        <v>1415</v>
      </c>
      <c r="I840" s="34">
        <v>2.0000000000000001E-4</v>
      </c>
      <c r="J840" s="11">
        <f t="shared" si="30"/>
        <v>2.0000000000000001E-4</v>
      </c>
      <c r="K840" s="6" t="s">
        <v>1416</v>
      </c>
      <c r="L840" s="20" t="s">
        <v>1422</v>
      </c>
      <c r="M840" s="7">
        <f>IF(ISBLANK($B840),_xlfn.XLOOKUP($A840,'2. TEUs &amp; Activities - EF'!$A$9:$A$190,'2. TEUs &amp; Activities - EF'!$J$9:$J$190),_xlfn.XLOOKUP($B840,'2. TEUs &amp; Activities - EF'!$B$9:$B$190,'2. TEUs &amp; Activities - EF'!$J$9:$J$190))*'3. Pollutant Emissions - EF'!$I840*IF(OR(ISBLANK($E840),$G840="Yes"),1,$E840)*IF($H840="Yes",1,(1-$F840))</f>
        <v>4.2511764705882357E-3</v>
      </c>
      <c r="N840" s="5">
        <f>IF(ISBLANK($B840),_xlfn.XLOOKUP($A840,'2. TEUs &amp; Activities - EF'!$A$9:$A$190,'2. TEUs &amp; Activities - EF'!$M$9:$M$190),_xlfn.XLOOKUP($B840,'2. TEUs &amp; Activities - EF'!$B$9:$B$190,'2. TEUs &amp; Activities - EF'!$M$9:$M$190))*'3. Pollutant Emissions - EF'!$J840*IF(OR(ISBLANK($E840),$G840="Yes"),1,$E840)*IF($H840="Yes",1,(1-$F840))</f>
        <v>1.1647058823529413E-5</v>
      </c>
      <c r="O840" s="130">
        <f>IFERROR(IF(OR($C840="",$C840="No CAS"),INDEX('DEQ Pollutant List'!$D$7:$D$611,MATCH($D840,'DEQ Pollutant List'!$B$7:$B$611,0)),INDEX('DEQ Pollutant List'!$D$7:$D$611,MATCH($C840,'DEQ Pollutant List'!$A$7:$A$611,0))),"")</f>
        <v>37</v>
      </c>
    </row>
    <row r="841" spans="1:15" ht="15" x14ac:dyDescent="0.25">
      <c r="A841" s="5" t="s">
        <v>1559</v>
      </c>
      <c r="B841" s="7"/>
      <c r="C841" s="13" t="s">
        <v>54</v>
      </c>
      <c r="D841" s="19" t="str">
        <f>IFERROR(IF(C841="No CAS","",INDEX('DEQ Pollutant List'!$B$7:$B$611,MATCH('3. Pollutant Emissions - EF'!C841,'DEQ Pollutant List'!$A$7:$A$611,0))),"")</f>
        <v>Barium and compounds</v>
      </c>
      <c r="E841" s="23">
        <v>0</v>
      </c>
      <c r="F841" s="21">
        <v>0</v>
      </c>
      <c r="G841" s="23" t="s">
        <v>1415</v>
      </c>
      <c r="H841" s="21" t="s">
        <v>1415</v>
      </c>
      <c r="I841" s="34">
        <v>4.4000000000000003E-3</v>
      </c>
      <c r="J841" s="11">
        <f t="shared" si="30"/>
        <v>4.4000000000000003E-3</v>
      </c>
      <c r="K841" s="6" t="s">
        <v>1416</v>
      </c>
      <c r="L841" s="20" t="s">
        <v>1422</v>
      </c>
      <c r="M841" s="7">
        <f>IF(ISBLANK($B841),_xlfn.XLOOKUP($A841,'2. TEUs &amp; Activities - EF'!$A$9:$A$190,'2. TEUs &amp; Activities - EF'!$J$9:$J$190),_xlfn.XLOOKUP($B841,'2. TEUs &amp; Activities - EF'!$B$9:$B$190,'2. TEUs &amp; Activities - EF'!$J$9:$J$190))*'3. Pollutant Emissions - EF'!$I841*IF(OR(ISBLANK($E841),$G841="Yes"),1,$E841)*IF($H841="Yes",1,(1-$F841))</f>
        <v>9.3525882352941195E-2</v>
      </c>
      <c r="N841" s="5">
        <f>IF(ISBLANK($B841),_xlfn.XLOOKUP($A841,'2. TEUs &amp; Activities - EF'!$A$9:$A$190,'2. TEUs &amp; Activities - EF'!$M$9:$M$190),_xlfn.XLOOKUP($B841,'2. TEUs &amp; Activities - EF'!$B$9:$B$190,'2. TEUs &amp; Activities - EF'!$M$9:$M$190))*'3. Pollutant Emissions - EF'!$J841*IF(OR(ISBLANK($E841),$G841="Yes"),1,$E841)*IF($H841="Yes",1,(1-$F841))</f>
        <v>2.5623529411764712E-4</v>
      </c>
      <c r="O841" s="130">
        <f>IFERROR(IF(OR($C841="",$C841="No CAS"),INDEX('DEQ Pollutant List'!$D$7:$D$611,MATCH($D841,'DEQ Pollutant List'!$B$7:$B$611,0)),INDEX('DEQ Pollutant List'!$D$7:$D$611,MATCH($C841,'DEQ Pollutant List'!$A$7:$A$611,0))),"")</f>
        <v>45</v>
      </c>
    </row>
    <row r="842" spans="1:15" ht="15" x14ac:dyDescent="0.25">
      <c r="A842" s="5" t="s">
        <v>1559</v>
      </c>
      <c r="B842" s="7"/>
      <c r="C842" s="13" t="s">
        <v>46</v>
      </c>
      <c r="D842" s="19" t="str">
        <f>IFERROR(IF(C842="No CAS","",INDEX('DEQ Pollutant List'!$B$7:$B$611,MATCH('3. Pollutant Emissions - EF'!C842,'DEQ Pollutant List'!$A$7:$A$611,0))),"")</f>
        <v>Benzene</v>
      </c>
      <c r="E842" s="23">
        <v>0</v>
      </c>
      <c r="F842" s="21">
        <v>0</v>
      </c>
      <c r="G842" s="23" t="s">
        <v>1415</v>
      </c>
      <c r="H842" s="21" t="s">
        <v>1415</v>
      </c>
      <c r="I842" s="34">
        <v>8.0000000000000002E-3</v>
      </c>
      <c r="J842" s="11">
        <f t="shared" si="30"/>
        <v>8.0000000000000002E-3</v>
      </c>
      <c r="K842" s="6" t="s">
        <v>1416</v>
      </c>
      <c r="L842" s="20" t="s">
        <v>1422</v>
      </c>
      <c r="M842" s="7">
        <f>IF(ISBLANK($B842),_xlfn.XLOOKUP($A842,'2. TEUs &amp; Activities - EF'!$A$9:$A$190,'2. TEUs &amp; Activities - EF'!$J$9:$J$190),_xlfn.XLOOKUP($B842,'2. TEUs &amp; Activities - EF'!$B$9:$B$190,'2. TEUs &amp; Activities - EF'!$J$9:$J$190))*'3. Pollutant Emissions - EF'!$I842*IF(OR(ISBLANK($E842),$G842="Yes"),1,$E842)*IF($H842="Yes",1,(1-$F842))</f>
        <v>0.17004705882352944</v>
      </c>
      <c r="N842" s="5">
        <f>IF(ISBLANK($B842),_xlfn.XLOOKUP($A842,'2. TEUs &amp; Activities - EF'!$A$9:$A$190,'2. TEUs &amp; Activities - EF'!$M$9:$M$190),_xlfn.XLOOKUP($B842,'2. TEUs &amp; Activities - EF'!$B$9:$B$190,'2. TEUs &amp; Activities - EF'!$M$9:$M$190))*'3. Pollutant Emissions - EF'!$J842*IF(OR(ISBLANK($E842),$G842="Yes"),1,$E842)*IF($H842="Yes",1,(1-$F842))</f>
        <v>4.6588235294117654E-4</v>
      </c>
      <c r="O842" s="130">
        <f>IFERROR(IF(OR($C842="",$C842="No CAS"),INDEX('DEQ Pollutant List'!$D$7:$D$611,MATCH($D842,'DEQ Pollutant List'!$B$7:$B$611,0)),INDEX('DEQ Pollutant List'!$D$7:$D$611,MATCH($C842,'DEQ Pollutant List'!$A$7:$A$611,0))),"")</f>
        <v>46</v>
      </c>
    </row>
    <row r="843" spans="1:15" ht="15" x14ac:dyDescent="0.25">
      <c r="A843" s="5" t="s">
        <v>1559</v>
      </c>
      <c r="B843" s="7"/>
      <c r="C843" s="13" t="s">
        <v>55</v>
      </c>
      <c r="D843" s="19" t="str">
        <f>IFERROR(IF(C843="No CAS","",INDEX('DEQ Pollutant List'!$B$7:$B$611,MATCH('3. Pollutant Emissions - EF'!C843,'DEQ Pollutant List'!$A$7:$A$611,0))),"")</f>
        <v>Beryllium and compounds</v>
      </c>
      <c r="E843" s="23">
        <v>0</v>
      </c>
      <c r="F843" s="21">
        <v>0</v>
      </c>
      <c r="G843" s="23" t="s">
        <v>1415</v>
      </c>
      <c r="H843" s="21" t="s">
        <v>1415</v>
      </c>
      <c r="I843" s="34">
        <v>1.2E-5</v>
      </c>
      <c r="J843" s="11">
        <f t="shared" si="30"/>
        <v>1.2E-5</v>
      </c>
      <c r="K843" s="6" t="s">
        <v>1416</v>
      </c>
      <c r="L843" s="20" t="s">
        <v>1422</v>
      </c>
      <c r="M843" s="7">
        <f>IF(ISBLANK($B843),_xlfn.XLOOKUP($A843,'2. TEUs &amp; Activities - EF'!$A$9:$A$190,'2. TEUs &amp; Activities - EF'!$J$9:$J$190),_xlfn.XLOOKUP($B843,'2. TEUs &amp; Activities - EF'!$B$9:$B$190,'2. TEUs &amp; Activities - EF'!$J$9:$J$190))*'3. Pollutant Emissions - EF'!$I843*IF(OR(ISBLANK($E843),$G843="Yes"),1,$E843)*IF($H843="Yes",1,(1-$F843))</f>
        <v>2.5507058823529417E-4</v>
      </c>
      <c r="N843" s="5">
        <f>IF(ISBLANK($B843),_xlfn.XLOOKUP($A843,'2. TEUs &amp; Activities - EF'!$A$9:$A$190,'2. TEUs &amp; Activities - EF'!$M$9:$M$190),_xlfn.XLOOKUP($B843,'2. TEUs &amp; Activities - EF'!$B$9:$B$190,'2. TEUs &amp; Activities - EF'!$M$9:$M$190))*'3. Pollutant Emissions - EF'!$J843*IF(OR(ISBLANK($E843),$G843="Yes"),1,$E843)*IF($H843="Yes",1,(1-$F843))</f>
        <v>6.9882352941176484E-7</v>
      </c>
      <c r="O843" s="130">
        <f>IFERROR(IF(OR($C843="",$C843="No CAS"),INDEX('DEQ Pollutant List'!$D$7:$D$611,MATCH($D843,'DEQ Pollutant List'!$B$7:$B$611,0)),INDEX('DEQ Pollutant List'!$D$7:$D$611,MATCH($C843,'DEQ Pollutant List'!$A$7:$A$611,0))),"")</f>
        <v>58</v>
      </c>
    </row>
    <row r="844" spans="1:15" ht="15" x14ac:dyDescent="0.25">
      <c r="A844" s="5" t="s">
        <v>1559</v>
      </c>
      <c r="B844" s="7"/>
      <c r="C844" s="13" t="s">
        <v>56</v>
      </c>
      <c r="D844" s="19" t="str">
        <f>IFERROR(IF(C844="No CAS","",INDEX('DEQ Pollutant List'!$B$7:$B$611,MATCH('3. Pollutant Emissions - EF'!C844,'DEQ Pollutant List'!$A$7:$A$611,0))),"")</f>
        <v>Cadmium and compounds</v>
      </c>
      <c r="E844" s="23">
        <v>0</v>
      </c>
      <c r="F844" s="21">
        <v>0</v>
      </c>
      <c r="G844" s="23" t="s">
        <v>1415</v>
      </c>
      <c r="H844" s="21" t="s">
        <v>1415</v>
      </c>
      <c r="I844" s="34">
        <v>1.1000000000000001E-3</v>
      </c>
      <c r="J844" s="11">
        <f t="shared" si="30"/>
        <v>1.1000000000000001E-3</v>
      </c>
      <c r="K844" s="6" t="s">
        <v>1416</v>
      </c>
      <c r="L844" s="20" t="s">
        <v>1422</v>
      </c>
      <c r="M844" s="7">
        <f>IF(ISBLANK($B844),_xlfn.XLOOKUP($A844,'2. TEUs &amp; Activities - EF'!$A$9:$A$190,'2. TEUs &amp; Activities - EF'!$J$9:$J$190),_xlfn.XLOOKUP($B844,'2. TEUs &amp; Activities - EF'!$B$9:$B$190,'2. TEUs &amp; Activities - EF'!$J$9:$J$190))*'3. Pollutant Emissions - EF'!$I844*IF(OR(ISBLANK($E844),$G844="Yes"),1,$E844)*IF($H844="Yes",1,(1-$F844))</f>
        <v>2.3381470588235299E-2</v>
      </c>
      <c r="N844" s="5">
        <f>IF(ISBLANK($B844),_xlfn.XLOOKUP($A844,'2. TEUs &amp; Activities - EF'!$A$9:$A$190,'2. TEUs &amp; Activities - EF'!$M$9:$M$190),_xlfn.XLOOKUP($B844,'2. TEUs &amp; Activities - EF'!$B$9:$B$190,'2. TEUs &amp; Activities - EF'!$M$9:$M$190))*'3. Pollutant Emissions - EF'!$J844*IF(OR(ISBLANK($E844),$G844="Yes"),1,$E844)*IF($H844="Yes",1,(1-$F844))</f>
        <v>6.4058823529411781E-5</v>
      </c>
      <c r="O844" s="130">
        <f>IFERROR(IF(OR($C844="",$C844="No CAS"),INDEX('DEQ Pollutant List'!$D$7:$D$611,MATCH($D844,'DEQ Pollutant List'!$B$7:$B$611,0)),INDEX('DEQ Pollutant List'!$D$7:$D$611,MATCH($C844,'DEQ Pollutant List'!$A$7:$A$611,0))),"")</f>
        <v>83</v>
      </c>
    </row>
    <row r="845" spans="1:15" ht="15" x14ac:dyDescent="0.25">
      <c r="A845" s="5" t="s">
        <v>1559</v>
      </c>
      <c r="B845" s="7"/>
      <c r="C845" s="13" t="s">
        <v>57</v>
      </c>
      <c r="D845" s="19" t="str">
        <f>IFERROR(IF(C845="No CAS","",INDEX('DEQ Pollutant List'!$B$7:$B$611,MATCH('3. Pollutant Emissions - EF'!C845,'DEQ Pollutant List'!$A$7:$A$611,0))),"")</f>
        <v>Chromium VI, chromate and dichromate particulate</v>
      </c>
      <c r="E845" s="23">
        <v>0</v>
      </c>
      <c r="F845" s="21">
        <v>0</v>
      </c>
      <c r="G845" s="23" t="s">
        <v>1415</v>
      </c>
      <c r="H845" s="21" t="s">
        <v>1415</v>
      </c>
      <c r="I845" s="34">
        <v>1.4E-3</v>
      </c>
      <c r="J845" s="11">
        <f t="shared" si="30"/>
        <v>1.4E-3</v>
      </c>
      <c r="K845" s="6" t="s">
        <v>1416</v>
      </c>
      <c r="L845" s="20" t="s">
        <v>1422</v>
      </c>
      <c r="M845" s="7">
        <f>IF(ISBLANK($B845),_xlfn.XLOOKUP($A845,'2. TEUs &amp; Activities - EF'!$A$9:$A$190,'2. TEUs &amp; Activities - EF'!$J$9:$J$190),_xlfn.XLOOKUP($B845,'2. TEUs &amp; Activities - EF'!$B$9:$B$190,'2. TEUs &amp; Activities - EF'!$J$9:$J$190))*'3. Pollutant Emissions - EF'!$I845*IF(OR(ISBLANK($E845),$G845="Yes"),1,$E845)*IF($H845="Yes",1,(1-$F845))</f>
        <v>2.9758235294117648E-2</v>
      </c>
      <c r="N845" s="5">
        <f>IF(ISBLANK($B845),_xlfn.XLOOKUP($A845,'2. TEUs &amp; Activities - EF'!$A$9:$A$190,'2. TEUs &amp; Activities - EF'!$M$9:$M$190),_xlfn.XLOOKUP($B845,'2. TEUs &amp; Activities - EF'!$B$9:$B$190,'2. TEUs &amp; Activities - EF'!$M$9:$M$190))*'3. Pollutant Emissions - EF'!$J845*IF(OR(ISBLANK($E845),$G845="Yes"),1,$E845)*IF($H845="Yes",1,(1-$F845))</f>
        <v>8.1529411764705894E-5</v>
      </c>
      <c r="O845" s="130">
        <f>IFERROR(IF(OR($C845="",$C845="No CAS"),INDEX('DEQ Pollutant List'!$D$7:$D$611,MATCH($D845,'DEQ Pollutant List'!$B$7:$B$611,0)),INDEX('DEQ Pollutant List'!$D$7:$D$611,MATCH($C845,'DEQ Pollutant List'!$A$7:$A$611,0))),"")</f>
        <v>136</v>
      </c>
    </row>
    <row r="846" spans="1:15" ht="15" x14ac:dyDescent="0.25">
      <c r="A846" s="5" t="s">
        <v>1559</v>
      </c>
      <c r="B846" s="7"/>
      <c r="C846" s="13" t="s">
        <v>58</v>
      </c>
      <c r="D846" s="19" t="str">
        <f>IFERROR(IF(C846="No CAS","",INDEX('DEQ Pollutant List'!$B$7:$B$611,MATCH('3. Pollutant Emissions - EF'!C846,'DEQ Pollutant List'!$A$7:$A$611,0))),"")</f>
        <v>Cobalt and compounds</v>
      </c>
      <c r="E846" s="23">
        <v>0</v>
      </c>
      <c r="F846" s="21">
        <v>0</v>
      </c>
      <c r="G846" s="23" t="s">
        <v>1415</v>
      </c>
      <c r="H846" s="21" t="s">
        <v>1415</v>
      </c>
      <c r="I846" s="34">
        <v>8.3999999999999995E-5</v>
      </c>
      <c r="J846" s="11">
        <f t="shared" si="30"/>
        <v>8.3999999999999995E-5</v>
      </c>
      <c r="K846" s="6" t="s">
        <v>1416</v>
      </c>
      <c r="L846" s="20" t="s">
        <v>1422</v>
      </c>
      <c r="M846" s="7">
        <f>IF(ISBLANK($B846),_xlfn.XLOOKUP($A846,'2. TEUs &amp; Activities - EF'!$A$9:$A$190,'2. TEUs &amp; Activities - EF'!$J$9:$J$190),_xlfn.XLOOKUP($B846,'2. TEUs &amp; Activities - EF'!$B$9:$B$190,'2. TEUs &amp; Activities - EF'!$J$9:$J$190))*'3. Pollutant Emissions - EF'!$I846*IF(OR(ISBLANK($E846),$G846="Yes"),1,$E846)*IF($H846="Yes",1,(1-$F846))</f>
        <v>1.7854941176470589E-3</v>
      </c>
      <c r="N846" s="5">
        <f>IF(ISBLANK($B846),_xlfn.XLOOKUP($A846,'2. TEUs &amp; Activities - EF'!$A$9:$A$190,'2. TEUs &amp; Activities - EF'!$M$9:$M$190),_xlfn.XLOOKUP($B846,'2. TEUs &amp; Activities - EF'!$B$9:$B$190,'2. TEUs &amp; Activities - EF'!$M$9:$M$190))*'3. Pollutant Emissions - EF'!$J846*IF(OR(ISBLANK($E846),$G846="Yes"),1,$E846)*IF($H846="Yes",1,(1-$F846))</f>
        <v>4.891764705882353E-6</v>
      </c>
      <c r="O846" s="130">
        <f>IFERROR(IF(OR($C846="",$C846="No CAS"),INDEX('DEQ Pollutant List'!$D$7:$D$611,MATCH($D846,'DEQ Pollutant List'!$B$7:$B$611,0)),INDEX('DEQ Pollutant List'!$D$7:$D$611,MATCH($C846,'DEQ Pollutant List'!$A$7:$A$611,0))),"")</f>
        <v>146</v>
      </c>
    </row>
    <row r="847" spans="1:15" ht="15" x14ac:dyDescent="0.25">
      <c r="A847" s="5" t="s">
        <v>1559</v>
      </c>
      <c r="B847" s="7"/>
      <c r="C847" s="13" t="s">
        <v>59</v>
      </c>
      <c r="D847" s="19" t="str">
        <f>IFERROR(IF(C847="No CAS","",INDEX('DEQ Pollutant List'!$B$7:$B$611,MATCH('3. Pollutant Emissions - EF'!C847,'DEQ Pollutant List'!$A$7:$A$611,0))),"")</f>
        <v>Copper and compounds</v>
      </c>
      <c r="E847" s="23">
        <v>0</v>
      </c>
      <c r="F847" s="21">
        <v>0</v>
      </c>
      <c r="G847" s="23" t="s">
        <v>1415</v>
      </c>
      <c r="H847" s="21" t="s">
        <v>1415</v>
      </c>
      <c r="I847" s="34">
        <v>8.4999999999999995E-4</v>
      </c>
      <c r="J847" s="11">
        <f t="shared" si="30"/>
        <v>8.4999999999999995E-4</v>
      </c>
      <c r="K847" s="6" t="s">
        <v>1416</v>
      </c>
      <c r="L847" s="20" t="s">
        <v>1422</v>
      </c>
      <c r="M847" s="7">
        <f>IF(ISBLANK($B847),_xlfn.XLOOKUP($A847,'2. TEUs &amp; Activities - EF'!$A$9:$A$190,'2. TEUs &amp; Activities - EF'!$J$9:$J$190),_xlfn.XLOOKUP($B847,'2. TEUs &amp; Activities - EF'!$B$9:$B$190,'2. TEUs &amp; Activities - EF'!$J$9:$J$190))*'3. Pollutant Emissions - EF'!$I847*IF(OR(ISBLANK($E847),$G847="Yes"),1,$E847)*IF($H847="Yes",1,(1-$F847))</f>
        <v>1.80675E-2</v>
      </c>
      <c r="N847" s="5">
        <f>IF(ISBLANK($B847),_xlfn.XLOOKUP($A847,'2. TEUs &amp; Activities - EF'!$A$9:$A$190,'2. TEUs &amp; Activities - EF'!$M$9:$M$190),_xlfn.XLOOKUP($B847,'2. TEUs &amp; Activities - EF'!$B$9:$B$190,'2. TEUs &amp; Activities - EF'!$M$9:$M$190))*'3. Pollutant Emissions - EF'!$J847*IF(OR(ISBLANK($E847),$G847="Yes"),1,$E847)*IF($H847="Yes",1,(1-$F847))</f>
        <v>4.9500000000000004E-5</v>
      </c>
      <c r="O847" s="130">
        <f>IFERROR(IF(OR($C847="",$C847="No CAS"),INDEX('DEQ Pollutant List'!$D$7:$D$611,MATCH($D847,'DEQ Pollutant List'!$B$7:$B$611,0)),INDEX('DEQ Pollutant List'!$D$7:$D$611,MATCH($C847,'DEQ Pollutant List'!$A$7:$A$611,0))),"")</f>
        <v>149</v>
      </c>
    </row>
    <row r="848" spans="1:15" ht="15" x14ac:dyDescent="0.25">
      <c r="A848" s="5" t="s">
        <v>1559</v>
      </c>
      <c r="B848" s="7"/>
      <c r="C848" s="13" t="s">
        <v>60</v>
      </c>
      <c r="D848" s="19" t="str">
        <f>IFERROR(IF(C848="No CAS","",INDEX('DEQ Pollutant List'!$B$7:$B$611,MATCH('3. Pollutant Emissions - EF'!C848,'DEQ Pollutant List'!$A$7:$A$611,0))),"")</f>
        <v>Ethyl benzene</v>
      </c>
      <c r="E848" s="23">
        <v>0</v>
      </c>
      <c r="F848" s="21">
        <v>0</v>
      </c>
      <c r="G848" s="23" t="s">
        <v>1415</v>
      </c>
      <c r="H848" s="21" t="s">
        <v>1415</v>
      </c>
      <c r="I848" s="34">
        <v>9.4999999999999998E-3</v>
      </c>
      <c r="J848" s="11">
        <f t="shared" si="30"/>
        <v>9.4999999999999998E-3</v>
      </c>
      <c r="K848" s="6" t="s">
        <v>1416</v>
      </c>
      <c r="L848" s="20" t="s">
        <v>1422</v>
      </c>
      <c r="M848" s="7">
        <f>IF(ISBLANK($B848),_xlfn.XLOOKUP($A848,'2. TEUs &amp; Activities - EF'!$A$9:$A$190,'2. TEUs &amp; Activities - EF'!$J$9:$J$190),_xlfn.XLOOKUP($B848,'2. TEUs &amp; Activities - EF'!$B$9:$B$190,'2. TEUs &amp; Activities - EF'!$J$9:$J$190))*'3. Pollutant Emissions - EF'!$I848*IF(OR(ISBLANK($E848),$G848="Yes"),1,$E848)*IF($H848="Yes",1,(1-$F848))</f>
        <v>0.20193088235294118</v>
      </c>
      <c r="N848" s="5">
        <f>IF(ISBLANK($B848),_xlfn.XLOOKUP($A848,'2. TEUs &amp; Activities - EF'!$A$9:$A$190,'2. TEUs &amp; Activities - EF'!$M$9:$M$190),_xlfn.XLOOKUP($B848,'2. TEUs &amp; Activities - EF'!$B$9:$B$190,'2. TEUs &amp; Activities - EF'!$M$9:$M$190))*'3. Pollutant Emissions - EF'!$J848*IF(OR(ISBLANK($E848),$G848="Yes"),1,$E848)*IF($H848="Yes",1,(1-$F848))</f>
        <v>5.5323529411764713E-4</v>
      </c>
      <c r="O848" s="130">
        <f>IFERROR(IF(OR($C848="",$C848="No CAS"),INDEX('DEQ Pollutant List'!$D$7:$D$611,MATCH($D848,'DEQ Pollutant List'!$B$7:$B$611,0)),INDEX('DEQ Pollutant List'!$D$7:$D$611,MATCH($C848,'DEQ Pollutant List'!$A$7:$A$611,0))),"")</f>
        <v>229</v>
      </c>
    </row>
    <row r="849" spans="1:15" ht="15" x14ac:dyDescent="0.25">
      <c r="A849" s="5" t="s">
        <v>1559</v>
      </c>
      <c r="B849" s="7"/>
      <c r="C849" s="13" t="s">
        <v>47</v>
      </c>
      <c r="D849" s="19" t="str">
        <f>IFERROR(IF(C849="No CAS","",INDEX('DEQ Pollutant List'!$B$7:$B$611,MATCH('3. Pollutant Emissions - EF'!C849,'DEQ Pollutant List'!$A$7:$A$611,0))),"")</f>
        <v>Formaldehyde</v>
      </c>
      <c r="E849" s="23">
        <v>0</v>
      </c>
      <c r="F849" s="21">
        <v>0</v>
      </c>
      <c r="G849" s="23" t="s">
        <v>1415</v>
      </c>
      <c r="H849" s="21" t="s">
        <v>1415</v>
      </c>
      <c r="I849" s="34">
        <v>1.7000000000000001E-2</v>
      </c>
      <c r="J849" s="11">
        <f t="shared" si="30"/>
        <v>1.7000000000000001E-2</v>
      </c>
      <c r="K849" s="6" t="s">
        <v>1416</v>
      </c>
      <c r="L849" s="20" t="s">
        <v>1422</v>
      </c>
      <c r="M849" s="7">
        <f>IF(ISBLANK($B849),_xlfn.XLOOKUP($A849,'2. TEUs &amp; Activities - EF'!$A$9:$A$190,'2. TEUs &amp; Activities - EF'!$J$9:$J$190),_xlfn.XLOOKUP($B849,'2. TEUs &amp; Activities - EF'!$B$9:$B$190,'2. TEUs &amp; Activities - EF'!$J$9:$J$190))*'3. Pollutant Emissions - EF'!$I849*IF(OR(ISBLANK($E849),$G849="Yes"),1,$E849)*IF($H849="Yes",1,(1-$F849))</f>
        <v>0.36135000000000006</v>
      </c>
      <c r="N849" s="5">
        <f>IF(ISBLANK($B849),_xlfn.XLOOKUP($A849,'2. TEUs &amp; Activities - EF'!$A$9:$A$190,'2. TEUs &amp; Activities - EF'!$M$9:$M$190),_xlfn.XLOOKUP($B849,'2. TEUs &amp; Activities - EF'!$B$9:$B$190,'2. TEUs &amp; Activities - EF'!$M$9:$M$190))*'3. Pollutant Emissions - EF'!$J849*IF(OR(ISBLANK($E849),$G849="Yes"),1,$E849)*IF($H849="Yes",1,(1-$F849))</f>
        <v>9.9000000000000021E-4</v>
      </c>
      <c r="O849" s="130">
        <f>IFERROR(IF(OR($C849="",$C849="No CAS"),INDEX('DEQ Pollutant List'!$D$7:$D$611,MATCH($D849,'DEQ Pollutant List'!$B$7:$B$611,0)),INDEX('DEQ Pollutant List'!$D$7:$D$611,MATCH($C849,'DEQ Pollutant List'!$A$7:$A$611,0))),"")</f>
        <v>250</v>
      </c>
    </row>
    <row r="850" spans="1:15" ht="15" x14ac:dyDescent="0.25">
      <c r="A850" s="5" t="s">
        <v>1559</v>
      </c>
      <c r="B850" s="7"/>
      <c r="C850" s="13" t="s">
        <v>61</v>
      </c>
      <c r="D850" s="19" t="str">
        <f>IFERROR(IF(C850="No CAS","",INDEX('DEQ Pollutant List'!$B$7:$B$611,MATCH('3. Pollutant Emissions - EF'!C850,'DEQ Pollutant List'!$A$7:$A$611,0))),"")</f>
        <v>Hexane</v>
      </c>
      <c r="E850" s="23">
        <v>0</v>
      </c>
      <c r="F850" s="21">
        <v>0</v>
      </c>
      <c r="G850" s="23" t="s">
        <v>1415</v>
      </c>
      <c r="H850" s="21" t="s">
        <v>1415</v>
      </c>
      <c r="I850" s="34">
        <v>6.3E-3</v>
      </c>
      <c r="J850" s="11">
        <f t="shared" si="30"/>
        <v>6.3E-3</v>
      </c>
      <c r="K850" s="6" t="s">
        <v>1416</v>
      </c>
      <c r="L850" s="20" t="s">
        <v>1422</v>
      </c>
      <c r="M850" s="7">
        <f>IF(ISBLANK($B850),_xlfn.XLOOKUP($A850,'2. TEUs &amp; Activities - EF'!$A$9:$A$190,'2. TEUs &amp; Activities - EF'!$J$9:$J$190),_xlfn.XLOOKUP($B850,'2. TEUs &amp; Activities - EF'!$B$9:$B$190,'2. TEUs &amp; Activities - EF'!$J$9:$J$190))*'3. Pollutant Emissions - EF'!$I850*IF(OR(ISBLANK($E850),$G850="Yes"),1,$E850)*IF($H850="Yes",1,(1-$F850))</f>
        <v>0.13391205882352941</v>
      </c>
      <c r="N850" s="5">
        <f>IF(ISBLANK($B850),_xlfn.XLOOKUP($A850,'2. TEUs &amp; Activities - EF'!$A$9:$A$190,'2. TEUs &amp; Activities - EF'!$M$9:$M$190),_xlfn.XLOOKUP($B850,'2. TEUs &amp; Activities - EF'!$B$9:$B$190,'2. TEUs &amp; Activities - EF'!$M$9:$M$190))*'3. Pollutant Emissions - EF'!$J850*IF(OR(ISBLANK($E850),$G850="Yes"),1,$E850)*IF($H850="Yes",1,(1-$F850))</f>
        <v>3.6688235294117652E-4</v>
      </c>
      <c r="O850" s="130">
        <f>IFERROR(IF(OR($C850="",$C850="No CAS"),INDEX('DEQ Pollutant List'!$D$7:$D$611,MATCH($D850,'DEQ Pollutant List'!$B$7:$B$611,0)),INDEX('DEQ Pollutant List'!$D$7:$D$611,MATCH($C850,'DEQ Pollutant List'!$A$7:$A$611,0))),"")</f>
        <v>289</v>
      </c>
    </row>
    <row r="851" spans="1:15" ht="15" x14ac:dyDescent="0.25">
      <c r="A851" s="5" t="s">
        <v>1559</v>
      </c>
      <c r="B851" s="7"/>
      <c r="C851" s="13" t="s">
        <v>62</v>
      </c>
      <c r="D851" s="19" t="str">
        <f>IFERROR(IF(C851="No CAS","",INDEX('DEQ Pollutant List'!$B$7:$B$611,MATCH('3. Pollutant Emissions - EF'!C851,'DEQ Pollutant List'!$A$7:$A$611,0))),"")</f>
        <v>Lead and compounds</v>
      </c>
      <c r="E851" s="23">
        <v>0</v>
      </c>
      <c r="F851" s="21">
        <v>0</v>
      </c>
      <c r="G851" s="23" t="s">
        <v>1415</v>
      </c>
      <c r="H851" s="21" t="s">
        <v>1415</v>
      </c>
      <c r="I851" s="34">
        <v>5.0000000000000001E-4</v>
      </c>
      <c r="J851" s="11">
        <f t="shared" si="30"/>
        <v>5.0000000000000001E-4</v>
      </c>
      <c r="K851" s="6" t="s">
        <v>1416</v>
      </c>
      <c r="L851" s="20" t="s">
        <v>1422</v>
      </c>
      <c r="M851" s="7">
        <f>IF(ISBLANK($B851),_xlfn.XLOOKUP($A851,'2. TEUs &amp; Activities - EF'!$A$9:$A$190,'2. TEUs &amp; Activities - EF'!$J$9:$J$190),_xlfn.XLOOKUP($B851,'2. TEUs &amp; Activities - EF'!$B$9:$B$190,'2. TEUs &amp; Activities - EF'!$J$9:$J$190))*'3. Pollutant Emissions - EF'!$I851*IF(OR(ISBLANK($E851),$G851="Yes"),1,$E851)*IF($H851="Yes",1,(1-$F851))</f>
        <v>1.062794117647059E-2</v>
      </c>
      <c r="N851" s="5">
        <f>IF(ISBLANK($B851),_xlfn.XLOOKUP($A851,'2. TEUs &amp; Activities - EF'!$A$9:$A$190,'2. TEUs &amp; Activities - EF'!$M$9:$M$190),_xlfn.XLOOKUP($B851,'2. TEUs &amp; Activities - EF'!$B$9:$B$190,'2. TEUs &amp; Activities - EF'!$M$9:$M$190))*'3. Pollutant Emissions - EF'!$J851*IF(OR(ISBLANK($E851),$G851="Yes"),1,$E851)*IF($H851="Yes",1,(1-$F851))</f>
        <v>2.9117647058823534E-5</v>
      </c>
      <c r="O851" s="130">
        <f>IFERROR(IF(OR($C851="",$C851="No CAS"),INDEX('DEQ Pollutant List'!$D$7:$D$611,MATCH($D851,'DEQ Pollutant List'!$B$7:$B$611,0)),INDEX('DEQ Pollutant List'!$D$7:$D$611,MATCH($C851,'DEQ Pollutant List'!$A$7:$A$611,0))),"")</f>
        <v>305</v>
      </c>
    </row>
    <row r="852" spans="1:15" ht="15" x14ac:dyDescent="0.25">
      <c r="A852" s="5" t="s">
        <v>1559</v>
      </c>
      <c r="B852" s="7"/>
      <c r="C852" s="13" t="s">
        <v>63</v>
      </c>
      <c r="D852" s="19" t="str">
        <f>IFERROR(IF(C852="No CAS","",INDEX('DEQ Pollutant List'!$B$7:$B$611,MATCH('3. Pollutant Emissions - EF'!C852,'DEQ Pollutant List'!$A$7:$A$611,0))),"")</f>
        <v>Manganese and compounds</v>
      </c>
      <c r="E852" s="23">
        <v>0</v>
      </c>
      <c r="F852" s="21">
        <v>0</v>
      </c>
      <c r="G852" s="23" t="s">
        <v>1415</v>
      </c>
      <c r="H852" s="21" t="s">
        <v>1415</v>
      </c>
      <c r="I852" s="34">
        <v>3.8000000000000002E-4</v>
      </c>
      <c r="J852" s="11">
        <f t="shared" si="30"/>
        <v>3.8000000000000002E-4</v>
      </c>
      <c r="K852" s="6" t="s">
        <v>1416</v>
      </c>
      <c r="L852" s="20" t="s">
        <v>1422</v>
      </c>
      <c r="M852" s="7">
        <f>IF(ISBLANK($B852),_xlfn.XLOOKUP($A852,'2. TEUs &amp; Activities - EF'!$A$9:$A$190,'2. TEUs &amp; Activities - EF'!$J$9:$J$190),_xlfn.XLOOKUP($B852,'2. TEUs &amp; Activities - EF'!$B$9:$B$190,'2. TEUs &amp; Activities - EF'!$J$9:$J$190))*'3. Pollutant Emissions - EF'!$I852*IF(OR(ISBLANK($E852),$G852="Yes"),1,$E852)*IF($H852="Yes",1,(1-$F852))</f>
        <v>8.077235294117649E-3</v>
      </c>
      <c r="N852" s="5">
        <f>IF(ISBLANK($B852),_xlfn.XLOOKUP($A852,'2. TEUs &amp; Activities - EF'!$A$9:$A$190,'2. TEUs &amp; Activities - EF'!$M$9:$M$190),_xlfn.XLOOKUP($B852,'2. TEUs &amp; Activities - EF'!$B$9:$B$190,'2. TEUs &amp; Activities - EF'!$M$9:$M$190))*'3. Pollutant Emissions - EF'!$J852*IF(OR(ISBLANK($E852),$G852="Yes"),1,$E852)*IF($H852="Yes",1,(1-$F852))</f>
        <v>2.2129411764705887E-5</v>
      </c>
      <c r="O852" s="130">
        <f>IFERROR(IF(OR($C852="",$C852="No CAS"),INDEX('DEQ Pollutant List'!$D$7:$D$611,MATCH($D852,'DEQ Pollutant List'!$B$7:$B$611,0)),INDEX('DEQ Pollutant List'!$D$7:$D$611,MATCH($C852,'DEQ Pollutant List'!$A$7:$A$611,0))),"")</f>
        <v>312</v>
      </c>
    </row>
    <row r="853" spans="1:15" ht="15" x14ac:dyDescent="0.25">
      <c r="A853" s="5" t="s">
        <v>1559</v>
      </c>
      <c r="B853" s="7"/>
      <c r="C853" s="13" t="s">
        <v>64</v>
      </c>
      <c r="D853" s="19" t="str">
        <f>IFERROR(IF(C853="No CAS","",INDEX('DEQ Pollutant List'!$B$7:$B$611,MATCH('3. Pollutant Emissions - EF'!C853,'DEQ Pollutant List'!$A$7:$A$611,0))),"")</f>
        <v>Mercury and compounds</v>
      </c>
      <c r="E853" s="23">
        <v>0</v>
      </c>
      <c r="F853" s="21">
        <v>0</v>
      </c>
      <c r="G853" s="23" t="s">
        <v>1415</v>
      </c>
      <c r="H853" s="21" t="s">
        <v>1415</v>
      </c>
      <c r="I853" s="34">
        <v>2.5999999999999998E-4</v>
      </c>
      <c r="J853" s="11">
        <f t="shared" si="30"/>
        <v>2.5999999999999998E-4</v>
      </c>
      <c r="K853" s="6" t="s">
        <v>1416</v>
      </c>
      <c r="L853" s="20" t="s">
        <v>1422</v>
      </c>
      <c r="M853" s="7">
        <f>IF(ISBLANK($B853),_xlfn.XLOOKUP($A853,'2. TEUs &amp; Activities - EF'!$A$9:$A$190,'2. TEUs &amp; Activities - EF'!$J$9:$J$190),_xlfn.XLOOKUP($B853,'2. TEUs &amp; Activities - EF'!$B$9:$B$190,'2. TEUs &amp; Activities - EF'!$J$9:$J$190))*'3. Pollutant Emissions - EF'!$I853*IF(OR(ISBLANK($E853),$G853="Yes"),1,$E853)*IF($H853="Yes",1,(1-$F853))</f>
        <v>5.5265294117647062E-3</v>
      </c>
      <c r="N853" s="5">
        <f>IF(ISBLANK($B853),_xlfn.XLOOKUP($A853,'2. TEUs &amp; Activities - EF'!$A$9:$A$190,'2. TEUs &amp; Activities - EF'!$M$9:$M$190),_xlfn.XLOOKUP($B853,'2. TEUs &amp; Activities - EF'!$B$9:$B$190,'2. TEUs &amp; Activities - EF'!$M$9:$M$190))*'3. Pollutant Emissions - EF'!$J853*IF(OR(ISBLANK($E853),$G853="Yes"),1,$E853)*IF($H853="Yes",1,(1-$F853))</f>
        <v>1.5141176470588235E-5</v>
      </c>
      <c r="O853" s="130">
        <f>IFERROR(IF(OR($C853="",$C853="No CAS"),INDEX('DEQ Pollutant List'!$D$7:$D$611,MATCH($D853,'DEQ Pollutant List'!$B$7:$B$611,0)),INDEX('DEQ Pollutant List'!$D$7:$D$611,MATCH($C853,'DEQ Pollutant List'!$A$7:$A$611,0))),"")</f>
        <v>316</v>
      </c>
    </row>
    <row r="854" spans="1:15" ht="15" x14ac:dyDescent="0.25">
      <c r="A854" s="5" t="s">
        <v>1559</v>
      </c>
      <c r="B854" s="7"/>
      <c r="C854" s="13" t="s">
        <v>65</v>
      </c>
      <c r="D854" s="19" t="str">
        <f>IFERROR(IF(C854="No CAS","",INDEX('DEQ Pollutant List'!$B$7:$B$611,MATCH('3. Pollutant Emissions - EF'!C854,'DEQ Pollutant List'!$A$7:$A$611,0))),"")</f>
        <v>Molybdenum trioxide</v>
      </c>
      <c r="E854" s="23">
        <v>0</v>
      </c>
      <c r="F854" s="21">
        <v>0</v>
      </c>
      <c r="G854" s="23" t="s">
        <v>1415</v>
      </c>
      <c r="H854" s="21" t="s">
        <v>1415</v>
      </c>
      <c r="I854" s="34">
        <v>1.65E-3</v>
      </c>
      <c r="J854" s="11">
        <f t="shared" si="30"/>
        <v>1.65E-3</v>
      </c>
      <c r="K854" s="6" t="s">
        <v>1416</v>
      </c>
      <c r="L854" s="20" t="s">
        <v>1422</v>
      </c>
      <c r="M854" s="7">
        <f>IF(ISBLANK($B854),_xlfn.XLOOKUP($A854,'2. TEUs &amp; Activities - EF'!$A$9:$A$190,'2. TEUs &amp; Activities - EF'!$J$9:$J$190),_xlfn.XLOOKUP($B854,'2. TEUs &amp; Activities - EF'!$B$9:$B$190,'2. TEUs &amp; Activities - EF'!$J$9:$J$190))*'3. Pollutant Emissions - EF'!$I854*IF(OR(ISBLANK($E854),$G854="Yes"),1,$E854)*IF($H854="Yes",1,(1-$F854))</f>
        <v>3.5072205882352943E-2</v>
      </c>
      <c r="N854" s="5">
        <f>IF(ISBLANK($B854),_xlfn.XLOOKUP($A854,'2. TEUs &amp; Activities - EF'!$A$9:$A$190,'2. TEUs &amp; Activities - EF'!$M$9:$M$190),_xlfn.XLOOKUP($B854,'2. TEUs &amp; Activities - EF'!$B$9:$B$190,'2. TEUs &amp; Activities - EF'!$M$9:$M$190))*'3. Pollutant Emissions - EF'!$J854*IF(OR(ISBLANK($E854),$G854="Yes"),1,$E854)*IF($H854="Yes",1,(1-$F854))</f>
        <v>9.6088235294117664E-5</v>
      </c>
      <c r="O854" s="130">
        <f>IFERROR(IF(OR($C854="",$C854="No CAS"),INDEX('DEQ Pollutant List'!$D$7:$D$611,MATCH($D854,'DEQ Pollutant List'!$B$7:$B$611,0)),INDEX('DEQ Pollutant List'!$D$7:$D$611,MATCH($C854,'DEQ Pollutant List'!$A$7:$A$611,0))),"")</f>
        <v>361</v>
      </c>
    </row>
    <row r="855" spans="1:15" ht="15" x14ac:dyDescent="0.25">
      <c r="A855" s="5" t="s">
        <v>1559</v>
      </c>
      <c r="B855" s="7"/>
      <c r="C855" s="13" t="s">
        <v>49</v>
      </c>
      <c r="D855" s="19" t="str">
        <f>IFERROR(IF(C855="No CAS","",INDEX('DEQ Pollutant List'!$B$7:$B$611,MATCH('3. Pollutant Emissions - EF'!C855,'DEQ Pollutant List'!$A$7:$A$611,0))),"")</f>
        <v>Naphthalene</v>
      </c>
      <c r="E855" s="23">
        <v>0</v>
      </c>
      <c r="F855" s="21">
        <v>0</v>
      </c>
      <c r="G855" s="23" t="s">
        <v>1415</v>
      </c>
      <c r="H855" s="21" t="s">
        <v>1415</v>
      </c>
      <c r="I855" s="34">
        <v>2.9999999999999997E-4</v>
      </c>
      <c r="J855" s="11">
        <f t="shared" si="30"/>
        <v>2.9999999999999997E-4</v>
      </c>
      <c r="K855" s="6" t="s">
        <v>1416</v>
      </c>
      <c r="L855" s="20" t="s">
        <v>1422</v>
      </c>
      <c r="M855" s="7">
        <f>IF(ISBLANK($B855),_xlfn.XLOOKUP($A855,'2. TEUs &amp; Activities - EF'!$A$9:$A$190,'2. TEUs &amp; Activities - EF'!$J$9:$J$190),_xlfn.XLOOKUP($B855,'2. TEUs &amp; Activities - EF'!$B$9:$B$190,'2. TEUs &amp; Activities - EF'!$J$9:$J$190))*'3. Pollutant Emissions - EF'!$I855*IF(OR(ISBLANK($E855),$G855="Yes"),1,$E855)*IF($H855="Yes",1,(1-$F855))</f>
        <v>6.3767647058823526E-3</v>
      </c>
      <c r="N855" s="5">
        <f>IF(ISBLANK($B855),_xlfn.XLOOKUP($A855,'2. TEUs &amp; Activities - EF'!$A$9:$A$190,'2. TEUs &amp; Activities - EF'!$M$9:$M$190),_xlfn.XLOOKUP($B855,'2. TEUs &amp; Activities - EF'!$B$9:$B$190,'2. TEUs &amp; Activities - EF'!$M$9:$M$190))*'3. Pollutant Emissions - EF'!$J855*IF(OR(ISBLANK($E855),$G855="Yes"),1,$E855)*IF($H855="Yes",1,(1-$F855))</f>
        <v>1.7470588235294117E-5</v>
      </c>
      <c r="O855" s="130">
        <f>IFERROR(IF(OR($C855="",$C855="No CAS"),INDEX('DEQ Pollutant List'!$D$7:$D$611,MATCH($D855,'DEQ Pollutant List'!$B$7:$B$611,0)),INDEX('DEQ Pollutant List'!$D$7:$D$611,MATCH($C855,'DEQ Pollutant List'!$A$7:$A$611,0))),"")</f>
        <v>428</v>
      </c>
    </row>
    <row r="856" spans="1:15" ht="15" x14ac:dyDescent="0.25">
      <c r="A856" s="5" t="s">
        <v>1559</v>
      </c>
      <c r="B856" s="7"/>
      <c r="C856" s="13" t="s">
        <v>66</v>
      </c>
      <c r="D856" s="19" t="str">
        <f>IFERROR(IF(C856="No CAS","",INDEX('DEQ Pollutant List'!$B$7:$B$611,MATCH('3. Pollutant Emissions - EF'!C856,'DEQ Pollutant List'!$A$7:$A$611,0))),"")</f>
        <v>Nickel and compounds</v>
      </c>
      <c r="E856" s="23">
        <v>0</v>
      </c>
      <c r="F856" s="21">
        <v>0</v>
      </c>
      <c r="G856" s="23" t="s">
        <v>1415</v>
      </c>
      <c r="H856" s="21" t="s">
        <v>1415</v>
      </c>
      <c r="I856" s="34">
        <v>2.0999999999999999E-3</v>
      </c>
      <c r="J856" s="11">
        <f t="shared" si="30"/>
        <v>2.0999999999999999E-3</v>
      </c>
      <c r="K856" s="6" t="s">
        <v>1416</v>
      </c>
      <c r="L856" s="20" t="s">
        <v>1422</v>
      </c>
      <c r="M856" s="7">
        <f>IF(ISBLANK($B856),_xlfn.XLOOKUP($A856,'2. TEUs &amp; Activities - EF'!$A$9:$A$190,'2. TEUs &amp; Activities - EF'!$J$9:$J$190),_xlfn.XLOOKUP($B856,'2. TEUs &amp; Activities - EF'!$B$9:$B$190,'2. TEUs &amp; Activities - EF'!$J$9:$J$190))*'3. Pollutant Emissions - EF'!$I856*IF(OR(ISBLANK($E856),$G856="Yes"),1,$E856)*IF($H856="Yes",1,(1-$F856))</f>
        <v>4.4637352941176468E-2</v>
      </c>
      <c r="N856" s="5">
        <f>IF(ISBLANK($B856),_xlfn.XLOOKUP($A856,'2. TEUs &amp; Activities - EF'!$A$9:$A$190,'2. TEUs &amp; Activities - EF'!$M$9:$M$190),_xlfn.XLOOKUP($B856,'2. TEUs &amp; Activities - EF'!$B$9:$B$190,'2. TEUs &amp; Activities - EF'!$M$9:$M$190))*'3. Pollutant Emissions - EF'!$J856*IF(OR(ISBLANK($E856),$G856="Yes"),1,$E856)*IF($H856="Yes",1,(1-$F856))</f>
        <v>1.2229411764705882E-4</v>
      </c>
      <c r="O856" s="130">
        <f>IFERROR(IF(OR($C856="",$C856="No CAS"),INDEX('DEQ Pollutant List'!$D$7:$D$611,MATCH($D856,'DEQ Pollutant List'!$B$7:$B$611,0)),INDEX('DEQ Pollutant List'!$D$7:$D$611,MATCH($C856,'DEQ Pollutant List'!$A$7:$A$611,0))),"")</f>
        <v>364</v>
      </c>
    </row>
    <row r="857" spans="1:15" ht="15" x14ac:dyDescent="0.25">
      <c r="A857" s="5" t="s">
        <v>1559</v>
      </c>
      <c r="B857" s="7"/>
      <c r="C857" s="13">
        <v>401</v>
      </c>
      <c r="D857" s="19" t="str">
        <f>IFERROR(IF(C857="No CAS","",INDEX('DEQ Pollutant List'!$B$7:$B$611,MATCH('3. Pollutant Emissions - EF'!C857,'DEQ Pollutant List'!$A$7:$A$611,0))),"")</f>
        <v>Polycyclic aromatic hydrocarbons (PAHs)</v>
      </c>
      <c r="E857" s="23">
        <v>0</v>
      </c>
      <c r="F857" s="21">
        <v>0</v>
      </c>
      <c r="G857" s="23" t="s">
        <v>1415</v>
      </c>
      <c r="H857" s="21" t="s">
        <v>1415</v>
      </c>
      <c r="I857" s="34">
        <v>1E-4</v>
      </c>
      <c r="J857" s="11">
        <f t="shared" si="30"/>
        <v>1E-4</v>
      </c>
      <c r="K857" s="6" t="s">
        <v>1416</v>
      </c>
      <c r="L857" s="20" t="s">
        <v>1422</v>
      </c>
      <c r="M857" s="7">
        <f>IF(ISBLANK($B857),_xlfn.XLOOKUP($A857,'2. TEUs &amp; Activities - EF'!$A$9:$A$190,'2. TEUs &amp; Activities - EF'!$J$9:$J$190),_xlfn.XLOOKUP($B857,'2. TEUs &amp; Activities - EF'!$B$9:$B$190,'2. TEUs &amp; Activities - EF'!$J$9:$J$190))*'3. Pollutant Emissions - EF'!$I857*IF(OR(ISBLANK($E857),$G857="Yes"),1,$E857)*IF($H857="Yes",1,(1-$F857))</f>
        <v>2.1255882352941178E-3</v>
      </c>
      <c r="N857" s="5">
        <f>IF(ISBLANK($B857),_xlfn.XLOOKUP($A857,'2. TEUs &amp; Activities - EF'!$A$9:$A$190,'2. TEUs &amp; Activities - EF'!$M$9:$M$190),_xlfn.XLOOKUP($B857,'2. TEUs &amp; Activities - EF'!$B$9:$B$190,'2. TEUs &amp; Activities - EF'!$M$9:$M$190))*'3. Pollutant Emissions - EF'!$J857*IF(OR(ISBLANK($E857),$G857="Yes"),1,$E857)*IF($H857="Yes",1,(1-$F857))</f>
        <v>5.8235294117647067E-6</v>
      </c>
      <c r="O857" s="130">
        <f>IFERROR(IF(OR($C857="",$C857="No CAS"),INDEX('DEQ Pollutant List'!$D$7:$D$611,MATCH($D857,'DEQ Pollutant List'!$B$7:$B$611,0)),INDEX('DEQ Pollutant List'!$D$7:$D$611,MATCH($C857,'DEQ Pollutant List'!$A$7:$A$611,0))),"")</f>
        <v>401</v>
      </c>
    </row>
    <row r="858" spans="1:15" ht="15" x14ac:dyDescent="0.25">
      <c r="A858" s="5" t="s">
        <v>1559</v>
      </c>
      <c r="B858" s="7"/>
      <c r="C858" s="13" t="s">
        <v>67</v>
      </c>
      <c r="D858" s="19" t="str">
        <f>IFERROR(IF(C858="No CAS","",INDEX('DEQ Pollutant List'!$B$7:$B$611,MATCH('3. Pollutant Emissions - EF'!C858,'DEQ Pollutant List'!$A$7:$A$611,0))),"")</f>
        <v>Selenium and compounds</v>
      </c>
      <c r="E858" s="23">
        <v>0</v>
      </c>
      <c r="F858" s="21">
        <v>0</v>
      </c>
      <c r="G858" s="23" t="s">
        <v>1415</v>
      </c>
      <c r="H858" s="21" t="s">
        <v>1415</v>
      </c>
      <c r="I858" s="34">
        <v>2.4000000000000001E-5</v>
      </c>
      <c r="J858" s="11">
        <f t="shared" si="30"/>
        <v>2.4000000000000001E-5</v>
      </c>
      <c r="K858" s="6" t="s">
        <v>1416</v>
      </c>
      <c r="L858" s="20" t="s">
        <v>1422</v>
      </c>
      <c r="M858" s="7">
        <f>IF(ISBLANK($B858),_xlfn.XLOOKUP($A858,'2. TEUs &amp; Activities - EF'!$A$9:$A$190,'2. TEUs &amp; Activities - EF'!$J$9:$J$190),_xlfn.XLOOKUP($B858,'2. TEUs &amp; Activities - EF'!$B$9:$B$190,'2. TEUs &amp; Activities - EF'!$J$9:$J$190))*'3. Pollutant Emissions - EF'!$I858*IF(OR(ISBLANK($E858),$G858="Yes"),1,$E858)*IF($H858="Yes",1,(1-$F858))</f>
        <v>5.1014117647058834E-4</v>
      </c>
      <c r="N858" s="5">
        <f>IF(ISBLANK($B858),_xlfn.XLOOKUP($A858,'2. TEUs &amp; Activities - EF'!$A$9:$A$190,'2. TEUs &amp; Activities - EF'!$M$9:$M$190),_xlfn.XLOOKUP($B858,'2. TEUs &amp; Activities - EF'!$B$9:$B$190,'2. TEUs &amp; Activities - EF'!$M$9:$M$190))*'3. Pollutant Emissions - EF'!$J858*IF(OR(ISBLANK($E858),$G858="Yes"),1,$E858)*IF($H858="Yes",1,(1-$F858))</f>
        <v>1.3976470588235297E-6</v>
      </c>
      <c r="O858" s="130">
        <f>IFERROR(IF(OR($C858="",$C858="No CAS"),INDEX('DEQ Pollutant List'!$D$7:$D$611,MATCH($D858,'DEQ Pollutant List'!$B$7:$B$611,0)),INDEX('DEQ Pollutant List'!$D$7:$D$611,MATCH($C858,'DEQ Pollutant List'!$A$7:$A$611,0))),"")</f>
        <v>575</v>
      </c>
    </row>
    <row r="859" spans="1:15" ht="15" x14ac:dyDescent="0.25">
      <c r="A859" s="5" t="s">
        <v>1559</v>
      </c>
      <c r="B859" s="7"/>
      <c r="C859" s="13" t="s">
        <v>68</v>
      </c>
      <c r="D859" s="19" t="str">
        <f>IFERROR(IF(C859="No CAS","",INDEX('DEQ Pollutant List'!$B$7:$B$611,MATCH('3. Pollutant Emissions - EF'!C859,'DEQ Pollutant List'!$A$7:$A$611,0))),"")</f>
        <v>Toluene</v>
      </c>
      <c r="E859" s="23">
        <v>0</v>
      </c>
      <c r="F859" s="21">
        <v>0</v>
      </c>
      <c r="G859" s="23" t="s">
        <v>1415</v>
      </c>
      <c r="H859" s="21" t="s">
        <v>1415</v>
      </c>
      <c r="I859" s="34">
        <v>3.6600000000000001E-2</v>
      </c>
      <c r="J859" s="11">
        <f t="shared" si="30"/>
        <v>3.6600000000000001E-2</v>
      </c>
      <c r="K859" s="6" t="s">
        <v>1416</v>
      </c>
      <c r="L859" s="20" t="s">
        <v>1422</v>
      </c>
      <c r="M859" s="7">
        <f>IF(ISBLANK($B859),_xlfn.XLOOKUP($A859,'2. TEUs &amp; Activities - EF'!$A$9:$A$190,'2. TEUs &amp; Activities - EF'!$J$9:$J$190),_xlfn.XLOOKUP($B859,'2. TEUs &amp; Activities - EF'!$B$9:$B$190,'2. TEUs &amp; Activities - EF'!$J$9:$J$190))*'3. Pollutant Emissions - EF'!$I859*IF(OR(ISBLANK($E859),$G859="Yes"),1,$E859)*IF($H859="Yes",1,(1-$F859))</f>
        <v>0.77796529411764714</v>
      </c>
      <c r="N859" s="5">
        <f>IF(ISBLANK($B859),_xlfn.XLOOKUP($A859,'2. TEUs &amp; Activities - EF'!$A$9:$A$190,'2. TEUs &amp; Activities - EF'!$M$9:$M$190),_xlfn.XLOOKUP($B859,'2. TEUs &amp; Activities - EF'!$B$9:$B$190,'2. TEUs &amp; Activities - EF'!$M$9:$M$190))*'3. Pollutant Emissions - EF'!$J859*IF(OR(ISBLANK($E859),$G859="Yes"),1,$E859)*IF($H859="Yes",1,(1-$F859))</f>
        <v>2.1314117647058825E-3</v>
      </c>
      <c r="O859" s="130">
        <f>IFERROR(IF(OR($C859="",$C859="No CAS"),INDEX('DEQ Pollutant List'!$D$7:$D$611,MATCH($D859,'DEQ Pollutant List'!$B$7:$B$611,0)),INDEX('DEQ Pollutant List'!$D$7:$D$611,MATCH($C859,'DEQ Pollutant List'!$A$7:$A$611,0))),"")</f>
        <v>600</v>
      </c>
    </row>
    <row r="860" spans="1:15" ht="15" x14ac:dyDescent="0.25">
      <c r="A860" s="5" t="s">
        <v>1559</v>
      </c>
      <c r="B860" s="7"/>
      <c r="C860" s="13" t="s">
        <v>69</v>
      </c>
      <c r="D860" s="19" t="str">
        <f>IFERROR(IF(C860="No CAS","",INDEX('DEQ Pollutant List'!$B$7:$B$611,MATCH('3. Pollutant Emissions - EF'!C860,'DEQ Pollutant List'!$A$7:$A$611,0))),"")</f>
        <v>Vanadium (fume or dust)</v>
      </c>
      <c r="E860" s="23">
        <v>0</v>
      </c>
      <c r="F860" s="21">
        <v>0</v>
      </c>
      <c r="G860" s="23" t="s">
        <v>1415</v>
      </c>
      <c r="H860" s="21" t="s">
        <v>1415</v>
      </c>
      <c r="I860" s="34">
        <v>2.3E-3</v>
      </c>
      <c r="J860" s="11">
        <f t="shared" si="30"/>
        <v>2.3E-3</v>
      </c>
      <c r="K860" s="6" t="s">
        <v>1416</v>
      </c>
      <c r="L860" s="20" t="s">
        <v>1422</v>
      </c>
      <c r="M860" s="7">
        <f>IF(ISBLANK($B860),_xlfn.XLOOKUP($A860,'2. TEUs &amp; Activities - EF'!$A$9:$A$190,'2. TEUs &amp; Activities - EF'!$J$9:$J$190),_xlfn.XLOOKUP($B860,'2. TEUs &amp; Activities - EF'!$B$9:$B$190,'2. TEUs &amp; Activities - EF'!$J$9:$J$190))*'3. Pollutant Emissions - EF'!$I860*IF(OR(ISBLANK($E860),$G860="Yes"),1,$E860)*IF($H860="Yes",1,(1-$F860))</f>
        <v>4.8888529411764706E-2</v>
      </c>
      <c r="N860" s="5">
        <f>IF(ISBLANK($B860),_xlfn.XLOOKUP($A860,'2. TEUs &amp; Activities - EF'!$A$9:$A$190,'2. TEUs &amp; Activities - EF'!$M$9:$M$190),_xlfn.XLOOKUP($B860,'2. TEUs &amp; Activities - EF'!$B$9:$B$190,'2. TEUs &amp; Activities - EF'!$M$9:$M$190))*'3. Pollutant Emissions - EF'!$J860*IF(OR(ISBLANK($E860),$G860="Yes"),1,$E860)*IF($H860="Yes",1,(1-$F860))</f>
        <v>1.3394117647058825E-4</v>
      </c>
      <c r="O860" s="130">
        <f>IFERROR(IF(OR($C860="",$C860="No CAS"),INDEX('DEQ Pollutant List'!$D$7:$D$611,MATCH($D860,'DEQ Pollutant List'!$B$7:$B$611,0)),INDEX('DEQ Pollutant List'!$D$7:$D$611,MATCH($C860,'DEQ Pollutant List'!$A$7:$A$611,0))),"")</f>
        <v>620</v>
      </c>
    </row>
    <row r="861" spans="1:15" ht="15" x14ac:dyDescent="0.25">
      <c r="A861" s="5" t="s">
        <v>1559</v>
      </c>
      <c r="B861" s="7"/>
      <c r="C861" s="13" t="s">
        <v>70</v>
      </c>
      <c r="D861" s="19" t="str">
        <f>IFERROR(IF(C861="No CAS","",INDEX('DEQ Pollutant List'!$B$7:$B$611,MATCH('3. Pollutant Emissions - EF'!C861,'DEQ Pollutant List'!$A$7:$A$611,0))),"")</f>
        <v>Xylene (mixture), including m-xylene, o-xylene, p-xylene</v>
      </c>
      <c r="E861" s="23">
        <v>0</v>
      </c>
      <c r="F861" s="21">
        <v>0</v>
      </c>
      <c r="G861" s="23" t="s">
        <v>1415</v>
      </c>
      <c r="H861" s="21" t="s">
        <v>1415</v>
      </c>
      <c r="I861" s="34">
        <v>2.7199999999999998E-2</v>
      </c>
      <c r="J861" s="11">
        <f t="shared" si="30"/>
        <v>2.7199999999999998E-2</v>
      </c>
      <c r="K861" s="6" t="s">
        <v>1416</v>
      </c>
      <c r="L861" s="20" t="s">
        <v>1422</v>
      </c>
      <c r="M861" s="7">
        <f>IF(ISBLANK($B861),_xlfn.XLOOKUP($A861,'2. TEUs &amp; Activities - EF'!$A$9:$A$190,'2. TEUs &amp; Activities - EF'!$J$9:$J$190),_xlfn.XLOOKUP($B861,'2. TEUs &amp; Activities - EF'!$B$9:$B$190,'2. TEUs &amp; Activities - EF'!$J$9:$J$190))*'3. Pollutant Emissions - EF'!$I861*IF(OR(ISBLANK($E861),$G861="Yes"),1,$E861)*IF($H861="Yes",1,(1-$F861))</f>
        <v>0.57816000000000001</v>
      </c>
      <c r="N861" s="5">
        <f>IF(ISBLANK($B861),_xlfn.XLOOKUP($A861,'2. TEUs &amp; Activities - EF'!$A$9:$A$190,'2. TEUs &amp; Activities - EF'!$M$9:$M$190),_xlfn.XLOOKUP($B861,'2. TEUs &amp; Activities - EF'!$B$9:$B$190,'2. TEUs &amp; Activities - EF'!$M$9:$M$190))*'3. Pollutant Emissions - EF'!$J861*IF(OR(ISBLANK($E861),$G861="Yes"),1,$E861)*IF($H861="Yes",1,(1-$F861))</f>
        <v>1.5840000000000001E-3</v>
      </c>
      <c r="O861" s="130">
        <f>IFERROR(IF(OR($C861="",$C861="No CAS"),INDEX('DEQ Pollutant List'!$D$7:$D$611,MATCH($D861,'DEQ Pollutant List'!$B$7:$B$611,0)),INDEX('DEQ Pollutant List'!$D$7:$D$611,MATCH($C861,'DEQ Pollutant List'!$A$7:$A$611,0))),"")</f>
        <v>628</v>
      </c>
    </row>
    <row r="862" spans="1:15" ht="15" x14ac:dyDescent="0.25">
      <c r="A862" s="5" t="s">
        <v>1559</v>
      </c>
      <c r="B862" s="7"/>
      <c r="C862" s="13" t="s">
        <v>71</v>
      </c>
      <c r="D862" s="19" t="str">
        <f>IFERROR(IF(C862="No CAS","",INDEX('DEQ Pollutant List'!$B$7:$B$611,MATCH('3. Pollutant Emissions - EF'!C862,'DEQ Pollutant List'!$A$7:$A$611,0))),"")</f>
        <v>Zinc and compounds</v>
      </c>
      <c r="E862" s="23">
        <v>0</v>
      </c>
      <c r="F862" s="21">
        <v>0</v>
      </c>
      <c r="G862" s="23" t="s">
        <v>1415</v>
      </c>
      <c r="H862" s="21" t="s">
        <v>1415</v>
      </c>
      <c r="I862" s="34">
        <v>2.9000000000000001E-2</v>
      </c>
      <c r="J862" s="11">
        <f t="shared" si="30"/>
        <v>2.9000000000000001E-2</v>
      </c>
      <c r="K862" s="6" t="s">
        <v>1416</v>
      </c>
      <c r="L862" s="20" t="s">
        <v>1422</v>
      </c>
      <c r="M862" s="7">
        <f>IF(ISBLANK($B862),_xlfn.XLOOKUP($A862,'2. TEUs &amp; Activities - EF'!$A$9:$A$190,'2. TEUs &amp; Activities - EF'!$J$9:$J$190),_xlfn.XLOOKUP($B862,'2. TEUs &amp; Activities - EF'!$B$9:$B$190,'2. TEUs &amp; Activities - EF'!$J$9:$J$190))*'3. Pollutant Emissions - EF'!$I862*IF(OR(ISBLANK($E862),$G862="Yes"),1,$E862)*IF($H862="Yes",1,(1-$F862))</f>
        <v>0.61642058823529422</v>
      </c>
      <c r="N862" s="5">
        <f>IF(ISBLANK($B862),_xlfn.XLOOKUP($A862,'2. TEUs &amp; Activities - EF'!$A$9:$A$190,'2. TEUs &amp; Activities - EF'!$M$9:$M$190),_xlfn.XLOOKUP($B862,'2. TEUs &amp; Activities - EF'!$B$9:$B$190,'2. TEUs &amp; Activities - EF'!$M$9:$M$190))*'3. Pollutant Emissions - EF'!$J862*IF(OR(ISBLANK($E862),$G862="Yes"),1,$E862)*IF($H862="Yes",1,(1-$F862))</f>
        <v>1.688823529411765E-3</v>
      </c>
      <c r="O862" s="130">
        <f>IFERROR(IF(OR($C862="",$C862="No CAS"),INDEX('DEQ Pollutant List'!$D$7:$D$611,MATCH($D862,'DEQ Pollutant List'!$B$7:$B$611,0)),INDEX('DEQ Pollutant List'!$D$7:$D$611,MATCH($C862,'DEQ Pollutant List'!$A$7:$A$611,0))),"")</f>
        <v>632</v>
      </c>
    </row>
    <row r="863" spans="1:15" ht="15" x14ac:dyDescent="0.25">
      <c r="A863" s="5"/>
      <c r="B863" s="7"/>
      <c r="C863" s="13"/>
      <c r="D863" s="19" t="str">
        <f>IFERROR(IF(C863="No CAS","",INDEX('DEQ Pollutant List'!$B$7:$B$611,MATCH('3. Pollutant Emissions - EF'!C863,'DEQ Pollutant List'!$A$7:$A$611,0))),"")</f>
        <v/>
      </c>
      <c r="E863" s="23"/>
      <c r="F863" s="21"/>
      <c r="G863" s="23"/>
      <c r="H863" s="21"/>
      <c r="I863" s="34"/>
      <c r="J863" s="11"/>
      <c r="K863" s="6"/>
      <c r="L863" s="20"/>
      <c r="M863" s="7">
        <f>IF(ISBLANK($B863),_xlfn.XLOOKUP($A863,'2. TEUs &amp; Activities - EF'!$A$9:$A$190,'2. TEUs &amp; Activities - EF'!$J$9:$J$190),_xlfn.XLOOKUP($B863,'2. TEUs &amp; Activities - EF'!$B$9:$B$190,'2. TEUs &amp; Activities - EF'!$J$9:$J$190))*'3. Pollutant Emissions - EF'!$I863*IF(OR(ISBLANK($E863),$G863="Yes"),1,$E863)*IF($H863="Yes",1,(1-$F863))</f>
        <v>0</v>
      </c>
      <c r="N863" s="5">
        <f>IF(ISBLANK($B863),_xlfn.XLOOKUP($A863,'2. TEUs &amp; Activities - EF'!$A$9:$A$190,'2. TEUs &amp; Activities - EF'!$M$9:$M$190),_xlfn.XLOOKUP($B863,'2. TEUs &amp; Activities - EF'!$B$9:$B$190,'2. TEUs &amp; Activities - EF'!$M$9:$M$190))*'3. Pollutant Emissions - EF'!$J863*IF(OR(ISBLANK($E863),$G863="Yes"),1,$E863)*IF($H863="Yes",1,(1-$F863))</f>
        <v>0</v>
      </c>
      <c r="O863" s="130" t="str">
        <f>IFERROR(IF(OR($C863="",$C863="No CAS"),INDEX('DEQ Pollutant List'!$D$7:$D$611,MATCH($D863,'DEQ Pollutant List'!$B$7:$B$611,0)),INDEX('DEQ Pollutant List'!$D$7:$D$611,MATCH($C863,'DEQ Pollutant List'!$A$7:$A$611,0))),"")</f>
        <v/>
      </c>
    </row>
    <row r="864" spans="1:15" ht="15" x14ac:dyDescent="0.25">
      <c r="A864" s="5" t="s">
        <v>1560</v>
      </c>
      <c r="B864" s="7"/>
      <c r="C864" s="13" t="s">
        <v>50</v>
      </c>
      <c r="D864" s="19" t="str">
        <f>IFERROR(IF(C864="No CAS","",INDEX('DEQ Pollutant List'!$B$7:$B$611,MATCH('3. Pollutant Emissions - EF'!C864,'DEQ Pollutant List'!$A$7:$A$611,0))),"")</f>
        <v>Acetaldehyde</v>
      </c>
      <c r="E864" s="23">
        <v>0</v>
      </c>
      <c r="F864" s="21">
        <v>0</v>
      </c>
      <c r="G864" s="23" t="s">
        <v>1415</v>
      </c>
      <c r="H864" s="21" t="s">
        <v>1415</v>
      </c>
      <c r="I864" s="34">
        <v>4.3E-3</v>
      </c>
      <c r="J864" s="11">
        <f t="shared" ref="J864:J889" si="31">I864</f>
        <v>4.3E-3</v>
      </c>
      <c r="K864" s="6" t="s">
        <v>1416</v>
      </c>
      <c r="L864" s="20" t="s">
        <v>1422</v>
      </c>
      <c r="M864" s="7">
        <f>IF(ISBLANK($B864),_xlfn.XLOOKUP($A864,'2. TEUs &amp; Activities - EF'!$A$9:$A$190,'2. TEUs &amp; Activities - EF'!$J$9:$J$190),_xlfn.XLOOKUP($B864,'2. TEUs &amp; Activities - EF'!$B$9:$B$190,'2. TEUs &amp; Activities - EF'!$J$9:$J$190))*'3. Pollutant Emissions - EF'!$I864*IF(OR(ISBLANK($E864),$G864="Yes"),1,$E864)*IF($H864="Yes",1,(1-$F864))</f>
        <v>9.1400294117647066E-2</v>
      </c>
      <c r="N864" s="5">
        <f>IF(ISBLANK($B864),_xlfn.XLOOKUP($A864,'2. TEUs &amp; Activities - EF'!$A$9:$A$190,'2. TEUs &amp; Activities - EF'!$M$9:$M$190),_xlfn.XLOOKUP($B864,'2. TEUs &amp; Activities - EF'!$B$9:$B$190,'2. TEUs &amp; Activities - EF'!$M$9:$M$190))*'3. Pollutant Emissions - EF'!$J864*IF(OR(ISBLANK($E864),$G864="Yes"),1,$E864)*IF($H864="Yes",1,(1-$F864))</f>
        <v>2.5041176470588236E-4</v>
      </c>
      <c r="O864" s="130">
        <f>IFERROR(IF(OR($C864="",$C864="No CAS"),INDEX('DEQ Pollutant List'!$D$7:$D$611,MATCH($D864,'DEQ Pollutant List'!$B$7:$B$611,0)),INDEX('DEQ Pollutant List'!$D$7:$D$611,MATCH($C864,'DEQ Pollutant List'!$A$7:$A$611,0))),"")</f>
        <v>1</v>
      </c>
    </row>
    <row r="865" spans="1:15" ht="15" x14ac:dyDescent="0.25">
      <c r="A865" s="5" t="s">
        <v>1560</v>
      </c>
      <c r="B865" s="7"/>
      <c r="C865" s="13" t="s">
        <v>51</v>
      </c>
      <c r="D865" s="19" t="str">
        <f>IFERROR(IF(C865="No CAS","",INDEX('DEQ Pollutant List'!$B$7:$B$611,MATCH('3. Pollutant Emissions - EF'!C865,'DEQ Pollutant List'!$A$7:$A$611,0))),"")</f>
        <v>Acrolein</v>
      </c>
      <c r="E865" s="23">
        <v>0</v>
      </c>
      <c r="F865" s="21">
        <v>0</v>
      </c>
      <c r="G865" s="23" t="s">
        <v>1415</v>
      </c>
      <c r="H865" s="21" t="s">
        <v>1415</v>
      </c>
      <c r="I865" s="34">
        <v>2.7000000000000001E-3</v>
      </c>
      <c r="J865" s="11">
        <f t="shared" si="31"/>
        <v>2.7000000000000001E-3</v>
      </c>
      <c r="K865" s="6" t="s">
        <v>1416</v>
      </c>
      <c r="L865" s="20" t="s">
        <v>1422</v>
      </c>
      <c r="M865" s="7">
        <f>IF(ISBLANK($B865),_xlfn.XLOOKUP($A865,'2. TEUs &amp; Activities - EF'!$A$9:$A$190,'2. TEUs &amp; Activities - EF'!$J$9:$J$190),_xlfn.XLOOKUP($B865,'2. TEUs &amp; Activities - EF'!$B$9:$B$190,'2. TEUs &amp; Activities - EF'!$J$9:$J$190))*'3. Pollutant Emissions - EF'!$I865*IF(OR(ISBLANK($E865),$G865="Yes"),1,$E865)*IF($H865="Yes",1,(1-$F865))</f>
        <v>5.7390882352941187E-2</v>
      </c>
      <c r="N865" s="5">
        <f>IF(ISBLANK($B865),_xlfn.XLOOKUP($A865,'2. TEUs &amp; Activities - EF'!$A$9:$A$190,'2. TEUs &amp; Activities - EF'!$M$9:$M$190),_xlfn.XLOOKUP($B865,'2. TEUs &amp; Activities - EF'!$B$9:$B$190,'2. TEUs &amp; Activities - EF'!$M$9:$M$190))*'3. Pollutant Emissions - EF'!$J865*IF(OR(ISBLANK($E865),$G865="Yes"),1,$E865)*IF($H865="Yes",1,(1-$F865))</f>
        <v>1.5723529411764707E-4</v>
      </c>
      <c r="O865" s="130">
        <f>IFERROR(IF(OR($C865="",$C865="No CAS"),INDEX('DEQ Pollutant List'!$D$7:$D$611,MATCH($D865,'DEQ Pollutant List'!$B$7:$B$611,0)),INDEX('DEQ Pollutant List'!$D$7:$D$611,MATCH($C865,'DEQ Pollutant List'!$A$7:$A$611,0))),"")</f>
        <v>5</v>
      </c>
    </row>
    <row r="866" spans="1:15" ht="15" x14ac:dyDescent="0.25">
      <c r="A866" s="5" t="s">
        <v>1560</v>
      </c>
      <c r="B866" s="7"/>
      <c r="C866" s="13" t="s">
        <v>52</v>
      </c>
      <c r="D866" s="19" t="str">
        <f>IFERROR(IF(C866="No CAS","",INDEX('DEQ Pollutant List'!$B$7:$B$611,MATCH('3. Pollutant Emissions - EF'!C866,'DEQ Pollutant List'!$A$7:$A$611,0))),"")</f>
        <v>Ammonia</v>
      </c>
      <c r="E866" s="23">
        <v>0</v>
      </c>
      <c r="F866" s="21">
        <v>0</v>
      </c>
      <c r="G866" s="23" t="s">
        <v>1415</v>
      </c>
      <c r="H866" s="21" t="s">
        <v>1415</v>
      </c>
      <c r="I866" s="34">
        <v>3.2</v>
      </c>
      <c r="J866" s="11">
        <f t="shared" si="31"/>
        <v>3.2</v>
      </c>
      <c r="K866" s="6" t="s">
        <v>1416</v>
      </c>
      <c r="L866" s="20" t="s">
        <v>1586</v>
      </c>
      <c r="M866" s="7">
        <f>IF(ISBLANK($B866),_xlfn.XLOOKUP($A866,'2. TEUs &amp; Activities - EF'!$A$9:$A$190,'2. TEUs &amp; Activities - EF'!$J$9:$J$190),_xlfn.XLOOKUP($B866,'2. TEUs &amp; Activities - EF'!$B$9:$B$190,'2. TEUs &amp; Activities - EF'!$J$9:$J$190))*'3. Pollutant Emissions - EF'!$I866*IF(OR(ISBLANK($E866),$G866="Yes"),1,$E866)*IF($H866="Yes",1,(1-$F866))</f>
        <v>68.018823529411776</v>
      </c>
      <c r="N866" s="5">
        <f>IF(ISBLANK($B866),_xlfn.XLOOKUP($A866,'2. TEUs &amp; Activities - EF'!$A$9:$A$190,'2. TEUs &amp; Activities - EF'!$M$9:$M$190),_xlfn.XLOOKUP($B866,'2. TEUs &amp; Activities - EF'!$B$9:$B$190,'2. TEUs &amp; Activities - EF'!$M$9:$M$190))*'3. Pollutant Emissions - EF'!$J866*IF(OR(ISBLANK($E866),$G866="Yes"),1,$E866)*IF($H866="Yes",1,(1-$F866))</f>
        <v>0.18635294117647061</v>
      </c>
      <c r="O866" s="130">
        <f>IFERROR(IF(OR($C866="",$C866="No CAS"),INDEX('DEQ Pollutant List'!$D$7:$D$611,MATCH($D866,'DEQ Pollutant List'!$B$7:$B$611,0)),INDEX('DEQ Pollutant List'!$D$7:$D$611,MATCH($C866,'DEQ Pollutant List'!$A$7:$A$611,0))),"")</f>
        <v>26</v>
      </c>
    </row>
    <row r="867" spans="1:15" ht="15" x14ac:dyDescent="0.25">
      <c r="A867" s="5" t="s">
        <v>1560</v>
      </c>
      <c r="B867" s="7"/>
      <c r="C867" s="13" t="s">
        <v>53</v>
      </c>
      <c r="D867" s="19" t="str">
        <f>IFERROR(IF(C867="No CAS","",INDEX('DEQ Pollutant List'!$B$7:$B$611,MATCH('3. Pollutant Emissions - EF'!C867,'DEQ Pollutant List'!$A$7:$A$611,0))),"")</f>
        <v>Arsenic and compounds</v>
      </c>
      <c r="E867" s="23">
        <v>0</v>
      </c>
      <c r="F867" s="21">
        <v>0</v>
      </c>
      <c r="G867" s="23" t="s">
        <v>1415</v>
      </c>
      <c r="H867" s="21" t="s">
        <v>1415</v>
      </c>
      <c r="I867" s="34">
        <v>2.0000000000000001E-4</v>
      </c>
      <c r="J867" s="11">
        <f t="shared" si="31"/>
        <v>2.0000000000000001E-4</v>
      </c>
      <c r="K867" s="6" t="s">
        <v>1416</v>
      </c>
      <c r="L867" s="20" t="s">
        <v>1422</v>
      </c>
      <c r="M867" s="7">
        <f>IF(ISBLANK($B867),_xlfn.XLOOKUP($A867,'2. TEUs &amp; Activities - EF'!$A$9:$A$190,'2. TEUs &amp; Activities - EF'!$J$9:$J$190),_xlfn.XLOOKUP($B867,'2. TEUs &amp; Activities - EF'!$B$9:$B$190,'2. TEUs &amp; Activities - EF'!$J$9:$J$190))*'3. Pollutant Emissions - EF'!$I867*IF(OR(ISBLANK($E867),$G867="Yes"),1,$E867)*IF($H867="Yes",1,(1-$F867))</f>
        <v>4.2511764705882357E-3</v>
      </c>
      <c r="N867" s="5">
        <f>IF(ISBLANK($B867),_xlfn.XLOOKUP($A867,'2. TEUs &amp; Activities - EF'!$A$9:$A$190,'2. TEUs &amp; Activities - EF'!$M$9:$M$190),_xlfn.XLOOKUP($B867,'2. TEUs &amp; Activities - EF'!$B$9:$B$190,'2. TEUs &amp; Activities - EF'!$M$9:$M$190))*'3. Pollutant Emissions - EF'!$J867*IF(OR(ISBLANK($E867),$G867="Yes"),1,$E867)*IF($H867="Yes",1,(1-$F867))</f>
        <v>1.1647058823529413E-5</v>
      </c>
      <c r="O867" s="130">
        <f>IFERROR(IF(OR($C867="",$C867="No CAS"),INDEX('DEQ Pollutant List'!$D$7:$D$611,MATCH($D867,'DEQ Pollutant List'!$B$7:$B$611,0)),INDEX('DEQ Pollutant List'!$D$7:$D$611,MATCH($C867,'DEQ Pollutant List'!$A$7:$A$611,0))),"")</f>
        <v>37</v>
      </c>
    </row>
    <row r="868" spans="1:15" ht="15" x14ac:dyDescent="0.25">
      <c r="A868" s="5" t="s">
        <v>1560</v>
      </c>
      <c r="B868" s="7"/>
      <c r="C868" s="13" t="s">
        <v>54</v>
      </c>
      <c r="D868" s="19" t="str">
        <f>IFERROR(IF(C868="No CAS","",INDEX('DEQ Pollutant List'!$B$7:$B$611,MATCH('3. Pollutant Emissions - EF'!C868,'DEQ Pollutant List'!$A$7:$A$611,0))),"")</f>
        <v>Barium and compounds</v>
      </c>
      <c r="E868" s="23">
        <v>0</v>
      </c>
      <c r="F868" s="21">
        <v>0</v>
      </c>
      <c r="G868" s="23" t="s">
        <v>1415</v>
      </c>
      <c r="H868" s="21" t="s">
        <v>1415</v>
      </c>
      <c r="I868" s="34">
        <v>4.4000000000000003E-3</v>
      </c>
      <c r="J868" s="11">
        <f t="shared" si="31"/>
        <v>4.4000000000000003E-3</v>
      </c>
      <c r="K868" s="6" t="s">
        <v>1416</v>
      </c>
      <c r="L868" s="20" t="s">
        <v>1422</v>
      </c>
      <c r="M868" s="7">
        <f>IF(ISBLANK($B868),_xlfn.XLOOKUP($A868,'2. TEUs &amp; Activities - EF'!$A$9:$A$190,'2. TEUs &amp; Activities - EF'!$J$9:$J$190),_xlfn.XLOOKUP($B868,'2. TEUs &amp; Activities - EF'!$B$9:$B$190,'2. TEUs &amp; Activities - EF'!$J$9:$J$190))*'3. Pollutant Emissions - EF'!$I868*IF(OR(ISBLANK($E868),$G868="Yes"),1,$E868)*IF($H868="Yes",1,(1-$F868))</f>
        <v>9.3525882352941195E-2</v>
      </c>
      <c r="N868" s="5">
        <f>IF(ISBLANK($B868),_xlfn.XLOOKUP($A868,'2. TEUs &amp; Activities - EF'!$A$9:$A$190,'2. TEUs &amp; Activities - EF'!$M$9:$M$190),_xlfn.XLOOKUP($B868,'2. TEUs &amp; Activities - EF'!$B$9:$B$190,'2. TEUs &amp; Activities - EF'!$M$9:$M$190))*'3. Pollutant Emissions - EF'!$J868*IF(OR(ISBLANK($E868),$G868="Yes"),1,$E868)*IF($H868="Yes",1,(1-$F868))</f>
        <v>2.5623529411764712E-4</v>
      </c>
      <c r="O868" s="130">
        <f>IFERROR(IF(OR($C868="",$C868="No CAS"),INDEX('DEQ Pollutant List'!$D$7:$D$611,MATCH($D868,'DEQ Pollutant List'!$B$7:$B$611,0)),INDEX('DEQ Pollutant List'!$D$7:$D$611,MATCH($C868,'DEQ Pollutant List'!$A$7:$A$611,0))),"")</f>
        <v>45</v>
      </c>
    </row>
    <row r="869" spans="1:15" ht="15" x14ac:dyDescent="0.25">
      <c r="A869" s="5" t="s">
        <v>1560</v>
      </c>
      <c r="B869" s="7"/>
      <c r="C869" s="13" t="s">
        <v>46</v>
      </c>
      <c r="D869" s="19" t="str">
        <f>IFERROR(IF(C869="No CAS","",INDEX('DEQ Pollutant List'!$B$7:$B$611,MATCH('3. Pollutant Emissions - EF'!C869,'DEQ Pollutant List'!$A$7:$A$611,0))),"")</f>
        <v>Benzene</v>
      </c>
      <c r="E869" s="23">
        <v>0</v>
      </c>
      <c r="F869" s="21">
        <v>0</v>
      </c>
      <c r="G869" s="23" t="s">
        <v>1415</v>
      </c>
      <c r="H869" s="21" t="s">
        <v>1415</v>
      </c>
      <c r="I869" s="34">
        <v>8.0000000000000002E-3</v>
      </c>
      <c r="J869" s="11">
        <f t="shared" si="31"/>
        <v>8.0000000000000002E-3</v>
      </c>
      <c r="K869" s="6" t="s">
        <v>1416</v>
      </c>
      <c r="L869" s="20" t="s">
        <v>1422</v>
      </c>
      <c r="M869" s="7">
        <f>IF(ISBLANK($B869),_xlfn.XLOOKUP($A869,'2. TEUs &amp; Activities - EF'!$A$9:$A$190,'2. TEUs &amp; Activities - EF'!$J$9:$J$190),_xlfn.XLOOKUP($B869,'2. TEUs &amp; Activities - EF'!$B$9:$B$190,'2. TEUs &amp; Activities - EF'!$J$9:$J$190))*'3. Pollutant Emissions - EF'!$I869*IF(OR(ISBLANK($E869),$G869="Yes"),1,$E869)*IF($H869="Yes",1,(1-$F869))</f>
        <v>0.17004705882352944</v>
      </c>
      <c r="N869" s="5">
        <f>IF(ISBLANK($B869),_xlfn.XLOOKUP($A869,'2. TEUs &amp; Activities - EF'!$A$9:$A$190,'2. TEUs &amp; Activities - EF'!$M$9:$M$190),_xlfn.XLOOKUP($B869,'2. TEUs &amp; Activities - EF'!$B$9:$B$190,'2. TEUs &amp; Activities - EF'!$M$9:$M$190))*'3. Pollutant Emissions - EF'!$J869*IF(OR(ISBLANK($E869),$G869="Yes"),1,$E869)*IF($H869="Yes",1,(1-$F869))</f>
        <v>4.6588235294117654E-4</v>
      </c>
      <c r="O869" s="130">
        <f>IFERROR(IF(OR($C869="",$C869="No CAS"),INDEX('DEQ Pollutant List'!$D$7:$D$611,MATCH($D869,'DEQ Pollutant List'!$B$7:$B$611,0)),INDEX('DEQ Pollutant List'!$D$7:$D$611,MATCH($C869,'DEQ Pollutant List'!$A$7:$A$611,0))),"")</f>
        <v>46</v>
      </c>
    </row>
    <row r="870" spans="1:15" ht="15" x14ac:dyDescent="0.25">
      <c r="A870" s="5" t="s">
        <v>1560</v>
      </c>
      <c r="B870" s="7"/>
      <c r="C870" s="13" t="s">
        <v>55</v>
      </c>
      <c r="D870" s="19" t="str">
        <f>IFERROR(IF(C870="No CAS","",INDEX('DEQ Pollutant List'!$B$7:$B$611,MATCH('3. Pollutant Emissions - EF'!C870,'DEQ Pollutant List'!$A$7:$A$611,0))),"")</f>
        <v>Beryllium and compounds</v>
      </c>
      <c r="E870" s="23">
        <v>0</v>
      </c>
      <c r="F870" s="21">
        <v>0</v>
      </c>
      <c r="G870" s="23" t="s">
        <v>1415</v>
      </c>
      <c r="H870" s="21" t="s">
        <v>1415</v>
      </c>
      <c r="I870" s="34">
        <v>1.2E-5</v>
      </c>
      <c r="J870" s="11">
        <f t="shared" si="31"/>
        <v>1.2E-5</v>
      </c>
      <c r="K870" s="6" t="s">
        <v>1416</v>
      </c>
      <c r="L870" s="20" t="s">
        <v>1422</v>
      </c>
      <c r="M870" s="7">
        <f>IF(ISBLANK($B870),_xlfn.XLOOKUP($A870,'2. TEUs &amp; Activities - EF'!$A$9:$A$190,'2. TEUs &amp; Activities - EF'!$J$9:$J$190),_xlfn.XLOOKUP($B870,'2. TEUs &amp; Activities - EF'!$B$9:$B$190,'2. TEUs &amp; Activities - EF'!$J$9:$J$190))*'3. Pollutant Emissions - EF'!$I870*IF(OR(ISBLANK($E870),$G870="Yes"),1,$E870)*IF($H870="Yes",1,(1-$F870))</f>
        <v>2.5507058823529417E-4</v>
      </c>
      <c r="N870" s="5">
        <f>IF(ISBLANK($B870),_xlfn.XLOOKUP($A870,'2. TEUs &amp; Activities - EF'!$A$9:$A$190,'2. TEUs &amp; Activities - EF'!$M$9:$M$190),_xlfn.XLOOKUP($B870,'2. TEUs &amp; Activities - EF'!$B$9:$B$190,'2. TEUs &amp; Activities - EF'!$M$9:$M$190))*'3. Pollutant Emissions - EF'!$J870*IF(OR(ISBLANK($E870),$G870="Yes"),1,$E870)*IF($H870="Yes",1,(1-$F870))</f>
        <v>6.9882352941176484E-7</v>
      </c>
      <c r="O870" s="130">
        <f>IFERROR(IF(OR($C870="",$C870="No CAS"),INDEX('DEQ Pollutant List'!$D$7:$D$611,MATCH($D870,'DEQ Pollutant List'!$B$7:$B$611,0)),INDEX('DEQ Pollutant List'!$D$7:$D$611,MATCH($C870,'DEQ Pollutant List'!$A$7:$A$611,0))),"")</f>
        <v>58</v>
      </c>
    </row>
    <row r="871" spans="1:15" ht="15" x14ac:dyDescent="0.25">
      <c r="A871" s="5" t="s">
        <v>1560</v>
      </c>
      <c r="B871" s="7"/>
      <c r="C871" s="13" t="s">
        <v>56</v>
      </c>
      <c r="D871" s="19" t="str">
        <f>IFERROR(IF(C871="No CAS","",INDEX('DEQ Pollutant List'!$B$7:$B$611,MATCH('3. Pollutant Emissions - EF'!C871,'DEQ Pollutant List'!$A$7:$A$611,0))),"")</f>
        <v>Cadmium and compounds</v>
      </c>
      <c r="E871" s="23">
        <v>0</v>
      </c>
      <c r="F871" s="21">
        <v>0</v>
      </c>
      <c r="G871" s="23" t="s">
        <v>1415</v>
      </c>
      <c r="H871" s="21" t="s">
        <v>1415</v>
      </c>
      <c r="I871" s="34">
        <v>1.1000000000000001E-3</v>
      </c>
      <c r="J871" s="11">
        <f t="shared" si="31"/>
        <v>1.1000000000000001E-3</v>
      </c>
      <c r="K871" s="6" t="s">
        <v>1416</v>
      </c>
      <c r="L871" s="20" t="s">
        <v>1422</v>
      </c>
      <c r="M871" s="7">
        <f>IF(ISBLANK($B871),_xlfn.XLOOKUP($A871,'2. TEUs &amp; Activities - EF'!$A$9:$A$190,'2. TEUs &amp; Activities - EF'!$J$9:$J$190),_xlfn.XLOOKUP($B871,'2. TEUs &amp; Activities - EF'!$B$9:$B$190,'2. TEUs &amp; Activities - EF'!$J$9:$J$190))*'3. Pollutant Emissions - EF'!$I871*IF(OR(ISBLANK($E871),$G871="Yes"),1,$E871)*IF($H871="Yes",1,(1-$F871))</f>
        <v>2.3381470588235299E-2</v>
      </c>
      <c r="N871" s="5">
        <f>IF(ISBLANK($B871),_xlfn.XLOOKUP($A871,'2. TEUs &amp; Activities - EF'!$A$9:$A$190,'2. TEUs &amp; Activities - EF'!$M$9:$M$190),_xlfn.XLOOKUP($B871,'2. TEUs &amp; Activities - EF'!$B$9:$B$190,'2. TEUs &amp; Activities - EF'!$M$9:$M$190))*'3. Pollutant Emissions - EF'!$J871*IF(OR(ISBLANK($E871),$G871="Yes"),1,$E871)*IF($H871="Yes",1,(1-$F871))</f>
        <v>6.4058823529411781E-5</v>
      </c>
      <c r="O871" s="130">
        <f>IFERROR(IF(OR($C871="",$C871="No CAS"),INDEX('DEQ Pollutant List'!$D$7:$D$611,MATCH($D871,'DEQ Pollutant List'!$B$7:$B$611,0)),INDEX('DEQ Pollutant List'!$D$7:$D$611,MATCH($C871,'DEQ Pollutant List'!$A$7:$A$611,0))),"")</f>
        <v>83</v>
      </c>
    </row>
    <row r="872" spans="1:15" ht="15" x14ac:dyDescent="0.25">
      <c r="A872" s="5" t="s">
        <v>1560</v>
      </c>
      <c r="B872" s="7"/>
      <c r="C872" s="13" t="s">
        <v>57</v>
      </c>
      <c r="D872" s="19" t="str">
        <f>IFERROR(IF(C872="No CAS","",INDEX('DEQ Pollutant List'!$B$7:$B$611,MATCH('3. Pollutant Emissions - EF'!C872,'DEQ Pollutant List'!$A$7:$A$611,0))),"")</f>
        <v>Chromium VI, chromate and dichromate particulate</v>
      </c>
      <c r="E872" s="23">
        <v>0</v>
      </c>
      <c r="F872" s="21">
        <v>0</v>
      </c>
      <c r="G872" s="23" t="s">
        <v>1415</v>
      </c>
      <c r="H872" s="21" t="s">
        <v>1415</v>
      </c>
      <c r="I872" s="34">
        <v>1.4E-3</v>
      </c>
      <c r="J872" s="11">
        <f t="shared" si="31"/>
        <v>1.4E-3</v>
      </c>
      <c r="K872" s="6" t="s">
        <v>1416</v>
      </c>
      <c r="L872" s="20" t="s">
        <v>1422</v>
      </c>
      <c r="M872" s="7">
        <f>IF(ISBLANK($B872),_xlfn.XLOOKUP($A872,'2. TEUs &amp; Activities - EF'!$A$9:$A$190,'2. TEUs &amp; Activities - EF'!$J$9:$J$190),_xlfn.XLOOKUP($B872,'2. TEUs &amp; Activities - EF'!$B$9:$B$190,'2. TEUs &amp; Activities - EF'!$J$9:$J$190))*'3. Pollutant Emissions - EF'!$I872*IF(OR(ISBLANK($E872),$G872="Yes"),1,$E872)*IF($H872="Yes",1,(1-$F872))</f>
        <v>2.9758235294117648E-2</v>
      </c>
      <c r="N872" s="5">
        <f>IF(ISBLANK($B872),_xlfn.XLOOKUP($A872,'2. TEUs &amp; Activities - EF'!$A$9:$A$190,'2. TEUs &amp; Activities - EF'!$M$9:$M$190),_xlfn.XLOOKUP($B872,'2. TEUs &amp; Activities - EF'!$B$9:$B$190,'2. TEUs &amp; Activities - EF'!$M$9:$M$190))*'3. Pollutant Emissions - EF'!$J872*IF(OR(ISBLANK($E872),$G872="Yes"),1,$E872)*IF($H872="Yes",1,(1-$F872))</f>
        <v>8.1529411764705894E-5</v>
      </c>
      <c r="O872" s="130">
        <f>IFERROR(IF(OR($C872="",$C872="No CAS"),INDEX('DEQ Pollutant List'!$D$7:$D$611,MATCH($D872,'DEQ Pollutant List'!$B$7:$B$611,0)),INDEX('DEQ Pollutant List'!$D$7:$D$611,MATCH($C872,'DEQ Pollutant List'!$A$7:$A$611,0))),"")</f>
        <v>136</v>
      </c>
    </row>
    <row r="873" spans="1:15" ht="15" x14ac:dyDescent="0.25">
      <c r="A873" s="5" t="s">
        <v>1560</v>
      </c>
      <c r="B873" s="7"/>
      <c r="C873" s="13" t="s">
        <v>58</v>
      </c>
      <c r="D873" s="19" t="str">
        <f>IFERROR(IF(C873="No CAS","",INDEX('DEQ Pollutant List'!$B$7:$B$611,MATCH('3. Pollutant Emissions - EF'!C873,'DEQ Pollutant List'!$A$7:$A$611,0))),"")</f>
        <v>Cobalt and compounds</v>
      </c>
      <c r="E873" s="23">
        <v>0</v>
      </c>
      <c r="F873" s="21">
        <v>0</v>
      </c>
      <c r="G873" s="23" t="s">
        <v>1415</v>
      </c>
      <c r="H873" s="21" t="s">
        <v>1415</v>
      </c>
      <c r="I873" s="34">
        <v>8.3999999999999995E-5</v>
      </c>
      <c r="J873" s="11">
        <f t="shared" si="31"/>
        <v>8.3999999999999995E-5</v>
      </c>
      <c r="K873" s="6" t="s">
        <v>1416</v>
      </c>
      <c r="L873" s="20" t="s">
        <v>1422</v>
      </c>
      <c r="M873" s="7">
        <f>IF(ISBLANK($B873),_xlfn.XLOOKUP($A873,'2. TEUs &amp; Activities - EF'!$A$9:$A$190,'2. TEUs &amp; Activities - EF'!$J$9:$J$190),_xlfn.XLOOKUP($B873,'2. TEUs &amp; Activities - EF'!$B$9:$B$190,'2. TEUs &amp; Activities - EF'!$J$9:$J$190))*'3. Pollutant Emissions - EF'!$I873*IF(OR(ISBLANK($E873),$G873="Yes"),1,$E873)*IF($H873="Yes",1,(1-$F873))</f>
        <v>1.7854941176470589E-3</v>
      </c>
      <c r="N873" s="5">
        <f>IF(ISBLANK($B873),_xlfn.XLOOKUP($A873,'2. TEUs &amp; Activities - EF'!$A$9:$A$190,'2. TEUs &amp; Activities - EF'!$M$9:$M$190),_xlfn.XLOOKUP($B873,'2. TEUs &amp; Activities - EF'!$B$9:$B$190,'2. TEUs &amp; Activities - EF'!$M$9:$M$190))*'3. Pollutant Emissions - EF'!$J873*IF(OR(ISBLANK($E873),$G873="Yes"),1,$E873)*IF($H873="Yes",1,(1-$F873))</f>
        <v>4.891764705882353E-6</v>
      </c>
      <c r="O873" s="130">
        <f>IFERROR(IF(OR($C873="",$C873="No CAS"),INDEX('DEQ Pollutant List'!$D$7:$D$611,MATCH($D873,'DEQ Pollutant List'!$B$7:$B$611,0)),INDEX('DEQ Pollutant List'!$D$7:$D$611,MATCH($C873,'DEQ Pollutant List'!$A$7:$A$611,0))),"")</f>
        <v>146</v>
      </c>
    </row>
    <row r="874" spans="1:15" ht="15" x14ac:dyDescent="0.25">
      <c r="A874" s="5" t="s">
        <v>1560</v>
      </c>
      <c r="B874" s="7"/>
      <c r="C874" s="13" t="s">
        <v>59</v>
      </c>
      <c r="D874" s="19" t="str">
        <f>IFERROR(IF(C874="No CAS","",INDEX('DEQ Pollutant List'!$B$7:$B$611,MATCH('3. Pollutant Emissions - EF'!C874,'DEQ Pollutant List'!$A$7:$A$611,0))),"")</f>
        <v>Copper and compounds</v>
      </c>
      <c r="E874" s="23">
        <v>0</v>
      </c>
      <c r="F874" s="21">
        <v>0</v>
      </c>
      <c r="G874" s="23" t="s">
        <v>1415</v>
      </c>
      <c r="H874" s="21" t="s">
        <v>1415</v>
      </c>
      <c r="I874" s="34">
        <v>8.4999999999999995E-4</v>
      </c>
      <c r="J874" s="11">
        <f t="shared" si="31"/>
        <v>8.4999999999999995E-4</v>
      </c>
      <c r="K874" s="6" t="s">
        <v>1416</v>
      </c>
      <c r="L874" s="20" t="s">
        <v>1422</v>
      </c>
      <c r="M874" s="7">
        <f>IF(ISBLANK($B874),_xlfn.XLOOKUP($A874,'2. TEUs &amp; Activities - EF'!$A$9:$A$190,'2. TEUs &amp; Activities - EF'!$J$9:$J$190),_xlfn.XLOOKUP($B874,'2. TEUs &amp; Activities - EF'!$B$9:$B$190,'2. TEUs &amp; Activities - EF'!$J$9:$J$190))*'3. Pollutant Emissions - EF'!$I874*IF(OR(ISBLANK($E874),$G874="Yes"),1,$E874)*IF($H874="Yes",1,(1-$F874))</f>
        <v>1.80675E-2</v>
      </c>
      <c r="N874" s="5">
        <f>IF(ISBLANK($B874),_xlfn.XLOOKUP($A874,'2. TEUs &amp; Activities - EF'!$A$9:$A$190,'2. TEUs &amp; Activities - EF'!$M$9:$M$190),_xlfn.XLOOKUP($B874,'2. TEUs &amp; Activities - EF'!$B$9:$B$190,'2. TEUs &amp; Activities - EF'!$M$9:$M$190))*'3. Pollutant Emissions - EF'!$J874*IF(OR(ISBLANK($E874),$G874="Yes"),1,$E874)*IF($H874="Yes",1,(1-$F874))</f>
        <v>4.9500000000000004E-5</v>
      </c>
      <c r="O874" s="130">
        <f>IFERROR(IF(OR($C874="",$C874="No CAS"),INDEX('DEQ Pollutant List'!$D$7:$D$611,MATCH($D874,'DEQ Pollutant List'!$B$7:$B$611,0)),INDEX('DEQ Pollutant List'!$D$7:$D$611,MATCH($C874,'DEQ Pollutant List'!$A$7:$A$611,0))),"")</f>
        <v>149</v>
      </c>
    </row>
    <row r="875" spans="1:15" ht="15" x14ac:dyDescent="0.25">
      <c r="A875" s="5" t="s">
        <v>1560</v>
      </c>
      <c r="B875" s="7"/>
      <c r="C875" s="13" t="s">
        <v>60</v>
      </c>
      <c r="D875" s="19" t="str">
        <f>IFERROR(IF(C875="No CAS","",INDEX('DEQ Pollutant List'!$B$7:$B$611,MATCH('3. Pollutant Emissions - EF'!C875,'DEQ Pollutant List'!$A$7:$A$611,0))),"")</f>
        <v>Ethyl benzene</v>
      </c>
      <c r="E875" s="23">
        <v>0</v>
      </c>
      <c r="F875" s="21">
        <v>0</v>
      </c>
      <c r="G875" s="23" t="s">
        <v>1415</v>
      </c>
      <c r="H875" s="21" t="s">
        <v>1415</v>
      </c>
      <c r="I875" s="34">
        <v>9.4999999999999998E-3</v>
      </c>
      <c r="J875" s="11">
        <f t="shared" si="31"/>
        <v>9.4999999999999998E-3</v>
      </c>
      <c r="K875" s="6" t="s">
        <v>1416</v>
      </c>
      <c r="L875" s="20" t="s">
        <v>1422</v>
      </c>
      <c r="M875" s="7">
        <f>IF(ISBLANK($B875),_xlfn.XLOOKUP($A875,'2. TEUs &amp; Activities - EF'!$A$9:$A$190,'2. TEUs &amp; Activities - EF'!$J$9:$J$190),_xlfn.XLOOKUP($B875,'2. TEUs &amp; Activities - EF'!$B$9:$B$190,'2. TEUs &amp; Activities - EF'!$J$9:$J$190))*'3. Pollutant Emissions - EF'!$I875*IF(OR(ISBLANK($E875),$G875="Yes"),1,$E875)*IF($H875="Yes",1,(1-$F875))</f>
        <v>0.20193088235294118</v>
      </c>
      <c r="N875" s="5">
        <f>IF(ISBLANK($B875),_xlfn.XLOOKUP($A875,'2. TEUs &amp; Activities - EF'!$A$9:$A$190,'2. TEUs &amp; Activities - EF'!$M$9:$M$190),_xlfn.XLOOKUP($B875,'2. TEUs &amp; Activities - EF'!$B$9:$B$190,'2. TEUs &amp; Activities - EF'!$M$9:$M$190))*'3. Pollutant Emissions - EF'!$J875*IF(OR(ISBLANK($E875),$G875="Yes"),1,$E875)*IF($H875="Yes",1,(1-$F875))</f>
        <v>5.5323529411764713E-4</v>
      </c>
      <c r="O875" s="130">
        <f>IFERROR(IF(OR($C875="",$C875="No CAS"),INDEX('DEQ Pollutant List'!$D$7:$D$611,MATCH($D875,'DEQ Pollutant List'!$B$7:$B$611,0)),INDEX('DEQ Pollutant List'!$D$7:$D$611,MATCH($C875,'DEQ Pollutant List'!$A$7:$A$611,0))),"")</f>
        <v>229</v>
      </c>
    </row>
    <row r="876" spans="1:15" ht="15" x14ac:dyDescent="0.25">
      <c r="A876" s="5" t="s">
        <v>1560</v>
      </c>
      <c r="B876" s="7"/>
      <c r="C876" s="13" t="s">
        <v>47</v>
      </c>
      <c r="D876" s="19" t="str">
        <f>IFERROR(IF(C876="No CAS","",INDEX('DEQ Pollutant List'!$B$7:$B$611,MATCH('3. Pollutant Emissions - EF'!C876,'DEQ Pollutant List'!$A$7:$A$611,0))),"")</f>
        <v>Formaldehyde</v>
      </c>
      <c r="E876" s="23">
        <v>0</v>
      </c>
      <c r="F876" s="21">
        <v>0</v>
      </c>
      <c r="G876" s="23" t="s">
        <v>1415</v>
      </c>
      <c r="H876" s="21" t="s">
        <v>1415</v>
      </c>
      <c r="I876" s="34">
        <v>1.7000000000000001E-2</v>
      </c>
      <c r="J876" s="11">
        <f t="shared" si="31"/>
        <v>1.7000000000000001E-2</v>
      </c>
      <c r="K876" s="6" t="s">
        <v>1416</v>
      </c>
      <c r="L876" s="20" t="s">
        <v>1422</v>
      </c>
      <c r="M876" s="7">
        <f>IF(ISBLANK($B876),_xlfn.XLOOKUP($A876,'2. TEUs &amp; Activities - EF'!$A$9:$A$190,'2. TEUs &amp; Activities - EF'!$J$9:$J$190),_xlfn.XLOOKUP($B876,'2. TEUs &amp; Activities - EF'!$B$9:$B$190,'2. TEUs &amp; Activities - EF'!$J$9:$J$190))*'3. Pollutant Emissions - EF'!$I876*IF(OR(ISBLANK($E876),$G876="Yes"),1,$E876)*IF($H876="Yes",1,(1-$F876))</f>
        <v>0.36135000000000006</v>
      </c>
      <c r="N876" s="5">
        <f>IF(ISBLANK($B876),_xlfn.XLOOKUP($A876,'2. TEUs &amp; Activities - EF'!$A$9:$A$190,'2. TEUs &amp; Activities - EF'!$M$9:$M$190),_xlfn.XLOOKUP($B876,'2. TEUs &amp; Activities - EF'!$B$9:$B$190,'2. TEUs &amp; Activities - EF'!$M$9:$M$190))*'3. Pollutant Emissions - EF'!$J876*IF(OR(ISBLANK($E876),$G876="Yes"),1,$E876)*IF($H876="Yes",1,(1-$F876))</f>
        <v>9.9000000000000021E-4</v>
      </c>
      <c r="O876" s="130">
        <f>IFERROR(IF(OR($C876="",$C876="No CAS"),INDEX('DEQ Pollutant List'!$D$7:$D$611,MATCH($D876,'DEQ Pollutant List'!$B$7:$B$611,0)),INDEX('DEQ Pollutant List'!$D$7:$D$611,MATCH($C876,'DEQ Pollutant List'!$A$7:$A$611,0))),"")</f>
        <v>250</v>
      </c>
    </row>
    <row r="877" spans="1:15" ht="15" x14ac:dyDescent="0.25">
      <c r="A877" s="5" t="s">
        <v>1560</v>
      </c>
      <c r="B877" s="7"/>
      <c r="C877" s="13" t="s">
        <v>61</v>
      </c>
      <c r="D877" s="19" t="str">
        <f>IFERROR(IF(C877="No CAS","",INDEX('DEQ Pollutant List'!$B$7:$B$611,MATCH('3. Pollutant Emissions - EF'!C877,'DEQ Pollutant List'!$A$7:$A$611,0))),"")</f>
        <v>Hexane</v>
      </c>
      <c r="E877" s="23">
        <v>0</v>
      </c>
      <c r="F877" s="21">
        <v>0</v>
      </c>
      <c r="G877" s="23" t="s">
        <v>1415</v>
      </c>
      <c r="H877" s="21" t="s">
        <v>1415</v>
      </c>
      <c r="I877" s="34">
        <v>6.3E-3</v>
      </c>
      <c r="J877" s="11">
        <f t="shared" si="31"/>
        <v>6.3E-3</v>
      </c>
      <c r="K877" s="6" t="s">
        <v>1416</v>
      </c>
      <c r="L877" s="20" t="s">
        <v>1422</v>
      </c>
      <c r="M877" s="7">
        <f>IF(ISBLANK($B877),_xlfn.XLOOKUP($A877,'2. TEUs &amp; Activities - EF'!$A$9:$A$190,'2. TEUs &amp; Activities - EF'!$J$9:$J$190),_xlfn.XLOOKUP($B877,'2. TEUs &amp; Activities - EF'!$B$9:$B$190,'2. TEUs &amp; Activities - EF'!$J$9:$J$190))*'3. Pollutant Emissions - EF'!$I877*IF(OR(ISBLANK($E877),$G877="Yes"),1,$E877)*IF($H877="Yes",1,(1-$F877))</f>
        <v>0.13391205882352941</v>
      </c>
      <c r="N877" s="5">
        <f>IF(ISBLANK($B877),_xlfn.XLOOKUP($A877,'2. TEUs &amp; Activities - EF'!$A$9:$A$190,'2. TEUs &amp; Activities - EF'!$M$9:$M$190),_xlfn.XLOOKUP($B877,'2. TEUs &amp; Activities - EF'!$B$9:$B$190,'2. TEUs &amp; Activities - EF'!$M$9:$M$190))*'3. Pollutant Emissions - EF'!$J877*IF(OR(ISBLANK($E877),$G877="Yes"),1,$E877)*IF($H877="Yes",1,(1-$F877))</f>
        <v>3.6688235294117652E-4</v>
      </c>
      <c r="O877" s="130">
        <f>IFERROR(IF(OR($C877="",$C877="No CAS"),INDEX('DEQ Pollutant List'!$D$7:$D$611,MATCH($D877,'DEQ Pollutant List'!$B$7:$B$611,0)),INDEX('DEQ Pollutant List'!$D$7:$D$611,MATCH($C877,'DEQ Pollutant List'!$A$7:$A$611,0))),"")</f>
        <v>289</v>
      </c>
    </row>
    <row r="878" spans="1:15" ht="15" x14ac:dyDescent="0.25">
      <c r="A878" s="5" t="s">
        <v>1560</v>
      </c>
      <c r="B878" s="7"/>
      <c r="C878" s="13" t="s">
        <v>62</v>
      </c>
      <c r="D878" s="19" t="str">
        <f>IFERROR(IF(C878="No CAS","",INDEX('DEQ Pollutant List'!$B$7:$B$611,MATCH('3. Pollutant Emissions - EF'!C878,'DEQ Pollutant List'!$A$7:$A$611,0))),"")</f>
        <v>Lead and compounds</v>
      </c>
      <c r="E878" s="23">
        <v>0</v>
      </c>
      <c r="F878" s="21">
        <v>0</v>
      </c>
      <c r="G878" s="23" t="s">
        <v>1415</v>
      </c>
      <c r="H878" s="21" t="s">
        <v>1415</v>
      </c>
      <c r="I878" s="34">
        <v>5.0000000000000001E-4</v>
      </c>
      <c r="J878" s="11">
        <f t="shared" si="31"/>
        <v>5.0000000000000001E-4</v>
      </c>
      <c r="K878" s="6" t="s">
        <v>1416</v>
      </c>
      <c r="L878" s="20" t="s">
        <v>1422</v>
      </c>
      <c r="M878" s="7">
        <f>IF(ISBLANK($B878),_xlfn.XLOOKUP($A878,'2. TEUs &amp; Activities - EF'!$A$9:$A$190,'2. TEUs &amp; Activities - EF'!$J$9:$J$190),_xlfn.XLOOKUP($B878,'2. TEUs &amp; Activities - EF'!$B$9:$B$190,'2. TEUs &amp; Activities - EF'!$J$9:$J$190))*'3. Pollutant Emissions - EF'!$I878*IF(OR(ISBLANK($E878),$G878="Yes"),1,$E878)*IF($H878="Yes",1,(1-$F878))</f>
        <v>1.062794117647059E-2</v>
      </c>
      <c r="N878" s="5">
        <f>IF(ISBLANK($B878),_xlfn.XLOOKUP($A878,'2. TEUs &amp; Activities - EF'!$A$9:$A$190,'2. TEUs &amp; Activities - EF'!$M$9:$M$190),_xlfn.XLOOKUP($B878,'2. TEUs &amp; Activities - EF'!$B$9:$B$190,'2. TEUs &amp; Activities - EF'!$M$9:$M$190))*'3. Pollutant Emissions - EF'!$J878*IF(OR(ISBLANK($E878),$G878="Yes"),1,$E878)*IF($H878="Yes",1,(1-$F878))</f>
        <v>2.9117647058823534E-5</v>
      </c>
      <c r="O878" s="130">
        <f>IFERROR(IF(OR($C878="",$C878="No CAS"),INDEX('DEQ Pollutant List'!$D$7:$D$611,MATCH($D878,'DEQ Pollutant List'!$B$7:$B$611,0)),INDEX('DEQ Pollutant List'!$D$7:$D$611,MATCH($C878,'DEQ Pollutant List'!$A$7:$A$611,0))),"")</f>
        <v>305</v>
      </c>
    </row>
    <row r="879" spans="1:15" ht="15" x14ac:dyDescent="0.25">
      <c r="A879" s="5" t="s">
        <v>1560</v>
      </c>
      <c r="B879" s="7"/>
      <c r="C879" s="13" t="s">
        <v>63</v>
      </c>
      <c r="D879" s="19" t="str">
        <f>IFERROR(IF(C879="No CAS","",INDEX('DEQ Pollutant List'!$B$7:$B$611,MATCH('3. Pollutant Emissions - EF'!C879,'DEQ Pollutant List'!$A$7:$A$611,0))),"")</f>
        <v>Manganese and compounds</v>
      </c>
      <c r="E879" s="23">
        <v>0</v>
      </c>
      <c r="F879" s="21">
        <v>0</v>
      </c>
      <c r="G879" s="23" t="s">
        <v>1415</v>
      </c>
      <c r="H879" s="21" t="s">
        <v>1415</v>
      </c>
      <c r="I879" s="34">
        <v>3.8000000000000002E-4</v>
      </c>
      <c r="J879" s="11">
        <f t="shared" si="31"/>
        <v>3.8000000000000002E-4</v>
      </c>
      <c r="K879" s="6" t="s">
        <v>1416</v>
      </c>
      <c r="L879" s="20" t="s">
        <v>1422</v>
      </c>
      <c r="M879" s="7">
        <f>IF(ISBLANK($B879),_xlfn.XLOOKUP($A879,'2. TEUs &amp; Activities - EF'!$A$9:$A$190,'2. TEUs &amp; Activities - EF'!$J$9:$J$190),_xlfn.XLOOKUP($B879,'2. TEUs &amp; Activities - EF'!$B$9:$B$190,'2. TEUs &amp; Activities - EF'!$J$9:$J$190))*'3. Pollutant Emissions - EF'!$I879*IF(OR(ISBLANK($E879),$G879="Yes"),1,$E879)*IF($H879="Yes",1,(1-$F879))</f>
        <v>8.077235294117649E-3</v>
      </c>
      <c r="N879" s="5">
        <f>IF(ISBLANK($B879),_xlfn.XLOOKUP($A879,'2. TEUs &amp; Activities - EF'!$A$9:$A$190,'2. TEUs &amp; Activities - EF'!$M$9:$M$190),_xlfn.XLOOKUP($B879,'2. TEUs &amp; Activities - EF'!$B$9:$B$190,'2. TEUs &amp; Activities - EF'!$M$9:$M$190))*'3. Pollutant Emissions - EF'!$J879*IF(OR(ISBLANK($E879),$G879="Yes"),1,$E879)*IF($H879="Yes",1,(1-$F879))</f>
        <v>2.2129411764705887E-5</v>
      </c>
      <c r="O879" s="130">
        <f>IFERROR(IF(OR($C879="",$C879="No CAS"),INDEX('DEQ Pollutant List'!$D$7:$D$611,MATCH($D879,'DEQ Pollutant List'!$B$7:$B$611,0)),INDEX('DEQ Pollutant List'!$D$7:$D$611,MATCH($C879,'DEQ Pollutant List'!$A$7:$A$611,0))),"")</f>
        <v>312</v>
      </c>
    </row>
    <row r="880" spans="1:15" ht="15" x14ac:dyDescent="0.25">
      <c r="A880" s="5" t="s">
        <v>1560</v>
      </c>
      <c r="B880" s="7"/>
      <c r="C880" s="13" t="s">
        <v>64</v>
      </c>
      <c r="D880" s="19" t="str">
        <f>IFERROR(IF(C880="No CAS","",INDEX('DEQ Pollutant List'!$B$7:$B$611,MATCH('3. Pollutant Emissions - EF'!C880,'DEQ Pollutant List'!$A$7:$A$611,0))),"")</f>
        <v>Mercury and compounds</v>
      </c>
      <c r="E880" s="23">
        <v>0</v>
      </c>
      <c r="F880" s="21">
        <v>0</v>
      </c>
      <c r="G880" s="23" t="s">
        <v>1415</v>
      </c>
      <c r="H880" s="21" t="s">
        <v>1415</v>
      </c>
      <c r="I880" s="34">
        <v>2.5999999999999998E-4</v>
      </c>
      <c r="J880" s="11">
        <f t="shared" si="31"/>
        <v>2.5999999999999998E-4</v>
      </c>
      <c r="K880" s="6" t="s">
        <v>1416</v>
      </c>
      <c r="L880" s="20" t="s">
        <v>1422</v>
      </c>
      <c r="M880" s="7">
        <f>IF(ISBLANK($B880),_xlfn.XLOOKUP($A880,'2. TEUs &amp; Activities - EF'!$A$9:$A$190,'2. TEUs &amp; Activities - EF'!$J$9:$J$190),_xlfn.XLOOKUP($B880,'2. TEUs &amp; Activities - EF'!$B$9:$B$190,'2. TEUs &amp; Activities - EF'!$J$9:$J$190))*'3. Pollutant Emissions - EF'!$I880*IF(OR(ISBLANK($E880),$G880="Yes"),1,$E880)*IF($H880="Yes",1,(1-$F880))</f>
        <v>5.5265294117647062E-3</v>
      </c>
      <c r="N880" s="5">
        <f>IF(ISBLANK($B880),_xlfn.XLOOKUP($A880,'2. TEUs &amp; Activities - EF'!$A$9:$A$190,'2. TEUs &amp; Activities - EF'!$M$9:$M$190),_xlfn.XLOOKUP($B880,'2. TEUs &amp; Activities - EF'!$B$9:$B$190,'2. TEUs &amp; Activities - EF'!$M$9:$M$190))*'3. Pollutant Emissions - EF'!$J880*IF(OR(ISBLANK($E880),$G880="Yes"),1,$E880)*IF($H880="Yes",1,(1-$F880))</f>
        <v>1.5141176470588235E-5</v>
      </c>
      <c r="O880" s="130">
        <f>IFERROR(IF(OR($C880="",$C880="No CAS"),INDEX('DEQ Pollutant List'!$D$7:$D$611,MATCH($D880,'DEQ Pollutant List'!$B$7:$B$611,0)),INDEX('DEQ Pollutant List'!$D$7:$D$611,MATCH($C880,'DEQ Pollutant List'!$A$7:$A$611,0))),"")</f>
        <v>316</v>
      </c>
    </row>
    <row r="881" spans="1:15" ht="15" x14ac:dyDescent="0.25">
      <c r="A881" s="5" t="s">
        <v>1560</v>
      </c>
      <c r="B881" s="7"/>
      <c r="C881" s="13" t="s">
        <v>65</v>
      </c>
      <c r="D881" s="19" t="str">
        <f>IFERROR(IF(C881="No CAS","",INDEX('DEQ Pollutant List'!$B$7:$B$611,MATCH('3. Pollutant Emissions - EF'!C881,'DEQ Pollutant List'!$A$7:$A$611,0))),"")</f>
        <v>Molybdenum trioxide</v>
      </c>
      <c r="E881" s="23">
        <v>0</v>
      </c>
      <c r="F881" s="21">
        <v>0</v>
      </c>
      <c r="G881" s="23" t="s">
        <v>1415</v>
      </c>
      <c r="H881" s="21" t="s">
        <v>1415</v>
      </c>
      <c r="I881" s="34">
        <v>1.65E-3</v>
      </c>
      <c r="J881" s="11">
        <f t="shared" si="31"/>
        <v>1.65E-3</v>
      </c>
      <c r="K881" s="6" t="s">
        <v>1416</v>
      </c>
      <c r="L881" s="20" t="s">
        <v>1422</v>
      </c>
      <c r="M881" s="7">
        <f>IF(ISBLANK($B881),_xlfn.XLOOKUP($A881,'2. TEUs &amp; Activities - EF'!$A$9:$A$190,'2. TEUs &amp; Activities - EF'!$J$9:$J$190),_xlfn.XLOOKUP($B881,'2. TEUs &amp; Activities - EF'!$B$9:$B$190,'2. TEUs &amp; Activities - EF'!$J$9:$J$190))*'3. Pollutant Emissions - EF'!$I881*IF(OR(ISBLANK($E881),$G881="Yes"),1,$E881)*IF($H881="Yes",1,(1-$F881))</f>
        <v>3.5072205882352943E-2</v>
      </c>
      <c r="N881" s="5">
        <f>IF(ISBLANK($B881),_xlfn.XLOOKUP($A881,'2. TEUs &amp; Activities - EF'!$A$9:$A$190,'2. TEUs &amp; Activities - EF'!$M$9:$M$190),_xlfn.XLOOKUP($B881,'2. TEUs &amp; Activities - EF'!$B$9:$B$190,'2. TEUs &amp; Activities - EF'!$M$9:$M$190))*'3. Pollutant Emissions - EF'!$J881*IF(OR(ISBLANK($E881),$G881="Yes"),1,$E881)*IF($H881="Yes",1,(1-$F881))</f>
        <v>9.6088235294117664E-5</v>
      </c>
      <c r="O881" s="130">
        <f>IFERROR(IF(OR($C881="",$C881="No CAS"),INDEX('DEQ Pollutant List'!$D$7:$D$611,MATCH($D881,'DEQ Pollutant List'!$B$7:$B$611,0)),INDEX('DEQ Pollutant List'!$D$7:$D$611,MATCH($C881,'DEQ Pollutant List'!$A$7:$A$611,0))),"")</f>
        <v>361</v>
      </c>
    </row>
    <row r="882" spans="1:15" ht="15" x14ac:dyDescent="0.25">
      <c r="A882" s="5" t="s">
        <v>1560</v>
      </c>
      <c r="B882" s="7"/>
      <c r="C882" s="13" t="s">
        <v>49</v>
      </c>
      <c r="D882" s="19" t="str">
        <f>IFERROR(IF(C882="No CAS","",INDEX('DEQ Pollutant List'!$B$7:$B$611,MATCH('3. Pollutant Emissions - EF'!C882,'DEQ Pollutant List'!$A$7:$A$611,0))),"")</f>
        <v>Naphthalene</v>
      </c>
      <c r="E882" s="23">
        <v>0</v>
      </c>
      <c r="F882" s="21">
        <v>0</v>
      </c>
      <c r="G882" s="23" t="s">
        <v>1415</v>
      </c>
      <c r="H882" s="21" t="s">
        <v>1415</v>
      </c>
      <c r="I882" s="34">
        <v>2.9999999999999997E-4</v>
      </c>
      <c r="J882" s="11">
        <f t="shared" si="31"/>
        <v>2.9999999999999997E-4</v>
      </c>
      <c r="K882" s="6" t="s">
        <v>1416</v>
      </c>
      <c r="L882" s="20" t="s">
        <v>1422</v>
      </c>
      <c r="M882" s="7">
        <f>IF(ISBLANK($B882),_xlfn.XLOOKUP($A882,'2. TEUs &amp; Activities - EF'!$A$9:$A$190,'2. TEUs &amp; Activities - EF'!$J$9:$J$190),_xlfn.XLOOKUP($B882,'2. TEUs &amp; Activities - EF'!$B$9:$B$190,'2. TEUs &amp; Activities - EF'!$J$9:$J$190))*'3. Pollutant Emissions - EF'!$I882*IF(OR(ISBLANK($E882),$G882="Yes"),1,$E882)*IF($H882="Yes",1,(1-$F882))</f>
        <v>6.3767647058823526E-3</v>
      </c>
      <c r="N882" s="5">
        <f>IF(ISBLANK($B882),_xlfn.XLOOKUP($A882,'2. TEUs &amp; Activities - EF'!$A$9:$A$190,'2. TEUs &amp; Activities - EF'!$M$9:$M$190),_xlfn.XLOOKUP($B882,'2. TEUs &amp; Activities - EF'!$B$9:$B$190,'2. TEUs &amp; Activities - EF'!$M$9:$M$190))*'3. Pollutant Emissions - EF'!$J882*IF(OR(ISBLANK($E882),$G882="Yes"),1,$E882)*IF($H882="Yes",1,(1-$F882))</f>
        <v>1.7470588235294117E-5</v>
      </c>
      <c r="O882" s="130">
        <f>IFERROR(IF(OR($C882="",$C882="No CAS"),INDEX('DEQ Pollutant List'!$D$7:$D$611,MATCH($D882,'DEQ Pollutant List'!$B$7:$B$611,0)),INDEX('DEQ Pollutant List'!$D$7:$D$611,MATCH($C882,'DEQ Pollutant List'!$A$7:$A$611,0))),"")</f>
        <v>428</v>
      </c>
    </row>
    <row r="883" spans="1:15" ht="15" x14ac:dyDescent="0.25">
      <c r="A883" s="5" t="s">
        <v>1560</v>
      </c>
      <c r="B883" s="7"/>
      <c r="C883" s="13" t="s">
        <v>66</v>
      </c>
      <c r="D883" s="19" t="str">
        <f>IFERROR(IF(C883="No CAS","",INDEX('DEQ Pollutant List'!$B$7:$B$611,MATCH('3. Pollutant Emissions - EF'!C883,'DEQ Pollutant List'!$A$7:$A$611,0))),"")</f>
        <v>Nickel and compounds</v>
      </c>
      <c r="E883" s="23">
        <v>0</v>
      </c>
      <c r="F883" s="21">
        <v>0</v>
      </c>
      <c r="G883" s="23" t="s">
        <v>1415</v>
      </c>
      <c r="H883" s="21" t="s">
        <v>1415</v>
      </c>
      <c r="I883" s="34">
        <v>2.0999999999999999E-3</v>
      </c>
      <c r="J883" s="11">
        <f t="shared" si="31"/>
        <v>2.0999999999999999E-3</v>
      </c>
      <c r="K883" s="6" t="s">
        <v>1416</v>
      </c>
      <c r="L883" s="20" t="s">
        <v>1422</v>
      </c>
      <c r="M883" s="7">
        <f>IF(ISBLANK($B883),_xlfn.XLOOKUP($A883,'2. TEUs &amp; Activities - EF'!$A$9:$A$190,'2. TEUs &amp; Activities - EF'!$J$9:$J$190),_xlfn.XLOOKUP($B883,'2. TEUs &amp; Activities - EF'!$B$9:$B$190,'2. TEUs &amp; Activities - EF'!$J$9:$J$190))*'3. Pollutant Emissions - EF'!$I883*IF(OR(ISBLANK($E883),$G883="Yes"),1,$E883)*IF($H883="Yes",1,(1-$F883))</f>
        <v>4.4637352941176468E-2</v>
      </c>
      <c r="N883" s="5">
        <f>IF(ISBLANK($B883),_xlfn.XLOOKUP($A883,'2. TEUs &amp; Activities - EF'!$A$9:$A$190,'2. TEUs &amp; Activities - EF'!$M$9:$M$190),_xlfn.XLOOKUP($B883,'2. TEUs &amp; Activities - EF'!$B$9:$B$190,'2. TEUs &amp; Activities - EF'!$M$9:$M$190))*'3. Pollutant Emissions - EF'!$J883*IF(OR(ISBLANK($E883),$G883="Yes"),1,$E883)*IF($H883="Yes",1,(1-$F883))</f>
        <v>1.2229411764705882E-4</v>
      </c>
      <c r="O883" s="130">
        <f>IFERROR(IF(OR($C883="",$C883="No CAS"),INDEX('DEQ Pollutant List'!$D$7:$D$611,MATCH($D883,'DEQ Pollutant List'!$B$7:$B$611,0)),INDEX('DEQ Pollutant List'!$D$7:$D$611,MATCH($C883,'DEQ Pollutant List'!$A$7:$A$611,0))),"")</f>
        <v>364</v>
      </c>
    </row>
    <row r="884" spans="1:15" ht="15" x14ac:dyDescent="0.25">
      <c r="A884" s="5" t="s">
        <v>1560</v>
      </c>
      <c r="B884" s="7"/>
      <c r="C884" s="13">
        <v>401</v>
      </c>
      <c r="D884" s="19" t="str">
        <f>IFERROR(IF(C884="No CAS","",INDEX('DEQ Pollutant List'!$B$7:$B$611,MATCH('3. Pollutant Emissions - EF'!C884,'DEQ Pollutant List'!$A$7:$A$611,0))),"")</f>
        <v>Polycyclic aromatic hydrocarbons (PAHs)</v>
      </c>
      <c r="E884" s="23">
        <v>0</v>
      </c>
      <c r="F884" s="21">
        <v>0</v>
      </c>
      <c r="G884" s="23" t="s">
        <v>1415</v>
      </c>
      <c r="H884" s="21" t="s">
        <v>1415</v>
      </c>
      <c r="I884" s="34">
        <v>1E-4</v>
      </c>
      <c r="J884" s="11">
        <f t="shared" si="31"/>
        <v>1E-4</v>
      </c>
      <c r="K884" s="6" t="s">
        <v>1416</v>
      </c>
      <c r="L884" s="20" t="s">
        <v>1422</v>
      </c>
      <c r="M884" s="7">
        <f>IF(ISBLANK($B884),_xlfn.XLOOKUP($A884,'2. TEUs &amp; Activities - EF'!$A$9:$A$190,'2. TEUs &amp; Activities - EF'!$J$9:$J$190),_xlfn.XLOOKUP($B884,'2. TEUs &amp; Activities - EF'!$B$9:$B$190,'2. TEUs &amp; Activities - EF'!$J$9:$J$190))*'3. Pollutant Emissions - EF'!$I884*IF(OR(ISBLANK($E884),$G884="Yes"),1,$E884)*IF($H884="Yes",1,(1-$F884))</f>
        <v>2.1255882352941178E-3</v>
      </c>
      <c r="N884" s="5">
        <f>IF(ISBLANK($B884),_xlfn.XLOOKUP($A884,'2. TEUs &amp; Activities - EF'!$A$9:$A$190,'2. TEUs &amp; Activities - EF'!$M$9:$M$190),_xlfn.XLOOKUP($B884,'2. TEUs &amp; Activities - EF'!$B$9:$B$190,'2. TEUs &amp; Activities - EF'!$M$9:$M$190))*'3. Pollutant Emissions - EF'!$J884*IF(OR(ISBLANK($E884),$G884="Yes"),1,$E884)*IF($H884="Yes",1,(1-$F884))</f>
        <v>5.8235294117647067E-6</v>
      </c>
      <c r="O884" s="130">
        <f>IFERROR(IF(OR($C884="",$C884="No CAS"),INDEX('DEQ Pollutant List'!$D$7:$D$611,MATCH($D884,'DEQ Pollutant List'!$B$7:$B$611,0)),INDEX('DEQ Pollutant List'!$D$7:$D$611,MATCH($C884,'DEQ Pollutant List'!$A$7:$A$611,0))),"")</f>
        <v>401</v>
      </c>
    </row>
    <row r="885" spans="1:15" ht="15" x14ac:dyDescent="0.25">
      <c r="A885" s="5" t="s">
        <v>1560</v>
      </c>
      <c r="B885" s="7"/>
      <c r="C885" s="13" t="s">
        <v>67</v>
      </c>
      <c r="D885" s="19" t="str">
        <f>IFERROR(IF(C885="No CAS","",INDEX('DEQ Pollutant List'!$B$7:$B$611,MATCH('3. Pollutant Emissions - EF'!C885,'DEQ Pollutant List'!$A$7:$A$611,0))),"")</f>
        <v>Selenium and compounds</v>
      </c>
      <c r="E885" s="23">
        <v>0</v>
      </c>
      <c r="F885" s="21">
        <v>0</v>
      </c>
      <c r="G885" s="23" t="s">
        <v>1415</v>
      </c>
      <c r="H885" s="21" t="s">
        <v>1415</v>
      </c>
      <c r="I885" s="34">
        <v>2.4000000000000001E-5</v>
      </c>
      <c r="J885" s="11">
        <f t="shared" si="31"/>
        <v>2.4000000000000001E-5</v>
      </c>
      <c r="K885" s="6" t="s">
        <v>1416</v>
      </c>
      <c r="L885" s="20" t="s">
        <v>1422</v>
      </c>
      <c r="M885" s="7">
        <f>IF(ISBLANK($B885),_xlfn.XLOOKUP($A885,'2. TEUs &amp; Activities - EF'!$A$9:$A$190,'2. TEUs &amp; Activities - EF'!$J$9:$J$190),_xlfn.XLOOKUP($B885,'2. TEUs &amp; Activities - EF'!$B$9:$B$190,'2. TEUs &amp; Activities - EF'!$J$9:$J$190))*'3. Pollutant Emissions - EF'!$I885*IF(OR(ISBLANK($E885),$G885="Yes"),1,$E885)*IF($H885="Yes",1,(1-$F885))</f>
        <v>5.1014117647058834E-4</v>
      </c>
      <c r="N885" s="5">
        <f>IF(ISBLANK($B885),_xlfn.XLOOKUP($A885,'2. TEUs &amp; Activities - EF'!$A$9:$A$190,'2. TEUs &amp; Activities - EF'!$M$9:$M$190),_xlfn.XLOOKUP($B885,'2. TEUs &amp; Activities - EF'!$B$9:$B$190,'2. TEUs &amp; Activities - EF'!$M$9:$M$190))*'3. Pollutant Emissions - EF'!$J885*IF(OR(ISBLANK($E885),$G885="Yes"),1,$E885)*IF($H885="Yes",1,(1-$F885))</f>
        <v>1.3976470588235297E-6</v>
      </c>
      <c r="O885" s="130">
        <f>IFERROR(IF(OR($C885="",$C885="No CAS"),INDEX('DEQ Pollutant List'!$D$7:$D$611,MATCH($D885,'DEQ Pollutant List'!$B$7:$B$611,0)),INDEX('DEQ Pollutant List'!$D$7:$D$611,MATCH($C885,'DEQ Pollutant List'!$A$7:$A$611,0))),"")</f>
        <v>575</v>
      </c>
    </row>
    <row r="886" spans="1:15" ht="15" x14ac:dyDescent="0.25">
      <c r="A886" s="5" t="s">
        <v>1560</v>
      </c>
      <c r="B886" s="7"/>
      <c r="C886" s="13" t="s">
        <v>68</v>
      </c>
      <c r="D886" s="19" t="str">
        <f>IFERROR(IF(C886="No CAS","",INDEX('DEQ Pollutant List'!$B$7:$B$611,MATCH('3. Pollutant Emissions - EF'!C886,'DEQ Pollutant List'!$A$7:$A$611,0))),"")</f>
        <v>Toluene</v>
      </c>
      <c r="E886" s="23">
        <v>0</v>
      </c>
      <c r="F886" s="21">
        <v>0</v>
      </c>
      <c r="G886" s="23" t="s">
        <v>1415</v>
      </c>
      <c r="H886" s="21" t="s">
        <v>1415</v>
      </c>
      <c r="I886" s="34">
        <v>3.6600000000000001E-2</v>
      </c>
      <c r="J886" s="11">
        <f t="shared" si="31"/>
        <v>3.6600000000000001E-2</v>
      </c>
      <c r="K886" s="6" t="s">
        <v>1416</v>
      </c>
      <c r="L886" s="20" t="s">
        <v>1422</v>
      </c>
      <c r="M886" s="7">
        <f>IF(ISBLANK($B886),_xlfn.XLOOKUP($A886,'2. TEUs &amp; Activities - EF'!$A$9:$A$190,'2. TEUs &amp; Activities - EF'!$J$9:$J$190),_xlfn.XLOOKUP($B886,'2. TEUs &amp; Activities - EF'!$B$9:$B$190,'2. TEUs &amp; Activities - EF'!$J$9:$J$190))*'3. Pollutant Emissions - EF'!$I886*IF(OR(ISBLANK($E886),$G886="Yes"),1,$E886)*IF($H886="Yes",1,(1-$F886))</f>
        <v>0.77796529411764714</v>
      </c>
      <c r="N886" s="5">
        <f>IF(ISBLANK($B886),_xlfn.XLOOKUP($A886,'2. TEUs &amp; Activities - EF'!$A$9:$A$190,'2. TEUs &amp; Activities - EF'!$M$9:$M$190),_xlfn.XLOOKUP($B886,'2. TEUs &amp; Activities - EF'!$B$9:$B$190,'2. TEUs &amp; Activities - EF'!$M$9:$M$190))*'3. Pollutant Emissions - EF'!$J886*IF(OR(ISBLANK($E886),$G886="Yes"),1,$E886)*IF($H886="Yes",1,(1-$F886))</f>
        <v>2.1314117647058825E-3</v>
      </c>
      <c r="O886" s="130">
        <f>IFERROR(IF(OR($C886="",$C886="No CAS"),INDEX('DEQ Pollutant List'!$D$7:$D$611,MATCH($D886,'DEQ Pollutant List'!$B$7:$B$611,0)),INDEX('DEQ Pollutant List'!$D$7:$D$611,MATCH($C886,'DEQ Pollutant List'!$A$7:$A$611,0))),"")</f>
        <v>600</v>
      </c>
    </row>
    <row r="887" spans="1:15" ht="15" x14ac:dyDescent="0.25">
      <c r="A887" s="5" t="s">
        <v>1560</v>
      </c>
      <c r="B887" s="7"/>
      <c r="C887" s="13" t="s">
        <v>69</v>
      </c>
      <c r="D887" s="19" t="str">
        <f>IFERROR(IF(C887="No CAS","",INDEX('DEQ Pollutant List'!$B$7:$B$611,MATCH('3. Pollutant Emissions - EF'!C887,'DEQ Pollutant List'!$A$7:$A$611,0))),"")</f>
        <v>Vanadium (fume or dust)</v>
      </c>
      <c r="E887" s="23">
        <v>0</v>
      </c>
      <c r="F887" s="21">
        <v>0</v>
      </c>
      <c r="G887" s="23" t="s">
        <v>1415</v>
      </c>
      <c r="H887" s="21" t="s">
        <v>1415</v>
      </c>
      <c r="I887" s="34">
        <v>2.3E-3</v>
      </c>
      <c r="J887" s="11">
        <f t="shared" si="31"/>
        <v>2.3E-3</v>
      </c>
      <c r="K887" s="6" t="s">
        <v>1416</v>
      </c>
      <c r="L887" s="20" t="s">
        <v>1422</v>
      </c>
      <c r="M887" s="7">
        <f>IF(ISBLANK($B887),_xlfn.XLOOKUP($A887,'2. TEUs &amp; Activities - EF'!$A$9:$A$190,'2. TEUs &amp; Activities - EF'!$J$9:$J$190),_xlfn.XLOOKUP($B887,'2. TEUs &amp; Activities - EF'!$B$9:$B$190,'2. TEUs &amp; Activities - EF'!$J$9:$J$190))*'3. Pollutant Emissions - EF'!$I887*IF(OR(ISBLANK($E887),$G887="Yes"),1,$E887)*IF($H887="Yes",1,(1-$F887))</f>
        <v>4.8888529411764706E-2</v>
      </c>
      <c r="N887" s="5">
        <f>IF(ISBLANK($B887),_xlfn.XLOOKUP($A887,'2. TEUs &amp; Activities - EF'!$A$9:$A$190,'2. TEUs &amp; Activities - EF'!$M$9:$M$190),_xlfn.XLOOKUP($B887,'2. TEUs &amp; Activities - EF'!$B$9:$B$190,'2. TEUs &amp; Activities - EF'!$M$9:$M$190))*'3. Pollutant Emissions - EF'!$J887*IF(OR(ISBLANK($E887),$G887="Yes"),1,$E887)*IF($H887="Yes",1,(1-$F887))</f>
        <v>1.3394117647058825E-4</v>
      </c>
      <c r="O887" s="130">
        <f>IFERROR(IF(OR($C887="",$C887="No CAS"),INDEX('DEQ Pollutant List'!$D$7:$D$611,MATCH($D887,'DEQ Pollutant List'!$B$7:$B$611,0)),INDEX('DEQ Pollutant List'!$D$7:$D$611,MATCH($C887,'DEQ Pollutant List'!$A$7:$A$611,0))),"")</f>
        <v>620</v>
      </c>
    </row>
    <row r="888" spans="1:15" ht="15" x14ac:dyDescent="0.25">
      <c r="A888" s="5" t="s">
        <v>1560</v>
      </c>
      <c r="B888" s="7"/>
      <c r="C888" s="13" t="s">
        <v>70</v>
      </c>
      <c r="D888" s="19" t="str">
        <f>IFERROR(IF(C888="No CAS","",INDEX('DEQ Pollutant List'!$B$7:$B$611,MATCH('3. Pollutant Emissions - EF'!C888,'DEQ Pollutant List'!$A$7:$A$611,0))),"")</f>
        <v>Xylene (mixture), including m-xylene, o-xylene, p-xylene</v>
      </c>
      <c r="E888" s="23">
        <v>0</v>
      </c>
      <c r="F888" s="21">
        <v>0</v>
      </c>
      <c r="G888" s="23" t="s">
        <v>1415</v>
      </c>
      <c r="H888" s="21" t="s">
        <v>1415</v>
      </c>
      <c r="I888" s="34">
        <v>2.7199999999999998E-2</v>
      </c>
      <c r="J888" s="11">
        <f t="shared" si="31"/>
        <v>2.7199999999999998E-2</v>
      </c>
      <c r="K888" s="6" t="s">
        <v>1416</v>
      </c>
      <c r="L888" s="20" t="s">
        <v>1422</v>
      </c>
      <c r="M888" s="7">
        <f>IF(ISBLANK($B888),_xlfn.XLOOKUP($A888,'2. TEUs &amp; Activities - EF'!$A$9:$A$190,'2. TEUs &amp; Activities - EF'!$J$9:$J$190),_xlfn.XLOOKUP($B888,'2. TEUs &amp; Activities - EF'!$B$9:$B$190,'2. TEUs &amp; Activities - EF'!$J$9:$J$190))*'3. Pollutant Emissions - EF'!$I888*IF(OR(ISBLANK($E888),$G888="Yes"),1,$E888)*IF($H888="Yes",1,(1-$F888))</f>
        <v>0.57816000000000001</v>
      </c>
      <c r="N888" s="5">
        <f>IF(ISBLANK($B888),_xlfn.XLOOKUP($A888,'2. TEUs &amp; Activities - EF'!$A$9:$A$190,'2. TEUs &amp; Activities - EF'!$M$9:$M$190),_xlfn.XLOOKUP($B888,'2. TEUs &amp; Activities - EF'!$B$9:$B$190,'2. TEUs &amp; Activities - EF'!$M$9:$M$190))*'3. Pollutant Emissions - EF'!$J888*IF(OR(ISBLANK($E888),$G888="Yes"),1,$E888)*IF($H888="Yes",1,(1-$F888))</f>
        <v>1.5840000000000001E-3</v>
      </c>
      <c r="O888" s="130">
        <f>IFERROR(IF(OR($C888="",$C888="No CAS"),INDEX('DEQ Pollutant List'!$D$7:$D$611,MATCH($D888,'DEQ Pollutant List'!$B$7:$B$611,0)),INDEX('DEQ Pollutant List'!$D$7:$D$611,MATCH($C888,'DEQ Pollutant List'!$A$7:$A$611,0))),"")</f>
        <v>628</v>
      </c>
    </row>
    <row r="889" spans="1:15" ht="15" x14ac:dyDescent="0.25">
      <c r="A889" s="5" t="s">
        <v>1560</v>
      </c>
      <c r="B889" s="7"/>
      <c r="C889" s="13" t="s">
        <v>71</v>
      </c>
      <c r="D889" s="19" t="str">
        <f>IFERROR(IF(C889="No CAS","",INDEX('DEQ Pollutant List'!$B$7:$B$611,MATCH('3. Pollutant Emissions - EF'!C889,'DEQ Pollutant List'!$A$7:$A$611,0))),"")</f>
        <v>Zinc and compounds</v>
      </c>
      <c r="E889" s="23">
        <v>0</v>
      </c>
      <c r="F889" s="21">
        <v>0</v>
      </c>
      <c r="G889" s="23" t="s">
        <v>1415</v>
      </c>
      <c r="H889" s="21" t="s">
        <v>1415</v>
      </c>
      <c r="I889" s="34">
        <v>2.9000000000000001E-2</v>
      </c>
      <c r="J889" s="11">
        <f t="shared" si="31"/>
        <v>2.9000000000000001E-2</v>
      </c>
      <c r="K889" s="6" t="s">
        <v>1416</v>
      </c>
      <c r="L889" s="20" t="s">
        <v>1422</v>
      </c>
      <c r="M889" s="7">
        <f>IF(ISBLANK($B889),_xlfn.XLOOKUP($A889,'2. TEUs &amp; Activities - EF'!$A$9:$A$190,'2. TEUs &amp; Activities - EF'!$J$9:$J$190),_xlfn.XLOOKUP($B889,'2. TEUs &amp; Activities - EF'!$B$9:$B$190,'2. TEUs &amp; Activities - EF'!$J$9:$J$190))*'3. Pollutant Emissions - EF'!$I889*IF(OR(ISBLANK($E889),$G889="Yes"),1,$E889)*IF($H889="Yes",1,(1-$F889))</f>
        <v>0.61642058823529422</v>
      </c>
      <c r="N889" s="5">
        <f>IF(ISBLANK($B889),_xlfn.XLOOKUP($A889,'2. TEUs &amp; Activities - EF'!$A$9:$A$190,'2. TEUs &amp; Activities - EF'!$M$9:$M$190),_xlfn.XLOOKUP($B889,'2. TEUs &amp; Activities - EF'!$B$9:$B$190,'2. TEUs &amp; Activities - EF'!$M$9:$M$190))*'3. Pollutant Emissions - EF'!$J889*IF(OR(ISBLANK($E889),$G889="Yes"),1,$E889)*IF($H889="Yes",1,(1-$F889))</f>
        <v>1.688823529411765E-3</v>
      </c>
      <c r="O889" s="130">
        <f>IFERROR(IF(OR($C889="",$C889="No CAS"),INDEX('DEQ Pollutant List'!$D$7:$D$611,MATCH($D889,'DEQ Pollutant List'!$B$7:$B$611,0)),INDEX('DEQ Pollutant List'!$D$7:$D$611,MATCH($C889,'DEQ Pollutant List'!$A$7:$A$611,0))),"")</f>
        <v>632</v>
      </c>
    </row>
    <row r="890" spans="1:15" ht="15" x14ac:dyDescent="0.25">
      <c r="A890" s="5"/>
      <c r="B890" s="7"/>
      <c r="C890" s="13"/>
      <c r="D890" s="19" t="str">
        <f>IFERROR(IF(C890="No CAS","",INDEX('DEQ Pollutant List'!$B$7:$B$611,MATCH('3. Pollutant Emissions - EF'!C890,'DEQ Pollutant List'!$A$7:$A$611,0))),"")</f>
        <v/>
      </c>
      <c r="E890" s="23"/>
      <c r="F890" s="21"/>
      <c r="G890" s="23"/>
      <c r="H890" s="21"/>
      <c r="I890" s="34"/>
      <c r="J890" s="11"/>
      <c r="K890" s="6"/>
      <c r="L890" s="20"/>
      <c r="M890" s="7">
        <f>IF(ISBLANK($B890),_xlfn.XLOOKUP($A890,'2. TEUs &amp; Activities - EF'!$A$9:$A$190,'2. TEUs &amp; Activities - EF'!$J$9:$J$190),_xlfn.XLOOKUP($B890,'2. TEUs &amp; Activities - EF'!$B$9:$B$190,'2. TEUs &amp; Activities - EF'!$J$9:$J$190))*'3. Pollutant Emissions - EF'!$I890*IF(OR(ISBLANK($E890),$G890="Yes"),1,$E890)*IF($H890="Yes",1,(1-$F890))</f>
        <v>0</v>
      </c>
      <c r="N890" s="5">
        <f>IF(ISBLANK($B890),_xlfn.XLOOKUP($A890,'2. TEUs &amp; Activities - EF'!$A$9:$A$190,'2. TEUs &amp; Activities - EF'!$M$9:$M$190),_xlfn.XLOOKUP($B890,'2. TEUs &amp; Activities - EF'!$B$9:$B$190,'2. TEUs &amp; Activities - EF'!$M$9:$M$190))*'3. Pollutant Emissions - EF'!$J890*IF(OR(ISBLANK($E890),$G890="Yes"),1,$E890)*IF($H890="Yes",1,(1-$F890))</f>
        <v>0</v>
      </c>
      <c r="O890" s="130" t="str">
        <f>IFERROR(IF(OR($C890="",$C890="No CAS"),INDEX('DEQ Pollutant List'!$D$7:$D$611,MATCH($D890,'DEQ Pollutant List'!$B$7:$B$611,0)),INDEX('DEQ Pollutant List'!$D$7:$D$611,MATCH($C890,'DEQ Pollutant List'!$A$7:$A$611,0))),"")</f>
        <v/>
      </c>
    </row>
    <row r="891" spans="1:15" ht="15" x14ac:dyDescent="0.25">
      <c r="A891" s="5" t="s">
        <v>1561</v>
      </c>
      <c r="B891" s="7"/>
      <c r="C891" s="13" t="s">
        <v>50</v>
      </c>
      <c r="D891" s="19" t="str">
        <f>IFERROR(IF(C891="No CAS","",INDEX('DEQ Pollutant List'!$B$7:$B$611,MATCH('3. Pollutant Emissions - EF'!C891,'DEQ Pollutant List'!$A$7:$A$611,0))),"")</f>
        <v>Acetaldehyde</v>
      </c>
      <c r="E891" s="23">
        <v>0</v>
      </c>
      <c r="F891" s="21">
        <v>0</v>
      </c>
      <c r="G891" s="23" t="s">
        <v>1415</v>
      </c>
      <c r="H891" s="21" t="s">
        <v>1415</v>
      </c>
      <c r="I891" s="34">
        <v>4.3E-3</v>
      </c>
      <c r="J891" s="11">
        <f t="shared" ref="J891:J916" si="32">I891</f>
        <v>4.3E-3</v>
      </c>
      <c r="K891" s="6" t="s">
        <v>1416</v>
      </c>
      <c r="L891" s="20" t="s">
        <v>1422</v>
      </c>
      <c r="M891" s="7">
        <f>IF(ISBLANK($B891),_xlfn.XLOOKUP($A891,'2. TEUs &amp; Activities - EF'!$A$9:$A$190,'2. TEUs &amp; Activities - EF'!$J$9:$J$190),_xlfn.XLOOKUP($B891,'2. TEUs &amp; Activities - EF'!$B$9:$B$190,'2. TEUs &amp; Activities - EF'!$J$9:$J$190))*'3. Pollutant Emissions - EF'!$I891*IF(OR(ISBLANK($E891),$G891="Yes"),1,$E891)*IF($H891="Yes",1,(1-$F891))</f>
        <v>9.1400294117647066E-2</v>
      </c>
      <c r="N891" s="5">
        <f>IF(ISBLANK($B891),_xlfn.XLOOKUP($A891,'2. TEUs &amp; Activities - EF'!$A$9:$A$190,'2. TEUs &amp; Activities - EF'!$M$9:$M$190),_xlfn.XLOOKUP($B891,'2. TEUs &amp; Activities - EF'!$B$9:$B$190,'2. TEUs &amp; Activities - EF'!$M$9:$M$190))*'3. Pollutant Emissions - EF'!$J891*IF(OR(ISBLANK($E891),$G891="Yes"),1,$E891)*IF($H891="Yes",1,(1-$F891))</f>
        <v>2.5041176470588236E-4</v>
      </c>
      <c r="O891" s="130">
        <f>IFERROR(IF(OR($C891="",$C891="No CAS"),INDEX('DEQ Pollutant List'!$D$7:$D$611,MATCH($D891,'DEQ Pollutant List'!$B$7:$B$611,0)),INDEX('DEQ Pollutant List'!$D$7:$D$611,MATCH($C891,'DEQ Pollutant List'!$A$7:$A$611,0))),"")</f>
        <v>1</v>
      </c>
    </row>
    <row r="892" spans="1:15" ht="15" x14ac:dyDescent="0.25">
      <c r="A892" s="5" t="s">
        <v>1561</v>
      </c>
      <c r="B892" s="7"/>
      <c r="C892" s="172" t="s">
        <v>51</v>
      </c>
      <c r="D892" s="19" t="str">
        <f>IFERROR(IF(C892="No CAS","",INDEX('DEQ Pollutant List'!$B$7:$B$611,MATCH('3. Pollutant Emissions - EF'!C892,'DEQ Pollutant List'!$A$7:$A$611,0))),"")</f>
        <v>Acrolein</v>
      </c>
      <c r="E892" s="23">
        <v>0</v>
      </c>
      <c r="F892" s="21">
        <v>0</v>
      </c>
      <c r="G892" s="23" t="s">
        <v>1415</v>
      </c>
      <c r="H892" s="21" t="s">
        <v>1415</v>
      </c>
      <c r="I892" s="173">
        <v>2.7000000000000001E-3</v>
      </c>
      <c r="J892" s="11">
        <f t="shared" si="32"/>
        <v>2.7000000000000001E-3</v>
      </c>
      <c r="K892" s="6" t="s">
        <v>1416</v>
      </c>
      <c r="L892" s="20" t="s">
        <v>1422</v>
      </c>
      <c r="M892" s="7">
        <f>IF(ISBLANK($B892),_xlfn.XLOOKUP($A892,'2. TEUs &amp; Activities - EF'!$A$9:$A$190,'2. TEUs &amp; Activities - EF'!$J$9:$J$190),_xlfn.XLOOKUP($B892,'2. TEUs &amp; Activities - EF'!$B$9:$B$190,'2. TEUs &amp; Activities - EF'!$J$9:$J$190))*'3. Pollutant Emissions - EF'!$I892*IF(OR(ISBLANK($E892),$G892="Yes"),1,$E892)*IF($H892="Yes",1,(1-$F892))</f>
        <v>5.7390882352941187E-2</v>
      </c>
      <c r="N892" s="5">
        <f>IF(ISBLANK($B892),_xlfn.XLOOKUP($A892,'2. TEUs &amp; Activities - EF'!$A$9:$A$190,'2. TEUs &amp; Activities - EF'!$M$9:$M$190),_xlfn.XLOOKUP($B892,'2. TEUs &amp; Activities - EF'!$B$9:$B$190,'2. TEUs &amp; Activities - EF'!$M$9:$M$190))*'3. Pollutant Emissions - EF'!$J892*IF(OR(ISBLANK($E892),$G892="Yes"),1,$E892)*IF($H892="Yes",1,(1-$F892))</f>
        <v>1.5723529411764707E-4</v>
      </c>
      <c r="O892" s="130">
        <f>IFERROR(IF(OR($C892="",$C892="No CAS"),INDEX('DEQ Pollutant List'!$D$7:$D$611,MATCH($D892,'DEQ Pollutant List'!$B$7:$B$611,0)),INDEX('DEQ Pollutant List'!$D$7:$D$611,MATCH($C892,'DEQ Pollutant List'!$A$7:$A$611,0))),"")</f>
        <v>5</v>
      </c>
    </row>
    <row r="893" spans="1:15" ht="15" x14ac:dyDescent="0.25">
      <c r="A893" s="5" t="s">
        <v>1561</v>
      </c>
      <c r="B893" s="7"/>
      <c r="C893" s="172" t="s">
        <v>52</v>
      </c>
      <c r="D893" s="19" t="str">
        <f>IFERROR(IF(C893="No CAS","",INDEX('DEQ Pollutant List'!$B$7:$B$611,MATCH('3. Pollutant Emissions - EF'!C893,'DEQ Pollutant List'!$A$7:$A$611,0))),"")</f>
        <v>Ammonia</v>
      </c>
      <c r="E893" s="23">
        <v>0</v>
      </c>
      <c r="F893" s="21">
        <v>0</v>
      </c>
      <c r="G893" s="23" t="s">
        <v>1415</v>
      </c>
      <c r="H893" s="21" t="s">
        <v>1415</v>
      </c>
      <c r="I893" s="173">
        <v>3.2</v>
      </c>
      <c r="J893" s="11">
        <f t="shared" si="32"/>
        <v>3.2</v>
      </c>
      <c r="K893" s="6" t="s">
        <v>1416</v>
      </c>
      <c r="L893" s="20" t="s">
        <v>1586</v>
      </c>
      <c r="M893" s="7">
        <f>IF(ISBLANK($B893),_xlfn.XLOOKUP($A893,'2. TEUs &amp; Activities - EF'!$A$9:$A$190,'2. TEUs &amp; Activities - EF'!$J$9:$J$190),_xlfn.XLOOKUP($B893,'2. TEUs &amp; Activities - EF'!$B$9:$B$190,'2. TEUs &amp; Activities - EF'!$J$9:$J$190))*'3. Pollutant Emissions - EF'!$I893*IF(OR(ISBLANK($E893),$G893="Yes"),1,$E893)*IF($H893="Yes",1,(1-$F893))</f>
        <v>68.018823529411776</v>
      </c>
      <c r="N893" s="5">
        <f>IF(ISBLANK($B893),_xlfn.XLOOKUP($A893,'2. TEUs &amp; Activities - EF'!$A$9:$A$190,'2. TEUs &amp; Activities - EF'!$M$9:$M$190),_xlfn.XLOOKUP($B893,'2. TEUs &amp; Activities - EF'!$B$9:$B$190,'2. TEUs &amp; Activities - EF'!$M$9:$M$190))*'3. Pollutant Emissions - EF'!$J893*IF(OR(ISBLANK($E893),$G893="Yes"),1,$E893)*IF($H893="Yes",1,(1-$F893))</f>
        <v>0.18635294117647061</v>
      </c>
      <c r="O893" s="130">
        <f>IFERROR(IF(OR($C893="",$C893="No CAS"),INDEX('DEQ Pollutant List'!$D$7:$D$611,MATCH($D893,'DEQ Pollutant List'!$B$7:$B$611,0)),INDEX('DEQ Pollutant List'!$D$7:$D$611,MATCH($C893,'DEQ Pollutant List'!$A$7:$A$611,0))),"")</f>
        <v>26</v>
      </c>
    </row>
    <row r="894" spans="1:15" ht="15" x14ac:dyDescent="0.25">
      <c r="A894" s="5" t="s">
        <v>1561</v>
      </c>
      <c r="B894" s="7"/>
      <c r="C894" s="172" t="s">
        <v>53</v>
      </c>
      <c r="D894" s="19" t="str">
        <f>IFERROR(IF(C894="No CAS","",INDEX('DEQ Pollutant List'!$B$7:$B$611,MATCH('3. Pollutant Emissions - EF'!C894,'DEQ Pollutant List'!$A$7:$A$611,0))),"")</f>
        <v>Arsenic and compounds</v>
      </c>
      <c r="E894" s="23">
        <v>0</v>
      </c>
      <c r="F894" s="21">
        <v>0</v>
      </c>
      <c r="G894" s="23" t="s">
        <v>1415</v>
      </c>
      <c r="H894" s="21" t="s">
        <v>1415</v>
      </c>
      <c r="I894" s="173">
        <v>2.0000000000000001E-4</v>
      </c>
      <c r="J894" s="11">
        <f t="shared" si="32"/>
        <v>2.0000000000000001E-4</v>
      </c>
      <c r="K894" s="6" t="s">
        <v>1416</v>
      </c>
      <c r="L894" s="20" t="s">
        <v>1422</v>
      </c>
      <c r="M894" s="7">
        <f>IF(ISBLANK($B894),_xlfn.XLOOKUP($A894,'2. TEUs &amp; Activities - EF'!$A$9:$A$190,'2. TEUs &amp; Activities - EF'!$J$9:$J$190),_xlfn.XLOOKUP($B894,'2. TEUs &amp; Activities - EF'!$B$9:$B$190,'2. TEUs &amp; Activities - EF'!$J$9:$J$190))*'3. Pollutant Emissions - EF'!$I894*IF(OR(ISBLANK($E894),$G894="Yes"),1,$E894)*IF($H894="Yes",1,(1-$F894))</f>
        <v>4.2511764705882357E-3</v>
      </c>
      <c r="N894" s="5">
        <f>IF(ISBLANK($B894),_xlfn.XLOOKUP($A894,'2. TEUs &amp; Activities - EF'!$A$9:$A$190,'2. TEUs &amp; Activities - EF'!$M$9:$M$190),_xlfn.XLOOKUP($B894,'2. TEUs &amp; Activities - EF'!$B$9:$B$190,'2. TEUs &amp; Activities - EF'!$M$9:$M$190))*'3. Pollutant Emissions - EF'!$J894*IF(OR(ISBLANK($E894),$G894="Yes"),1,$E894)*IF($H894="Yes",1,(1-$F894))</f>
        <v>1.1647058823529413E-5</v>
      </c>
      <c r="O894" s="130">
        <f>IFERROR(IF(OR($C894="",$C894="No CAS"),INDEX('DEQ Pollutant List'!$D$7:$D$611,MATCH($D894,'DEQ Pollutant List'!$B$7:$B$611,0)),INDEX('DEQ Pollutant List'!$D$7:$D$611,MATCH($C894,'DEQ Pollutant List'!$A$7:$A$611,0))),"")</f>
        <v>37</v>
      </c>
    </row>
    <row r="895" spans="1:15" ht="15" x14ac:dyDescent="0.25">
      <c r="A895" s="5" t="s">
        <v>1561</v>
      </c>
      <c r="B895" s="7"/>
      <c r="C895" s="172" t="s">
        <v>54</v>
      </c>
      <c r="D895" s="19" t="str">
        <f>IFERROR(IF(C895="No CAS","",INDEX('DEQ Pollutant List'!$B$7:$B$611,MATCH('3. Pollutant Emissions - EF'!C895,'DEQ Pollutant List'!$A$7:$A$611,0))),"")</f>
        <v>Barium and compounds</v>
      </c>
      <c r="E895" s="23">
        <v>0</v>
      </c>
      <c r="F895" s="21">
        <v>0</v>
      </c>
      <c r="G895" s="23" t="s">
        <v>1415</v>
      </c>
      <c r="H895" s="21" t="s">
        <v>1415</v>
      </c>
      <c r="I895" s="173">
        <v>4.4000000000000003E-3</v>
      </c>
      <c r="J895" s="11">
        <f t="shared" si="32"/>
        <v>4.4000000000000003E-3</v>
      </c>
      <c r="K895" s="6" t="s">
        <v>1416</v>
      </c>
      <c r="L895" s="20" t="s">
        <v>1422</v>
      </c>
      <c r="M895" s="7">
        <f>IF(ISBLANK($B895),_xlfn.XLOOKUP($A895,'2. TEUs &amp; Activities - EF'!$A$9:$A$190,'2. TEUs &amp; Activities - EF'!$J$9:$J$190),_xlfn.XLOOKUP($B895,'2. TEUs &amp; Activities - EF'!$B$9:$B$190,'2. TEUs &amp; Activities - EF'!$J$9:$J$190))*'3. Pollutant Emissions - EF'!$I895*IF(OR(ISBLANK($E895),$G895="Yes"),1,$E895)*IF($H895="Yes",1,(1-$F895))</f>
        <v>9.3525882352941195E-2</v>
      </c>
      <c r="N895" s="5">
        <f>IF(ISBLANK($B895),_xlfn.XLOOKUP($A895,'2. TEUs &amp; Activities - EF'!$A$9:$A$190,'2. TEUs &amp; Activities - EF'!$M$9:$M$190),_xlfn.XLOOKUP($B895,'2. TEUs &amp; Activities - EF'!$B$9:$B$190,'2. TEUs &amp; Activities - EF'!$M$9:$M$190))*'3. Pollutant Emissions - EF'!$J895*IF(OR(ISBLANK($E895),$G895="Yes"),1,$E895)*IF($H895="Yes",1,(1-$F895))</f>
        <v>2.5623529411764712E-4</v>
      </c>
      <c r="O895" s="130">
        <f>IFERROR(IF(OR($C895="",$C895="No CAS"),INDEX('DEQ Pollutant List'!$D$7:$D$611,MATCH($D895,'DEQ Pollutant List'!$B$7:$B$611,0)),INDEX('DEQ Pollutant List'!$D$7:$D$611,MATCH($C895,'DEQ Pollutant List'!$A$7:$A$611,0))),"")</f>
        <v>45</v>
      </c>
    </row>
    <row r="896" spans="1:15" ht="15" x14ac:dyDescent="0.25">
      <c r="A896" s="5" t="s">
        <v>1561</v>
      </c>
      <c r="B896" s="7"/>
      <c r="C896" s="172" t="s">
        <v>46</v>
      </c>
      <c r="D896" s="19" t="str">
        <f>IFERROR(IF(C896="No CAS","",INDEX('DEQ Pollutant List'!$B$7:$B$611,MATCH('3. Pollutant Emissions - EF'!C896,'DEQ Pollutant List'!$A$7:$A$611,0))),"")</f>
        <v>Benzene</v>
      </c>
      <c r="E896" s="23">
        <v>0</v>
      </c>
      <c r="F896" s="21">
        <v>0</v>
      </c>
      <c r="G896" s="23" t="s">
        <v>1415</v>
      </c>
      <c r="H896" s="21" t="s">
        <v>1415</v>
      </c>
      <c r="I896" s="173">
        <v>8.0000000000000002E-3</v>
      </c>
      <c r="J896" s="11">
        <f t="shared" si="32"/>
        <v>8.0000000000000002E-3</v>
      </c>
      <c r="K896" s="6" t="s">
        <v>1416</v>
      </c>
      <c r="L896" s="20" t="s">
        <v>1422</v>
      </c>
      <c r="M896" s="7">
        <f>IF(ISBLANK($B896),_xlfn.XLOOKUP($A896,'2. TEUs &amp; Activities - EF'!$A$9:$A$190,'2. TEUs &amp; Activities - EF'!$J$9:$J$190),_xlfn.XLOOKUP($B896,'2. TEUs &amp; Activities - EF'!$B$9:$B$190,'2. TEUs &amp; Activities - EF'!$J$9:$J$190))*'3. Pollutant Emissions - EF'!$I896*IF(OR(ISBLANK($E896),$G896="Yes"),1,$E896)*IF($H896="Yes",1,(1-$F896))</f>
        <v>0.17004705882352944</v>
      </c>
      <c r="N896" s="5">
        <f>IF(ISBLANK($B896),_xlfn.XLOOKUP($A896,'2. TEUs &amp; Activities - EF'!$A$9:$A$190,'2. TEUs &amp; Activities - EF'!$M$9:$M$190),_xlfn.XLOOKUP($B896,'2. TEUs &amp; Activities - EF'!$B$9:$B$190,'2. TEUs &amp; Activities - EF'!$M$9:$M$190))*'3. Pollutant Emissions - EF'!$J896*IF(OR(ISBLANK($E896),$G896="Yes"),1,$E896)*IF($H896="Yes",1,(1-$F896))</f>
        <v>4.6588235294117654E-4</v>
      </c>
      <c r="O896" s="130">
        <f>IFERROR(IF(OR($C896="",$C896="No CAS"),INDEX('DEQ Pollutant List'!$D$7:$D$611,MATCH($D896,'DEQ Pollutant List'!$B$7:$B$611,0)),INDEX('DEQ Pollutant List'!$D$7:$D$611,MATCH($C896,'DEQ Pollutant List'!$A$7:$A$611,0))),"")</f>
        <v>46</v>
      </c>
    </row>
    <row r="897" spans="1:15" ht="15" x14ac:dyDescent="0.25">
      <c r="A897" s="5" t="s">
        <v>1561</v>
      </c>
      <c r="B897" s="7"/>
      <c r="C897" s="172" t="s">
        <v>55</v>
      </c>
      <c r="D897" s="19" t="str">
        <f>IFERROR(IF(C897="No CAS","",INDEX('DEQ Pollutant List'!$B$7:$B$611,MATCH('3. Pollutant Emissions - EF'!C897,'DEQ Pollutant List'!$A$7:$A$611,0))),"")</f>
        <v>Beryllium and compounds</v>
      </c>
      <c r="E897" s="23">
        <v>0</v>
      </c>
      <c r="F897" s="21">
        <v>0</v>
      </c>
      <c r="G897" s="23" t="s">
        <v>1415</v>
      </c>
      <c r="H897" s="21" t="s">
        <v>1415</v>
      </c>
      <c r="I897" s="173">
        <v>1.2E-5</v>
      </c>
      <c r="J897" s="11">
        <f t="shared" si="32"/>
        <v>1.2E-5</v>
      </c>
      <c r="K897" s="6" t="s">
        <v>1416</v>
      </c>
      <c r="L897" s="20" t="s">
        <v>1422</v>
      </c>
      <c r="M897" s="7">
        <f>IF(ISBLANK($B897),_xlfn.XLOOKUP($A897,'2. TEUs &amp; Activities - EF'!$A$9:$A$190,'2. TEUs &amp; Activities - EF'!$J$9:$J$190),_xlfn.XLOOKUP($B897,'2. TEUs &amp; Activities - EF'!$B$9:$B$190,'2. TEUs &amp; Activities - EF'!$J$9:$J$190))*'3. Pollutant Emissions - EF'!$I897*IF(OR(ISBLANK($E897),$G897="Yes"),1,$E897)*IF($H897="Yes",1,(1-$F897))</f>
        <v>2.5507058823529417E-4</v>
      </c>
      <c r="N897" s="5">
        <f>IF(ISBLANK($B897),_xlfn.XLOOKUP($A897,'2. TEUs &amp; Activities - EF'!$A$9:$A$190,'2. TEUs &amp; Activities - EF'!$M$9:$M$190),_xlfn.XLOOKUP($B897,'2. TEUs &amp; Activities - EF'!$B$9:$B$190,'2. TEUs &amp; Activities - EF'!$M$9:$M$190))*'3. Pollutant Emissions - EF'!$J897*IF(OR(ISBLANK($E897),$G897="Yes"),1,$E897)*IF($H897="Yes",1,(1-$F897))</f>
        <v>6.9882352941176484E-7</v>
      </c>
      <c r="O897" s="130">
        <f>IFERROR(IF(OR($C897="",$C897="No CAS"),INDEX('DEQ Pollutant List'!$D$7:$D$611,MATCH($D897,'DEQ Pollutant List'!$B$7:$B$611,0)),INDEX('DEQ Pollutant List'!$D$7:$D$611,MATCH($C897,'DEQ Pollutant List'!$A$7:$A$611,0))),"")</f>
        <v>58</v>
      </c>
    </row>
    <row r="898" spans="1:15" ht="15" x14ac:dyDescent="0.25">
      <c r="A898" s="5" t="s">
        <v>1561</v>
      </c>
      <c r="B898" s="7"/>
      <c r="C898" s="172" t="s">
        <v>56</v>
      </c>
      <c r="D898" s="19" t="str">
        <f>IFERROR(IF(C898="No CAS","",INDEX('DEQ Pollutant List'!$B$7:$B$611,MATCH('3. Pollutant Emissions - EF'!C898,'DEQ Pollutant List'!$A$7:$A$611,0))),"")</f>
        <v>Cadmium and compounds</v>
      </c>
      <c r="E898" s="23">
        <v>0</v>
      </c>
      <c r="F898" s="21">
        <v>0</v>
      </c>
      <c r="G898" s="23" t="s">
        <v>1415</v>
      </c>
      <c r="H898" s="21" t="s">
        <v>1415</v>
      </c>
      <c r="I898" s="173">
        <v>1.1000000000000001E-3</v>
      </c>
      <c r="J898" s="11">
        <f t="shared" si="32"/>
        <v>1.1000000000000001E-3</v>
      </c>
      <c r="K898" s="6" t="s">
        <v>1416</v>
      </c>
      <c r="L898" s="20" t="s">
        <v>1422</v>
      </c>
      <c r="M898" s="7">
        <f>IF(ISBLANK($B898),_xlfn.XLOOKUP($A898,'2. TEUs &amp; Activities - EF'!$A$9:$A$190,'2. TEUs &amp; Activities - EF'!$J$9:$J$190),_xlfn.XLOOKUP($B898,'2. TEUs &amp; Activities - EF'!$B$9:$B$190,'2. TEUs &amp; Activities - EF'!$J$9:$J$190))*'3. Pollutant Emissions - EF'!$I898*IF(OR(ISBLANK($E898),$G898="Yes"),1,$E898)*IF($H898="Yes",1,(1-$F898))</f>
        <v>2.3381470588235299E-2</v>
      </c>
      <c r="N898" s="5">
        <f>IF(ISBLANK($B898),_xlfn.XLOOKUP($A898,'2. TEUs &amp; Activities - EF'!$A$9:$A$190,'2. TEUs &amp; Activities - EF'!$M$9:$M$190),_xlfn.XLOOKUP($B898,'2. TEUs &amp; Activities - EF'!$B$9:$B$190,'2. TEUs &amp; Activities - EF'!$M$9:$M$190))*'3. Pollutant Emissions - EF'!$J898*IF(OR(ISBLANK($E898),$G898="Yes"),1,$E898)*IF($H898="Yes",1,(1-$F898))</f>
        <v>6.4058823529411781E-5</v>
      </c>
      <c r="O898" s="130">
        <f>IFERROR(IF(OR($C898="",$C898="No CAS"),INDEX('DEQ Pollutant List'!$D$7:$D$611,MATCH($D898,'DEQ Pollutant List'!$B$7:$B$611,0)),INDEX('DEQ Pollutant List'!$D$7:$D$611,MATCH($C898,'DEQ Pollutant List'!$A$7:$A$611,0))),"")</f>
        <v>83</v>
      </c>
    </row>
    <row r="899" spans="1:15" ht="15" x14ac:dyDescent="0.25">
      <c r="A899" s="5" t="s">
        <v>1561</v>
      </c>
      <c r="B899" s="7"/>
      <c r="C899" s="172" t="s">
        <v>57</v>
      </c>
      <c r="D899" s="19" t="str">
        <f>IFERROR(IF(C899="No CAS","",INDEX('DEQ Pollutant List'!$B$7:$B$611,MATCH('3. Pollutant Emissions - EF'!C899,'DEQ Pollutant List'!$A$7:$A$611,0))),"")</f>
        <v>Chromium VI, chromate and dichromate particulate</v>
      </c>
      <c r="E899" s="23">
        <v>0</v>
      </c>
      <c r="F899" s="21">
        <v>0</v>
      </c>
      <c r="G899" s="23" t="s">
        <v>1415</v>
      </c>
      <c r="H899" s="21" t="s">
        <v>1415</v>
      </c>
      <c r="I899" s="173">
        <v>1.4E-3</v>
      </c>
      <c r="J899" s="11">
        <f t="shared" si="32"/>
        <v>1.4E-3</v>
      </c>
      <c r="K899" s="6" t="s">
        <v>1416</v>
      </c>
      <c r="L899" s="20" t="s">
        <v>1422</v>
      </c>
      <c r="M899" s="7">
        <f>IF(ISBLANK($B899),_xlfn.XLOOKUP($A899,'2. TEUs &amp; Activities - EF'!$A$9:$A$190,'2. TEUs &amp; Activities - EF'!$J$9:$J$190),_xlfn.XLOOKUP($B899,'2. TEUs &amp; Activities - EF'!$B$9:$B$190,'2. TEUs &amp; Activities - EF'!$J$9:$J$190))*'3. Pollutant Emissions - EF'!$I899*IF(OR(ISBLANK($E899),$G899="Yes"),1,$E899)*IF($H899="Yes",1,(1-$F899))</f>
        <v>2.9758235294117648E-2</v>
      </c>
      <c r="N899" s="5">
        <f>IF(ISBLANK($B899),_xlfn.XLOOKUP($A899,'2. TEUs &amp; Activities - EF'!$A$9:$A$190,'2. TEUs &amp; Activities - EF'!$M$9:$M$190),_xlfn.XLOOKUP($B899,'2. TEUs &amp; Activities - EF'!$B$9:$B$190,'2. TEUs &amp; Activities - EF'!$M$9:$M$190))*'3. Pollutant Emissions - EF'!$J899*IF(OR(ISBLANK($E899),$G899="Yes"),1,$E899)*IF($H899="Yes",1,(1-$F899))</f>
        <v>8.1529411764705894E-5</v>
      </c>
      <c r="O899" s="130">
        <f>IFERROR(IF(OR($C899="",$C899="No CAS"),INDEX('DEQ Pollutant List'!$D$7:$D$611,MATCH($D899,'DEQ Pollutant List'!$B$7:$B$611,0)),INDEX('DEQ Pollutant List'!$D$7:$D$611,MATCH($C899,'DEQ Pollutant List'!$A$7:$A$611,0))),"")</f>
        <v>136</v>
      </c>
    </row>
    <row r="900" spans="1:15" ht="15" x14ac:dyDescent="0.25">
      <c r="A900" s="5" t="s">
        <v>1561</v>
      </c>
      <c r="B900" s="7"/>
      <c r="C900" s="172" t="s">
        <v>58</v>
      </c>
      <c r="D900" s="19" t="str">
        <f>IFERROR(IF(C900="No CAS","",INDEX('DEQ Pollutant List'!$B$7:$B$611,MATCH('3. Pollutant Emissions - EF'!C900,'DEQ Pollutant List'!$A$7:$A$611,0))),"")</f>
        <v>Cobalt and compounds</v>
      </c>
      <c r="E900" s="23">
        <v>0</v>
      </c>
      <c r="F900" s="21">
        <v>0</v>
      </c>
      <c r="G900" s="23" t="s">
        <v>1415</v>
      </c>
      <c r="H900" s="21" t="s">
        <v>1415</v>
      </c>
      <c r="I900" s="173">
        <v>8.3999999999999995E-5</v>
      </c>
      <c r="J900" s="11">
        <f t="shared" si="32"/>
        <v>8.3999999999999995E-5</v>
      </c>
      <c r="K900" s="6" t="s">
        <v>1416</v>
      </c>
      <c r="L900" s="20" t="s">
        <v>1422</v>
      </c>
      <c r="M900" s="7">
        <f>IF(ISBLANK($B900),_xlfn.XLOOKUP($A900,'2. TEUs &amp; Activities - EF'!$A$9:$A$190,'2. TEUs &amp; Activities - EF'!$J$9:$J$190),_xlfn.XLOOKUP($B900,'2. TEUs &amp; Activities - EF'!$B$9:$B$190,'2. TEUs &amp; Activities - EF'!$J$9:$J$190))*'3. Pollutant Emissions - EF'!$I900*IF(OR(ISBLANK($E900),$G900="Yes"),1,$E900)*IF($H900="Yes",1,(1-$F900))</f>
        <v>1.7854941176470589E-3</v>
      </c>
      <c r="N900" s="5">
        <f>IF(ISBLANK($B900),_xlfn.XLOOKUP($A900,'2. TEUs &amp; Activities - EF'!$A$9:$A$190,'2. TEUs &amp; Activities - EF'!$M$9:$M$190),_xlfn.XLOOKUP($B900,'2. TEUs &amp; Activities - EF'!$B$9:$B$190,'2. TEUs &amp; Activities - EF'!$M$9:$M$190))*'3. Pollutant Emissions - EF'!$J900*IF(OR(ISBLANK($E900),$G900="Yes"),1,$E900)*IF($H900="Yes",1,(1-$F900))</f>
        <v>4.891764705882353E-6</v>
      </c>
      <c r="O900" s="130">
        <f>IFERROR(IF(OR($C900="",$C900="No CAS"),INDEX('DEQ Pollutant List'!$D$7:$D$611,MATCH($D900,'DEQ Pollutant List'!$B$7:$B$611,0)),INDEX('DEQ Pollutant List'!$D$7:$D$611,MATCH($C900,'DEQ Pollutant List'!$A$7:$A$611,0))),"")</f>
        <v>146</v>
      </c>
    </row>
    <row r="901" spans="1:15" ht="15" x14ac:dyDescent="0.25">
      <c r="A901" s="5" t="s">
        <v>1561</v>
      </c>
      <c r="B901" s="7"/>
      <c r="C901" s="172" t="s">
        <v>59</v>
      </c>
      <c r="D901" s="19" t="str">
        <f>IFERROR(IF(C901="No CAS","",INDEX('DEQ Pollutant List'!$B$7:$B$611,MATCH('3. Pollutant Emissions - EF'!C901,'DEQ Pollutant List'!$A$7:$A$611,0))),"")</f>
        <v>Copper and compounds</v>
      </c>
      <c r="E901" s="23">
        <v>0</v>
      </c>
      <c r="F901" s="21">
        <v>0</v>
      </c>
      <c r="G901" s="23" t="s">
        <v>1415</v>
      </c>
      <c r="H901" s="21" t="s">
        <v>1415</v>
      </c>
      <c r="I901" s="173">
        <v>8.4999999999999995E-4</v>
      </c>
      <c r="J901" s="11">
        <f t="shared" si="32"/>
        <v>8.4999999999999995E-4</v>
      </c>
      <c r="K901" s="6" t="s">
        <v>1416</v>
      </c>
      <c r="L901" s="20" t="s">
        <v>1422</v>
      </c>
      <c r="M901" s="7">
        <f>IF(ISBLANK($B901),_xlfn.XLOOKUP($A901,'2. TEUs &amp; Activities - EF'!$A$9:$A$190,'2. TEUs &amp; Activities - EF'!$J$9:$J$190),_xlfn.XLOOKUP($B901,'2. TEUs &amp; Activities - EF'!$B$9:$B$190,'2. TEUs &amp; Activities - EF'!$J$9:$J$190))*'3. Pollutant Emissions - EF'!$I901*IF(OR(ISBLANK($E901),$G901="Yes"),1,$E901)*IF($H901="Yes",1,(1-$F901))</f>
        <v>1.80675E-2</v>
      </c>
      <c r="N901" s="5">
        <f>IF(ISBLANK($B901),_xlfn.XLOOKUP($A901,'2. TEUs &amp; Activities - EF'!$A$9:$A$190,'2. TEUs &amp; Activities - EF'!$M$9:$M$190),_xlfn.XLOOKUP($B901,'2. TEUs &amp; Activities - EF'!$B$9:$B$190,'2. TEUs &amp; Activities - EF'!$M$9:$M$190))*'3. Pollutant Emissions - EF'!$J901*IF(OR(ISBLANK($E901),$G901="Yes"),1,$E901)*IF($H901="Yes",1,(1-$F901))</f>
        <v>4.9500000000000004E-5</v>
      </c>
      <c r="O901" s="130">
        <f>IFERROR(IF(OR($C901="",$C901="No CAS"),INDEX('DEQ Pollutant List'!$D$7:$D$611,MATCH($D901,'DEQ Pollutant List'!$B$7:$B$611,0)),INDEX('DEQ Pollutant List'!$D$7:$D$611,MATCH($C901,'DEQ Pollutant List'!$A$7:$A$611,0))),"")</f>
        <v>149</v>
      </c>
    </row>
    <row r="902" spans="1:15" ht="15" x14ac:dyDescent="0.25">
      <c r="A902" s="5" t="s">
        <v>1561</v>
      </c>
      <c r="B902" s="7"/>
      <c r="C902" s="172" t="s">
        <v>60</v>
      </c>
      <c r="D902" s="19" t="str">
        <f>IFERROR(IF(C902="No CAS","",INDEX('DEQ Pollutant List'!$B$7:$B$611,MATCH('3. Pollutant Emissions - EF'!C902,'DEQ Pollutant List'!$A$7:$A$611,0))),"")</f>
        <v>Ethyl benzene</v>
      </c>
      <c r="E902" s="23">
        <v>0</v>
      </c>
      <c r="F902" s="21">
        <v>0</v>
      </c>
      <c r="G902" s="23" t="s">
        <v>1415</v>
      </c>
      <c r="H902" s="21" t="s">
        <v>1415</v>
      </c>
      <c r="I902" s="173">
        <v>9.4999999999999998E-3</v>
      </c>
      <c r="J902" s="11">
        <f t="shared" si="32"/>
        <v>9.4999999999999998E-3</v>
      </c>
      <c r="K902" s="6" t="s">
        <v>1416</v>
      </c>
      <c r="L902" s="20" t="s">
        <v>1422</v>
      </c>
      <c r="M902" s="7">
        <f>IF(ISBLANK($B902),_xlfn.XLOOKUP($A902,'2. TEUs &amp; Activities - EF'!$A$9:$A$190,'2. TEUs &amp; Activities - EF'!$J$9:$J$190),_xlfn.XLOOKUP($B902,'2. TEUs &amp; Activities - EF'!$B$9:$B$190,'2. TEUs &amp; Activities - EF'!$J$9:$J$190))*'3. Pollutant Emissions - EF'!$I902*IF(OR(ISBLANK($E902),$G902="Yes"),1,$E902)*IF($H902="Yes",1,(1-$F902))</f>
        <v>0.20193088235294118</v>
      </c>
      <c r="N902" s="5">
        <f>IF(ISBLANK($B902),_xlfn.XLOOKUP($A902,'2. TEUs &amp; Activities - EF'!$A$9:$A$190,'2. TEUs &amp; Activities - EF'!$M$9:$M$190),_xlfn.XLOOKUP($B902,'2. TEUs &amp; Activities - EF'!$B$9:$B$190,'2. TEUs &amp; Activities - EF'!$M$9:$M$190))*'3. Pollutant Emissions - EF'!$J902*IF(OR(ISBLANK($E902),$G902="Yes"),1,$E902)*IF($H902="Yes",1,(1-$F902))</f>
        <v>5.5323529411764713E-4</v>
      </c>
      <c r="O902" s="130">
        <f>IFERROR(IF(OR($C902="",$C902="No CAS"),INDEX('DEQ Pollutant List'!$D$7:$D$611,MATCH($D902,'DEQ Pollutant List'!$B$7:$B$611,0)),INDEX('DEQ Pollutant List'!$D$7:$D$611,MATCH($C902,'DEQ Pollutant List'!$A$7:$A$611,0))),"")</f>
        <v>229</v>
      </c>
    </row>
    <row r="903" spans="1:15" ht="15" x14ac:dyDescent="0.25">
      <c r="A903" s="5" t="s">
        <v>1561</v>
      </c>
      <c r="B903" s="7"/>
      <c r="C903" s="172" t="s">
        <v>47</v>
      </c>
      <c r="D903" s="19" t="str">
        <f>IFERROR(IF(C903="No CAS","",INDEX('DEQ Pollutant List'!$B$7:$B$611,MATCH('3. Pollutant Emissions - EF'!C903,'DEQ Pollutant List'!$A$7:$A$611,0))),"")</f>
        <v>Formaldehyde</v>
      </c>
      <c r="E903" s="23">
        <v>0</v>
      </c>
      <c r="F903" s="21">
        <v>0</v>
      </c>
      <c r="G903" s="23" t="s">
        <v>1415</v>
      </c>
      <c r="H903" s="21" t="s">
        <v>1415</v>
      </c>
      <c r="I903" s="173">
        <v>1.7000000000000001E-2</v>
      </c>
      <c r="J903" s="11">
        <f t="shared" si="32"/>
        <v>1.7000000000000001E-2</v>
      </c>
      <c r="K903" s="6" t="s">
        <v>1416</v>
      </c>
      <c r="L903" s="20" t="s">
        <v>1422</v>
      </c>
      <c r="M903" s="7">
        <f>IF(ISBLANK($B903),_xlfn.XLOOKUP($A903,'2. TEUs &amp; Activities - EF'!$A$9:$A$190,'2. TEUs &amp; Activities - EF'!$J$9:$J$190),_xlfn.XLOOKUP($B903,'2. TEUs &amp; Activities - EF'!$B$9:$B$190,'2. TEUs &amp; Activities - EF'!$J$9:$J$190))*'3. Pollutant Emissions - EF'!$I903*IF(OR(ISBLANK($E903),$G903="Yes"),1,$E903)*IF($H903="Yes",1,(1-$F903))</f>
        <v>0.36135000000000006</v>
      </c>
      <c r="N903" s="5">
        <f>IF(ISBLANK($B903),_xlfn.XLOOKUP($A903,'2. TEUs &amp; Activities - EF'!$A$9:$A$190,'2. TEUs &amp; Activities - EF'!$M$9:$M$190),_xlfn.XLOOKUP($B903,'2. TEUs &amp; Activities - EF'!$B$9:$B$190,'2. TEUs &amp; Activities - EF'!$M$9:$M$190))*'3. Pollutant Emissions - EF'!$J903*IF(OR(ISBLANK($E903),$G903="Yes"),1,$E903)*IF($H903="Yes",1,(1-$F903))</f>
        <v>9.9000000000000021E-4</v>
      </c>
      <c r="O903" s="130">
        <f>IFERROR(IF(OR($C903="",$C903="No CAS"),INDEX('DEQ Pollutant List'!$D$7:$D$611,MATCH($D903,'DEQ Pollutant List'!$B$7:$B$611,0)),INDEX('DEQ Pollutant List'!$D$7:$D$611,MATCH($C903,'DEQ Pollutant List'!$A$7:$A$611,0))),"")</f>
        <v>250</v>
      </c>
    </row>
    <row r="904" spans="1:15" ht="15" x14ac:dyDescent="0.25">
      <c r="A904" s="5" t="s">
        <v>1561</v>
      </c>
      <c r="B904" s="7"/>
      <c r="C904" s="172" t="s">
        <v>61</v>
      </c>
      <c r="D904" s="19" t="str">
        <f>IFERROR(IF(C904="No CAS","",INDEX('DEQ Pollutant List'!$B$7:$B$611,MATCH('3. Pollutant Emissions - EF'!C904,'DEQ Pollutant List'!$A$7:$A$611,0))),"")</f>
        <v>Hexane</v>
      </c>
      <c r="E904" s="23">
        <v>0</v>
      </c>
      <c r="F904" s="21">
        <v>0</v>
      </c>
      <c r="G904" s="23" t="s">
        <v>1415</v>
      </c>
      <c r="H904" s="21" t="s">
        <v>1415</v>
      </c>
      <c r="I904" s="173">
        <v>6.3E-3</v>
      </c>
      <c r="J904" s="11">
        <f t="shared" si="32"/>
        <v>6.3E-3</v>
      </c>
      <c r="K904" s="6" t="s">
        <v>1416</v>
      </c>
      <c r="L904" s="20" t="s">
        <v>1422</v>
      </c>
      <c r="M904" s="7">
        <f>IF(ISBLANK($B904),_xlfn.XLOOKUP($A904,'2. TEUs &amp; Activities - EF'!$A$9:$A$190,'2. TEUs &amp; Activities - EF'!$J$9:$J$190),_xlfn.XLOOKUP($B904,'2. TEUs &amp; Activities - EF'!$B$9:$B$190,'2. TEUs &amp; Activities - EF'!$J$9:$J$190))*'3. Pollutant Emissions - EF'!$I904*IF(OR(ISBLANK($E904),$G904="Yes"),1,$E904)*IF($H904="Yes",1,(1-$F904))</f>
        <v>0.13391205882352941</v>
      </c>
      <c r="N904" s="5">
        <f>IF(ISBLANK($B904),_xlfn.XLOOKUP($A904,'2. TEUs &amp; Activities - EF'!$A$9:$A$190,'2. TEUs &amp; Activities - EF'!$M$9:$M$190),_xlfn.XLOOKUP($B904,'2. TEUs &amp; Activities - EF'!$B$9:$B$190,'2. TEUs &amp; Activities - EF'!$M$9:$M$190))*'3. Pollutant Emissions - EF'!$J904*IF(OR(ISBLANK($E904),$G904="Yes"),1,$E904)*IF($H904="Yes",1,(1-$F904))</f>
        <v>3.6688235294117652E-4</v>
      </c>
      <c r="O904" s="130">
        <f>IFERROR(IF(OR($C904="",$C904="No CAS"),INDEX('DEQ Pollutant List'!$D$7:$D$611,MATCH($D904,'DEQ Pollutant List'!$B$7:$B$611,0)),INDEX('DEQ Pollutant List'!$D$7:$D$611,MATCH($C904,'DEQ Pollutant List'!$A$7:$A$611,0))),"")</f>
        <v>289</v>
      </c>
    </row>
    <row r="905" spans="1:15" ht="15" x14ac:dyDescent="0.25">
      <c r="A905" s="5" t="s">
        <v>1561</v>
      </c>
      <c r="B905" s="7"/>
      <c r="C905" s="172" t="s">
        <v>62</v>
      </c>
      <c r="D905" s="19" t="str">
        <f>IFERROR(IF(C905="No CAS","",INDEX('DEQ Pollutant List'!$B$7:$B$611,MATCH('3. Pollutant Emissions - EF'!C905,'DEQ Pollutant List'!$A$7:$A$611,0))),"")</f>
        <v>Lead and compounds</v>
      </c>
      <c r="E905" s="23">
        <v>0</v>
      </c>
      <c r="F905" s="21">
        <v>0</v>
      </c>
      <c r="G905" s="23" t="s">
        <v>1415</v>
      </c>
      <c r="H905" s="21" t="s">
        <v>1415</v>
      </c>
      <c r="I905" s="173">
        <v>5.0000000000000001E-4</v>
      </c>
      <c r="J905" s="11">
        <f t="shared" si="32"/>
        <v>5.0000000000000001E-4</v>
      </c>
      <c r="K905" s="6" t="s">
        <v>1416</v>
      </c>
      <c r="L905" s="20" t="s">
        <v>1422</v>
      </c>
      <c r="M905" s="7">
        <f>IF(ISBLANK($B905),_xlfn.XLOOKUP($A905,'2. TEUs &amp; Activities - EF'!$A$9:$A$190,'2. TEUs &amp; Activities - EF'!$J$9:$J$190),_xlfn.XLOOKUP($B905,'2. TEUs &amp; Activities - EF'!$B$9:$B$190,'2. TEUs &amp; Activities - EF'!$J$9:$J$190))*'3. Pollutant Emissions - EF'!$I905*IF(OR(ISBLANK($E905),$G905="Yes"),1,$E905)*IF($H905="Yes",1,(1-$F905))</f>
        <v>1.062794117647059E-2</v>
      </c>
      <c r="N905" s="5">
        <f>IF(ISBLANK($B905),_xlfn.XLOOKUP($A905,'2. TEUs &amp; Activities - EF'!$A$9:$A$190,'2. TEUs &amp; Activities - EF'!$M$9:$M$190),_xlfn.XLOOKUP($B905,'2. TEUs &amp; Activities - EF'!$B$9:$B$190,'2. TEUs &amp; Activities - EF'!$M$9:$M$190))*'3. Pollutant Emissions - EF'!$J905*IF(OR(ISBLANK($E905),$G905="Yes"),1,$E905)*IF($H905="Yes",1,(1-$F905))</f>
        <v>2.9117647058823534E-5</v>
      </c>
      <c r="O905" s="130">
        <f>IFERROR(IF(OR($C905="",$C905="No CAS"),INDEX('DEQ Pollutant List'!$D$7:$D$611,MATCH($D905,'DEQ Pollutant List'!$B$7:$B$611,0)),INDEX('DEQ Pollutant List'!$D$7:$D$611,MATCH($C905,'DEQ Pollutant List'!$A$7:$A$611,0))),"")</f>
        <v>305</v>
      </c>
    </row>
    <row r="906" spans="1:15" ht="15" x14ac:dyDescent="0.25">
      <c r="A906" s="5" t="s">
        <v>1561</v>
      </c>
      <c r="B906" s="7"/>
      <c r="C906" s="172" t="s">
        <v>63</v>
      </c>
      <c r="D906" s="19" t="str">
        <f>IFERROR(IF(C906="No CAS","",INDEX('DEQ Pollutant List'!$B$7:$B$611,MATCH('3. Pollutant Emissions - EF'!C906,'DEQ Pollutant List'!$A$7:$A$611,0))),"")</f>
        <v>Manganese and compounds</v>
      </c>
      <c r="E906" s="23">
        <v>0</v>
      </c>
      <c r="F906" s="21">
        <v>0</v>
      </c>
      <c r="G906" s="23" t="s">
        <v>1415</v>
      </c>
      <c r="H906" s="21" t="s">
        <v>1415</v>
      </c>
      <c r="I906" s="173">
        <v>3.8000000000000002E-4</v>
      </c>
      <c r="J906" s="11">
        <f t="shared" si="32"/>
        <v>3.8000000000000002E-4</v>
      </c>
      <c r="K906" s="6" t="s">
        <v>1416</v>
      </c>
      <c r="L906" s="20" t="s">
        <v>1422</v>
      </c>
      <c r="M906" s="7">
        <f>IF(ISBLANK($B906),_xlfn.XLOOKUP($A906,'2. TEUs &amp; Activities - EF'!$A$9:$A$190,'2. TEUs &amp; Activities - EF'!$J$9:$J$190),_xlfn.XLOOKUP($B906,'2. TEUs &amp; Activities - EF'!$B$9:$B$190,'2. TEUs &amp; Activities - EF'!$J$9:$J$190))*'3. Pollutant Emissions - EF'!$I906*IF(OR(ISBLANK($E906),$G906="Yes"),1,$E906)*IF($H906="Yes",1,(1-$F906))</f>
        <v>8.077235294117649E-3</v>
      </c>
      <c r="N906" s="5">
        <f>IF(ISBLANK($B906),_xlfn.XLOOKUP($A906,'2. TEUs &amp; Activities - EF'!$A$9:$A$190,'2. TEUs &amp; Activities - EF'!$M$9:$M$190),_xlfn.XLOOKUP($B906,'2. TEUs &amp; Activities - EF'!$B$9:$B$190,'2. TEUs &amp; Activities - EF'!$M$9:$M$190))*'3. Pollutant Emissions - EF'!$J906*IF(OR(ISBLANK($E906),$G906="Yes"),1,$E906)*IF($H906="Yes",1,(1-$F906))</f>
        <v>2.2129411764705887E-5</v>
      </c>
      <c r="O906" s="130">
        <f>IFERROR(IF(OR($C906="",$C906="No CAS"),INDEX('DEQ Pollutant List'!$D$7:$D$611,MATCH($D906,'DEQ Pollutant List'!$B$7:$B$611,0)),INDEX('DEQ Pollutant List'!$D$7:$D$611,MATCH($C906,'DEQ Pollutant List'!$A$7:$A$611,0))),"")</f>
        <v>312</v>
      </c>
    </row>
    <row r="907" spans="1:15" ht="15" x14ac:dyDescent="0.25">
      <c r="A907" s="5" t="s">
        <v>1561</v>
      </c>
      <c r="B907" s="7"/>
      <c r="C907" s="172" t="s">
        <v>64</v>
      </c>
      <c r="D907" s="19" t="str">
        <f>IFERROR(IF(C907="No CAS","",INDEX('DEQ Pollutant List'!$B$7:$B$611,MATCH('3. Pollutant Emissions - EF'!C907,'DEQ Pollutant List'!$A$7:$A$611,0))),"")</f>
        <v>Mercury and compounds</v>
      </c>
      <c r="E907" s="23">
        <v>0</v>
      </c>
      <c r="F907" s="21">
        <v>0</v>
      </c>
      <c r="G907" s="23" t="s">
        <v>1415</v>
      </c>
      <c r="H907" s="21" t="s">
        <v>1415</v>
      </c>
      <c r="I907" s="173">
        <v>2.5999999999999998E-4</v>
      </c>
      <c r="J907" s="11">
        <f t="shared" si="32"/>
        <v>2.5999999999999998E-4</v>
      </c>
      <c r="K907" s="6" t="s">
        <v>1416</v>
      </c>
      <c r="L907" s="20" t="s">
        <v>1422</v>
      </c>
      <c r="M907" s="7">
        <f>IF(ISBLANK($B907),_xlfn.XLOOKUP($A907,'2. TEUs &amp; Activities - EF'!$A$9:$A$190,'2. TEUs &amp; Activities - EF'!$J$9:$J$190),_xlfn.XLOOKUP($B907,'2. TEUs &amp; Activities - EF'!$B$9:$B$190,'2. TEUs &amp; Activities - EF'!$J$9:$J$190))*'3. Pollutant Emissions - EF'!$I907*IF(OR(ISBLANK($E907),$G907="Yes"),1,$E907)*IF($H907="Yes",1,(1-$F907))</f>
        <v>5.5265294117647062E-3</v>
      </c>
      <c r="N907" s="5">
        <f>IF(ISBLANK($B907),_xlfn.XLOOKUP($A907,'2. TEUs &amp; Activities - EF'!$A$9:$A$190,'2. TEUs &amp; Activities - EF'!$M$9:$M$190),_xlfn.XLOOKUP($B907,'2. TEUs &amp; Activities - EF'!$B$9:$B$190,'2. TEUs &amp; Activities - EF'!$M$9:$M$190))*'3. Pollutant Emissions - EF'!$J907*IF(OR(ISBLANK($E907),$G907="Yes"),1,$E907)*IF($H907="Yes",1,(1-$F907))</f>
        <v>1.5141176470588235E-5</v>
      </c>
      <c r="O907" s="130">
        <f>IFERROR(IF(OR($C907="",$C907="No CAS"),INDEX('DEQ Pollutant List'!$D$7:$D$611,MATCH($D907,'DEQ Pollutant List'!$B$7:$B$611,0)),INDEX('DEQ Pollutant List'!$D$7:$D$611,MATCH($C907,'DEQ Pollutant List'!$A$7:$A$611,0))),"")</f>
        <v>316</v>
      </c>
    </row>
    <row r="908" spans="1:15" ht="15" x14ac:dyDescent="0.25">
      <c r="A908" s="5" t="s">
        <v>1561</v>
      </c>
      <c r="B908" s="7"/>
      <c r="C908" s="172" t="s">
        <v>65</v>
      </c>
      <c r="D908" s="19" t="str">
        <f>IFERROR(IF(C908="No CAS","",INDEX('DEQ Pollutant List'!$B$7:$B$611,MATCH('3. Pollutant Emissions - EF'!C908,'DEQ Pollutant List'!$A$7:$A$611,0))),"")</f>
        <v>Molybdenum trioxide</v>
      </c>
      <c r="E908" s="23">
        <v>0</v>
      </c>
      <c r="F908" s="21">
        <v>0</v>
      </c>
      <c r="G908" s="23" t="s">
        <v>1415</v>
      </c>
      <c r="H908" s="21" t="s">
        <v>1415</v>
      </c>
      <c r="I908" s="173">
        <v>1.65E-3</v>
      </c>
      <c r="J908" s="11">
        <f t="shared" si="32"/>
        <v>1.65E-3</v>
      </c>
      <c r="K908" s="6" t="s">
        <v>1416</v>
      </c>
      <c r="L908" s="20" t="s">
        <v>1422</v>
      </c>
      <c r="M908" s="7">
        <f>IF(ISBLANK($B908),_xlfn.XLOOKUP($A908,'2. TEUs &amp; Activities - EF'!$A$9:$A$190,'2. TEUs &amp; Activities - EF'!$J$9:$J$190),_xlfn.XLOOKUP($B908,'2. TEUs &amp; Activities - EF'!$B$9:$B$190,'2. TEUs &amp; Activities - EF'!$J$9:$J$190))*'3. Pollutant Emissions - EF'!$I908*IF(OR(ISBLANK($E908),$G908="Yes"),1,$E908)*IF($H908="Yes",1,(1-$F908))</f>
        <v>3.5072205882352943E-2</v>
      </c>
      <c r="N908" s="5">
        <f>IF(ISBLANK($B908),_xlfn.XLOOKUP($A908,'2. TEUs &amp; Activities - EF'!$A$9:$A$190,'2. TEUs &amp; Activities - EF'!$M$9:$M$190),_xlfn.XLOOKUP($B908,'2. TEUs &amp; Activities - EF'!$B$9:$B$190,'2. TEUs &amp; Activities - EF'!$M$9:$M$190))*'3. Pollutant Emissions - EF'!$J908*IF(OR(ISBLANK($E908),$G908="Yes"),1,$E908)*IF($H908="Yes",1,(1-$F908))</f>
        <v>9.6088235294117664E-5</v>
      </c>
      <c r="O908" s="130">
        <f>IFERROR(IF(OR($C908="",$C908="No CAS"),INDEX('DEQ Pollutant List'!$D$7:$D$611,MATCH($D908,'DEQ Pollutant List'!$B$7:$B$611,0)),INDEX('DEQ Pollutant List'!$D$7:$D$611,MATCH($C908,'DEQ Pollutant List'!$A$7:$A$611,0))),"")</f>
        <v>361</v>
      </c>
    </row>
    <row r="909" spans="1:15" ht="15" x14ac:dyDescent="0.25">
      <c r="A909" s="5" t="s">
        <v>1561</v>
      </c>
      <c r="B909" s="7"/>
      <c r="C909" s="172" t="s">
        <v>49</v>
      </c>
      <c r="D909" s="19" t="str">
        <f>IFERROR(IF(C909="No CAS","",INDEX('DEQ Pollutant List'!$B$7:$B$611,MATCH('3. Pollutant Emissions - EF'!C909,'DEQ Pollutant List'!$A$7:$A$611,0))),"")</f>
        <v>Naphthalene</v>
      </c>
      <c r="E909" s="23">
        <v>0</v>
      </c>
      <c r="F909" s="21">
        <v>0</v>
      </c>
      <c r="G909" s="23" t="s">
        <v>1415</v>
      </c>
      <c r="H909" s="21" t="s">
        <v>1415</v>
      </c>
      <c r="I909" s="34">
        <v>2.9999999999999997E-4</v>
      </c>
      <c r="J909" s="11">
        <f t="shared" si="32"/>
        <v>2.9999999999999997E-4</v>
      </c>
      <c r="K909" s="6" t="s">
        <v>1416</v>
      </c>
      <c r="L909" s="20" t="s">
        <v>1422</v>
      </c>
      <c r="M909" s="7">
        <f>IF(ISBLANK($B909),_xlfn.XLOOKUP($A909,'2. TEUs &amp; Activities - EF'!$A$9:$A$190,'2. TEUs &amp; Activities - EF'!$J$9:$J$190),_xlfn.XLOOKUP($B909,'2. TEUs &amp; Activities - EF'!$B$9:$B$190,'2. TEUs &amp; Activities - EF'!$J$9:$J$190))*'3. Pollutant Emissions - EF'!$I909*IF(OR(ISBLANK($E909),$G909="Yes"),1,$E909)*IF($H909="Yes",1,(1-$F909))</f>
        <v>6.3767647058823526E-3</v>
      </c>
      <c r="N909" s="5">
        <f>IF(ISBLANK($B909),_xlfn.XLOOKUP($A909,'2. TEUs &amp; Activities - EF'!$A$9:$A$190,'2. TEUs &amp; Activities - EF'!$M$9:$M$190),_xlfn.XLOOKUP($B909,'2. TEUs &amp; Activities - EF'!$B$9:$B$190,'2. TEUs &amp; Activities - EF'!$M$9:$M$190))*'3. Pollutant Emissions - EF'!$J909*IF(OR(ISBLANK($E909),$G909="Yes"),1,$E909)*IF($H909="Yes",1,(1-$F909))</f>
        <v>1.7470588235294117E-5</v>
      </c>
      <c r="O909" s="130">
        <f>IFERROR(IF(OR($C909="",$C909="No CAS"),INDEX('DEQ Pollutant List'!$D$7:$D$611,MATCH($D909,'DEQ Pollutant List'!$B$7:$B$611,0)),INDEX('DEQ Pollutant List'!$D$7:$D$611,MATCH($C909,'DEQ Pollutant List'!$A$7:$A$611,0))),"")</f>
        <v>428</v>
      </c>
    </row>
    <row r="910" spans="1:15" ht="15" x14ac:dyDescent="0.25">
      <c r="A910" s="5" t="s">
        <v>1561</v>
      </c>
      <c r="B910" s="7"/>
      <c r="C910" s="13" t="s">
        <v>66</v>
      </c>
      <c r="D910" s="19" t="str">
        <f>IFERROR(IF(C910="No CAS","",INDEX('DEQ Pollutant List'!$B$7:$B$611,MATCH('3. Pollutant Emissions - EF'!C910,'DEQ Pollutant List'!$A$7:$A$611,0))),"")</f>
        <v>Nickel and compounds</v>
      </c>
      <c r="E910" s="23">
        <v>0</v>
      </c>
      <c r="F910" s="21">
        <v>0</v>
      </c>
      <c r="G910" s="23" t="s">
        <v>1415</v>
      </c>
      <c r="H910" s="21" t="s">
        <v>1415</v>
      </c>
      <c r="I910" s="34">
        <v>2.0999999999999999E-3</v>
      </c>
      <c r="J910" s="11">
        <f t="shared" si="32"/>
        <v>2.0999999999999999E-3</v>
      </c>
      <c r="K910" s="6" t="s">
        <v>1416</v>
      </c>
      <c r="L910" s="20" t="s">
        <v>1422</v>
      </c>
      <c r="M910" s="7">
        <f>IF(ISBLANK($B910),_xlfn.XLOOKUP($A910,'2. TEUs &amp; Activities - EF'!$A$9:$A$190,'2. TEUs &amp; Activities - EF'!$J$9:$J$190),_xlfn.XLOOKUP($B910,'2. TEUs &amp; Activities - EF'!$B$9:$B$190,'2. TEUs &amp; Activities - EF'!$J$9:$J$190))*'3. Pollutant Emissions - EF'!$I910*IF(OR(ISBLANK($E910),$G910="Yes"),1,$E910)*IF($H910="Yes",1,(1-$F910))</f>
        <v>4.4637352941176468E-2</v>
      </c>
      <c r="N910" s="5">
        <f>IF(ISBLANK($B910),_xlfn.XLOOKUP($A910,'2. TEUs &amp; Activities - EF'!$A$9:$A$190,'2. TEUs &amp; Activities - EF'!$M$9:$M$190),_xlfn.XLOOKUP($B910,'2. TEUs &amp; Activities - EF'!$B$9:$B$190,'2. TEUs &amp; Activities - EF'!$M$9:$M$190))*'3. Pollutant Emissions - EF'!$J910*IF(OR(ISBLANK($E910),$G910="Yes"),1,$E910)*IF($H910="Yes",1,(1-$F910))</f>
        <v>1.2229411764705882E-4</v>
      </c>
      <c r="O910" s="130">
        <f>IFERROR(IF(OR($C910="",$C910="No CAS"),INDEX('DEQ Pollutant List'!$D$7:$D$611,MATCH($D910,'DEQ Pollutant List'!$B$7:$B$611,0)),INDEX('DEQ Pollutant List'!$D$7:$D$611,MATCH($C910,'DEQ Pollutant List'!$A$7:$A$611,0))),"")</f>
        <v>364</v>
      </c>
    </row>
    <row r="911" spans="1:15" ht="15" x14ac:dyDescent="0.25">
      <c r="A911" s="5" t="s">
        <v>1561</v>
      </c>
      <c r="B911" s="7"/>
      <c r="C911" s="13">
        <v>401</v>
      </c>
      <c r="D911" s="19" t="str">
        <f>IFERROR(IF(C911="No CAS","",INDEX('DEQ Pollutant List'!$B$7:$B$611,MATCH('3. Pollutant Emissions - EF'!C911,'DEQ Pollutant List'!$A$7:$A$611,0))),"")</f>
        <v>Polycyclic aromatic hydrocarbons (PAHs)</v>
      </c>
      <c r="E911" s="23">
        <v>0</v>
      </c>
      <c r="F911" s="21">
        <v>0</v>
      </c>
      <c r="G911" s="23" t="s">
        <v>1415</v>
      </c>
      <c r="H911" s="21" t="s">
        <v>1415</v>
      </c>
      <c r="I911" s="34">
        <v>1E-4</v>
      </c>
      <c r="J911" s="11">
        <f t="shared" si="32"/>
        <v>1E-4</v>
      </c>
      <c r="K911" s="6" t="s">
        <v>1416</v>
      </c>
      <c r="L911" s="20" t="s">
        <v>1422</v>
      </c>
      <c r="M911" s="7">
        <f>IF(ISBLANK($B911),_xlfn.XLOOKUP($A911,'2. TEUs &amp; Activities - EF'!$A$9:$A$190,'2. TEUs &amp; Activities - EF'!$J$9:$J$190),_xlfn.XLOOKUP($B911,'2. TEUs &amp; Activities - EF'!$B$9:$B$190,'2. TEUs &amp; Activities - EF'!$J$9:$J$190))*'3. Pollutant Emissions - EF'!$I911*IF(OR(ISBLANK($E911),$G911="Yes"),1,$E911)*IF($H911="Yes",1,(1-$F911))</f>
        <v>2.1255882352941178E-3</v>
      </c>
      <c r="N911" s="5">
        <f>IF(ISBLANK($B911),_xlfn.XLOOKUP($A911,'2. TEUs &amp; Activities - EF'!$A$9:$A$190,'2. TEUs &amp; Activities - EF'!$M$9:$M$190),_xlfn.XLOOKUP($B911,'2. TEUs &amp; Activities - EF'!$B$9:$B$190,'2. TEUs &amp; Activities - EF'!$M$9:$M$190))*'3. Pollutant Emissions - EF'!$J911*IF(OR(ISBLANK($E911),$G911="Yes"),1,$E911)*IF($H911="Yes",1,(1-$F911))</f>
        <v>5.8235294117647067E-6</v>
      </c>
      <c r="O911" s="130">
        <f>IFERROR(IF(OR($C911="",$C911="No CAS"),INDEX('DEQ Pollutant List'!$D$7:$D$611,MATCH($D911,'DEQ Pollutant List'!$B$7:$B$611,0)),INDEX('DEQ Pollutant List'!$D$7:$D$611,MATCH($C911,'DEQ Pollutant List'!$A$7:$A$611,0))),"")</f>
        <v>401</v>
      </c>
    </row>
    <row r="912" spans="1:15" ht="15" x14ac:dyDescent="0.25">
      <c r="A912" s="5" t="s">
        <v>1561</v>
      </c>
      <c r="B912" s="7"/>
      <c r="C912" s="13" t="s">
        <v>67</v>
      </c>
      <c r="D912" s="19" t="str">
        <f>IFERROR(IF(C912="No CAS","",INDEX('DEQ Pollutant List'!$B$7:$B$611,MATCH('3. Pollutant Emissions - EF'!C912,'DEQ Pollutant List'!$A$7:$A$611,0))),"")</f>
        <v>Selenium and compounds</v>
      </c>
      <c r="E912" s="23">
        <v>0</v>
      </c>
      <c r="F912" s="21">
        <v>0</v>
      </c>
      <c r="G912" s="23" t="s">
        <v>1415</v>
      </c>
      <c r="H912" s="21" t="s">
        <v>1415</v>
      </c>
      <c r="I912" s="34">
        <v>2.4000000000000001E-5</v>
      </c>
      <c r="J912" s="11">
        <f t="shared" si="32"/>
        <v>2.4000000000000001E-5</v>
      </c>
      <c r="K912" s="6" t="s">
        <v>1416</v>
      </c>
      <c r="L912" s="20" t="s">
        <v>1422</v>
      </c>
      <c r="M912" s="7">
        <f>IF(ISBLANK($B912),_xlfn.XLOOKUP($A912,'2. TEUs &amp; Activities - EF'!$A$9:$A$190,'2. TEUs &amp; Activities - EF'!$J$9:$J$190),_xlfn.XLOOKUP($B912,'2. TEUs &amp; Activities - EF'!$B$9:$B$190,'2. TEUs &amp; Activities - EF'!$J$9:$J$190))*'3. Pollutant Emissions - EF'!$I912*IF(OR(ISBLANK($E912),$G912="Yes"),1,$E912)*IF($H912="Yes",1,(1-$F912))</f>
        <v>5.1014117647058834E-4</v>
      </c>
      <c r="N912" s="5">
        <f>IF(ISBLANK($B912),_xlfn.XLOOKUP($A912,'2. TEUs &amp; Activities - EF'!$A$9:$A$190,'2. TEUs &amp; Activities - EF'!$M$9:$M$190),_xlfn.XLOOKUP($B912,'2. TEUs &amp; Activities - EF'!$B$9:$B$190,'2. TEUs &amp; Activities - EF'!$M$9:$M$190))*'3. Pollutant Emissions - EF'!$J912*IF(OR(ISBLANK($E912),$G912="Yes"),1,$E912)*IF($H912="Yes",1,(1-$F912))</f>
        <v>1.3976470588235297E-6</v>
      </c>
      <c r="O912" s="130">
        <f>IFERROR(IF(OR($C912="",$C912="No CAS"),INDEX('DEQ Pollutant List'!$D$7:$D$611,MATCH($D912,'DEQ Pollutant List'!$B$7:$B$611,0)),INDEX('DEQ Pollutant List'!$D$7:$D$611,MATCH($C912,'DEQ Pollutant List'!$A$7:$A$611,0))),"")</f>
        <v>575</v>
      </c>
    </row>
    <row r="913" spans="1:15" ht="15" x14ac:dyDescent="0.25">
      <c r="A913" s="5" t="s">
        <v>1561</v>
      </c>
      <c r="B913" s="7"/>
      <c r="C913" s="13" t="s">
        <v>68</v>
      </c>
      <c r="D913" s="19" t="str">
        <f>IFERROR(IF(C913="No CAS","",INDEX('DEQ Pollutant List'!$B$7:$B$611,MATCH('3. Pollutant Emissions - EF'!C913,'DEQ Pollutant List'!$A$7:$A$611,0))),"")</f>
        <v>Toluene</v>
      </c>
      <c r="E913" s="23">
        <v>0</v>
      </c>
      <c r="F913" s="21">
        <v>0</v>
      </c>
      <c r="G913" s="23" t="s">
        <v>1415</v>
      </c>
      <c r="H913" s="21" t="s">
        <v>1415</v>
      </c>
      <c r="I913" s="34">
        <v>3.6600000000000001E-2</v>
      </c>
      <c r="J913" s="11">
        <f t="shared" si="32"/>
        <v>3.6600000000000001E-2</v>
      </c>
      <c r="K913" s="6" t="s">
        <v>1416</v>
      </c>
      <c r="L913" s="20" t="s">
        <v>1422</v>
      </c>
      <c r="M913" s="7">
        <f>IF(ISBLANK($B913),_xlfn.XLOOKUP($A913,'2. TEUs &amp; Activities - EF'!$A$9:$A$190,'2. TEUs &amp; Activities - EF'!$J$9:$J$190),_xlfn.XLOOKUP($B913,'2. TEUs &amp; Activities - EF'!$B$9:$B$190,'2. TEUs &amp; Activities - EF'!$J$9:$J$190))*'3. Pollutant Emissions - EF'!$I913*IF(OR(ISBLANK($E913),$G913="Yes"),1,$E913)*IF($H913="Yes",1,(1-$F913))</f>
        <v>0.77796529411764714</v>
      </c>
      <c r="N913" s="5">
        <f>IF(ISBLANK($B913),_xlfn.XLOOKUP($A913,'2. TEUs &amp; Activities - EF'!$A$9:$A$190,'2. TEUs &amp; Activities - EF'!$M$9:$M$190),_xlfn.XLOOKUP($B913,'2. TEUs &amp; Activities - EF'!$B$9:$B$190,'2. TEUs &amp; Activities - EF'!$M$9:$M$190))*'3. Pollutant Emissions - EF'!$J913*IF(OR(ISBLANK($E913),$G913="Yes"),1,$E913)*IF($H913="Yes",1,(1-$F913))</f>
        <v>2.1314117647058825E-3</v>
      </c>
      <c r="O913" s="130">
        <f>IFERROR(IF(OR($C913="",$C913="No CAS"),INDEX('DEQ Pollutant List'!$D$7:$D$611,MATCH($D913,'DEQ Pollutant List'!$B$7:$B$611,0)),INDEX('DEQ Pollutant List'!$D$7:$D$611,MATCH($C913,'DEQ Pollutant List'!$A$7:$A$611,0))),"")</f>
        <v>600</v>
      </c>
    </row>
    <row r="914" spans="1:15" ht="15" x14ac:dyDescent="0.25">
      <c r="A914" s="5" t="s">
        <v>1561</v>
      </c>
      <c r="B914" s="7"/>
      <c r="C914" s="13" t="s">
        <v>69</v>
      </c>
      <c r="D914" s="19" t="str">
        <f>IFERROR(IF(C914="No CAS","",INDEX('DEQ Pollutant List'!$B$7:$B$611,MATCH('3. Pollutant Emissions - EF'!C914,'DEQ Pollutant List'!$A$7:$A$611,0))),"")</f>
        <v>Vanadium (fume or dust)</v>
      </c>
      <c r="E914" s="23">
        <v>0</v>
      </c>
      <c r="F914" s="21">
        <v>0</v>
      </c>
      <c r="G914" s="23" t="s">
        <v>1415</v>
      </c>
      <c r="H914" s="21" t="s">
        <v>1415</v>
      </c>
      <c r="I914" s="34">
        <v>2.3E-3</v>
      </c>
      <c r="J914" s="11">
        <f t="shared" si="32"/>
        <v>2.3E-3</v>
      </c>
      <c r="K914" s="6" t="s">
        <v>1416</v>
      </c>
      <c r="L914" s="20" t="s">
        <v>1422</v>
      </c>
      <c r="M914" s="7">
        <f>IF(ISBLANK($B914),_xlfn.XLOOKUP($A914,'2. TEUs &amp; Activities - EF'!$A$9:$A$190,'2. TEUs &amp; Activities - EF'!$J$9:$J$190),_xlfn.XLOOKUP($B914,'2. TEUs &amp; Activities - EF'!$B$9:$B$190,'2. TEUs &amp; Activities - EF'!$J$9:$J$190))*'3. Pollutant Emissions - EF'!$I914*IF(OR(ISBLANK($E914),$G914="Yes"),1,$E914)*IF($H914="Yes",1,(1-$F914))</f>
        <v>4.8888529411764706E-2</v>
      </c>
      <c r="N914" s="5">
        <f>IF(ISBLANK($B914),_xlfn.XLOOKUP($A914,'2. TEUs &amp; Activities - EF'!$A$9:$A$190,'2. TEUs &amp; Activities - EF'!$M$9:$M$190),_xlfn.XLOOKUP($B914,'2. TEUs &amp; Activities - EF'!$B$9:$B$190,'2. TEUs &amp; Activities - EF'!$M$9:$M$190))*'3. Pollutant Emissions - EF'!$J914*IF(OR(ISBLANK($E914),$G914="Yes"),1,$E914)*IF($H914="Yes",1,(1-$F914))</f>
        <v>1.3394117647058825E-4</v>
      </c>
      <c r="O914" s="130">
        <f>IFERROR(IF(OR($C914="",$C914="No CAS"),INDEX('DEQ Pollutant List'!$D$7:$D$611,MATCH($D914,'DEQ Pollutant List'!$B$7:$B$611,0)),INDEX('DEQ Pollutant List'!$D$7:$D$611,MATCH($C914,'DEQ Pollutant List'!$A$7:$A$611,0))),"")</f>
        <v>620</v>
      </c>
    </row>
    <row r="915" spans="1:15" ht="15" x14ac:dyDescent="0.25">
      <c r="A915" s="5" t="s">
        <v>1561</v>
      </c>
      <c r="B915" s="7"/>
      <c r="C915" s="13" t="s">
        <v>70</v>
      </c>
      <c r="D915" s="19" t="str">
        <f>IFERROR(IF(C915="No CAS","",INDEX('DEQ Pollutant List'!$B$7:$B$611,MATCH('3. Pollutant Emissions - EF'!C915,'DEQ Pollutant List'!$A$7:$A$611,0))),"")</f>
        <v>Xylene (mixture), including m-xylene, o-xylene, p-xylene</v>
      </c>
      <c r="E915" s="23">
        <v>0</v>
      </c>
      <c r="F915" s="21">
        <v>0</v>
      </c>
      <c r="G915" s="23" t="s">
        <v>1415</v>
      </c>
      <c r="H915" s="21" t="s">
        <v>1415</v>
      </c>
      <c r="I915" s="34">
        <v>2.7199999999999998E-2</v>
      </c>
      <c r="J915" s="11">
        <f t="shared" si="32"/>
        <v>2.7199999999999998E-2</v>
      </c>
      <c r="K915" s="6" t="s">
        <v>1416</v>
      </c>
      <c r="L915" s="20" t="s">
        <v>1422</v>
      </c>
      <c r="M915" s="7">
        <f>IF(ISBLANK($B915),_xlfn.XLOOKUP($A915,'2. TEUs &amp; Activities - EF'!$A$9:$A$190,'2. TEUs &amp; Activities - EF'!$J$9:$J$190),_xlfn.XLOOKUP($B915,'2. TEUs &amp; Activities - EF'!$B$9:$B$190,'2. TEUs &amp; Activities - EF'!$J$9:$J$190))*'3. Pollutant Emissions - EF'!$I915*IF(OR(ISBLANK($E915),$G915="Yes"),1,$E915)*IF($H915="Yes",1,(1-$F915))</f>
        <v>0.57816000000000001</v>
      </c>
      <c r="N915" s="5">
        <f>IF(ISBLANK($B915),_xlfn.XLOOKUP($A915,'2. TEUs &amp; Activities - EF'!$A$9:$A$190,'2. TEUs &amp; Activities - EF'!$M$9:$M$190),_xlfn.XLOOKUP($B915,'2. TEUs &amp; Activities - EF'!$B$9:$B$190,'2. TEUs &amp; Activities - EF'!$M$9:$M$190))*'3. Pollutant Emissions - EF'!$J915*IF(OR(ISBLANK($E915),$G915="Yes"),1,$E915)*IF($H915="Yes",1,(1-$F915))</f>
        <v>1.5840000000000001E-3</v>
      </c>
      <c r="O915" s="130">
        <f>IFERROR(IF(OR($C915="",$C915="No CAS"),INDEX('DEQ Pollutant List'!$D$7:$D$611,MATCH($D915,'DEQ Pollutant List'!$B$7:$B$611,0)),INDEX('DEQ Pollutant List'!$D$7:$D$611,MATCH($C915,'DEQ Pollutant List'!$A$7:$A$611,0))),"")</f>
        <v>628</v>
      </c>
    </row>
    <row r="916" spans="1:15" ht="15" x14ac:dyDescent="0.25">
      <c r="A916" s="5" t="s">
        <v>1561</v>
      </c>
      <c r="B916" s="7"/>
      <c r="C916" s="13" t="s">
        <v>71</v>
      </c>
      <c r="D916" s="19" t="str">
        <f>IFERROR(IF(C916="No CAS","",INDEX('DEQ Pollutant List'!$B$7:$B$611,MATCH('3. Pollutant Emissions - EF'!C916,'DEQ Pollutant List'!$A$7:$A$611,0))),"")</f>
        <v>Zinc and compounds</v>
      </c>
      <c r="E916" s="23">
        <v>0</v>
      </c>
      <c r="F916" s="21">
        <v>0</v>
      </c>
      <c r="G916" s="23" t="s">
        <v>1415</v>
      </c>
      <c r="H916" s="21" t="s">
        <v>1415</v>
      </c>
      <c r="I916" s="34">
        <v>2.9000000000000001E-2</v>
      </c>
      <c r="J916" s="11">
        <f t="shared" si="32"/>
        <v>2.9000000000000001E-2</v>
      </c>
      <c r="K916" s="6" t="s">
        <v>1416</v>
      </c>
      <c r="L916" s="20" t="s">
        <v>1422</v>
      </c>
      <c r="M916" s="7">
        <f>IF(ISBLANK($B916),_xlfn.XLOOKUP($A916,'2. TEUs &amp; Activities - EF'!$A$9:$A$190,'2. TEUs &amp; Activities - EF'!$J$9:$J$190),_xlfn.XLOOKUP($B916,'2. TEUs &amp; Activities - EF'!$B$9:$B$190,'2. TEUs &amp; Activities - EF'!$J$9:$J$190))*'3. Pollutant Emissions - EF'!$I916*IF(OR(ISBLANK($E916),$G916="Yes"),1,$E916)*IF($H916="Yes",1,(1-$F916))</f>
        <v>0.61642058823529422</v>
      </c>
      <c r="N916" s="5">
        <f>IF(ISBLANK($B916),_xlfn.XLOOKUP($A916,'2. TEUs &amp; Activities - EF'!$A$9:$A$190,'2. TEUs &amp; Activities - EF'!$M$9:$M$190),_xlfn.XLOOKUP($B916,'2. TEUs &amp; Activities - EF'!$B$9:$B$190,'2. TEUs &amp; Activities - EF'!$M$9:$M$190))*'3. Pollutant Emissions - EF'!$J916*IF(OR(ISBLANK($E916),$G916="Yes"),1,$E916)*IF($H916="Yes",1,(1-$F916))</f>
        <v>1.688823529411765E-3</v>
      </c>
      <c r="O916" s="130">
        <f>IFERROR(IF(OR($C916="",$C916="No CAS"),INDEX('DEQ Pollutant List'!$D$7:$D$611,MATCH($D916,'DEQ Pollutant List'!$B$7:$B$611,0)),INDEX('DEQ Pollutant List'!$D$7:$D$611,MATCH($C916,'DEQ Pollutant List'!$A$7:$A$611,0))),"")</f>
        <v>632</v>
      </c>
    </row>
    <row r="917" spans="1:15" ht="15" x14ac:dyDescent="0.25">
      <c r="A917" s="5"/>
      <c r="B917" s="7"/>
      <c r="C917" s="13"/>
      <c r="D917" s="19" t="str">
        <f>IFERROR(IF(C917="No CAS","",INDEX('DEQ Pollutant List'!$B$7:$B$611,MATCH('3. Pollutant Emissions - EF'!C917,'DEQ Pollutant List'!$A$7:$A$611,0))),"")</f>
        <v/>
      </c>
      <c r="E917" s="23"/>
      <c r="F917" s="21"/>
      <c r="G917" s="23"/>
      <c r="H917" s="21"/>
      <c r="I917" s="34"/>
      <c r="J917" s="11"/>
      <c r="K917" s="6"/>
      <c r="L917" s="20"/>
      <c r="M917" s="7">
        <f>IF(ISBLANK($B917),_xlfn.XLOOKUP($A917,'2. TEUs &amp; Activities - EF'!$A$9:$A$190,'2. TEUs &amp; Activities - EF'!$J$9:$J$190),_xlfn.XLOOKUP($B917,'2. TEUs &amp; Activities - EF'!$B$9:$B$190,'2. TEUs &amp; Activities - EF'!$J$9:$J$190))*'3. Pollutant Emissions - EF'!$I917*IF(OR(ISBLANK($E917),$G917="Yes"),1,$E917)*IF($H917="Yes",1,(1-$F917))</f>
        <v>0</v>
      </c>
      <c r="N917" s="5">
        <f>IF(ISBLANK($B917),_xlfn.XLOOKUP($A917,'2. TEUs &amp; Activities - EF'!$A$9:$A$190,'2. TEUs &amp; Activities - EF'!$M$9:$M$190),_xlfn.XLOOKUP($B917,'2. TEUs &amp; Activities - EF'!$B$9:$B$190,'2. TEUs &amp; Activities - EF'!$M$9:$M$190))*'3. Pollutant Emissions - EF'!$J917*IF(OR(ISBLANK($E917),$G917="Yes"),1,$E917)*IF($H917="Yes",1,(1-$F917))</f>
        <v>0</v>
      </c>
      <c r="O917" s="130" t="str">
        <f>IFERROR(IF(OR($C917="",$C917="No CAS"),INDEX('DEQ Pollutant List'!$D$7:$D$611,MATCH($D917,'DEQ Pollutant List'!$B$7:$B$611,0)),INDEX('DEQ Pollutant List'!$D$7:$D$611,MATCH($C917,'DEQ Pollutant List'!$A$7:$A$611,0))),"")</f>
        <v/>
      </c>
    </row>
    <row r="918" spans="1:15" ht="15" x14ac:dyDescent="0.25">
      <c r="A918" s="5" t="s">
        <v>1562</v>
      </c>
      <c r="B918" s="7"/>
      <c r="C918" s="13" t="s">
        <v>50</v>
      </c>
      <c r="D918" s="19" t="str">
        <f>IFERROR(IF(C918="No CAS","",INDEX('DEQ Pollutant List'!$B$7:$B$611,MATCH('3. Pollutant Emissions - EF'!C918,'DEQ Pollutant List'!$A$7:$A$611,0))),"")</f>
        <v>Acetaldehyde</v>
      </c>
      <c r="E918" s="23">
        <v>0</v>
      </c>
      <c r="F918" s="21">
        <v>0</v>
      </c>
      <c r="G918" s="23" t="s">
        <v>1415</v>
      </c>
      <c r="H918" s="21" t="s">
        <v>1415</v>
      </c>
      <c r="I918" s="34">
        <v>4.3E-3</v>
      </c>
      <c r="J918" s="11">
        <f t="shared" ref="J918:J943" si="33">I918</f>
        <v>4.3E-3</v>
      </c>
      <c r="K918" s="6" t="s">
        <v>1416</v>
      </c>
      <c r="L918" s="20" t="s">
        <v>1422</v>
      </c>
      <c r="M918" s="7">
        <f>IF(ISBLANK($B918),_xlfn.XLOOKUP($A918,'2. TEUs &amp; Activities - EF'!$A$9:$A$190,'2. TEUs &amp; Activities - EF'!$J$9:$J$190),_xlfn.XLOOKUP($B918,'2. TEUs &amp; Activities - EF'!$B$9:$B$190,'2. TEUs &amp; Activities - EF'!$J$9:$J$190))*'3. Pollutant Emissions - EF'!$I918*IF(OR(ISBLANK($E918),$G918="Yes"),1,$E918)*IF($H918="Yes",1,(1-$F918))</f>
        <v>9.1400294117647066E-2</v>
      </c>
      <c r="N918" s="5">
        <f>IF(ISBLANK($B918),_xlfn.XLOOKUP($A918,'2. TEUs &amp; Activities - EF'!$A$9:$A$190,'2. TEUs &amp; Activities - EF'!$M$9:$M$190),_xlfn.XLOOKUP($B918,'2. TEUs &amp; Activities - EF'!$B$9:$B$190,'2. TEUs &amp; Activities - EF'!$M$9:$M$190))*'3. Pollutant Emissions - EF'!$J918*IF(OR(ISBLANK($E918),$G918="Yes"),1,$E918)*IF($H918="Yes",1,(1-$F918))</f>
        <v>2.5041176470588236E-4</v>
      </c>
      <c r="O918" s="130">
        <f>IFERROR(IF(OR($C918="",$C918="No CAS"),INDEX('DEQ Pollutant List'!$D$7:$D$611,MATCH($D918,'DEQ Pollutant List'!$B$7:$B$611,0)),INDEX('DEQ Pollutant List'!$D$7:$D$611,MATCH($C918,'DEQ Pollutant List'!$A$7:$A$611,0))),"")</f>
        <v>1</v>
      </c>
    </row>
    <row r="919" spans="1:15" ht="15" x14ac:dyDescent="0.25">
      <c r="A919" s="5" t="s">
        <v>1562</v>
      </c>
      <c r="B919" s="7"/>
      <c r="C919" s="13" t="s">
        <v>51</v>
      </c>
      <c r="D919" s="19" t="str">
        <f>IFERROR(IF(C919="No CAS","",INDEX('DEQ Pollutant List'!$B$7:$B$611,MATCH('3. Pollutant Emissions - EF'!C919,'DEQ Pollutant List'!$A$7:$A$611,0))),"")</f>
        <v>Acrolein</v>
      </c>
      <c r="E919" s="23">
        <v>0</v>
      </c>
      <c r="F919" s="21">
        <v>0</v>
      </c>
      <c r="G919" s="23" t="s">
        <v>1415</v>
      </c>
      <c r="H919" s="21" t="s">
        <v>1415</v>
      </c>
      <c r="I919" s="34">
        <v>2.7000000000000001E-3</v>
      </c>
      <c r="J919" s="11">
        <f t="shared" si="33"/>
        <v>2.7000000000000001E-3</v>
      </c>
      <c r="K919" s="6" t="s">
        <v>1416</v>
      </c>
      <c r="L919" s="20" t="s">
        <v>1422</v>
      </c>
      <c r="M919" s="7">
        <f>IF(ISBLANK($B919),_xlfn.XLOOKUP($A919,'2. TEUs &amp; Activities - EF'!$A$9:$A$190,'2. TEUs &amp; Activities - EF'!$J$9:$J$190),_xlfn.XLOOKUP($B919,'2. TEUs &amp; Activities - EF'!$B$9:$B$190,'2. TEUs &amp; Activities - EF'!$J$9:$J$190))*'3. Pollutant Emissions - EF'!$I919*IF(OR(ISBLANK($E919),$G919="Yes"),1,$E919)*IF($H919="Yes",1,(1-$F919))</f>
        <v>5.7390882352941187E-2</v>
      </c>
      <c r="N919" s="5">
        <f>IF(ISBLANK($B919),_xlfn.XLOOKUP($A919,'2. TEUs &amp; Activities - EF'!$A$9:$A$190,'2. TEUs &amp; Activities - EF'!$M$9:$M$190),_xlfn.XLOOKUP($B919,'2. TEUs &amp; Activities - EF'!$B$9:$B$190,'2. TEUs &amp; Activities - EF'!$M$9:$M$190))*'3. Pollutant Emissions - EF'!$J919*IF(OR(ISBLANK($E919),$G919="Yes"),1,$E919)*IF($H919="Yes",1,(1-$F919))</f>
        <v>1.5723529411764707E-4</v>
      </c>
      <c r="O919" s="130">
        <f>IFERROR(IF(OR($C919="",$C919="No CAS"),INDEX('DEQ Pollutant List'!$D$7:$D$611,MATCH($D919,'DEQ Pollutant List'!$B$7:$B$611,0)),INDEX('DEQ Pollutant List'!$D$7:$D$611,MATCH($C919,'DEQ Pollutant List'!$A$7:$A$611,0))),"")</f>
        <v>5</v>
      </c>
    </row>
    <row r="920" spans="1:15" ht="15" x14ac:dyDescent="0.25">
      <c r="A920" s="5" t="s">
        <v>1562</v>
      </c>
      <c r="B920" s="7"/>
      <c r="C920" s="13" t="s">
        <v>52</v>
      </c>
      <c r="D920" s="19" t="str">
        <f>IFERROR(IF(C920="No CAS","",INDEX('DEQ Pollutant List'!$B$7:$B$611,MATCH('3. Pollutant Emissions - EF'!C920,'DEQ Pollutant List'!$A$7:$A$611,0))),"")</f>
        <v>Ammonia</v>
      </c>
      <c r="E920" s="23">
        <v>0</v>
      </c>
      <c r="F920" s="21">
        <v>0</v>
      </c>
      <c r="G920" s="23" t="s">
        <v>1415</v>
      </c>
      <c r="H920" s="21" t="s">
        <v>1415</v>
      </c>
      <c r="I920" s="34">
        <v>3.2</v>
      </c>
      <c r="J920" s="11">
        <f t="shared" si="33"/>
        <v>3.2</v>
      </c>
      <c r="K920" s="6" t="s">
        <v>1416</v>
      </c>
      <c r="L920" s="20" t="s">
        <v>1586</v>
      </c>
      <c r="M920" s="7">
        <f>IF(ISBLANK($B920),_xlfn.XLOOKUP($A920,'2. TEUs &amp; Activities - EF'!$A$9:$A$190,'2. TEUs &amp; Activities - EF'!$J$9:$J$190),_xlfn.XLOOKUP($B920,'2. TEUs &amp; Activities - EF'!$B$9:$B$190,'2. TEUs &amp; Activities - EF'!$J$9:$J$190))*'3. Pollutant Emissions - EF'!$I920*IF(OR(ISBLANK($E920),$G920="Yes"),1,$E920)*IF($H920="Yes",1,(1-$F920))</f>
        <v>68.018823529411776</v>
      </c>
      <c r="N920" s="5">
        <f>IF(ISBLANK($B920),_xlfn.XLOOKUP($A920,'2. TEUs &amp; Activities - EF'!$A$9:$A$190,'2. TEUs &amp; Activities - EF'!$M$9:$M$190),_xlfn.XLOOKUP($B920,'2. TEUs &amp; Activities - EF'!$B$9:$B$190,'2. TEUs &amp; Activities - EF'!$M$9:$M$190))*'3. Pollutant Emissions - EF'!$J920*IF(OR(ISBLANK($E920),$G920="Yes"),1,$E920)*IF($H920="Yes",1,(1-$F920))</f>
        <v>0.18635294117647061</v>
      </c>
      <c r="O920" s="130">
        <f>IFERROR(IF(OR($C920="",$C920="No CAS"),INDEX('DEQ Pollutant List'!$D$7:$D$611,MATCH($D920,'DEQ Pollutant List'!$B$7:$B$611,0)),INDEX('DEQ Pollutant List'!$D$7:$D$611,MATCH($C920,'DEQ Pollutant List'!$A$7:$A$611,0))),"")</f>
        <v>26</v>
      </c>
    </row>
    <row r="921" spans="1:15" ht="15" x14ac:dyDescent="0.25">
      <c r="A921" s="5" t="s">
        <v>1562</v>
      </c>
      <c r="B921" s="7"/>
      <c r="C921" s="13" t="s">
        <v>53</v>
      </c>
      <c r="D921" s="19" t="str">
        <f>IFERROR(IF(C921="No CAS","",INDEX('DEQ Pollutant List'!$B$7:$B$611,MATCH('3. Pollutant Emissions - EF'!C921,'DEQ Pollutant List'!$A$7:$A$611,0))),"")</f>
        <v>Arsenic and compounds</v>
      </c>
      <c r="E921" s="23">
        <v>0</v>
      </c>
      <c r="F921" s="21">
        <v>0</v>
      </c>
      <c r="G921" s="23" t="s">
        <v>1415</v>
      </c>
      <c r="H921" s="21" t="s">
        <v>1415</v>
      </c>
      <c r="I921" s="34">
        <v>2.0000000000000001E-4</v>
      </c>
      <c r="J921" s="11">
        <f t="shared" si="33"/>
        <v>2.0000000000000001E-4</v>
      </c>
      <c r="K921" s="6" t="s">
        <v>1416</v>
      </c>
      <c r="L921" s="20" t="s">
        <v>1422</v>
      </c>
      <c r="M921" s="7">
        <f>IF(ISBLANK($B921),_xlfn.XLOOKUP($A921,'2. TEUs &amp; Activities - EF'!$A$9:$A$190,'2. TEUs &amp; Activities - EF'!$J$9:$J$190),_xlfn.XLOOKUP($B921,'2. TEUs &amp; Activities - EF'!$B$9:$B$190,'2. TEUs &amp; Activities - EF'!$J$9:$J$190))*'3. Pollutant Emissions - EF'!$I921*IF(OR(ISBLANK($E921),$G921="Yes"),1,$E921)*IF($H921="Yes",1,(1-$F921))</f>
        <v>4.2511764705882357E-3</v>
      </c>
      <c r="N921" s="5">
        <f>IF(ISBLANK($B921),_xlfn.XLOOKUP($A921,'2. TEUs &amp; Activities - EF'!$A$9:$A$190,'2. TEUs &amp; Activities - EF'!$M$9:$M$190),_xlfn.XLOOKUP($B921,'2. TEUs &amp; Activities - EF'!$B$9:$B$190,'2. TEUs &amp; Activities - EF'!$M$9:$M$190))*'3. Pollutant Emissions - EF'!$J921*IF(OR(ISBLANK($E921),$G921="Yes"),1,$E921)*IF($H921="Yes",1,(1-$F921))</f>
        <v>1.1647058823529413E-5</v>
      </c>
      <c r="O921" s="130">
        <f>IFERROR(IF(OR($C921="",$C921="No CAS"),INDEX('DEQ Pollutant List'!$D$7:$D$611,MATCH($D921,'DEQ Pollutant List'!$B$7:$B$611,0)),INDEX('DEQ Pollutant List'!$D$7:$D$611,MATCH($C921,'DEQ Pollutant List'!$A$7:$A$611,0))),"")</f>
        <v>37</v>
      </c>
    </row>
    <row r="922" spans="1:15" ht="15" x14ac:dyDescent="0.25">
      <c r="A922" s="5" t="s">
        <v>1562</v>
      </c>
      <c r="B922" s="7"/>
      <c r="C922" s="13" t="s">
        <v>54</v>
      </c>
      <c r="D922" s="19" t="str">
        <f>IFERROR(IF(C922="No CAS","",INDEX('DEQ Pollutant List'!$B$7:$B$611,MATCH('3. Pollutant Emissions - EF'!C922,'DEQ Pollutant List'!$A$7:$A$611,0))),"")</f>
        <v>Barium and compounds</v>
      </c>
      <c r="E922" s="23">
        <v>0</v>
      </c>
      <c r="F922" s="21">
        <v>0</v>
      </c>
      <c r="G922" s="23" t="s">
        <v>1415</v>
      </c>
      <c r="H922" s="21" t="s">
        <v>1415</v>
      </c>
      <c r="I922" s="34">
        <v>4.4000000000000003E-3</v>
      </c>
      <c r="J922" s="11">
        <f t="shared" si="33"/>
        <v>4.4000000000000003E-3</v>
      </c>
      <c r="K922" s="6" t="s">
        <v>1416</v>
      </c>
      <c r="L922" s="20" t="s">
        <v>1422</v>
      </c>
      <c r="M922" s="7">
        <f>IF(ISBLANK($B922),_xlfn.XLOOKUP($A922,'2. TEUs &amp; Activities - EF'!$A$9:$A$190,'2. TEUs &amp; Activities - EF'!$J$9:$J$190),_xlfn.XLOOKUP($B922,'2. TEUs &amp; Activities - EF'!$B$9:$B$190,'2. TEUs &amp; Activities - EF'!$J$9:$J$190))*'3. Pollutant Emissions - EF'!$I922*IF(OR(ISBLANK($E922),$G922="Yes"),1,$E922)*IF($H922="Yes",1,(1-$F922))</f>
        <v>9.3525882352941195E-2</v>
      </c>
      <c r="N922" s="5">
        <f>IF(ISBLANK($B922),_xlfn.XLOOKUP($A922,'2. TEUs &amp; Activities - EF'!$A$9:$A$190,'2. TEUs &amp; Activities - EF'!$M$9:$M$190),_xlfn.XLOOKUP($B922,'2. TEUs &amp; Activities - EF'!$B$9:$B$190,'2. TEUs &amp; Activities - EF'!$M$9:$M$190))*'3. Pollutant Emissions - EF'!$J922*IF(OR(ISBLANK($E922),$G922="Yes"),1,$E922)*IF($H922="Yes",1,(1-$F922))</f>
        <v>2.5623529411764712E-4</v>
      </c>
      <c r="O922" s="130">
        <f>IFERROR(IF(OR($C922="",$C922="No CAS"),INDEX('DEQ Pollutant List'!$D$7:$D$611,MATCH($D922,'DEQ Pollutant List'!$B$7:$B$611,0)),INDEX('DEQ Pollutant List'!$D$7:$D$611,MATCH($C922,'DEQ Pollutant List'!$A$7:$A$611,0))),"")</f>
        <v>45</v>
      </c>
    </row>
    <row r="923" spans="1:15" ht="15" x14ac:dyDescent="0.25">
      <c r="A923" s="5" t="s">
        <v>1562</v>
      </c>
      <c r="B923" s="7"/>
      <c r="C923" s="13" t="s">
        <v>46</v>
      </c>
      <c r="D923" s="19" t="str">
        <f>IFERROR(IF(C923="No CAS","",INDEX('DEQ Pollutant List'!$B$7:$B$611,MATCH('3. Pollutant Emissions - EF'!C923,'DEQ Pollutant List'!$A$7:$A$611,0))),"")</f>
        <v>Benzene</v>
      </c>
      <c r="E923" s="23">
        <v>0</v>
      </c>
      <c r="F923" s="21">
        <v>0</v>
      </c>
      <c r="G923" s="23" t="s">
        <v>1415</v>
      </c>
      <c r="H923" s="21" t="s">
        <v>1415</v>
      </c>
      <c r="I923" s="34">
        <v>8.0000000000000002E-3</v>
      </c>
      <c r="J923" s="11">
        <f t="shared" si="33"/>
        <v>8.0000000000000002E-3</v>
      </c>
      <c r="K923" s="6" t="s">
        <v>1416</v>
      </c>
      <c r="L923" s="20" t="s">
        <v>1422</v>
      </c>
      <c r="M923" s="7">
        <f>IF(ISBLANK($B923),_xlfn.XLOOKUP($A923,'2. TEUs &amp; Activities - EF'!$A$9:$A$190,'2. TEUs &amp; Activities - EF'!$J$9:$J$190),_xlfn.XLOOKUP($B923,'2. TEUs &amp; Activities - EF'!$B$9:$B$190,'2. TEUs &amp; Activities - EF'!$J$9:$J$190))*'3. Pollutant Emissions - EF'!$I923*IF(OR(ISBLANK($E923),$G923="Yes"),1,$E923)*IF($H923="Yes",1,(1-$F923))</f>
        <v>0.17004705882352944</v>
      </c>
      <c r="N923" s="5">
        <f>IF(ISBLANK($B923),_xlfn.XLOOKUP($A923,'2. TEUs &amp; Activities - EF'!$A$9:$A$190,'2. TEUs &amp; Activities - EF'!$M$9:$M$190),_xlfn.XLOOKUP($B923,'2. TEUs &amp; Activities - EF'!$B$9:$B$190,'2. TEUs &amp; Activities - EF'!$M$9:$M$190))*'3. Pollutant Emissions - EF'!$J923*IF(OR(ISBLANK($E923),$G923="Yes"),1,$E923)*IF($H923="Yes",1,(1-$F923))</f>
        <v>4.6588235294117654E-4</v>
      </c>
      <c r="O923" s="130">
        <f>IFERROR(IF(OR($C923="",$C923="No CAS"),INDEX('DEQ Pollutant List'!$D$7:$D$611,MATCH($D923,'DEQ Pollutant List'!$B$7:$B$611,0)),INDEX('DEQ Pollutant List'!$D$7:$D$611,MATCH($C923,'DEQ Pollutant List'!$A$7:$A$611,0))),"")</f>
        <v>46</v>
      </c>
    </row>
    <row r="924" spans="1:15" ht="15" x14ac:dyDescent="0.25">
      <c r="A924" s="5" t="s">
        <v>1562</v>
      </c>
      <c r="B924" s="7"/>
      <c r="C924" s="13" t="s">
        <v>55</v>
      </c>
      <c r="D924" s="19" t="str">
        <f>IFERROR(IF(C924="No CAS","",INDEX('DEQ Pollutant List'!$B$7:$B$611,MATCH('3. Pollutant Emissions - EF'!C924,'DEQ Pollutant List'!$A$7:$A$611,0))),"")</f>
        <v>Beryllium and compounds</v>
      </c>
      <c r="E924" s="23">
        <v>0</v>
      </c>
      <c r="F924" s="21">
        <v>0</v>
      </c>
      <c r="G924" s="23" t="s">
        <v>1415</v>
      </c>
      <c r="H924" s="21" t="s">
        <v>1415</v>
      </c>
      <c r="I924" s="34">
        <v>1.2E-5</v>
      </c>
      <c r="J924" s="11">
        <f t="shared" si="33"/>
        <v>1.2E-5</v>
      </c>
      <c r="K924" s="6" t="s">
        <v>1416</v>
      </c>
      <c r="L924" s="20" t="s">
        <v>1422</v>
      </c>
      <c r="M924" s="7">
        <f>IF(ISBLANK($B924),_xlfn.XLOOKUP($A924,'2. TEUs &amp; Activities - EF'!$A$9:$A$190,'2. TEUs &amp; Activities - EF'!$J$9:$J$190),_xlfn.XLOOKUP($B924,'2. TEUs &amp; Activities - EF'!$B$9:$B$190,'2. TEUs &amp; Activities - EF'!$J$9:$J$190))*'3. Pollutant Emissions - EF'!$I924*IF(OR(ISBLANK($E924),$G924="Yes"),1,$E924)*IF($H924="Yes",1,(1-$F924))</f>
        <v>2.5507058823529417E-4</v>
      </c>
      <c r="N924" s="5">
        <f>IF(ISBLANK($B924),_xlfn.XLOOKUP($A924,'2. TEUs &amp; Activities - EF'!$A$9:$A$190,'2. TEUs &amp; Activities - EF'!$M$9:$M$190),_xlfn.XLOOKUP($B924,'2. TEUs &amp; Activities - EF'!$B$9:$B$190,'2. TEUs &amp; Activities - EF'!$M$9:$M$190))*'3. Pollutant Emissions - EF'!$J924*IF(OR(ISBLANK($E924),$G924="Yes"),1,$E924)*IF($H924="Yes",1,(1-$F924))</f>
        <v>6.9882352941176484E-7</v>
      </c>
      <c r="O924" s="130">
        <f>IFERROR(IF(OR($C924="",$C924="No CAS"),INDEX('DEQ Pollutant List'!$D$7:$D$611,MATCH($D924,'DEQ Pollutant List'!$B$7:$B$611,0)),INDEX('DEQ Pollutant List'!$D$7:$D$611,MATCH($C924,'DEQ Pollutant List'!$A$7:$A$611,0))),"")</f>
        <v>58</v>
      </c>
    </row>
    <row r="925" spans="1:15" ht="15" x14ac:dyDescent="0.25">
      <c r="A925" s="5" t="s">
        <v>1562</v>
      </c>
      <c r="B925" s="7"/>
      <c r="C925" s="13" t="s">
        <v>56</v>
      </c>
      <c r="D925" s="19" t="str">
        <f>IFERROR(IF(C925="No CAS","",INDEX('DEQ Pollutant List'!$B$7:$B$611,MATCH('3. Pollutant Emissions - EF'!C925,'DEQ Pollutant List'!$A$7:$A$611,0))),"")</f>
        <v>Cadmium and compounds</v>
      </c>
      <c r="E925" s="23">
        <v>0</v>
      </c>
      <c r="F925" s="21">
        <v>0</v>
      </c>
      <c r="G925" s="23" t="s">
        <v>1415</v>
      </c>
      <c r="H925" s="21" t="s">
        <v>1415</v>
      </c>
      <c r="I925" s="34">
        <v>1.1000000000000001E-3</v>
      </c>
      <c r="J925" s="11">
        <f t="shared" si="33"/>
        <v>1.1000000000000001E-3</v>
      </c>
      <c r="K925" s="6" t="s">
        <v>1416</v>
      </c>
      <c r="L925" s="20" t="s">
        <v>1422</v>
      </c>
      <c r="M925" s="7">
        <f>IF(ISBLANK($B925),_xlfn.XLOOKUP($A925,'2. TEUs &amp; Activities - EF'!$A$9:$A$190,'2. TEUs &amp; Activities - EF'!$J$9:$J$190),_xlfn.XLOOKUP($B925,'2. TEUs &amp; Activities - EF'!$B$9:$B$190,'2. TEUs &amp; Activities - EF'!$J$9:$J$190))*'3. Pollutant Emissions - EF'!$I925*IF(OR(ISBLANK($E925),$G925="Yes"),1,$E925)*IF($H925="Yes",1,(1-$F925))</f>
        <v>2.3381470588235299E-2</v>
      </c>
      <c r="N925" s="5">
        <f>IF(ISBLANK($B925),_xlfn.XLOOKUP($A925,'2. TEUs &amp; Activities - EF'!$A$9:$A$190,'2. TEUs &amp; Activities - EF'!$M$9:$M$190),_xlfn.XLOOKUP($B925,'2. TEUs &amp; Activities - EF'!$B$9:$B$190,'2. TEUs &amp; Activities - EF'!$M$9:$M$190))*'3. Pollutant Emissions - EF'!$J925*IF(OR(ISBLANK($E925),$G925="Yes"),1,$E925)*IF($H925="Yes",1,(1-$F925))</f>
        <v>6.4058823529411781E-5</v>
      </c>
      <c r="O925" s="130">
        <f>IFERROR(IF(OR($C925="",$C925="No CAS"),INDEX('DEQ Pollutant List'!$D$7:$D$611,MATCH($D925,'DEQ Pollutant List'!$B$7:$B$611,0)),INDEX('DEQ Pollutant List'!$D$7:$D$611,MATCH($C925,'DEQ Pollutant List'!$A$7:$A$611,0))),"")</f>
        <v>83</v>
      </c>
    </row>
    <row r="926" spans="1:15" ht="15" x14ac:dyDescent="0.25">
      <c r="A926" s="5" t="s">
        <v>1562</v>
      </c>
      <c r="B926" s="7"/>
      <c r="C926" s="13" t="s">
        <v>57</v>
      </c>
      <c r="D926" s="19" t="str">
        <f>IFERROR(IF(C926="No CAS","",INDEX('DEQ Pollutant List'!$B$7:$B$611,MATCH('3. Pollutant Emissions - EF'!C926,'DEQ Pollutant List'!$A$7:$A$611,0))),"")</f>
        <v>Chromium VI, chromate and dichromate particulate</v>
      </c>
      <c r="E926" s="23">
        <v>0</v>
      </c>
      <c r="F926" s="21">
        <v>0</v>
      </c>
      <c r="G926" s="23" t="s">
        <v>1415</v>
      </c>
      <c r="H926" s="21" t="s">
        <v>1415</v>
      </c>
      <c r="I926" s="34">
        <v>1.4E-3</v>
      </c>
      <c r="J926" s="11">
        <f t="shared" si="33"/>
        <v>1.4E-3</v>
      </c>
      <c r="K926" s="6" t="s">
        <v>1416</v>
      </c>
      <c r="L926" s="20" t="s">
        <v>1422</v>
      </c>
      <c r="M926" s="7">
        <f>IF(ISBLANK($B926),_xlfn.XLOOKUP($A926,'2. TEUs &amp; Activities - EF'!$A$9:$A$190,'2. TEUs &amp; Activities - EF'!$J$9:$J$190),_xlfn.XLOOKUP($B926,'2. TEUs &amp; Activities - EF'!$B$9:$B$190,'2. TEUs &amp; Activities - EF'!$J$9:$J$190))*'3. Pollutant Emissions - EF'!$I926*IF(OR(ISBLANK($E926),$G926="Yes"),1,$E926)*IF($H926="Yes",1,(1-$F926))</f>
        <v>2.9758235294117648E-2</v>
      </c>
      <c r="N926" s="5">
        <f>IF(ISBLANK($B926),_xlfn.XLOOKUP($A926,'2. TEUs &amp; Activities - EF'!$A$9:$A$190,'2. TEUs &amp; Activities - EF'!$M$9:$M$190),_xlfn.XLOOKUP($B926,'2. TEUs &amp; Activities - EF'!$B$9:$B$190,'2. TEUs &amp; Activities - EF'!$M$9:$M$190))*'3. Pollutant Emissions - EF'!$J926*IF(OR(ISBLANK($E926),$G926="Yes"),1,$E926)*IF($H926="Yes",1,(1-$F926))</f>
        <v>8.1529411764705894E-5</v>
      </c>
      <c r="O926" s="130">
        <f>IFERROR(IF(OR($C926="",$C926="No CAS"),INDEX('DEQ Pollutant List'!$D$7:$D$611,MATCH($D926,'DEQ Pollutant List'!$B$7:$B$611,0)),INDEX('DEQ Pollutant List'!$D$7:$D$611,MATCH($C926,'DEQ Pollutant List'!$A$7:$A$611,0))),"")</f>
        <v>136</v>
      </c>
    </row>
    <row r="927" spans="1:15" ht="15" x14ac:dyDescent="0.25">
      <c r="A927" s="5" t="s">
        <v>1562</v>
      </c>
      <c r="B927" s="7"/>
      <c r="C927" s="13" t="s">
        <v>58</v>
      </c>
      <c r="D927" s="19" t="str">
        <f>IFERROR(IF(C927="No CAS","",INDEX('DEQ Pollutant List'!$B$7:$B$611,MATCH('3. Pollutant Emissions - EF'!C927,'DEQ Pollutant List'!$A$7:$A$611,0))),"")</f>
        <v>Cobalt and compounds</v>
      </c>
      <c r="E927" s="23">
        <v>0</v>
      </c>
      <c r="F927" s="21">
        <v>0</v>
      </c>
      <c r="G927" s="23" t="s">
        <v>1415</v>
      </c>
      <c r="H927" s="21" t="s">
        <v>1415</v>
      </c>
      <c r="I927" s="34">
        <v>8.3999999999999995E-5</v>
      </c>
      <c r="J927" s="11">
        <f t="shared" si="33"/>
        <v>8.3999999999999995E-5</v>
      </c>
      <c r="K927" s="6" t="s">
        <v>1416</v>
      </c>
      <c r="L927" s="20" t="s">
        <v>1422</v>
      </c>
      <c r="M927" s="7">
        <f>IF(ISBLANK($B927),_xlfn.XLOOKUP($A927,'2. TEUs &amp; Activities - EF'!$A$9:$A$190,'2. TEUs &amp; Activities - EF'!$J$9:$J$190),_xlfn.XLOOKUP($B927,'2. TEUs &amp; Activities - EF'!$B$9:$B$190,'2. TEUs &amp; Activities - EF'!$J$9:$J$190))*'3. Pollutant Emissions - EF'!$I927*IF(OR(ISBLANK($E927),$G927="Yes"),1,$E927)*IF($H927="Yes",1,(1-$F927))</f>
        <v>1.7854941176470589E-3</v>
      </c>
      <c r="N927" s="5">
        <f>IF(ISBLANK($B927),_xlfn.XLOOKUP($A927,'2. TEUs &amp; Activities - EF'!$A$9:$A$190,'2. TEUs &amp; Activities - EF'!$M$9:$M$190),_xlfn.XLOOKUP($B927,'2. TEUs &amp; Activities - EF'!$B$9:$B$190,'2. TEUs &amp; Activities - EF'!$M$9:$M$190))*'3. Pollutant Emissions - EF'!$J927*IF(OR(ISBLANK($E927),$G927="Yes"),1,$E927)*IF($H927="Yes",1,(1-$F927))</f>
        <v>4.891764705882353E-6</v>
      </c>
      <c r="O927" s="130">
        <f>IFERROR(IF(OR($C927="",$C927="No CAS"),INDEX('DEQ Pollutant List'!$D$7:$D$611,MATCH($D927,'DEQ Pollutant List'!$B$7:$B$611,0)),INDEX('DEQ Pollutant List'!$D$7:$D$611,MATCH($C927,'DEQ Pollutant List'!$A$7:$A$611,0))),"")</f>
        <v>146</v>
      </c>
    </row>
    <row r="928" spans="1:15" ht="15" x14ac:dyDescent="0.25">
      <c r="A928" s="5" t="s">
        <v>1562</v>
      </c>
      <c r="B928" s="7"/>
      <c r="C928" s="13" t="s">
        <v>59</v>
      </c>
      <c r="D928" s="19" t="str">
        <f>IFERROR(IF(C928="No CAS","",INDEX('DEQ Pollutant List'!$B$7:$B$611,MATCH('3. Pollutant Emissions - EF'!C928,'DEQ Pollutant List'!$A$7:$A$611,0))),"")</f>
        <v>Copper and compounds</v>
      </c>
      <c r="E928" s="23">
        <v>0</v>
      </c>
      <c r="F928" s="21">
        <v>0</v>
      </c>
      <c r="G928" s="23" t="s">
        <v>1415</v>
      </c>
      <c r="H928" s="21" t="s">
        <v>1415</v>
      </c>
      <c r="I928" s="34">
        <v>8.4999999999999995E-4</v>
      </c>
      <c r="J928" s="11">
        <f t="shared" si="33"/>
        <v>8.4999999999999995E-4</v>
      </c>
      <c r="K928" s="6" t="s">
        <v>1416</v>
      </c>
      <c r="L928" s="20" t="s">
        <v>1422</v>
      </c>
      <c r="M928" s="7">
        <f>IF(ISBLANK($B928),_xlfn.XLOOKUP($A928,'2. TEUs &amp; Activities - EF'!$A$9:$A$190,'2. TEUs &amp; Activities - EF'!$J$9:$J$190),_xlfn.XLOOKUP($B928,'2. TEUs &amp; Activities - EF'!$B$9:$B$190,'2. TEUs &amp; Activities - EF'!$J$9:$J$190))*'3. Pollutant Emissions - EF'!$I928*IF(OR(ISBLANK($E928),$G928="Yes"),1,$E928)*IF($H928="Yes",1,(1-$F928))</f>
        <v>1.80675E-2</v>
      </c>
      <c r="N928" s="5">
        <f>IF(ISBLANK($B928),_xlfn.XLOOKUP($A928,'2. TEUs &amp; Activities - EF'!$A$9:$A$190,'2. TEUs &amp; Activities - EF'!$M$9:$M$190),_xlfn.XLOOKUP($B928,'2. TEUs &amp; Activities - EF'!$B$9:$B$190,'2. TEUs &amp; Activities - EF'!$M$9:$M$190))*'3. Pollutant Emissions - EF'!$J928*IF(OR(ISBLANK($E928),$G928="Yes"),1,$E928)*IF($H928="Yes",1,(1-$F928))</f>
        <v>4.9500000000000004E-5</v>
      </c>
      <c r="O928" s="130">
        <f>IFERROR(IF(OR($C928="",$C928="No CAS"),INDEX('DEQ Pollutant List'!$D$7:$D$611,MATCH($D928,'DEQ Pollutant List'!$B$7:$B$611,0)),INDEX('DEQ Pollutant List'!$D$7:$D$611,MATCH($C928,'DEQ Pollutant List'!$A$7:$A$611,0))),"")</f>
        <v>149</v>
      </c>
    </row>
    <row r="929" spans="1:15" ht="15" x14ac:dyDescent="0.25">
      <c r="A929" s="5" t="s">
        <v>1562</v>
      </c>
      <c r="B929" s="7"/>
      <c r="C929" s="13" t="s">
        <v>60</v>
      </c>
      <c r="D929" s="19" t="str">
        <f>IFERROR(IF(C929="No CAS","",INDEX('DEQ Pollutant List'!$B$7:$B$611,MATCH('3. Pollutant Emissions - EF'!C929,'DEQ Pollutant List'!$A$7:$A$611,0))),"")</f>
        <v>Ethyl benzene</v>
      </c>
      <c r="E929" s="23">
        <v>0</v>
      </c>
      <c r="F929" s="21">
        <v>0</v>
      </c>
      <c r="G929" s="23" t="s">
        <v>1415</v>
      </c>
      <c r="H929" s="21" t="s">
        <v>1415</v>
      </c>
      <c r="I929" s="34">
        <v>9.4999999999999998E-3</v>
      </c>
      <c r="J929" s="11">
        <f t="shared" si="33"/>
        <v>9.4999999999999998E-3</v>
      </c>
      <c r="K929" s="6" t="s">
        <v>1416</v>
      </c>
      <c r="L929" s="20" t="s">
        <v>1422</v>
      </c>
      <c r="M929" s="7">
        <f>IF(ISBLANK($B929),_xlfn.XLOOKUP($A929,'2. TEUs &amp; Activities - EF'!$A$9:$A$190,'2. TEUs &amp; Activities - EF'!$J$9:$J$190),_xlfn.XLOOKUP($B929,'2. TEUs &amp; Activities - EF'!$B$9:$B$190,'2. TEUs &amp; Activities - EF'!$J$9:$J$190))*'3. Pollutant Emissions - EF'!$I929*IF(OR(ISBLANK($E929),$G929="Yes"),1,$E929)*IF($H929="Yes",1,(1-$F929))</f>
        <v>0.20193088235294118</v>
      </c>
      <c r="N929" s="5">
        <f>IF(ISBLANK($B929),_xlfn.XLOOKUP($A929,'2. TEUs &amp; Activities - EF'!$A$9:$A$190,'2. TEUs &amp; Activities - EF'!$M$9:$M$190),_xlfn.XLOOKUP($B929,'2. TEUs &amp; Activities - EF'!$B$9:$B$190,'2. TEUs &amp; Activities - EF'!$M$9:$M$190))*'3. Pollutant Emissions - EF'!$J929*IF(OR(ISBLANK($E929),$G929="Yes"),1,$E929)*IF($H929="Yes",1,(1-$F929))</f>
        <v>5.5323529411764713E-4</v>
      </c>
      <c r="O929" s="130">
        <f>IFERROR(IF(OR($C929="",$C929="No CAS"),INDEX('DEQ Pollutant List'!$D$7:$D$611,MATCH($D929,'DEQ Pollutant List'!$B$7:$B$611,0)),INDEX('DEQ Pollutant List'!$D$7:$D$611,MATCH($C929,'DEQ Pollutant List'!$A$7:$A$611,0))),"")</f>
        <v>229</v>
      </c>
    </row>
    <row r="930" spans="1:15" ht="15" x14ac:dyDescent="0.25">
      <c r="A930" s="5" t="s">
        <v>1562</v>
      </c>
      <c r="B930" s="7"/>
      <c r="C930" s="13" t="s">
        <v>47</v>
      </c>
      <c r="D930" s="19" t="str">
        <f>IFERROR(IF(C930="No CAS","",INDEX('DEQ Pollutant List'!$B$7:$B$611,MATCH('3. Pollutant Emissions - EF'!C930,'DEQ Pollutant List'!$A$7:$A$611,0))),"")</f>
        <v>Formaldehyde</v>
      </c>
      <c r="E930" s="23">
        <v>0</v>
      </c>
      <c r="F930" s="21">
        <v>0</v>
      </c>
      <c r="G930" s="23" t="s">
        <v>1415</v>
      </c>
      <c r="H930" s="21" t="s">
        <v>1415</v>
      </c>
      <c r="I930" s="34">
        <v>1.7000000000000001E-2</v>
      </c>
      <c r="J930" s="11">
        <f t="shared" si="33"/>
        <v>1.7000000000000001E-2</v>
      </c>
      <c r="K930" s="6" t="s">
        <v>1416</v>
      </c>
      <c r="L930" s="20" t="s">
        <v>1422</v>
      </c>
      <c r="M930" s="7">
        <f>IF(ISBLANK($B930),_xlfn.XLOOKUP($A930,'2. TEUs &amp; Activities - EF'!$A$9:$A$190,'2. TEUs &amp; Activities - EF'!$J$9:$J$190),_xlfn.XLOOKUP($B930,'2. TEUs &amp; Activities - EF'!$B$9:$B$190,'2. TEUs &amp; Activities - EF'!$J$9:$J$190))*'3. Pollutant Emissions - EF'!$I930*IF(OR(ISBLANK($E930),$G930="Yes"),1,$E930)*IF($H930="Yes",1,(1-$F930))</f>
        <v>0.36135000000000006</v>
      </c>
      <c r="N930" s="5">
        <f>IF(ISBLANK($B930),_xlfn.XLOOKUP($A930,'2. TEUs &amp; Activities - EF'!$A$9:$A$190,'2. TEUs &amp; Activities - EF'!$M$9:$M$190),_xlfn.XLOOKUP($B930,'2. TEUs &amp; Activities - EF'!$B$9:$B$190,'2. TEUs &amp; Activities - EF'!$M$9:$M$190))*'3. Pollutant Emissions - EF'!$J930*IF(OR(ISBLANK($E930),$G930="Yes"),1,$E930)*IF($H930="Yes",1,(1-$F930))</f>
        <v>9.9000000000000021E-4</v>
      </c>
      <c r="O930" s="130">
        <f>IFERROR(IF(OR($C930="",$C930="No CAS"),INDEX('DEQ Pollutant List'!$D$7:$D$611,MATCH($D930,'DEQ Pollutant List'!$B$7:$B$611,0)),INDEX('DEQ Pollutant List'!$D$7:$D$611,MATCH($C930,'DEQ Pollutant List'!$A$7:$A$611,0))),"")</f>
        <v>250</v>
      </c>
    </row>
    <row r="931" spans="1:15" ht="15" x14ac:dyDescent="0.25">
      <c r="A931" s="5" t="s">
        <v>1562</v>
      </c>
      <c r="B931" s="7"/>
      <c r="C931" s="13" t="s">
        <v>61</v>
      </c>
      <c r="D931" s="19" t="str">
        <f>IFERROR(IF(C931="No CAS","",INDEX('DEQ Pollutant List'!$B$7:$B$611,MATCH('3. Pollutant Emissions - EF'!C931,'DEQ Pollutant List'!$A$7:$A$611,0))),"")</f>
        <v>Hexane</v>
      </c>
      <c r="E931" s="23">
        <v>0</v>
      </c>
      <c r="F931" s="21">
        <v>0</v>
      </c>
      <c r="G931" s="23" t="s">
        <v>1415</v>
      </c>
      <c r="H931" s="21" t="s">
        <v>1415</v>
      </c>
      <c r="I931" s="34">
        <v>6.3E-3</v>
      </c>
      <c r="J931" s="11">
        <f t="shared" si="33"/>
        <v>6.3E-3</v>
      </c>
      <c r="K931" s="6" t="s">
        <v>1416</v>
      </c>
      <c r="L931" s="20" t="s">
        <v>1422</v>
      </c>
      <c r="M931" s="7">
        <f>IF(ISBLANK($B931),_xlfn.XLOOKUP($A931,'2. TEUs &amp; Activities - EF'!$A$9:$A$190,'2. TEUs &amp; Activities - EF'!$J$9:$J$190),_xlfn.XLOOKUP($B931,'2. TEUs &amp; Activities - EF'!$B$9:$B$190,'2. TEUs &amp; Activities - EF'!$J$9:$J$190))*'3. Pollutant Emissions - EF'!$I931*IF(OR(ISBLANK($E931),$G931="Yes"),1,$E931)*IF($H931="Yes",1,(1-$F931))</f>
        <v>0.13391205882352941</v>
      </c>
      <c r="N931" s="5">
        <f>IF(ISBLANK($B931),_xlfn.XLOOKUP($A931,'2. TEUs &amp; Activities - EF'!$A$9:$A$190,'2. TEUs &amp; Activities - EF'!$M$9:$M$190),_xlfn.XLOOKUP($B931,'2. TEUs &amp; Activities - EF'!$B$9:$B$190,'2. TEUs &amp; Activities - EF'!$M$9:$M$190))*'3. Pollutant Emissions - EF'!$J931*IF(OR(ISBLANK($E931),$G931="Yes"),1,$E931)*IF($H931="Yes",1,(1-$F931))</f>
        <v>3.6688235294117652E-4</v>
      </c>
      <c r="O931" s="130">
        <f>IFERROR(IF(OR($C931="",$C931="No CAS"),INDEX('DEQ Pollutant List'!$D$7:$D$611,MATCH($D931,'DEQ Pollutant List'!$B$7:$B$611,0)),INDEX('DEQ Pollutant List'!$D$7:$D$611,MATCH($C931,'DEQ Pollutant List'!$A$7:$A$611,0))),"")</f>
        <v>289</v>
      </c>
    </row>
    <row r="932" spans="1:15" ht="15" x14ac:dyDescent="0.25">
      <c r="A932" s="5" t="s">
        <v>1562</v>
      </c>
      <c r="B932" s="7"/>
      <c r="C932" s="13" t="s">
        <v>62</v>
      </c>
      <c r="D932" s="19" t="str">
        <f>IFERROR(IF(C932="No CAS","",INDEX('DEQ Pollutant List'!$B$7:$B$611,MATCH('3. Pollutant Emissions - EF'!C932,'DEQ Pollutant List'!$A$7:$A$611,0))),"")</f>
        <v>Lead and compounds</v>
      </c>
      <c r="E932" s="23">
        <v>0</v>
      </c>
      <c r="F932" s="21">
        <v>0</v>
      </c>
      <c r="G932" s="23" t="s">
        <v>1415</v>
      </c>
      <c r="H932" s="21" t="s">
        <v>1415</v>
      </c>
      <c r="I932" s="34">
        <v>5.0000000000000001E-4</v>
      </c>
      <c r="J932" s="11">
        <f t="shared" si="33"/>
        <v>5.0000000000000001E-4</v>
      </c>
      <c r="K932" s="6" t="s">
        <v>1416</v>
      </c>
      <c r="L932" s="20" t="s">
        <v>1422</v>
      </c>
      <c r="M932" s="7">
        <f>IF(ISBLANK($B932),_xlfn.XLOOKUP($A932,'2. TEUs &amp; Activities - EF'!$A$9:$A$190,'2. TEUs &amp; Activities - EF'!$J$9:$J$190),_xlfn.XLOOKUP($B932,'2. TEUs &amp; Activities - EF'!$B$9:$B$190,'2. TEUs &amp; Activities - EF'!$J$9:$J$190))*'3. Pollutant Emissions - EF'!$I932*IF(OR(ISBLANK($E932),$G932="Yes"),1,$E932)*IF($H932="Yes",1,(1-$F932))</f>
        <v>1.062794117647059E-2</v>
      </c>
      <c r="N932" s="5">
        <f>IF(ISBLANK($B932),_xlfn.XLOOKUP($A932,'2. TEUs &amp; Activities - EF'!$A$9:$A$190,'2. TEUs &amp; Activities - EF'!$M$9:$M$190),_xlfn.XLOOKUP($B932,'2. TEUs &amp; Activities - EF'!$B$9:$B$190,'2. TEUs &amp; Activities - EF'!$M$9:$M$190))*'3. Pollutant Emissions - EF'!$J932*IF(OR(ISBLANK($E932),$G932="Yes"),1,$E932)*IF($H932="Yes",1,(1-$F932))</f>
        <v>2.9117647058823534E-5</v>
      </c>
      <c r="O932" s="130">
        <f>IFERROR(IF(OR($C932="",$C932="No CAS"),INDEX('DEQ Pollutant List'!$D$7:$D$611,MATCH($D932,'DEQ Pollutant List'!$B$7:$B$611,0)),INDEX('DEQ Pollutant List'!$D$7:$D$611,MATCH($C932,'DEQ Pollutant List'!$A$7:$A$611,0))),"")</f>
        <v>305</v>
      </c>
    </row>
    <row r="933" spans="1:15" ht="15" x14ac:dyDescent="0.25">
      <c r="A933" s="5" t="s">
        <v>1562</v>
      </c>
      <c r="B933" s="7"/>
      <c r="C933" s="13" t="s">
        <v>63</v>
      </c>
      <c r="D933" s="19" t="str">
        <f>IFERROR(IF(C933="No CAS","",INDEX('DEQ Pollutant List'!$B$7:$B$611,MATCH('3. Pollutant Emissions - EF'!C933,'DEQ Pollutant List'!$A$7:$A$611,0))),"")</f>
        <v>Manganese and compounds</v>
      </c>
      <c r="E933" s="23">
        <v>0</v>
      </c>
      <c r="F933" s="21">
        <v>0</v>
      </c>
      <c r="G933" s="23" t="s">
        <v>1415</v>
      </c>
      <c r="H933" s="21" t="s">
        <v>1415</v>
      </c>
      <c r="I933" s="34">
        <v>3.8000000000000002E-4</v>
      </c>
      <c r="J933" s="11">
        <f t="shared" si="33"/>
        <v>3.8000000000000002E-4</v>
      </c>
      <c r="K933" s="6" t="s">
        <v>1416</v>
      </c>
      <c r="L933" s="20" t="s">
        <v>1422</v>
      </c>
      <c r="M933" s="7">
        <f>IF(ISBLANK($B933),_xlfn.XLOOKUP($A933,'2. TEUs &amp; Activities - EF'!$A$9:$A$190,'2. TEUs &amp; Activities - EF'!$J$9:$J$190),_xlfn.XLOOKUP($B933,'2. TEUs &amp; Activities - EF'!$B$9:$B$190,'2. TEUs &amp; Activities - EF'!$J$9:$J$190))*'3. Pollutant Emissions - EF'!$I933*IF(OR(ISBLANK($E933),$G933="Yes"),1,$E933)*IF($H933="Yes",1,(1-$F933))</f>
        <v>8.077235294117649E-3</v>
      </c>
      <c r="N933" s="5">
        <f>IF(ISBLANK($B933),_xlfn.XLOOKUP($A933,'2. TEUs &amp; Activities - EF'!$A$9:$A$190,'2. TEUs &amp; Activities - EF'!$M$9:$M$190),_xlfn.XLOOKUP($B933,'2. TEUs &amp; Activities - EF'!$B$9:$B$190,'2. TEUs &amp; Activities - EF'!$M$9:$M$190))*'3. Pollutant Emissions - EF'!$J933*IF(OR(ISBLANK($E933),$G933="Yes"),1,$E933)*IF($H933="Yes",1,(1-$F933))</f>
        <v>2.2129411764705887E-5</v>
      </c>
      <c r="O933" s="130">
        <f>IFERROR(IF(OR($C933="",$C933="No CAS"),INDEX('DEQ Pollutant List'!$D$7:$D$611,MATCH($D933,'DEQ Pollutant List'!$B$7:$B$611,0)),INDEX('DEQ Pollutant List'!$D$7:$D$611,MATCH($C933,'DEQ Pollutant List'!$A$7:$A$611,0))),"")</f>
        <v>312</v>
      </c>
    </row>
    <row r="934" spans="1:15" ht="15" x14ac:dyDescent="0.25">
      <c r="A934" s="5" t="s">
        <v>1562</v>
      </c>
      <c r="B934" s="7"/>
      <c r="C934" s="13" t="s">
        <v>64</v>
      </c>
      <c r="D934" s="19" t="str">
        <f>IFERROR(IF(C934="No CAS","",INDEX('DEQ Pollutant List'!$B$7:$B$611,MATCH('3. Pollutant Emissions - EF'!C934,'DEQ Pollutant List'!$A$7:$A$611,0))),"")</f>
        <v>Mercury and compounds</v>
      </c>
      <c r="E934" s="23">
        <v>0</v>
      </c>
      <c r="F934" s="21">
        <v>0</v>
      </c>
      <c r="G934" s="23" t="s">
        <v>1415</v>
      </c>
      <c r="H934" s="21" t="s">
        <v>1415</v>
      </c>
      <c r="I934" s="34">
        <v>2.5999999999999998E-4</v>
      </c>
      <c r="J934" s="11">
        <f t="shared" si="33"/>
        <v>2.5999999999999998E-4</v>
      </c>
      <c r="K934" s="6" t="s">
        <v>1416</v>
      </c>
      <c r="L934" s="20" t="s">
        <v>1422</v>
      </c>
      <c r="M934" s="7">
        <f>IF(ISBLANK($B934),_xlfn.XLOOKUP($A934,'2. TEUs &amp; Activities - EF'!$A$9:$A$190,'2. TEUs &amp; Activities - EF'!$J$9:$J$190),_xlfn.XLOOKUP($B934,'2. TEUs &amp; Activities - EF'!$B$9:$B$190,'2. TEUs &amp; Activities - EF'!$J$9:$J$190))*'3. Pollutant Emissions - EF'!$I934*IF(OR(ISBLANK($E934),$G934="Yes"),1,$E934)*IF($H934="Yes",1,(1-$F934))</f>
        <v>5.5265294117647062E-3</v>
      </c>
      <c r="N934" s="5">
        <f>IF(ISBLANK($B934),_xlfn.XLOOKUP($A934,'2. TEUs &amp; Activities - EF'!$A$9:$A$190,'2. TEUs &amp; Activities - EF'!$M$9:$M$190),_xlfn.XLOOKUP($B934,'2. TEUs &amp; Activities - EF'!$B$9:$B$190,'2. TEUs &amp; Activities - EF'!$M$9:$M$190))*'3. Pollutant Emissions - EF'!$J934*IF(OR(ISBLANK($E934),$G934="Yes"),1,$E934)*IF($H934="Yes",1,(1-$F934))</f>
        <v>1.5141176470588235E-5</v>
      </c>
      <c r="O934" s="130">
        <f>IFERROR(IF(OR($C934="",$C934="No CAS"),INDEX('DEQ Pollutant List'!$D$7:$D$611,MATCH($D934,'DEQ Pollutant List'!$B$7:$B$611,0)),INDEX('DEQ Pollutant List'!$D$7:$D$611,MATCH($C934,'DEQ Pollutant List'!$A$7:$A$611,0))),"")</f>
        <v>316</v>
      </c>
    </row>
    <row r="935" spans="1:15" ht="15" x14ac:dyDescent="0.25">
      <c r="A935" s="5" t="s">
        <v>1562</v>
      </c>
      <c r="B935" s="7"/>
      <c r="C935" s="13" t="s">
        <v>65</v>
      </c>
      <c r="D935" s="19" t="str">
        <f>IFERROR(IF(C935="No CAS","",INDEX('DEQ Pollutant List'!$B$7:$B$611,MATCH('3. Pollutant Emissions - EF'!C935,'DEQ Pollutant List'!$A$7:$A$611,0))),"")</f>
        <v>Molybdenum trioxide</v>
      </c>
      <c r="E935" s="23">
        <v>0</v>
      </c>
      <c r="F935" s="21">
        <v>0</v>
      </c>
      <c r="G935" s="23" t="s">
        <v>1415</v>
      </c>
      <c r="H935" s="21" t="s">
        <v>1415</v>
      </c>
      <c r="I935" s="34">
        <v>1.65E-3</v>
      </c>
      <c r="J935" s="11">
        <f t="shared" si="33"/>
        <v>1.65E-3</v>
      </c>
      <c r="K935" s="6" t="s">
        <v>1416</v>
      </c>
      <c r="L935" s="20" t="s">
        <v>1422</v>
      </c>
      <c r="M935" s="7">
        <f>IF(ISBLANK($B935),_xlfn.XLOOKUP($A935,'2. TEUs &amp; Activities - EF'!$A$9:$A$190,'2. TEUs &amp; Activities - EF'!$J$9:$J$190),_xlfn.XLOOKUP($B935,'2. TEUs &amp; Activities - EF'!$B$9:$B$190,'2. TEUs &amp; Activities - EF'!$J$9:$J$190))*'3. Pollutant Emissions - EF'!$I935*IF(OR(ISBLANK($E935),$G935="Yes"),1,$E935)*IF($H935="Yes",1,(1-$F935))</f>
        <v>3.5072205882352943E-2</v>
      </c>
      <c r="N935" s="5">
        <f>IF(ISBLANK($B935),_xlfn.XLOOKUP($A935,'2. TEUs &amp; Activities - EF'!$A$9:$A$190,'2. TEUs &amp; Activities - EF'!$M$9:$M$190),_xlfn.XLOOKUP($B935,'2. TEUs &amp; Activities - EF'!$B$9:$B$190,'2. TEUs &amp; Activities - EF'!$M$9:$M$190))*'3. Pollutant Emissions - EF'!$J935*IF(OR(ISBLANK($E935),$G935="Yes"),1,$E935)*IF($H935="Yes",1,(1-$F935))</f>
        <v>9.6088235294117664E-5</v>
      </c>
      <c r="O935" s="130">
        <f>IFERROR(IF(OR($C935="",$C935="No CAS"),INDEX('DEQ Pollutant List'!$D$7:$D$611,MATCH($D935,'DEQ Pollutant List'!$B$7:$B$611,0)),INDEX('DEQ Pollutant List'!$D$7:$D$611,MATCH($C935,'DEQ Pollutant List'!$A$7:$A$611,0))),"")</f>
        <v>361</v>
      </c>
    </row>
    <row r="936" spans="1:15" ht="15" x14ac:dyDescent="0.25">
      <c r="A936" s="5" t="s">
        <v>1562</v>
      </c>
      <c r="B936" s="7"/>
      <c r="C936" s="13" t="s">
        <v>49</v>
      </c>
      <c r="D936" s="19" t="str">
        <f>IFERROR(IF(C936="No CAS","",INDEX('DEQ Pollutant List'!$B$7:$B$611,MATCH('3. Pollutant Emissions - EF'!C936,'DEQ Pollutant List'!$A$7:$A$611,0))),"")</f>
        <v>Naphthalene</v>
      </c>
      <c r="E936" s="23">
        <v>0</v>
      </c>
      <c r="F936" s="21">
        <v>0</v>
      </c>
      <c r="G936" s="23" t="s">
        <v>1415</v>
      </c>
      <c r="H936" s="21" t="s">
        <v>1415</v>
      </c>
      <c r="I936" s="34">
        <v>2.9999999999999997E-4</v>
      </c>
      <c r="J936" s="11">
        <f t="shared" si="33"/>
        <v>2.9999999999999997E-4</v>
      </c>
      <c r="K936" s="6" t="s">
        <v>1416</v>
      </c>
      <c r="L936" s="20" t="s">
        <v>1422</v>
      </c>
      <c r="M936" s="7">
        <f>IF(ISBLANK($B936),_xlfn.XLOOKUP($A936,'2. TEUs &amp; Activities - EF'!$A$9:$A$190,'2. TEUs &amp; Activities - EF'!$J$9:$J$190),_xlfn.XLOOKUP($B936,'2. TEUs &amp; Activities - EF'!$B$9:$B$190,'2. TEUs &amp; Activities - EF'!$J$9:$J$190))*'3. Pollutant Emissions - EF'!$I936*IF(OR(ISBLANK($E936),$G936="Yes"),1,$E936)*IF($H936="Yes",1,(1-$F936))</f>
        <v>6.3767647058823526E-3</v>
      </c>
      <c r="N936" s="5">
        <f>IF(ISBLANK($B936),_xlfn.XLOOKUP($A936,'2. TEUs &amp; Activities - EF'!$A$9:$A$190,'2. TEUs &amp; Activities - EF'!$M$9:$M$190),_xlfn.XLOOKUP($B936,'2. TEUs &amp; Activities - EF'!$B$9:$B$190,'2. TEUs &amp; Activities - EF'!$M$9:$M$190))*'3. Pollutant Emissions - EF'!$J936*IF(OR(ISBLANK($E936),$G936="Yes"),1,$E936)*IF($H936="Yes",1,(1-$F936))</f>
        <v>1.7470588235294117E-5</v>
      </c>
      <c r="O936" s="130">
        <f>IFERROR(IF(OR($C936="",$C936="No CAS"),INDEX('DEQ Pollutant List'!$D$7:$D$611,MATCH($D936,'DEQ Pollutant List'!$B$7:$B$611,0)),INDEX('DEQ Pollutant List'!$D$7:$D$611,MATCH($C936,'DEQ Pollutant List'!$A$7:$A$611,0))),"")</f>
        <v>428</v>
      </c>
    </row>
    <row r="937" spans="1:15" ht="15" x14ac:dyDescent="0.25">
      <c r="A937" s="5" t="s">
        <v>1562</v>
      </c>
      <c r="B937" s="7"/>
      <c r="C937" s="13" t="s">
        <v>66</v>
      </c>
      <c r="D937" s="19" t="str">
        <f>IFERROR(IF(C937="No CAS","",INDEX('DEQ Pollutant List'!$B$7:$B$611,MATCH('3. Pollutant Emissions - EF'!C937,'DEQ Pollutant List'!$A$7:$A$611,0))),"")</f>
        <v>Nickel and compounds</v>
      </c>
      <c r="E937" s="23">
        <v>0</v>
      </c>
      <c r="F937" s="21">
        <v>0</v>
      </c>
      <c r="G937" s="23" t="s">
        <v>1415</v>
      </c>
      <c r="H937" s="21" t="s">
        <v>1415</v>
      </c>
      <c r="I937" s="34">
        <v>2.0999999999999999E-3</v>
      </c>
      <c r="J937" s="11">
        <f t="shared" si="33"/>
        <v>2.0999999999999999E-3</v>
      </c>
      <c r="K937" s="6" t="s">
        <v>1416</v>
      </c>
      <c r="L937" s="20" t="s">
        <v>1422</v>
      </c>
      <c r="M937" s="7">
        <f>IF(ISBLANK($B937),_xlfn.XLOOKUP($A937,'2. TEUs &amp; Activities - EF'!$A$9:$A$190,'2. TEUs &amp; Activities - EF'!$J$9:$J$190),_xlfn.XLOOKUP($B937,'2. TEUs &amp; Activities - EF'!$B$9:$B$190,'2. TEUs &amp; Activities - EF'!$J$9:$J$190))*'3. Pollutant Emissions - EF'!$I937*IF(OR(ISBLANK($E937),$G937="Yes"),1,$E937)*IF($H937="Yes",1,(1-$F937))</f>
        <v>4.4637352941176468E-2</v>
      </c>
      <c r="N937" s="5">
        <f>IF(ISBLANK($B937),_xlfn.XLOOKUP($A937,'2. TEUs &amp; Activities - EF'!$A$9:$A$190,'2. TEUs &amp; Activities - EF'!$M$9:$M$190),_xlfn.XLOOKUP($B937,'2. TEUs &amp; Activities - EF'!$B$9:$B$190,'2. TEUs &amp; Activities - EF'!$M$9:$M$190))*'3. Pollutant Emissions - EF'!$J937*IF(OR(ISBLANK($E937),$G937="Yes"),1,$E937)*IF($H937="Yes",1,(1-$F937))</f>
        <v>1.2229411764705882E-4</v>
      </c>
      <c r="O937" s="130">
        <f>IFERROR(IF(OR($C937="",$C937="No CAS"),INDEX('DEQ Pollutant List'!$D$7:$D$611,MATCH($D937,'DEQ Pollutant List'!$B$7:$B$611,0)),INDEX('DEQ Pollutant List'!$D$7:$D$611,MATCH($C937,'DEQ Pollutant List'!$A$7:$A$611,0))),"")</f>
        <v>364</v>
      </c>
    </row>
    <row r="938" spans="1:15" ht="15" x14ac:dyDescent="0.25">
      <c r="A938" s="5" t="s">
        <v>1562</v>
      </c>
      <c r="B938" s="7"/>
      <c r="C938" s="13">
        <v>401</v>
      </c>
      <c r="D938" s="19" t="str">
        <f>IFERROR(IF(C938="No CAS","",INDEX('DEQ Pollutant List'!$B$7:$B$611,MATCH('3. Pollutant Emissions - EF'!C938,'DEQ Pollutant List'!$A$7:$A$611,0))),"")</f>
        <v>Polycyclic aromatic hydrocarbons (PAHs)</v>
      </c>
      <c r="E938" s="23">
        <v>0</v>
      </c>
      <c r="F938" s="21">
        <v>0</v>
      </c>
      <c r="G938" s="23" t="s">
        <v>1415</v>
      </c>
      <c r="H938" s="21" t="s">
        <v>1415</v>
      </c>
      <c r="I938" s="34">
        <v>1E-4</v>
      </c>
      <c r="J938" s="11">
        <f t="shared" si="33"/>
        <v>1E-4</v>
      </c>
      <c r="K938" s="6" t="s">
        <v>1416</v>
      </c>
      <c r="L938" s="20" t="s">
        <v>1422</v>
      </c>
      <c r="M938" s="7">
        <f>IF(ISBLANK($B938),_xlfn.XLOOKUP($A938,'2. TEUs &amp; Activities - EF'!$A$9:$A$190,'2. TEUs &amp; Activities - EF'!$J$9:$J$190),_xlfn.XLOOKUP($B938,'2. TEUs &amp; Activities - EF'!$B$9:$B$190,'2. TEUs &amp; Activities - EF'!$J$9:$J$190))*'3. Pollutant Emissions - EF'!$I938*IF(OR(ISBLANK($E938),$G938="Yes"),1,$E938)*IF($H938="Yes",1,(1-$F938))</f>
        <v>2.1255882352941178E-3</v>
      </c>
      <c r="N938" s="5">
        <f>IF(ISBLANK($B938),_xlfn.XLOOKUP($A938,'2. TEUs &amp; Activities - EF'!$A$9:$A$190,'2. TEUs &amp; Activities - EF'!$M$9:$M$190),_xlfn.XLOOKUP($B938,'2. TEUs &amp; Activities - EF'!$B$9:$B$190,'2. TEUs &amp; Activities - EF'!$M$9:$M$190))*'3. Pollutant Emissions - EF'!$J938*IF(OR(ISBLANK($E938),$G938="Yes"),1,$E938)*IF($H938="Yes",1,(1-$F938))</f>
        <v>5.8235294117647067E-6</v>
      </c>
      <c r="O938" s="130">
        <f>IFERROR(IF(OR($C938="",$C938="No CAS"),INDEX('DEQ Pollutant List'!$D$7:$D$611,MATCH($D938,'DEQ Pollutant List'!$B$7:$B$611,0)),INDEX('DEQ Pollutant List'!$D$7:$D$611,MATCH($C938,'DEQ Pollutant List'!$A$7:$A$611,0))),"")</f>
        <v>401</v>
      </c>
    </row>
    <row r="939" spans="1:15" ht="15" x14ac:dyDescent="0.25">
      <c r="A939" s="5" t="s">
        <v>1562</v>
      </c>
      <c r="B939" s="7"/>
      <c r="C939" s="13" t="s">
        <v>67</v>
      </c>
      <c r="D939" s="19" t="str">
        <f>IFERROR(IF(C939="No CAS","",INDEX('DEQ Pollutant List'!$B$7:$B$611,MATCH('3. Pollutant Emissions - EF'!C939,'DEQ Pollutant List'!$A$7:$A$611,0))),"")</f>
        <v>Selenium and compounds</v>
      </c>
      <c r="E939" s="23">
        <v>0</v>
      </c>
      <c r="F939" s="21">
        <v>0</v>
      </c>
      <c r="G939" s="23" t="s">
        <v>1415</v>
      </c>
      <c r="H939" s="21" t="s">
        <v>1415</v>
      </c>
      <c r="I939" s="34">
        <v>2.4000000000000001E-5</v>
      </c>
      <c r="J939" s="11">
        <f t="shared" si="33"/>
        <v>2.4000000000000001E-5</v>
      </c>
      <c r="K939" s="6" t="s">
        <v>1416</v>
      </c>
      <c r="L939" s="20" t="s">
        <v>1422</v>
      </c>
      <c r="M939" s="7">
        <f>IF(ISBLANK($B939),_xlfn.XLOOKUP($A939,'2. TEUs &amp; Activities - EF'!$A$9:$A$190,'2. TEUs &amp; Activities - EF'!$J$9:$J$190),_xlfn.XLOOKUP($B939,'2. TEUs &amp; Activities - EF'!$B$9:$B$190,'2. TEUs &amp; Activities - EF'!$J$9:$J$190))*'3. Pollutant Emissions - EF'!$I939*IF(OR(ISBLANK($E939),$G939="Yes"),1,$E939)*IF($H939="Yes",1,(1-$F939))</f>
        <v>5.1014117647058834E-4</v>
      </c>
      <c r="N939" s="5">
        <f>IF(ISBLANK($B939),_xlfn.XLOOKUP($A939,'2. TEUs &amp; Activities - EF'!$A$9:$A$190,'2. TEUs &amp; Activities - EF'!$M$9:$M$190),_xlfn.XLOOKUP($B939,'2. TEUs &amp; Activities - EF'!$B$9:$B$190,'2. TEUs &amp; Activities - EF'!$M$9:$M$190))*'3. Pollutant Emissions - EF'!$J939*IF(OR(ISBLANK($E939),$G939="Yes"),1,$E939)*IF($H939="Yes",1,(1-$F939))</f>
        <v>1.3976470588235297E-6</v>
      </c>
      <c r="O939" s="130">
        <f>IFERROR(IF(OR($C939="",$C939="No CAS"),INDEX('DEQ Pollutant List'!$D$7:$D$611,MATCH($D939,'DEQ Pollutant List'!$B$7:$B$611,0)),INDEX('DEQ Pollutant List'!$D$7:$D$611,MATCH($C939,'DEQ Pollutant List'!$A$7:$A$611,0))),"")</f>
        <v>575</v>
      </c>
    </row>
    <row r="940" spans="1:15" ht="15" x14ac:dyDescent="0.25">
      <c r="A940" s="5" t="s">
        <v>1562</v>
      </c>
      <c r="B940" s="7"/>
      <c r="C940" s="13" t="s">
        <v>68</v>
      </c>
      <c r="D940" s="19" t="str">
        <f>IFERROR(IF(C940="No CAS","",INDEX('DEQ Pollutant List'!$B$7:$B$611,MATCH('3. Pollutant Emissions - EF'!C940,'DEQ Pollutant List'!$A$7:$A$611,0))),"")</f>
        <v>Toluene</v>
      </c>
      <c r="E940" s="23">
        <v>0</v>
      </c>
      <c r="F940" s="21">
        <v>0</v>
      </c>
      <c r="G940" s="23" t="s">
        <v>1415</v>
      </c>
      <c r="H940" s="21" t="s">
        <v>1415</v>
      </c>
      <c r="I940" s="34">
        <v>3.6600000000000001E-2</v>
      </c>
      <c r="J940" s="11">
        <f t="shared" si="33"/>
        <v>3.6600000000000001E-2</v>
      </c>
      <c r="K940" s="6" t="s">
        <v>1416</v>
      </c>
      <c r="L940" s="20" t="s">
        <v>1422</v>
      </c>
      <c r="M940" s="7">
        <f>IF(ISBLANK($B940),_xlfn.XLOOKUP($A940,'2. TEUs &amp; Activities - EF'!$A$9:$A$190,'2. TEUs &amp; Activities - EF'!$J$9:$J$190),_xlfn.XLOOKUP($B940,'2. TEUs &amp; Activities - EF'!$B$9:$B$190,'2. TEUs &amp; Activities - EF'!$J$9:$J$190))*'3. Pollutant Emissions - EF'!$I940*IF(OR(ISBLANK($E940),$G940="Yes"),1,$E940)*IF($H940="Yes",1,(1-$F940))</f>
        <v>0.77796529411764714</v>
      </c>
      <c r="N940" s="5">
        <f>IF(ISBLANK($B940),_xlfn.XLOOKUP($A940,'2. TEUs &amp; Activities - EF'!$A$9:$A$190,'2. TEUs &amp; Activities - EF'!$M$9:$M$190),_xlfn.XLOOKUP($B940,'2. TEUs &amp; Activities - EF'!$B$9:$B$190,'2. TEUs &amp; Activities - EF'!$M$9:$M$190))*'3. Pollutant Emissions - EF'!$J940*IF(OR(ISBLANK($E940),$G940="Yes"),1,$E940)*IF($H940="Yes",1,(1-$F940))</f>
        <v>2.1314117647058825E-3</v>
      </c>
      <c r="O940" s="130">
        <f>IFERROR(IF(OR($C940="",$C940="No CAS"),INDEX('DEQ Pollutant List'!$D$7:$D$611,MATCH($D940,'DEQ Pollutant List'!$B$7:$B$611,0)),INDEX('DEQ Pollutant List'!$D$7:$D$611,MATCH($C940,'DEQ Pollutant List'!$A$7:$A$611,0))),"")</f>
        <v>600</v>
      </c>
    </row>
    <row r="941" spans="1:15" ht="15" x14ac:dyDescent="0.25">
      <c r="A941" s="5" t="s">
        <v>1562</v>
      </c>
      <c r="B941" s="7"/>
      <c r="C941" s="13" t="s">
        <v>69</v>
      </c>
      <c r="D941" s="19" t="str">
        <f>IFERROR(IF(C941="No CAS","",INDEX('DEQ Pollutant List'!$B$7:$B$611,MATCH('3. Pollutant Emissions - EF'!C941,'DEQ Pollutant List'!$A$7:$A$611,0))),"")</f>
        <v>Vanadium (fume or dust)</v>
      </c>
      <c r="E941" s="23">
        <v>0</v>
      </c>
      <c r="F941" s="21">
        <v>0</v>
      </c>
      <c r="G941" s="23" t="s">
        <v>1415</v>
      </c>
      <c r="H941" s="21" t="s">
        <v>1415</v>
      </c>
      <c r="I941" s="34">
        <v>2.3E-3</v>
      </c>
      <c r="J941" s="11">
        <f t="shared" si="33"/>
        <v>2.3E-3</v>
      </c>
      <c r="K941" s="6" t="s">
        <v>1416</v>
      </c>
      <c r="L941" s="20" t="s">
        <v>1422</v>
      </c>
      <c r="M941" s="7">
        <f>IF(ISBLANK($B941),_xlfn.XLOOKUP($A941,'2. TEUs &amp; Activities - EF'!$A$9:$A$190,'2. TEUs &amp; Activities - EF'!$J$9:$J$190),_xlfn.XLOOKUP($B941,'2. TEUs &amp; Activities - EF'!$B$9:$B$190,'2. TEUs &amp; Activities - EF'!$J$9:$J$190))*'3. Pollutant Emissions - EF'!$I941*IF(OR(ISBLANK($E941),$G941="Yes"),1,$E941)*IF($H941="Yes",1,(1-$F941))</f>
        <v>4.8888529411764706E-2</v>
      </c>
      <c r="N941" s="5">
        <f>IF(ISBLANK($B941),_xlfn.XLOOKUP($A941,'2. TEUs &amp; Activities - EF'!$A$9:$A$190,'2. TEUs &amp; Activities - EF'!$M$9:$M$190),_xlfn.XLOOKUP($B941,'2. TEUs &amp; Activities - EF'!$B$9:$B$190,'2. TEUs &amp; Activities - EF'!$M$9:$M$190))*'3. Pollutant Emissions - EF'!$J941*IF(OR(ISBLANK($E941),$G941="Yes"),1,$E941)*IF($H941="Yes",1,(1-$F941))</f>
        <v>1.3394117647058825E-4</v>
      </c>
      <c r="O941" s="130">
        <f>IFERROR(IF(OR($C941="",$C941="No CAS"),INDEX('DEQ Pollutant List'!$D$7:$D$611,MATCH($D941,'DEQ Pollutant List'!$B$7:$B$611,0)),INDEX('DEQ Pollutant List'!$D$7:$D$611,MATCH($C941,'DEQ Pollutant List'!$A$7:$A$611,0))),"")</f>
        <v>620</v>
      </c>
    </row>
    <row r="942" spans="1:15" ht="15" x14ac:dyDescent="0.25">
      <c r="A942" s="5" t="s">
        <v>1562</v>
      </c>
      <c r="B942" s="7"/>
      <c r="C942" s="13" t="s">
        <v>70</v>
      </c>
      <c r="D942" s="19" t="str">
        <f>IFERROR(IF(C942="No CAS","",INDEX('DEQ Pollutant List'!$B$7:$B$611,MATCH('3. Pollutant Emissions - EF'!C942,'DEQ Pollutant List'!$A$7:$A$611,0))),"")</f>
        <v>Xylene (mixture), including m-xylene, o-xylene, p-xylene</v>
      </c>
      <c r="E942" s="23">
        <v>0</v>
      </c>
      <c r="F942" s="21">
        <v>0</v>
      </c>
      <c r="G942" s="23" t="s">
        <v>1415</v>
      </c>
      <c r="H942" s="21" t="s">
        <v>1415</v>
      </c>
      <c r="I942" s="34">
        <v>2.7199999999999998E-2</v>
      </c>
      <c r="J942" s="11">
        <f t="shared" si="33"/>
        <v>2.7199999999999998E-2</v>
      </c>
      <c r="K942" s="6" t="s">
        <v>1416</v>
      </c>
      <c r="L942" s="20" t="s">
        <v>1422</v>
      </c>
      <c r="M942" s="7">
        <f>IF(ISBLANK($B942),_xlfn.XLOOKUP($A942,'2. TEUs &amp; Activities - EF'!$A$9:$A$190,'2. TEUs &amp; Activities - EF'!$J$9:$J$190),_xlfn.XLOOKUP($B942,'2. TEUs &amp; Activities - EF'!$B$9:$B$190,'2. TEUs &amp; Activities - EF'!$J$9:$J$190))*'3. Pollutant Emissions - EF'!$I942*IF(OR(ISBLANK($E942),$G942="Yes"),1,$E942)*IF($H942="Yes",1,(1-$F942))</f>
        <v>0.57816000000000001</v>
      </c>
      <c r="N942" s="5">
        <f>IF(ISBLANK($B942),_xlfn.XLOOKUP($A942,'2. TEUs &amp; Activities - EF'!$A$9:$A$190,'2. TEUs &amp; Activities - EF'!$M$9:$M$190),_xlfn.XLOOKUP($B942,'2. TEUs &amp; Activities - EF'!$B$9:$B$190,'2. TEUs &amp; Activities - EF'!$M$9:$M$190))*'3. Pollutant Emissions - EF'!$J942*IF(OR(ISBLANK($E942),$G942="Yes"),1,$E942)*IF($H942="Yes",1,(1-$F942))</f>
        <v>1.5840000000000001E-3</v>
      </c>
      <c r="O942" s="130">
        <f>IFERROR(IF(OR($C942="",$C942="No CAS"),INDEX('DEQ Pollutant List'!$D$7:$D$611,MATCH($D942,'DEQ Pollutant List'!$B$7:$B$611,0)),INDEX('DEQ Pollutant List'!$D$7:$D$611,MATCH($C942,'DEQ Pollutant List'!$A$7:$A$611,0))),"")</f>
        <v>628</v>
      </c>
    </row>
    <row r="943" spans="1:15" ht="15" x14ac:dyDescent="0.25">
      <c r="A943" s="5" t="s">
        <v>1562</v>
      </c>
      <c r="B943" s="7"/>
      <c r="C943" s="13" t="s">
        <v>71</v>
      </c>
      <c r="D943" s="19" t="str">
        <f>IFERROR(IF(C943="No CAS","",INDEX('DEQ Pollutant List'!$B$7:$B$611,MATCH('3. Pollutant Emissions - EF'!C943,'DEQ Pollutant List'!$A$7:$A$611,0))),"")</f>
        <v>Zinc and compounds</v>
      </c>
      <c r="E943" s="23">
        <v>0</v>
      </c>
      <c r="F943" s="21">
        <v>0</v>
      </c>
      <c r="G943" s="23" t="s">
        <v>1415</v>
      </c>
      <c r="H943" s="21" t="s">
        <v>1415</v>
      </c>
      <c r="I943" s="34">
        <v>2.9000000000000001E-2</v>
      </c>
      <c r="J943" s="11">
        <f t="shared" si="33"/>
        <v>2.9000000000000001E-2</v>
      </c>
      <c r="K943" s="6" t="s">
        <v>1416</v>
      </c>
      <c r="L943" s="20" t="s">
        <v>1422</v>
      </c>
      <c r="M943" s="7">
        <f>IF(ISBLANK($B943),_xlfn.XLOOKUP($A943,'2. TEUs &amp; Activities - EF'!$A$9:$A$190,'2. TEUs &amp; Activities - EF'!$J$9:$J$190),_xlfn.XLOOKUP($B943,'2. TEUs &amp; Activities - EF'!$B$9:$B$190,'2. TEUs &amp; Activities - EF'!$J$9:$J$190))*'3. Pollutant Emissions - EF'!$I943*IF(OR(ISBLANK($E943),$G943="Yes"),1,$E943)*IF($H943="Yes",1,(1-$F943))</f>
        <v>0.61642058823529422</v>
      </c>
      <c r="N943" s="5">
        <f>IF(ISBLANK($B943),_xlfn.XLOOKUP($A943,'2. TEUs &amp; Activities - EF'!$A$9:$A$190,'2. TEUs &amp; Activities - EF'!$M$9:$M$190),_xlfn.XLOOKUP($B943,'2. TEUs &amp; Activities - EF'!$B$9:$B$190,'2. TEUs &amp; Activities - EF'!$M$9:$M$190))*'3. Pollutant Emissions - EF'!$J943*IF(OR(ISBLANK($E943),$G943="Yes"),1,$E943)*IF($H943="Yes",1,(1-$F943))</f>
        <v>1.688823529411765E-3</v>
      </c>
      <c r="O943" s="130">
        <f>IFERROR(IF(OR($C943="",$C943="No CAS"),INDEX('DEQ Pollutant List'!$D$7:$D$611,MATCH($D943,'DEQ Pollutant List'!$B$7:$B$611,0)),INDEX('DEQ Pollutant List'!$D$7:$D$611,MATCH($C943,'DEQ Pollutant List'!$A$7:$A$611,0))),"")</f>
        <v>632</v>
      </c>
    </row>
    <row r="944" spans="1:15" ht="15" x14ac:dyDescent="0.25">
      <c r="A944" s="5"/>
      <c r="B944" s="7"/>
      <c r="C944" s="13"/>
      <c r="D944" s="19" t="str">
        <f>IFERROR(IF(C944="No CAS","",INDEX('DEQ Pollutant List'!$B$7:$B$611,MATCH('3. Pollutant Emissions - EF'!C944,'DEQ Pollutant List'!$A$7:$A$611,0))),"")</f>
        <v/>
      </c>
      <c r="E944" s="23"/>
      <c r="F944" s="21"/>
      <c r="G944" s="23"/>
      <c r="H944" s="21"/>
      <c r="I944" s="34"/>
      <c r="J944" s="11"/>
      <c r="K944" s="6"/>
      <c r="L944" s="20"/>
      <c r="M944" s="7">
        <f>IF(ISBLANK($B944),_xlfn.XLOOKUP($A944,'2. TEUs &amp; Activities - EF'!$A$9:$A$190,'2. TEUs &amp; Activities - EF'!$J$9:$J$190),_xlfn.XLOOKUP($B944,'2. TEUs &amp; Activities - EF'!$B$9:$B$190,'2. TEUs &amp; Activities - EF'!$J$9:$J$190))*'3. Pollutant Emissions - EF'!$I944*IF(OR(ISBLANK($E944),$G944="Yes"),1,$E944)*IF($H944="Yes",1,(1-$F944))</f>
        <v>0</v>
      </c>
      <c r="N944" s="5">
        <f>IF(ISBLANK($B944),_xlfn.XLOOKUP($A944,'2. TEUs &amp; Activities - EF'!$A$9:$A$190,'2. TEUs &amp; Activities - EF'!$M$9:$M$190),_xlfn.XLOOKUP($B944,'2. TEUs &amp; Activities - EF'!$B$9:$B$190,'2. TEUs &amp; Activities - EF'!$M$9:$M$190))*'3. Pollutant Emissions - EF'!$J944*IF(OR(ISBLANK($E944),$G944="Yes"),1,$E944)*IF($H944="Yes",1,(1-$F944))</f>
        <v>0</v>
      </c>
      <c r="O944" s="130" t="str">
        <f>IFERROR(IF(OR($C944="",$C944="No CAS"),INDEX('DEQ Pollutant List'!$D$7:$D$611,MATCH($D944,'DEQ Pollutant List'!$B$7:$B$611,0)),INDEX('DEQ Pollutant List'!$D$7:$D$611,MATCH($C944,'DEQ Pollutant List'!$A$7:$A$611,0))),"")</f>
        <v/>
      </c>
    </row>
    <row r="945" spans="1:15" ht="15" x14ac:dyDescent="0.25">
      <c r="A945" s="5" t="s">
        <v>1563</v>
      </c>
      <c r="B945" s="7"/>
      <c r="C945" s="13" t="s">
        <v>50</v>
      </c>
      <c r="D945" s="19" t="str">
        <f>IFERROR(IF(C945="No CAS","",INDEX('DEQ Pollutant List'!$B$7:$B$611,MATCH('3. Pollutant Emissions - EF'!C945,'DEQ Pollutant List'!$A$7:$A$611,0))),"")</f>
        <v>Acetaldehyde</v>
      </c>
      <c r="E945" s="23">
        <v>0</v>
      </c>
      <c r="F945" s="21">
        <v>0</v>
      </c>
      <c r="G945" s="23" t="s">
        <v>1415</v>
      </c>
      <c r="H945" s="21" t="s">
        <v>1415</v>
      </c>
      <c r="I945" s="34">
        <v>4.3E-3</v>
      </c>
      <c r="J945" s="11">
        <f t="shared" ref="J945:J970" si="34">I945</f>
        <v>4.3E-3</v>
      </c>
      <c r="K945" s="6" t="s">
        <v>1416</v>
      </c>
      <c r="L945" s="20" t="s">
        <v>1422</v>
      </c>
      <c r="M945" s="7">
        <f>IF(ISBLANK($B945),_xlfn.XLOOKUP($A945,'2. TEUs &amp; Activities - EF'!$A$9:$A$190,'2. TEUs &amp; Activities - EF'!$J$9:$J$190),_xlfn.XLOOKUP($B945,'2. TEUs &amp; Activities - EF'!$B$9:$B$190,'2. TEUs &amp; Activities - EF'!$J$9:$J$190))*'3. Pollutant Emissions - EF'!$I945*IF(OR(ISBLANK($E945),$G945="Yes"),1,$E945)*IF($H945="Yes",1,(1-$F945))</f>
        <v>9.1400294117647066E-2</v>
      </c>
      <c r="N945" s="5">
        <f>IF(ISBLANK($B945),_xlfn.XLOOKUP($A945,'2. TEUs &amp; Activities - EF'!$A$9:$A$190,'2. TEUs &amp; Activities - EF'!$M$9:$M$190),_xlfn.XLOOKUP($B945,'2. TEUs &amp; Activities - EF'!$B$9:$B$190,'2. TEUs &amp; Activities - EF'!$M$9:$M$190))*'3. Pollutant Emissions - EF'!$J945*IF(OR(ISBLANK($E945),$G945="Yes"),1,$E945)*IF($H945="Yes",1,(1-$F945))</f>
        <v>2.5041176470588236E-4</v>
      </c>
      <c r="O945" s="130">
        <f>IFERROR(IF(OR($C945="",$C945="No CAS"),INDEX('DEQ Pollutant List'!$D$7:$D$611,MATCH($D945,'DEQ Pollutant List'!$B$7:$B$611,0)),INDEX('DEQ Pollutant List'!$D$7:$D$611,MATCH($C945,'DEQ Pollutant List'!$A$7:$A$611,0))),"")</f>
        <v>1</v>
      </c>
    </row>
    <row r="946" spans="1:15" ht="15" x14ac:dyDescent="0.25">
      <c r="A946" s="5" t="s">
        <v>1563</v>
      </c>
      <c r="B946" s="7"/>
      <c r="C946" s="13" t="s">
        <v>51</v>
      </c>
      <c r="D946" s="19" t="str">
        <f>IFERROR(IF(C946="No CAS","",INDEX('DEQ Pollutant List'!$B$7:$B$611,MATCH('3. Pollutant Emissions - EF'!C946,'DEQ Pollutant List'!$A$7:$A$611,0))),"")</f>
        <v>Acrolein</v>
      </c>
      <c r="E946" s="23">
        <v>0</v>
      </c>
      <c r="F946" s="21">
        <v>0</v>
      </c>
      <c r="G946" s="23" t="s">
        <v>1415</v>
      </c>
      <c r="H946" s="21" t="s">
        <v>1415</v>
      </c>
      <c r="I946" s="34">
        <v>2.7000000000000001E-3</v>
      </c>
      <c r="J946" s="11">
        <f t="shared" si="34"/>
        <v>2.7000000000000001E-3</v>
      </c>
      <c r="K946" s="6" t="s">
        <v>1416</v>
      </c>
      <c r="L946" s="20" t="s">
        <v>1422</v>
      </c>
      <c r="M946" s="7">
        <f>IF(ISBLANK($B946),_xlfn.XLOOKUP($A946,'2. TEUs &amp; Activities - EF'!$A$9:$A$190,'2. TEUs &amp; Activities - EF'!$J$9:$J$190),_xlfn.XLOOKUP($B946,'2. TEUs &amp; Activities - EF'!$B$9:$B$190,'2. TEUs &amp; Activities - EF'!$J$9:$J$190))*'3. Pollutant Emissions - EF'!$I946*IF(OR(ISBLANK($E946),$G946="Yes"),1,$E946)*IF($H946="Yes",1,(1-$F946))</f>
        <v>5.7390882352941187E-2</v>
      </c>
      <c r="N946" s="5">
        <f>IF(ISBLANK($B946),_xlfn.XLOOKUP($A946,'2. TEUs &amp; Activities - EF'!$A$9:$A$190,'2. TEUs &amp; Activities - EF'!$M$9:$M$190),_xlfn.XLOOKUP($B946,'2. TEUs &amp; Activities - EF'!$B$9:$B$190,'2. TEUs &amp; Activities - EF'!$M$9:$M$190))*'3. Pollutant Emissions - EF'!$J946*IF(OR(ISBLANK($E946),$G946="Yes"),1,$E946)*IF($H946="Yes",1,(1-$F946))</f>
        <v>1.5723529411764707E-4</v>
      </c>
      <c r="O946" s="130">
        <f>IFERROR(IF(OR($C946="",$C946="No CAS"),INDEX('DEQ Pollutant List'!$D$7:$D$611,MATCH($D946,'DEQ Pollutant List'!$B$7:$B$611,0)),INDEX('DEQ Pollutant List'!$D$7:$D$611,MATCH($C946,'DEQ Pollutant List'!$A$7:$A$611,0))),"")</f>
        <v>5</v>
      </c>
    </row>
    <row r="947" spans="1:15" ht="15" x14ac:dyDescent="0.25">
      <c r="A947" s="5" t="s">
        <v>1563</v>
      </c>
      <c r="B947" s="7"/>
      <c r="C947" s="13" t="s">
        <v>52</v>
      </c>
      <c r="D947" s="19" t="str">
        <f>IFERROR(IF(C947="No CAS","",INDEX('DEQ Pollutant List'!$B$7:$B$611,MATCH('3. Pollutant Emissions - EF'!C947,'DEQ Pollutant List'!$A$7:$A$611,0))),"")</f>
        <v>Ammonia</v>
      </c>
      <c r="E947" s="23">
        <v>0</v>
      </c>
      <c r="F947" s="21">
        <v>0</v>
      </c>
      <c r="G947" s="23" t="s">
        <v>1415</v>
      </c>
      <c r="H947" s="21" t="s">
        <v>1415</v>
      </c>
      <c r="I947" s="34">
        <v>3.2</v>
      </c>
      <c r="J947" s="11">
        <f t="shared" si="34"/>
        <v>3.2</v>
      </c>
      <c r="K947" s="6" t="s">
        <v>1416</v>
      </c>
      <c r="L947" s="20" t="s">
        <v>1586</v>
      </c>
      <c r="M947" s="7">
        <f>IF(ISBLANK($B947),_xlfn.XLOOKUP($A947,'2. TEUs &amp; Activities - EF'!$A$9:$A$190,'2. TEUs &amp; Activities - EF'!$J$9:$J$190),_xlfn.XLOOKUP($B947,'2. TEUs &amp; Activities - EF'!$B$9:$B$190,'2. TEUs &amp; Activities - EF'!$J$9:$J$190))*'3. Pollutant Emissions - EF'!$I947*IF(OR(ISBLANK($E947),$G947="Yes"),1,$E947)*IF($H947="Yes",1,(1-$F947))</f>
        <v>68.018823529411776</v>
      </c>
      <c r="N947" s="5">
        <f>IF(ISBLANK($B947),_xlfn.XLOOKUP($A947,'2. TEUs &amp; Activities - EF'!$A$9:$A$190,'2. TEUs &amp; Activities - EF'!$M$9:$M$190),_xlfn.XLOOKUP($B947,'2. TEUs &amp; Activities - EF'!$B$9:$B$190,'2. TEUs &amp; Activities - EF'!$M$9:$M$190))*'3. Pollutant Emissions - EF'!$J947*IF(OR(ISBLANK($E947),$G947="Yes"),1,$E947)*IF($H947="Yes",1,(1-$F947))</f>
        <v>0.18635294117647061</v>
      </c>
      <c r="O947" s="130">
        <f>IFERROR(IF(OR($C947="",$C947="No CAS"),INDEX('DEQ Pollutant List'!$D$7:$D$611,MATCH($D947,'DEQ Pollutant List'!$B$7:$B$611,0)),INDEX('DEQ Pollutant List'!$D$7:$D$611,MATCH($C947,'DEQ Pollutant List'!$A$7:$A$611,0))),"")</f>
        <v>26</v>
      </c>
    </row>
    <row r="948" spans="1:15" ht="15" x14ac:dyDescent="0.25">
      <c r="A948" s="5" t="s">
        <v>1563</v>
      </c>
      <c r="B948" s="7"/>
      <c r="C948" s="13" t="s">
        <v>53</v>
      </c>
      <c r="D948" s="19" t="str">
        <f>IFERROR(IF(C948="No CAS","",INDEX('DEQ Pollutant List'!$B$7:$B$611,MATCH('3. Pollutant Emissions - EF'!C948,'DEQ Pollutant List'!$A$7:$A$611,0))),"")</f>
        <v>Arsenic and compounds</v>
      </c>
      <c r="E948" s="23">
        <v>0</v>
      </c>
      <c r="F948" s="21">
        <v>0</v>
      </c>
      <c r="G948" s="23" t="s">
        <v>1415</v>
      </c>
      <c r="H948" s="21" t="s">
        <v>1415</v>
      </c>
      <c r="I948" s="34">
        <v>2.0000000000000001E-4</v>
      </c>
      <c r="J948" s="11">
        <f t="shared" si="34"/>
        <v>2.0000000000000001E-4</v>
      </c>
      <c r="K948" s="6" t="s">
        <v>1416</v>
      </c>
      <c r="L948" s="20" t="s">
        <v>1422</v>
      </c>
      <c r="M948" s="7">
        <f>IF(ISBLANK($B948),_xlfn.XLOOKUP($A948,'2. TEUs &amp; Activities - EF'!$A$9:$A$190,'2. TEUs &amp; Activities - EF'!$J$9:$J$190),_xlfn.XLOOKUP($B948,'2. TEUs &amp; Activities - EF'!$B$9:$B$190,'2. TEUs &amp; Activities - EF'!$J$9:$J$190))*'3. Pollutant Emissions - EF'!$I948*IF(OR(ISBLANK($E948),$G948="Yes"),1,$E948)*IF($H948="Yes",1,(1-$F948))</f>
        <v>4.2511764705882357E-3</v>
      </c>
      <c r="N948" s="5">
        <f>IF(ISBLANK($B948),_xlfn.XLOOKUP($A948,'2. TEUs &amp; Activities - EF'!$A$9:$A$190,'2. TEUs &amp; Activities - EF'!$M$9:$M$190),_xlfn.XLOOKUP($B948,'2. TEUs &amp; Activities - EF'!$B$9:$B$190,'2. TEUs &amp; Activities - EF'!$M$9:$M$190))*'3. Pollutant Emissions - EF'!$J948*IF(OR(ISBLANK($E948),$G948="Yes"),1,$E948)*IF($H948="Yes",1,(1-$F948))</f>
        <v>1.1647058823529413E-5</v>
      </c>
      <c r="O948" s="130">
        <f>IFERROR(IF(OR($C948="",$C948="No CAS"),INDEX('DEQ Pollutant List'!$D$7:$D$611,MATCH($D948,'DEQ Pollutant List'!$B$7:$B$611,0)),INDEX('DEQ Pollutant List'!$D$7:$D$611,MATCH($C948,'DEQ Pollutant List'!$A$7:$A$611,0))),"")</f>
        <v>37</v>
      </c>
    </row>
    <row r="949" spans="1:15" ht="15" x14ac:dyDescent="0.25">
      <c r="A949" s="5" t="s">
        <v>1563</v>
      </c>
      <c r="B949" s="7"/>
      <c r="C949" s="13" t="s">
        <v>54</v>
      </c>
      <c r="D949" s="19" t="str">
        <f>IFERROR(IF(C949="No CAS","",INDEX('DEQ Pollutant List'!$B$7:$B$611,MATCH('3. Pollutant Emissions - EF'!C949,'DEQ Pollutant List'!$A$7:$A$611,0))),"")</f>
        <v>Barium and compounds</v>
      </c>
      <c r="E949" s="23">
        <v>0</v>
      </c>
      <c r="F949" s="21">
        <v>0</v>
      </c>
      <c r="G949" s="23" t="s">
        <v>1415</v>
      </c>
      <c r="H949" s="21" t="s">
        <v>1415</v>
      </c>
      <c r="I949" s="34">
        <v>4.4000000000000003E-3</v>
      </c>
      <c r="J949" s="11">
        <f t="shared" si="34"/>
        <v>4.4000000000000003E-3</v>
      </c>
      <c r="K949" s="6" t="s">
        <v>1416</v>
      </c>
      <c r="L949" s="20" t="s">
        <v>1422</v>
      </c>
      <c r="M949" s="7">
        <f>IF(ISBLANK($B949),_xlfn.XLOOKUP($A949,'2. TEUs &amp; Activities - EF'!$A$9:$A$190,'2. TEUs &amp; Activities - EF'!$J$9:$J$190),_xlfn.XLOOKUP($B949,'2. TEUs &amp; Activities - EF'!$B$9:$B$190,'2. TEUs &amp; Activities - EF'!$J$9:$J$190))*'3. Pollutant Emissions - EF'!$I949*IF(OR(ISBLANK($E949),$G949="Yes"),1,$E949)*IF($H949="Yes",1,(1-$F949))</f>
        <v>9.3525882352941195E-2</v>
      </c>
      <c r="N949" s="5">
        <f>IF(ISBLANK($B949),_xlfn.XLOOKUP($A949,'2. TEUs &amp; Activities - EF'!$A$9:$A$190,'2. TEUs &amp; Activities - EF'!$M$9:$M$190),_xlfn.XLOOKUP($B949,'2. TEUs &amp; Activities - EF'!$B$9:$B$190,'2. TEUs &amp; Activities - EF'!$M$9:$M$190))*'3. Pollutant Emissions - EF'!$J949*IF(OR(ISBLANK($E949),$G949="Yes"),1,$E949)*IF($H949="Yes",1,(1-$F949))</f>
        <v>2.5623529411764712E-4</v>
      </c>
      <c r="O949" s="130">
        <f>IFERROR(IF(OR($C949="",$C949="No CAS"),INDEX('DEQ Pollutant List'!$D$7:$D$611,MATCH($D949,'DEQ Pollutant List'!$B$7:$B$611,0)),INDEX('DEQ Pollutant List'!$D$7:$D$611,MATCH($C949,'DEQ Pollutant List'!$A$7:$A$611,0))),"")</f>
        <v>45</v>
      </c>
    </row>
    <row r="950" spans="1:15" ht="15" x14ac:dyDescent="0.25">
      <c r="A950" s="5" t="s">
        <v>1563</v>
      </c>
      <c r="B950" s="7"/>
      <c r="C950" s="13" t="s">
        <v>46</v>
      </c>
      <c r="D950" s="19" t="str">
        <f>IFERROR(IF(C950="No CAS","",INDEX('DEQ Pollutant List'!$B$7:$B$611,MATCH('3. Pollutant Emissions - EF'!C950,'DEQ Pollutant List'!$A$7:$A$611,0))),"")</f>
        <v>Benzene</v>
      </c>
      <c r="E950" s="23">
        <v>0</v>
      </c>
      <c r="F950" s="21">
        <v>0</v>
      </c>
      <c r="G950" s="23" t="s">
        <v>1415</v>
      </c>
      <c r="H950" s="21" t="s">
        <v>1415</v>
      </c>
      <c r="I950" s="34">
        <v>8.0000000000000002E-3</v>
      </c>
      <c r="J950" s="11">
        <f t="shared" si="34"/>
        <v>8.0000000000000002E-3</v>
      </c>
      <c r="K950" s="6" t="s">
        <v>1416</v>
      </c>
      <c r="L950" s="20" t="s">
        <v>1422</v>
      </c>
      <c r="M950" s="7">
        <f>IF(ISBLANK($B950),_xlfn.XLOOKUP($A950,'2. TEUs &amp; Activities - EF'!$A$9:$A$190,'2. TEUs &amp; Activities - EF'!$J$9:$J$190),_xlfn.XLOOKUP($B950,'2. TEUs &amp; Activities - EF'!$B$9:$B$190,'2. TEUs &amp; Activities - EF'!$J$9:$J$190))*'3. Pollutant Emissions - EF'!$I950*IF(OR(ISBLANK($E950),$G950="Yes"),1,$E950)*IF($H950="Yes",1,(1-$F950))</f>
        <v>0.17004705882352944</v>
      </c>
      <c r="N950" s="5">
        <f>IF(ISBLANK($B950),_xlfn.XLOOKUP($A950,'2. TEUs &amp; Activities - EF'!$A$9:$A$190,'2. TEUs &amp; Activities - EF'!$M$9:$M$190),_xlfn.XLOOKUP($B950,'2. TEUs &amp; Activities - EF'!$B$9:$B$190,'2. TEUs &amp; Activities - EF'!$M$9:$M$190))*'3. Pollutant Emissions - EF'!$J950*IF(OR(ISBLANK($E950),$G950="Yes"),1,$E950)*IF($H950="Yes",1,(1-$F950))</f>
        <v>4.6588235294117654E-4</v>
      </c>
      <c r="O950" s="130">
        <f>IFERROR(IF(OR($C950="",$C950="No CAS"),INDEX('DEQ Pollutant List'!$D$7:$D$611,MATCH($D950,'DEQ Pollutant List'!$B$7:$B$611,0)),INDEX('DEQ Pollutant List'!$D$7:$D$611,MATCH($C950,'DEQ Pollutant List'!$A$7:$A$611,0))),"")</f>
        <v>46</v>
      </c>
    </row>
    <row r="951" spans="1:15" ht="15" x14ac:dyDescent="0.25">
      <c r="A951" s="5" t="s">
        <v>1563</v>
      </c>
      <c r="B951" s="7"/>
      <c r="C951" s="13" t="s">
        <v>55</v>
      </c>
      <c r="D951" s="19" t="str">
        <f>IFERROR(IF(C951="No CAS","",INDEX('DEQ Pollutant List'!$B$7:$B$611,MATCH('3. Pollutant Emissions - EF'!C951,'DEQ Pollutant List'!$A$7:$A$611,0))),"")</f>
        <v>Beryllium and compounds</v>
      </c>
      <c r="E951" s="23">
        <v>0</v>
      </c>
      <c r="F951" s="21">
        <v>0</v>
      </c>
      <c r="G951" s="23" t="s">
        <v>1415</v>
      </c>
      <c r="H951" s="21" t="s">
        <v>1415</v>
      </c>
      <c r="I951" s="34">
        <v>1.2E-5</v>
      </c>
      <c r="J951" s="11">
        <f t="shared" si="34"/>
        <v>1.2E-5</v>
      </c>
      <c r="K951" s="6" t="s">
        <v>1416</v>
      </c>
      <c r="L951" s="20" t="s">
        <v>1422</v>
      </c>
      <c r="M951" s="7">
        <f>IF(ISBLANK($B951),_xlfn.XLOOKUP($A951,'2. TEUs &amp; Activities - EF'!$A$9:$A$190,'2. TEUs &amp; Activities - EF'!$J$9:$J$190),_xlfn.XLOOKUP($B951,'2. TEUs &amp; Activities - EF'!$B$9:$B$190,'2. TEUs &amp; Activities - EF'!$J$9:$J$190))*'3. Pollutant Emissions - EF'!$I951*IF(OR(ISBLANK($E951),$G951="Yes"),1,$E951)*IF($H951="Yes",1,(1-$F951))</f>
        <v>2.5507058823529417E-4</v>
      </c>
      <c r="N951" s="5">
        <f>IF(ISBLANK($B951),_xlfn.XLOOKUP($A951,'2. TEUs &amp; Activities - EF'!$A$9:$A$190,'2. TEUs &amp; Activities - EF'!$M$9:$M$190),_xlfn.XLOOKUP($B951,'2. TEUs &amp; Activities - EF'!$B$9:$B$190,'2. TEUs &amp; Activities - EF'!$M$9:$M$190))*'3. Pollutant Emissions - EF'!$J951*IF(OR(ISBLANK($E951),$G951="Yes"),1,$E951)*IF($H951="Yes",1,(1-$F951))</f>
        <v>6.9882352941176484E-7</v>
      </c>
      <c r="O951" s="130">
        <f>IFERROR(IF(OR($C951="",$C951="No CAS"),INDEX('DEQ Pollutant List'!$D$7:$D$611,MATCH($D951,'DEQ Pollutant List'!$B$7:$B$611,0)),INDEX('DEQ Pollutant List'!$D$7:$D$611,MATCH($C951,'DEQ Pollutant List'!$A$7:$A$611,0))),"")</f>
        <v>58</v>
      </c>
    </row>
    <row r="952" spans="1:15" ht="15" x14ac:dyDescent="0.25">
      <c r="A952" s="5" t="s">
        <v>1563</v>
      </c>
      <c r="B952" s="7"/>
      <c r="C952" s="13" t="s">
        <v>56</v>
      </c>
      <c r="D952" s="19" t="str">
        <f>IFERROR(IF(C952="No CAS","",INDEX('DEQ Pollutant List'!$B$7:$B$611,MATCH('3. Pollutant Emissions - EF'!C952,'DEQ Pollutant List'!$A$7:$A$611,0))),"")</f>
        <v>Cadmium and compounds</v>
      </c>
      <c r="E952" s="23">
        <v>0</v>
      </c>
      <c r="F952" s="21">
        <v>0</v>
      </c>
      <c r="G952" s="23" t="s">
        <v>1415</v>
      </c>
      <c r="H952" s="21" t="s">
        <v>1415</v>
      </c>
      <c r="I952" s="34">
        <v>1.1000000000000001E-3</v>
      </c>
      <c r="J952" s="11">
        <f t="shared" si="34"/>
        <v>1.1000000000000001E-3</v>
      </c>
      <c r="K952" s="6" t="s">
        <v>1416</v>
      </c>
      <c r="L952" s="20" t="s">
        <v>1422</v>
      </c>
      <c r="M952" s="7">
        <f>IF(ISBLANK($B952),_xlfn.XLOOKUP($A952,'2. TEUs &amp; Activities - EF'!$A$9:$A$190,'2. TEUs &amp; Activities - EF'!$J$9:$J$190),_xlfn.XLOOKUP($B952,'2. TEUs &amp; Activities - EF'!$B$9:$B$190,'2. TEUs &amp; Activities - EF'!$J$9:$J$190))*'3. Pollutant Emissions - EF'!$I952*IF(OR(ISBLANK($E952),$G952="Yes"),1,$E952)*IF($H952="Yes",1,(1-$F952))</f>
        <v>2.3381470588235299E-2</v>
      </c>
      <c r="N952" s="5">
        <f>IF(ISBLANK($B952),_xlfn.XLOOKUP($A952,'2. TEUs &amp; Activities - EF'!$A$9:$A$190,'2. TEUs &amp; Activities - EF'!$M$9:$M$190),_xlfn.XLOOKUP($B952,'2. TEUs &amp; Activities - EF'!$B$9:$B$190,'2. TEUs &amp; Activities - EF'!$M$9:$M$190))*'3. Pollutant Emissions - EF'!$J952*IF(OR(ISBLANK($E952),$G952="Yes"),1,$E952)*IF($H952="Yes",1,(1-$F952))</f>
        <v>6.4058823529411781E-5</v>
      </c>
      <c r="O952" s="130">
        <f>IFERROR(IF(OR($C952="",$C952="No CAS"),INDEX('DEQ Pollutant List'!$D$7:$D$611,MATCH($D952,'DEQ Pollutant List'!$B$7:$B$611,0)),INDEX('DEQ Pollutant List'!$D$7:$D$611,MATCH($C952,'DEQ Pollutant List'!$A$7:$A$611,0))),"")</f>
        <v>83</v>
      </c>
    </row>
    <row r="953" spans="1:15" ht="15" x14ac:dyDescent="0.25">
      <c r="A953" s="5" t="s">
        <v>1563</v>
      </c>
      <c r="B953" s="7"/>
      <c r="C953" s="13" t="s">
        <v>57</v>
      </c>
      <c r="D953" s="19" t="str">
        <f>IFERROR(IF(C953="No CAS","",INDEX('DEQ Pollutant List'!$B$7:$B$611,MATCH('3. Pollutant Emissions - EF'!C953,'DEQ Pollutant List'!$A$7:$A$611,0))),"")</f>
        <v>Chromium VI, chromate and dichromate particulate</v>
      </c>
      <c r="E953" s="23">
        <v>0</v>
      </c>
      <c r="F953" s="21">
        <v>0</v>
      </c>
      <c r="G953" s="23" t="s">
        <v>1415</v>
      </c>
      <c r="H953" s="21" t="s">
        <v>1415</v>
      </c>
      <c r="I953" s="34">
        <v>1.4E-3</v>
      </c>
      <c r="J953" s="11">
        <f t="shared" si="34"/>
        <v>1.4E-3</v>
      </c>
      <c r="K953" s="6" t="s">
        <v>1416</v>
      </c>
      <c r="L953" s="20" t="s">
        <v>1422</v>
      </c>
      <c r="M953" s="7">
        <f>IF(ISBLANK($B953),_xlfn.XLOOKUP($A953,'2. TEUs &amp; Activities - EF'!$A$9:$A$190,'2. TEUs &amp; Activities - EF'!$J$9:$J$190),_xlfn.XLOOKUP($B953,'2. TEUs &amp; Activities - EF'!$B$9:$B$190,'2. TEUs &amp; Activities - EF'!$J$9:$J$190))*'3. Pollutant Emissions - EF'!$I953*IF(OR(ISBLANK($E953),$G953="Yes"),1,$E953)*IF($H953="Yes",1,(1-$F953))</f>
        <v>2.9758235294117648E-2</v>
      </c>
      <c r="N953" s="5">
        <f>IF(ISBLANK($B953),_xlfn.XLOOKUP($A953,'2. TEUs &amp; Activities - EF'!$A$9:$A$190,'2. TEUs &amp; Activities - EF'!$M$9:$M$190),_xlfn.XLOOKUP($B953,'2. TEUs &amp; Activities - EF'!$B$9:$B$190,'2. TEUs &amp; Activities - EF'!$M$9:$M$190))*'3. Pollutant Emissions - EF'!$J953*IF(OR(ISBLANK($E953),$G953="Yes"),1,$E953)*IF($H953="Yes",1,(1-$F953))</f>
        <v>8.1529411764705894E-5</v>
      </c>
      <c r="O953" s="130">
        <f>IFERROR(IF(OR($C953="",$C953="No CAS"),INDEX('DEQ Pollutant List'!$D$7:$D$611,MATCH($D953,'DEQ Pollutant List'!$B$7:$B$611,0)),INDEX('DEQ Pollutant List'!$D$7:$D$611,MATCH($C953,'DEQ Pollutant List'!$A$7:$A$611,0))),"")</f>
        <v>136</v>
      </c>
    </row>
    <row r="954" spans="1:15" ht="15" x14ac:dyDescent="0.25">
      <c r="A954" s="5" t="s">
        <v>1563</v>
      </c>
      <c r="B954" s="7"/>
      <c r="C954" s="13" t="s">
        <v>58</v>
      </c>
      <c r="D954" s="19" t="str">
        <f>IFERROR(IF(C954="No CAS","",INDEX('DEQ Pollutant List'!$B$7:$B$611,MATCH('3. Pollutant Emissions - EF'!C954,'DEQ Pollutant List'!$A$7:$A$611,0))),"")</f>
        <v>Cobalt and compounds</v>
      </c>
      <c r="E954" s="23">
        <v>0</v>
      </c>
      <c r="F954" s="21">
        <v>0</v>
      </c>
      <c r="G954" s="23" t="s">
        <v>1415</v>
      </c>
      <c r="H954" s="21" t="s">
        <v>1415</v>
      </c>
      <c r="I954" s="34">
        <v>8.3999999999999995E-5</v>
      </c>
      <c r="J954" s="11">
        <f t="shared" si="34"/>
        <v>8.3999999999999995E-5</v>
      </c>
      <c r="K954" s="6" t="s">
        <v>1416</v>
      </c>
      <c r="L954" s="20" t="s">
        <v>1422</v>
      </c>
      <c r="M954" s="7">
        <f>IF(ISBLANK($B954),_xlfn.XLOOKUP($A954,'2. TEUs &amp; Activities - EF'!$A$9:$A$190,'2. TEUs &amp; Activities - EF'!$J$9:$J$190),_xlfn.XLOOKUP($B954,'2. TEUs &amp; Activities - EF'!$B$9:$B$190,'2. TEUs &amp; Activities - EF'!$J$9:$J$190))*'3. Pollutant Emissions - EF'!$I954*IF(OR(ISBLANK($E954),$G954="Yes"),1,$E954)*IF($H954="Yes",1,(1-$F954))</f>
        <v>1.7854941176470589E-3</v>
      </c>
      <c r="N954" s="5">
        <f>IF(ISBLANK($B954),_xlfn.XLOOKUP($A954,'2. TEUs &amp; Activities - EF'!$A$9:$A$190,'2. TEUs &amp; Activities - EF'!$M$9:$M$190),_xlfn.XLOOKUP($B954,'2. TEUs &amp; Activities - EF'!$B$9:$B$190,'2. TEUs &amp; Activities - EF'!$M$9:$M$190))*'3. Pollutant Emissions - EF'!$J954*IF(OR(ISBLANK($E954),$G954="Yes"),1,$E954)*IF($H954="Yes",1,(1-$F954))</f>
        <v>4.891764705882353E-6</v>
      </c>
      <c r="O954" s="130">
        <f>IFERROR(IF(OR($C954="",$C954="No CAS"),INDEX('DEQ Pollutant List'!$D$7:$D$611,MATCH($D954,'DEQ Pollutant List'!$B$7:$B$611,0)),INDEX('DEQ Pollutant List'!$D$7:$D$611,MATCH($C954,'DEQ Pollutant List'!$A$7:$A$611,0))),"")</f>
        <v>146</v>
      </c>
    </row>
    <row r="955" spans="1:15" ht="15" x14ac:dyDescent="0.25">
      <c r="A955" s="5" t="s">
        <v>1563</v>
      </c>
      <c r="B955" s="7"/>
      <c r="C955" s="13" t="s">
        <v>59</v>
      </c>
      <c r="D955" s="19" t="str">
        <f>IFERROR(IF(C955="No CAS","",INDEX('DEQ Pollutant List'!$B$7:$B$611,MATCH('3. Pollutant Emissions - EF'!C955,'DEQ Pollutant List'!$A$7:$A$611,0))),"")</f>
        <v>Copper and compounds</v>
      </c>
      <c r="E955" s="23">
        <v>0</v>
      </c>
      <c r="F955" s="21">
        <v>0</v>
      </c>
      <c r="G955" s="23" t="s">
        <v>1415</v>
      </c>
      <c r="H955" s="21" t="s">
        <v>1415</v>
      </c>
      <c r="I955" s="34">
        <v>8.4999999999999995E-4</v>
      </c>
      <c r="J955" s="11">
        <f t="shared" si="34"/>
        <v>8.4999999999999995E-4</v>
      </c>
      <c r="K955" s="6" t="s">
        <v>1416</v>
      </c>
      <c r="L955" s="20" t="s">
        <v>1422</v>
      </c>
      <c r="M955" s="7">
        <f>IF(ISBLANK($B955),_xlfn.XLOOKUP($A955,'2. TEUs &amp; Activities - EF'!$A$9:$A$190,'2. TEUs &amp; Activities - EF'!$J$9:$J$190),_xlfn.XLOOKUP($B955,'2. TEUs &amp; Activities - EF'!$B$9:$B$190,'2. TEUs &amp; Activities - EF'!$J$9:$J$190))*'3. Pollutant Emissions - EF'!$I955*IF(OR(ISBLANK($E955),$G955="Yes"),1,$E955)*IF($H955="Yes",1,(1-$F955))</f>
        <v>1.80675E-2</v>
      </c>
      <c r="N955" s="5">
        <f>IF(ISBLANK($B955),_xlfn.XLOOKUP($A955,'2. TEUs &amp; Activities - EF'!$A$9:$A$190,'2. TEUs &amp; Activities - EF'!$M$9:$M$190),_xlfn.XLOOKUP($B955,'2. TEUs &amp; Activities - EF'!$B$9:$B$190,'2. TEUs &amp; Activities - EF'!$M$9:$M$190))*'3. Pollutant Emissions - EF'!$J955*IF(OR(ISBLANK($E955),$G955="Yes"),1,$E955)*IF($H955="Yes",1,(1-$F955))</f>
        <v>4.9500000000000004E-5</v>
      </c>
      <c r="O955" s="130">
        <f>IFERROR(IF(OR($C955="",$C955="No CAS"),INDEX('DEQ Pollutant List'!$D$7:$D$611,MATCH($D955,'DEQ Pollutant List'!$B$7:$B$611,0)),INDEX('DEQ Pollutant List'!$D$7:$D$611,MATCH($C955,'DEQ Pollutant List'!$A$7:$A$611,0))),"")</f>
        <v>149</v>
      </c>
    </row>
    <row r="956" spans="1:15" ht="15" x14ac:dyDescent="0.25">
      <c r="A956" s="5" t="s">
        <v>1563</v>
      </c>
      <c r="B956" s="7"/>
      <c r="C956" s="13" t="s">
        <v>60</v>
      </c>
      <c r="D956" s="19" t="str">
        <f>IFERROR(IF(C956="No CAS","",INDEX('DEQ Pollutant List'!$B$7:$B$611,MATCH('3. Pollutant Emissions - EF'!C956,'DEQ Pollutant List'!$A$7:$A$611,0))),"")</f>
        <v>Ethyl benzene</v>
      </c>
      <c r="E956" s="23">
        <v>0</v>
      </c>
      <c r="F956" s="21">
        <v>0</v>
      </c>
      <c r="G956" s="23" t="s">
        <v>1415</v>
      </c>
      <c r="H956" s="21" t="s">
        <v>1415</v>
      </c>
      <c r="I956" s="34">
        <v>9.4999999999999998E-3</v>
      </c>
      <c r="J956" s="11">
        <f t="shared" si="34"/>
        <v>9.4999999999999998E-3</v>
      </c>
      <c r="K956" s="6" t="s">
        <v>1416</v>
      </c>
      <c r="L956" s="20" t="s">
        <v>1422</v>
      </c>
      <c r="M956" s="7">
        <f>IF(ISBLANK($B956),_xlfn.XLOOKUP($A956,'2. TEUs &amp; Activities - EF'!$A$9:$A$190,'2. TEUs &amp; Activities - EF'!$J$9:$J$190),_xlfn.XLOOKUP($B956,'2. TEUs &amp; Activities - EF'!$B$9:$B$190,'2. TEUs &amp; Activities - EF'!$J$9:$J$190))*'3. Pollutant Emissions - EF'!$I956*IF(OR(ISBLANK($E956),$G956="Yes"),1,$E956)*IF($H956="Yes",1,(1-$F956))</f>
        <v>0.20193088235294118</v>
      </c>
      <c r="N956" s="5">
        <f>IF(ISBLANK($B956),_xlfn.XLOOKUP($A956,'2. TEUs &amp; Activities - EF'!$A$9:$A$190,'2. TEUs &amp; Activities - EF'!$M$9:$M$190),_xlfn.XLOOKUP($B956,'2. TEUs &amp; Activities - EF'!$B$9:$B$190,'2. TEUs &amp; Activities - EF'!$M$9:$M$190))*'3. Pollutant Emissions - EF'!$J956*IF(OR(ISBLANK($E956),$G956="Yes"),1,$E956)*IF($H956="Yes",1,(1-$F956))</f>
        <v>5.5323529411764713E-4</v>
      </c>
      <c r="O956" s="130">
        <f>IFERROR(IF(OR($C956="",$C956="No CAS"),INDEX('DEQ Pollutant List'!$D$7:$D$611,MATCH($D956,'DEQ Pollutant List'!$B$7:$B$611,0)),INDEX('DEQ Pollutant List'!$D$7:$D$611,MATCH($C956,'DEQ Pollutant List'!$A$7:$A$611,0))),"")</f>
        <v>229</v>
      </c>
    </row>
    <row r="957" spans="1:15" ht="15" x14ac:dyDescent="0.25">
      <c r="A957" s="5" t="s">
        <v>1563</v>
      </c>
      <c r="B957" s="7"/>
      <c r="C957" s="13" t="s">
        <v>47</v>
      </c>
      <c r="D957" s="19" t="str">
        <f>IFERROR(IF(C957="No CAS","",INDEX('DEQ Pollutant List'!$B$7:$B$611,MATCH('3. Pollutant Emissions - EF'!C957,'DEQ Pollutant List'!$A$7:$A$611,0))),"")</f>
        <v>Formaldehyde</v>
      </c>
      <c r="E957" s="23">
        <v>0</v>
      </c>
      <c r="F957" s="21">
        <v>0</v>
      </c>
      <c r="G957" s="23" t="s">
        <v>1415</v>
      </c>
      <c r="H957" s="21" t="s">
        <v>1415</v>
      </c>
      <c r="I957" s="34">
        <v>1.7000000000000001E-2</v>
      </c>
      <c r="J957" s="11">
        <f t="shared" si="34"/>
        <v>1.7000000000000001E-2</v>
      </c>
      <c r="K957" s="6" t="s">
        <v>1416</v>
      </c>
      <c r="L957" s="20" t="s">
        <v>1422</v>
      </c>
      <c r="M957" s="7">
        <f>IF(ISBLANK($B957),_xlfn.XLOOKUP($A957,'2. TEUs &amp; Activities - EF'!$A$9:$A$190,'2. TEUs &amp; Activities - EF'!$J$9:$J$190),_xlfn.XLOOKUP($B957,'2. TEUs &amp; Activities - EF'!$B$9:$B$190,'2. TEUs &amp; Activities - EF'!$J$9:$J$190))*'3. Pollutant Emissions - EF'!$I957*IF(OR(ISBLANK($E957),$G957="Yes"),1,$E957)*IF($H957="Yes",1,(1-$F957))</f>
        <v>0.36135000000000006</v>
      </c>
      <c r="N957" s="5">
        <f>IF(ISBLANK($B957),_xlfn.XLOOKUP($A957,'2. TEUs &amp; Activities - EF'!$A$9:$A$190,'2. TEUs &amp; Activities - EF'!$M$9:$M$190),_xlfn.XLOOKUP($B957,'2. TEUs &amp; Activities - EF'!$B$9:$B$190,'2. TEUs &amp; Activities - EF'!$M$9:$M$190))*'3. Pollutant Emissions - EF'!$J957*IF(OR(ISBLANK($E957),$G957="Yes"),1,$E957)*IF($H957="Yes",1,(1-$F957))</f>
        <v>9.9000000000000021E-4</v>
      </c>
      <c r="O957" s="130">
        <f>IFERROR(IF(OR($C957="",$C957="No CAS"),INDEX('DEQ Pollutant List'!$D$7:$D$611,MATCH($D957,'DEQ Pollutant List'!$B$7:$B$611,0)),INDEX('DEQ Pollutant List'!$D$7:$D$611,MATCH($C957,'DEQ Pollutant List'!$A$7:$A$611,0))),"")</f>
        <v>250</v>
      </c>
    </row>
    <row r="958" spans="1:15" ht="15" x14ac:dyDescent="0.25">
      <c r="A958" s="5" t="s">
        <v>1563</v>
      </c>
      <c r="B958" s="7"/>
      <c r="C958" s="13" t="s">
        <v>61</v>
      </c>
      <c r="D958" s="19" t="str">
        <f>IFERROR(IF(C958="No CAS","",INDEX('DEQ Pollutant List'!$B$7:$B$611,MATCH('3. Pollutant Emissions - EF'!C958,'DEQ Pollutant List'!$A$7:$A$611,0))),"")</f>
        <v>Hexane</v>
      </c>
      <c r="E958" s="23">
        <v>0</v>
      </c>
      <c r="F958" s="21">
        <v>0</v>
      </c>
      <c r="G958" s="23" t="s">
        <v>1415</v>
      </c>
      <c r="H958" s="21" t="s">
        <v>1415</v>
      </c>
      <c r="I958" s="34">
        <v>6.3E-3</v>
      </c>
      <c r="J958" s="11">
        <f t="shared" si="34"/>
        <v>6.3E-3</v>
      </c>
      <c r="K958" s="6" t="s">
        <v>1416</v>
      </c>
      <c r="L958" s="20" t="s">
        <v>1422</v>
      </c>
      <c r="M958" s="7">
        <f>IF(ISBLANK($B958),_xlfn.XLOOKUP($A958,'2. TEUs &amp; Activities - EF'!$A$9:$A$190,'2. TEUs &amp; Activities - EF'!$J$9:$J$190),_xlfn.XLOOKUP($B958,'2. TEUs &amp; Activities - EF'!$B$9:$B$190,'2. TEUs &amp; Activities - EF'!$J$9:$J$190))*'3. Pollutant Emissions - EF'!$I958*IF(OR(ISBLANK($E958),$G958="Yes"),1,$E958)*IF($H958="Yes",1,(1-$F958))</f>
        <v>0.13391205882352941</v>
      </c>
      <c r="N958" s="5">
        <f>IF(ISBLANK($B958),_xlfn.XLOOKUP($A958,'2. TEUs &amp; Activities - EF'!$A$9:$A$190,'2. TEUs &amp; Activities - EF'!$M$9:$M$190),_xlfn.XLOOKUP($B958,'2. TEUs &amp; Activities - EF'!$B$9:$B$190,'2. TEUs &amp; Activities - EF'!$M$9:$M$190))*'3. Pollutant Emissions - EF'!$J958*IF(OR(ISBLANK($E958),$G958="Yes"),1,$E958)*IF($H958="Yes",1,(1-$F958))</f>
        <v>3.6688235294117652E-4</v>
      </c>
      <c r="O958" s="130">
        <f>IFERROR(IF(OR($C958="",$C958="No CAS"),INDEX('DEQ Pollutant List'!$D$7:$D$611,MATCH($D958,'DEQ Pollutant List'!$B$7:$B$611,0)),INDEX('DEQ Pollutant List'!$D$7:$D$611,MATCH($C958,'DEQ Pollutant List'!$A$7:$A$611,0))),"")</f>
        <v>289</v>
      </c>
    </row>
    <row r="959" spans="1:15" ht="15" x14ac:dyDescent="0.25">
      <c r="A959" s="5" t="s">
        <v>1563</v>
      </c>
      <c r="B959" s="7"/>
      <c r="C959" s="13" t="s">
        <v>62</v>
      </c>
      <c r="D959" s="19" t="str">
        <f>IFERROR(IF(C959="No CAS","",INDEX('DEQ Pollutant List'!$B$7:$B$611,MATCH('3. Pollutant Emissions - EF'!C959,'DEQ Pollutant List'!$A$7:$A$611,0))),"")</f>
        <v>Lead and compounds</v>
      </c>
      <c r="E959" s="23">
        <v>0</v>
      </c>
      <c r="F959" s="21">
        <v>0</v>
      </c>
      <c r="G959" s="23" t="s">
        <v>1415</v>
      </c>
      <c r="H959" s="21" t="s">
        <v>1415</v>
      </c>
      <c r="I959" s="34">
        <v>5.0000000000000001E-4</v>
      </c>
      <c r="J959" s="11">
        <f t="shared" si="34"/>
        <v>5.0000000000000001E-4</v>
      </c>
      <c r="K959" s="6" t="s">
        <v>1416</v>
      </c>
      <c r="L959" s="20" t="s">
        <v>1422</v>
      </c>
      <c r="M959" s="7">
        <f>IF(ISBLANK($B959),_xlfn.XLOOKUP($A959,'2. TEUs &amp; Activities - EF'!$A$9:$A$190,'2. TEUs &amp; Activities - EF'!$J$9:$J$190),_xlfn.XLOOKUP($B959,'2. TEUs &amp; Activities - EF'!$B$9:$B$190,'2. TEUs &amp; Activities - EF'!$J$9:$J$190))*'3. Pollutant Emissions - EF'!$I959*IF(OR(ISBLANK($E959),$G959="Yes"),1,$E959)*IF($H959="Yes",1,(1-$F959))</f>
        <v>1.062794117647059E-2</v>
      </c>
      <c r="N959" s="5">
        <f>IF(ISBLANK($B959),_xlfn.XLOOKUP($A959,'2. TEUs &amp; Activities - EF'!$A$9:$A$190,'2. TEUs &amp; Activities - EF'!$M$9:$M$190),_xlfn.XLOOKUP($B959,'2. TEUs &amp; Activities - EF'!$B$9:$B$190,'2. TEUs &amp; Activities - EF'!$M$9:$M$190))*'3. Pollutant Emissions - EF'!$J959*IF(OR(ISBLANK($E959),$G959="Yes"),1,$E959)*IF($H959="Yes",1,(1-$F959))</f>
        <v>2.9117647058823534E-5</v>
      </c>
      <c r="O959" s="130">
        <f>IFERROR(IF(OR($C959="",$C959="No CAS"),INDEX('DEQ Pollutant List'!$D$7:$D$611,MATCH($D959,'DEQ Pollutant List'!$B$7:$B$611,0)),INDEX('DEQ Pollutant List'!$D$7:$D$611,MATCH($C959,'DEQ Pollutant List'!$A$7:$A$611,0))),"")</f>
        <v>305</v>
      </c>
    </row>
    <row r="960" spans="1:15" ht="15" x14ac:dyDescent="0.25">
      <c r="A960" s="5" t="s">
        <v>1563</v>
      </c>
      <c r="B960" s="7"/>
      <c r="C960" s="13" t="s">
        <v>63</v>
      </c>
      <c r="D960" s="19" t="str">
        <f>IFERROR(IF(C960="No CAS","",INDEX('DEQ Pollutant List'!$B$7:$B$611,MATCH('3. Pollutant Emissions - EF'!C960,'DEQ Pollutant List'!$A$7:$A$611,0))),"")</f>
        <v>Manganese and compounds</v>
      </c>
      <c r="E960" s="23">
        <v>0</v>
      </c>
      <c r="F960" s="21">
        <v>0</v>
      </c>
      <c r="G960" s="23" t="s">
        <v>1415</v>
      </c>
      <c r="H960" s="21" t="s">
        <v>1415</v>
      </c>
      <c r="I960" s="34">
        <v>3.8000000000000002E-4</v>
      </c>
      <c r="J960" s="11">
        <f t="shared" si="34"/>
        <v>3.8000000000000002E-4</v>
      </c>
      <c r="K960" s="6" t="s">
        <v>1416</v>
      </c>
      <c r="L960" s="20" t="s">
        <v>1422</v>
      </c>
      <c r="M960" s="7">
        <f>IF(ISBLANK($B960),_xlfn.XLOOKUP($A960,'2. TEUs &amp; Activities - EF'!$A$9:$A$190,'2. TEUs &amp; Activities - EF'!$J$9:$J$190),_xlfn.XLOOKUP($B960,'2. TEUs &amp; Activities - EF'!$B$9:$B$190,'2. TEUs &amp; Activities - EF'!$J$9:$J$190))*'3. Pollutant Emissions - EF'!$I960*IF(OR(ISBLANK($E960),$G960="Yes"),1,$E960)*IF($H960="Yes",1,(1-$F960))</f>
        <v>8.077235294117649E-3</v>
      </c>
      <c r="N960" s="5">
        <f>IF(ISBLANK($B960),_xlfn.XLOOKUP($A960,'2. TEUs &amp; Activities - EF'!$A$9:$A$190,'2. TEUs &amp; Activities - EF'!$M$9:$M$190),_xlfn.XLOOKUP($B960,'2. TEUs &amp; Activities - EF'!$B$9:$B$190,'2. TEUs &amp; Activities - EF'!$M$9:$M$190))*'3. Pollutant Emissions - EF'!$J960*IF(OR(ISBLANK($E960),$G960="Yes"),1,$E960)*IF($H960="Yes",1,(1-$F960))</f>
        <v>2.2129411764705887E-5</v>
      </c>
      <c r="O960" s="130">
        <f>IFERROR(IF(OR($C960="",$C960="No CAS"),INDEX('DEQ Pollutant List'!$D$7:$D$611,MATCH($D960,'DEQ Pollutant List'!$B$7:$B$611,0)),INDEX('DEQ Pollutant List'!$D$7:$D$611,MATCH($C960,'DEQ Pollutant List'!$A$7:$A$611,0))),"")</f>
        <v>312</v>
      </c>
    </row>
    <row r="961" spans="1:15" ht="15" x14ac:dyDescent="0.25">
      <c r="A961" s="5" t="s">
        <v>1563</v>
      </c>
      <c r="B961" s="7"/>
      <c r="C961" s="13" t="s">
        <v>64</v>
      </c>
      <c r="D961" s="19" t="str">
        <f>IFERROR(IF(C961="No CAS","",INDEX('DEQ Pollutant List'!$B$7:$B$611,MATCH('3. Pollutant Emissions - EF'!C961,'DEQ Pollutant List'!$A$7:$A$611,0))),"")</f>
        <v>Mercury and compounds</v>
      </c>
      <c r="E961" s="23">
        <v>0</v>
      </c>
      <c r="F961" s="21">
        <v>0</v>
      </c>
      <c r="G961" s="23" t="s">
        <v>1415</v>
      </c>
      <c r="H961" s="21" t="s">
        <v>1415</v>
      </c>
      <c r="I961" s="34">
        <v>2.5999999999999998E-4</v>
      </c>
      <c r="J961" s="11">
        <f t="shared" si="34"/>
        <v>2.5999999999999998E-4</v>
      </c>
      <c r="K961" s="6" t="s">
        <v>1416</v>
      </c>
      <c r="L961" s="20" t="s">
        <v>1422</v>
      </c>
      <c r="M961" s="7">
        <f>IF(ISBLANK($B961),_xlfn.XLOOKUP($A961,'2. TEUs &amp; Activities - EF'!$A$9:$A$190,'2. TEUs &amp; Activities - EF'!$J$9:$J$190),_xlfn.XLOOKUP($B961,'2. TEUs &amp; Activities - EF'!$B$9:$B$190,'2. TEUs &amp; Activities - EF'!$J$9:$J$190))*'3. Pollutant Emissions - EF'!$I961*IF(OR(ISBLANK($E961),$G961="Yes"),1,$E961)*IF($H961="Yes",1,(1-$F961))</f>
        <v>5.5265294117647062E-3</v>
      </c>
      <c r="N961" s="5">
        <f>IF(ISBLANK($B961),_xlfn.XLOOKUP($A961,'2. TEUs &amp; Activities - EF'!$A$9:$A$190,'2. TEUs &amp; Activities - EF'!$M$9:$M$190),_xlfn.XLOOKUP($B961,'2. TEUs &amp; Activities - EF'!$B$9:$B$190,'2. TEUs &amp; Activities - EF'!$M$9:$M$190))*'3. Pollutant Emissions - EF'!$J961*IF(OR(ISBLANK($E961),$G961="Yes"),1,$E961)*IF($H961="Yes",1,(1-$F961))</f>
        <v>1.5141176470588235E-5</v>
      </c>
      <c r="O961" s="130">
        <f>IFERROR(IF(OR($C961="",$C961="No CAS"),INDEX('DEQ Pollutant List'!$D$7:$D$611,MATCH($D961,'DEQ Pollutant List'!$B$7:$B$611,0)),INDEX('DEQ Pollutant List'!$D$7:$D$611,MATCH($C961,'DEQ Pollutant List'!$A$7:$A$611,0))),"")</f>
        <v>316</v>
      </c>
    </row>
    <row r="962" spans="1:15" ht="15" x14ac:dyDescent="0.25">
      <c r="A962" s="5" t="s">
        <v>1563</v>
      </c>
      <c r="B962" s="7"/>
      <c r="C962" s="13" t="s">
        <v>65</v>
      </c>
      <c r="D962" s="19" t="str">
        <f>IFERROR(IF(C962="No CAS","",INDEX('DEQ Pollutant List'!$B$7:$B$611,MATCH('3. Pollutant Emissions - EF'!C962,'DEQ Pollutant List'!$A$7:$A$611,0))),"")</f>
        <v>Molybdenum trioxide</v>
      </c>
      <c r="E962" s="23">
        <v>0</v>
      </c>
      <c r="F962" s="21">
        <v>0</v>
      </c>
      <c r="G962" s="23" t="s">
        <v>1415</v>
      </c>
      <c r="H962" s="21" t="s">
        <v>1415</v>
      </c>
      <c r="I962" s="34">
        <v>1.65E-3</v>
      </c>
      <c r="J962" s="11">
        <f t="shared" si="34"/>
        <v>1.65E-3</v>
      </c>
      <c r="K962" s="6" t="s">
        <v>1416</v>
      </c>
      <c r="L962" s="20" t="s">
        <v>1422</v>
      </c>
      <c r="M962" s="7">
        <f>IF(ISBLANK($B962),_xlfn.XLOOKUP($A962,'2. TEUs &amp; Activities - EF'!$A$9:$A$190,'2. TEUs &amp; Activities - EF'!$J$9:$J$190),_xlfn.XLOOKUP($B962,'2. TEUs &amp; Activities - EF'!$B$9:$B$190,'2. TEUs &amp; Activities - EF'!$J$9:$J$190))*'3. Pollutant Emissions - EF'!$I962*IF(OR(ISBLANK($E962),$G962="Yes"),1,$E962)*IF($H962="Yes",1,(1-$F962))</f>
        <v>3.5072205882352943E-2</v>
      </c>
      <c r="N962" s="5">
        <f>IF(ISBLANK($B962),_xlfn.XLOOKUP($A962,'2. TEUs &amp; Activities - EF'!$A$9:$A$190,'2. TEUs &amp; Activities - EF'!$M$9:$M$190),_xlfn.XLOOKUP($B962,'2. TEUs &amp; Activities - EF'!$B$9:$B$190,'2. TEUs &amp; Activities - EF'!$M$9:$M$190))*'3. Pollutant Emissions - EF'!$J962*IF(OR(ISBLANK($E962),$G962="Yes"),1,$E962)*IF($H962="Yes",1,(1-$F962))</f>
        <v>9.6088235294117664E-5</v>
      </c>
      <c r="O962" s="130">
        <f>IFERROR(IF(OR($C962="",$C962="No CAS"),INDEX('DEQ Pollutant List'!$D$7:$D$611,MATCH($D962,'DEQ Pollutant List'!$B$7:$B$611,0)),INDEX('DEQ Pollutant List'!$D$7:$D$611,MATCH($C962,'DEQ Pollutant List'!$A$7:$A$611,0))),"")</f>
        <v>361</v>
      </c>
    </row>
    <row r="963" spans="1:15" ht="15" x14ac:dyDescent="0.25">
      <c r="A963" s="5" t="s">
        <v>1563</v>
      </c>
      <c r="B963" s="7"/>
      <c r="C963" s="13" t="s">
        <v>49</v>
      </c>
      <c r="D963" s="19" t="str">
        <f>IFERROR(IF(C963="No CAS","",INDEX('DEQ Pollutant List'!$B$7:$B$611,MATCH('3. Pollutant Emissions - EF'!C963,'DEQ Pollutant List'!$A$7:$A$611,0))),"")</f>
        <v>Naphthalene</v>
      </c>
      <c r="E963" s="23">
        <v>0</v>
      </c>
      <c r="F963" s="21">
        <v>0</v>
      </c>
      <c r="G963" s="23" t="s">
        <v>1415</v>
      </c>
      <c r="H963" s="21" t="s">
        <v>1415</v>
      </c>
      <c r="I963" s="34">
        <v>2.9999999999999997E-4</v>
      </c>
      <c r="J963" s="11">
        <f t="shared" si="34"/>
        <v>2.9999999999999997E-4</v>
      </c>
      <c r="K963" s="6" t="s">
        <v>1416</v>
      </c>
      <c r="L963" s="20" t="s">
        <v>1422</v>
      </c>
      <c r="M963" s="7">
        <f>IF(ISBLANK($B963),_xlfn.XLOOKUP($A963,'2. TEUs &amp; Activities - EF'!$A$9:$A$190,'2. TEUs &amp; Activities - EF'!$J$9:$J$190),_xlfn.XLOOKUP($B963,'2. TEUs &amp; Activities - EF'!$B$9:$B$190,'2. TEUs &amp; Activities - EF'!$J$9:$J$190))*'3. Pollutant Emissions - EF'!$I963*IF(OR(ISBLANK($E963),$G963="Yes"),1,$E963)*IF($H963="Yes",1,(1-$F963))</f>
        <v>6.3767647058823526E-3</v>
      </c>
      <c r="N963" s="5">
        <f>IF(ISBLANK($B963),_xlfn.XLOOKUP($A963,'2. TEUs &amp; Activities - EF'!$A$9:$A$190,'2. TEUs &amp; Activities - EF'!$M$9:$M$190),_xlfn.XLOOKUP($B963,'2. TEUs &amp; Activities - EF'!$B$9:$B$190,'2. TEUs &amp; Activities - EF'!$M$9:$M$190))*'3. Pollutant Emissions - EF'!$J963*IF(OR(ISBLANK($E963),$G963="Yes"),1,$E963)*IF($H963="Yes",1,(1-$F963))</f>
        <v>1.7470588235294117E-5</v>
      </c>
      <c r="O963" s="130">
        <f>IFERROR(IF(OR($C963="",$C963="No CAS"),INDEX('DEQ Pollutant List'!$D$7:$D$611,MATCH($D963,'DEQ Pollutant List'!$B$7:$B$611,0)),INDEX('DEQ Pollutant List'!$D$7:$D$611,MATCH($C963,'DEQ Pollutant List'!$A$7:$A$611,0))),"")</f>
        <v>428</v>
      </c>
    </row>
    <row r="964" spans="1:15" ht="15" x14ac:dyDescent="0.25">
      <c r="A964" s="5" t="s">
        <v>1563</v>
      </c>
      <c r="B964" s="7"/>
      <c r="C964" s="13" t="s">
        <v>66</v>
      </c>
      <c r="D964" s="19" t="str">
        <f>IFERROR(IF(C964="No CAS","",INDEX('DEQ Pollutant List'!$B$7:$B$611,MATCH('3. Pollutant Emissions - EF'!C964,'DEQ Pollutant List'!$A$7:$A$611,0))),"")</f>
        <v>Nickel and compounds</v>
      </c>
      <c r="E964" s="23">
        <v>0</v>
      </c>
      <c r="F964" s="21">
        <v>0</v>
      </c>
      <c r="G964" s="23" t="s">
        <v>1415</v>
      </c>
      <c r="H964" s="21" t="s">
        <v>1415</v>
      </c>
      <c r="I964" s="34">
        <v>2.0999999999999999E-3</v>
      </c>
      <c r="J964" s="11">
        <f t="shared" si="34"/>
        <v>2.0999999999999999E-3</v>
      </c>
      <c r="K964" s="6" t="s">
        <v>1416</v>
      </c>
      <c r="L964" s="20" t="s">
        <v>1422</v>
      </c>
      <c r="M964" s="7">
        <f>IF(ISBLANK($B964),_xlfn.XLOOKUP($A964,'2. TEUs &amp; Activities - EF'!$A$9:$A$190,'2. TEUs &amp; Activities - EF'!$J$9:$J$190),_xlfn.XLOOKUP($B964,'2. TEUs &amp; Activities - EF'!$B$9:$B$190,'2. TEUs &amp; Activities - EF'!$J$9:$J$190))*'3. Pollutant Emissions - EF'!$I964*IF(OR(ISBLANK($E964),$G964="Yes"),1,$E964)*IF($H964="Yes",1,(1-$F964))</f>
        <v>4.4637352941176468E-2</v>
      </c>
      <c r="N964" s="5">
        <f>IF(ISBLANK($B964),_xlfn.XLOOKUP($A964,'2. TEUs &amp; Activities - EF'!$A$9:$A$190,'2. TEUs &amp; Activities - EF'!$M$9:$M$190),_xlfn.XLOOKUP($B964,'2. TEUs &amp; Activities - EF'!$B$9:$B$190,'2. TEUs &amp; Activities - EF'!$M$9:$M$190))*'3. Pollutant Emissions - EF'!$J964*IF(OR(ISBLANK($E964),$G964="Yes"),1,$E964)*IF($H964="Yes",1,(1-$F964))</f>
        <v>1.2229411764705882E-4</v>
      </c>
      <c r="O964" s="130">
        <f>IFERROR(IF(OR($C964="",$C964="No CAS"),INDEX('DEQ Pollutant List'!$D$7:$D$611,MATCH($D964,'DEQ Pollutant List'!$B$7:$B$611,0)),INDEX('DEQ Pollutant List'!$D$7:$D$611,MATCH($C964,'DEQ Pollutant List'!$A$7:$A$611,0))),"")</f>
        <v>364</v>
      </c>
    </row>
    <row r="965" spans="1:15" ht="15" x14ac:dyDescent="0.25">
      <c r="A965" s="5" t="s">
        <v>1563</v>
      </c>
      <c r="B965" s="7"/>
      <c r="C965" s="13">
        <v>401</v>
      </c>
      <c r="D965" s="19" t="str">
        <f>IFERROR(IF(C965="No CAS","",INDEX('DEQ Pollutant List'!$B$7:$B$611,MATCH('3. Pollutant Emissions - EF'!C965,'DEQ Pollutant List'!$A$7:$A$611,0))),"")</f>
        <v>Polycyclic aromatic hydrocarbons (PAHs)</v>
      </c>
      <c r="E965" s="23">
        <v>0</v>
      </c>
      <c r="F965" s="21">
        <v>0</v>
      </c>
      <c r="G965" s="23" t="s">
        <v>1415</v>
      </c>
      <c r="H965" s="21" t="s">
        <v>1415</v>
      </c>
      <c r="I965" s="34">
        <v>1E-4</v>
      </c>
      <c r="J965" s="11">
        <f t="shared" si="34"/>
        <v>1E-4</v>
      </c>
      <c r="K965" s="6" t="s">
        <v>1416</v>
      </c>
      <c r="L965" s="20" t="s">
        <v>1422</v>
      </c>
      <c r="M965" s="7">
        <f>IF(ISBLANK($B965),_xlfn.XLOOKUP($A965,'2. TEUs &amp; Activities - EF'!$A$9:$A$190,'2. TEUs &amp; Activities - EF'!$J$9:$J$190),_xlfn.XLOOKUP($B965,'2. TEUs &amp; Activities - EF'!$B$9:$B$190,'2. TEUs &amp; Activities - EF'!$J$9:$J$190))*'3. Pollutant Emissions - EF'!$I965*IF(OR(ISBLANK($E965),$G965="Yes"),1,$E965)*IF($H965="Yes",1,(1-$F965))</f>
        <v>2.1255882352941178E-3</v>
      </c>
      <c r="N965" s="5">
        <f>IF(ISBLANK($B965),_xlfn.XLOOKUP($A965,'2. TEUs &amp; Activities - EF'!$A$9:$A$190,'2. TEUs &amp; Activities - EF'!$M$9:$M$190),_xlfn.XLOOKUP($B965,'2. TEUs &amp; Activities - EF'!$B$9:$B$190,'2. TEUs &amp; Activities - EF'!$M$9:$M$190))*'3. Pollutant Emissions - EF'!$J965*IF(OR(ISBLANK($E965),$G965="Yes"),1,$E965)*IF($H965="Yes",1,(1-$F965))</f>
        <v>5.8235294117647067E-6</v>
      </c>
      <c r="O965" s="130">
        <f>IFERROR(IF(OR($C965="",$C965="No CAS"),INDEX('DEQ Pollutant List'!$D$7:$D$611,MATCH($D965,'DEQ Pollutant List'!$B$7:$B$611,0)),INDEX('DEQ Pollutant List'!$D$7:$D$611,MATCH($C965,'DEQ Pollutant List'!$A$7:$A$611,0))),"")</f>
        <v>401</v>
      </c>
    </row>
    <row r="966" spans="1:15" ht="15" x14ac:dyDescent="0.25">
      <c r="A966" s="5" t="s">
        <v>1563</v>
      </c>
      <c r="B966" s="7"/>
      <c r="C966" s="13" t="s">
        <v>67</v>
      </c>
      <c r="D966" s="19" t="str">
        <f>IFERROR(IF(C966="No CAS","",INDEX('DEQ Pollutant List'!$B$7:$B$611,MATCH('3. Pollutant Emissions - EF'!C966,'DEQ Pollutant List'!$A$7:$A$611,0))),"")</f>
        <v>Selenium and compounds</v>
      </c>
      <c r="E966" s="23">
        <v>0</v>
      </c>
      <c r="F966" s="21">
        <v>0</v>
      </c>
      <c r="G966" s="23" t="s">
        <v>1415</v>
      </c>
      <c r="H966" s="21" t="s">
        <v>1415</v>
      </c>
      <c r="I966" s="34">
        <v>2.4000000000000001E-5</v>
      </c>
      <c r="J966" s="11">
        <f t="shared" si="34"/>
        <v>2.4000000000000001E-5</v>
      </c>
      <c r="K966" s="6" t="s">
        <v>1416</v>
      </c>
      <c r="L966" s="20" t="s">
        <v>1422</v>
      </c>
      <c r="M966" s="7">
        <f>IF(ISBLANK($B966),_xlfn.XLOOKUP($A966,'2. TEUs &amp; Activities - EF'!$A$9:$A$190,'2. TEUs &amp; Activities - EF'!$J$9:$J$190),_xlfn.XLOOKUP($B966,'2. TEUs &amp; Activities - EF'!$B$9:$B$190,'2. TEUs &amp; Activities - EF'!$J$9:$J$190))*'3. Pollutant Emissions - EF'!$I966*IF(OR(ISBLANK($E966),$G966="Yes"),1,$E966)*IF($H966="Yes",1,(1-$F966))</f>
        <v>5.1014117647058834E-4</v>
      </c>
      <c r="N966" s="5">
        <f>IF(ISBLANK($B966),_xlfn.XLOOKUP($A966,'2. TEUs &amp; Activities - EF'!$A$9:$A$190,'2. TEUs &amp; Activities - EF'!$M$9:$M$190),_xlfn.XLOOKUP($B966,'2. TEUs &amp; Activities - EF'!$B$9:$B$190,'2. TEUs &amp; Activities - EF'!$M$9:$M$190))*'3. Pollutant Emissions - EF'!$J966*IF(OR(ISBLANK($E966),$G966="Yes"),1,$E966)*IF($H966="Yes",1,(1-$F966))</f>
        <v>1.3976470588235297E-6</v>
      </c>
      <c r="O966" s="130">
        <f>IFERROR(IF(OR($C966="",$C966="No CAS"),INDEX('DEQ Pollutant List'!$D$7:$D$611,MATCH($D966,'DEQ Pollutant List'!$B$7:$B$611,0)),INDEX('DEQ Pollutant List'!$D$7:$D$611,MATCH($C966,'DEQ Pollutant List'!$A$7:$A$611,0))),"")</f>
        <v>575</v>
      </c>
    </row>
    <row r="967" spans="1:15" ht="15" x14ac:dyDescent="0.25">
      <c r="A967" s="5" t="s">
        <v>1563</v>
      </c>
      <c r="B967" s="7"/>
      <c r="C967" s="13" t="s">
        <v>68</v>
      </c>
      <c r="D967" s="19" t="str">
        <f>IFERROR(IF(C967="No CAS","",INDEX('DEQ Pollutant List'!$B$7:$B$611,MATCH('3. Pollutant Emissions - EF'!C967,'DEQ Pollutant List'!$A$7:$A$611,0))),"")</f>
        <v>Toluene</v>
      </c>
      <c r="E967" s="23">
        <v>0</v>
      </c>
      <c r="F967" s="21">
        <v>0</v>
      </c>
      <c r="G967" s="23" t="s">
        <v>1415</v>
      </c>
      <c r="H967" s="21" t="s">
        <v>1415</v>
      </c>
      <c r="I967" s="34">
        <v>3.6600000000000001E-2</v>
      </c>
      <c r="J967" s="11">
        <f t="shared" si="34"/>
        <v>3.6600000000000001E-2</v>
      </c>
      <c r="K967" s="6" t="s">
        <v>1416</v>
      </c>
      <c r="L967" s="20" t="s">
        <v>1422</v>
      </c>
      <c r="M967" s="7">
        <f>IF(ISBLANK($B967),_xlfn.XLOOKUP($A967,'2. TEUs &amp; Activities - EF'!$A$9:$A$190,'2. TEUs &amp; Activities - EF'!$J$9:$J$190),_xlfn.XLOOKUP($B967,'2. TEUs &amp; Activities - EF'!$B$9:$B$190,'2. TEUs &amp; Activities - EF'!$J$9:$J$190))*'3. Pollutant Emissions - EF'!$I967*IF(OR(ISBLANK($E967),$G967="Yes"),1,$E967)*IF($H967="Yes",1,(1-$F967))</f>
        <v>0.77796529411764714</v>
      </c>
      <c r="N967" s="5">
        <f>IF(ISBLANK($B967),_xlfn.XLOOKUP($A967,'2. TEUs &amp; Activities - EF'!$A$9:$A$190,'2. TEUs &amp; Activities - EF'!$M$9:$M$190),_xlfn.XLOOKUP($B967,'2. TEUs &amp; Activities - EF'!$B$9:$B$190,'2. TEUs &amp; Activities - EF'!$M$9:$M$190))*'3. Pollutant Emissions - EF'!$J967*IF(OR(ISBLANK($E967),$G967="Yes"),1,$E967)*IF($H967="Yes",1,(1-$F967))</f>
        <v>2.1314117647058825E-3</v>
      </c>
      <c r="O967" s="130">
        <f>IFERROR(IF(OR($C967="",$C967="No CAS"),INDEX('DEQ Pollutant List'!$D$7:$D$611,MATCH($D967,'DEQ Pollutant List'!$B$7:$B$611,0)),INDEX('DEQ Pollutant List'!$D$7:$D$611,MATCH($C967,'DEQ Pollutant List'!$A$7:$A$611,0))),"")</f>
        <v>600</v>
      </c>
    </row>
    <row r="968" spans="1:15" ht="15" x14ac:dyDescent="0.25">
      <c r="A968" s="5" t="s">
        <v>1563</v>
      </c>
      <c r="B968" s="7"/>
      <c r="C968" s="13" t="s">
        <v>69</v>
      </c>
      <c r="D968" s="19" t="str">
        <f>IFERROR(IF(C968="No CAS","",INDEX('DEQ Pollutant List'!$B$7:$B$611,MATCH('3. Pollutant Emissions - EF'!C968,'DEQ Pollutant List'!$A$7:$A$611,0))),"")</f>
        <v>Vanadium (fume or dust)</v>
      </c>
      <c r="E968" s="23">
        <v>0</v>
      </c>
      <c r="F968" s="21">
        <v>0</v>
      </c>
      <c r="G968" s="23" t="s">
        <v>1415</v>
      </c>
      <c r="H968" s="21" t="s">
        <v>1415</v>
      </c>
      <c r="I968" s="34">
        <v>2.3E-3</v>
      </c>
      <c r="J968" s="11">
        <f t="shared" si="34"/>
        <v>2.3E-3</v>
      </c>
      <c r="K968" s="6" t="s">
        <v>1416</v>
      </c>
      <c r="L968" s="20" t="s">
        <v>1422</v>
      </c>
      <c r="M968" s="7">
        <f>IF(ISBLANK($B968),_xlfn.XLOOKUP($A968,'2. TEUs &amp; Activities - EF'!$A$9:$A$190,'2. TEUs &amp; Activities - EF'!$J$9:$J$190),_xlfn.XLOOKUP($B968,'2. TEUs &amp; Activities - EF'!$B$9:$B$190,'2. TEUs &amp; Activities - EF'!$J$9:$J$190))*'3. Pollutant Emissions - EF'!$I968*IF(OR(ISBLANK($E968),$G968="Yes"),1,$E968)*IF($H968="Yes",1,(1-$F968))</f>
        <v>4.8888529411764706E-2</v>
      </c>
      <c r="N968" s="5">
        <f>IF(ISBLANK($B968),_xlfn.XLOOKUP($A968,'2. TEUs &amp; Activities - EF'!$A$9:$A$190,'2. TEUs &amp; Activities - EF'!$M$9:$M$190),_xlfn.XLOOKUP($B968,'2. TEUs &amp; Activities - EF'!$B$9:$B$190,'2. TEUs &amp; Activities - EF'!$M$9:$M$190))*'3. Pollutant Emissions - EF'!$J968*IF(OR(ISBLANK($E968),$G968="Yes"),1,$E968)*IF($H968="Yes",1,(1-$F968))</f>
        <v>1.3394117647058825E-4</v>
      </c>
      <c r="O968" s="130">
        <f>IFERROR(IF(OR($C968="",$C968="No CAS"),INDEX('DEQ Pollutant List'!$D$7:$D$611,MATCH($D968,'DEQ Pollutant List'!$B$7:$B$611,0)),INDEX('DEQ Pollutant List'!$D$7:$D$611,MATCH($C968,'DEQ Pollutant List'!$A$7:$A$611,0))),"")</f>
        <v>620</v>
      </c>
    </row>
    <row r="969" spans="1:15" ht="15" x14ac:dyDescent="0.25">
      <c r="A969" s="5" t="s">
        <v>1563</v>
      </c>
      <c r="B969" s="7"/>
      <c r="C969" s="13" t="s">
        <v>70</v>
      </c>
      <c r="D969" s="19" t="str">
        <f>IFERROR(IF(C969="No CAS","",INDEX('DEQ Pollutant List'!$B$7:$B$611,MATCH('3. Pollutant Emissions - EF'!C969,'DEQ Pollutant List'!$A$7:$A$611,0))),"")</f>
        <v>Xylene (mixture), including m-xylene, o-xylene, p-xylene</v>
      </c>
      <c r="E969" s="23">
        <v>0</v>
      </c>
      <c r="F969" s="21">
        <v>0</v>
      </c>
      <c r="G969" s="23" t="s">
        <v>1415</v>
      </c>
      <c r="H969" s="21" t="s">
        <v>1415</v>
      </c>
      <c r="I969" s="34">
        <v>2.7199999999999998E-2</v>
      </c>
      <c r="J969" s="11">
        <f t="shared" si="34"/>
        <v>2.7199999999999998E-2</v>
      </c>
      <c r="K969" s="6" t="s">
        <v>1416</v>
      </c>
      <c r="L969" s="20" t="s">
        <v>1422</v>
      </c>
      <c r="M969" s="7">
        <f>IF(ISBLANK($B969),_xlfn.XLOOKUP($A969,'2. TEUs &amp; Activities - EF'!$A$9:$A$190,'2. TEUs &amp; Activities - EF'!$J$9:$J$190),_xlfn.XLOOKUP($B969,'2. TEUs &amp; Activities - EF'!$B$9:$B$190,'2. TEUs &amp; Activities - EF'!$J$9:$J$190))*'3. Pollutant Emissions - EF'!$I969*IF(OR(ISBLANK($E969),$G969="Yes"),1,$E969)*IF($H969="Yes",1,(1-$F969))</f>
        <v>0.57816000000000001</v>
      </c>
      <c r="N969" s="5">
        <f>IF(ISBLANK($B969),_xlfn.XLOOKUP($A969,'2. TEUs &amp; Activities - EF'!$A$9:$A$190,'2. TEUs &amp; Activities - EF'!$M$9:$M$190),_xlfn.XLOOKUP($B969,'2. TEUs &amp; Activities - EF'!$B$9:$B$190,'2. TEUs &amp; Activities - EF'!$M$9:$M$190))*'3. Pollutant Emissions - EF'!$J969*IF(OR(ISBLANK($E969),$G969="Yes"),1,$E969)*IF($H969="Yes",1,(1-$F969))</f>
        <v>1.5840000000000001E-3</v>
      </c>
      <c r="O969" s="130">
        <f>IFERROR(IF(OR($C969="",$C969="No CAS"),INDEX('DEQ Pollutant List'!$D$7:$D$611,MATCH($D969,'DEQ Pollutant List'!$B$7:$B$611,0)),INDEX('DEQ Pollutant List'!$D$7:$D$611,MATCH($C969,'DEQ Pollutant List'!$A$7:$A$611,0))),"")</f>
        <v>628</v>
      </c>
    </row>
    <row r="970" spans="1:15" ht="15" x14ac:dyDescent="0.25">
      <c r="A970" s="5" t="s">
        <v>1563</v>
      </c>
      <c r="B970" s="7"/>
      <c r="C970" s="13" t="s">
        <v>71</v>
      </c>
      <c r="D970" s="19" t="str">
        <f>IFERROR(IF(C970="No CAS","",INDEX('DEQ Pollutant List'!$B$7:$B$611,MATCH('3. Pollutant Emissions - EF'!C970,'DEQ Pollutant List'!$A$7:$A$611,0))),"")</f>
        <v>Zinc and compounds</v>
      </c>
      <c r="E970" s="23">
        <v>0</v>
      </c>
      <c r="F970" s="21">
        <v>0</v>
      </c>
      <c r="G970" s="23" t="s">
        <v>1415</v>
      </c>
      <c r="H970" s="21" t="s">
        <v>1415</v>
      </c>
      <c r="I970" s="34">
        <v>2.9000000000000001E-2</v>
      </c>
      <c r="J970" s="11">
        <f t="shared" si="34"/>
        <v>2.9000000000000001E-2</v>
      </c>
      <c r="K970" s="6" t="s">
        <v>1416</v>
      </c>
      <c r="L970" s="20" t="s">
        <v>1422</v>
      </c>
      <c r="M970" s="7">
        <f>IF(ISBLANK($B970),_xlfn.XLOOKUP($A970,'2. TEUs &amp; Activities - EF'!$A$9:$A$190,'2. TEUs &amp; Activities - EF'!$J$9:$J$190),_xlfn.XLOOKUP($B970,'2. TEUs &amp; Activities - EF'!$B$9:$B$190,'2. TEUs &amp; Activities - EF'!$J$9:$J$190))*'3. Pollutant Emissions - EF'!$I970*IF(OR(ISBLANK($E970),$G970="Yes"),1,$E970)*IF($H970="Yes",1,(1-$F970))</f>
        <v>0.61642058823529422</v>
      </c>
      <c r="N970" s="5">
        <f>IF(ISBLANK($B970),_xlfn.XLOOKUP($A970,'2. TEUs &amp; Activities - EF'!$A$9:$A$190,'2. TEUs &amp; Activities - EF'!$M$9:$M$190),_xlfn.XLOOKUP($B970,'2. TEUs &amp; Activities - EF'!$B$9:$B$190,'2. TEUs &amp; Activities - EF'!$M$9:$M$190))*'3. Pollutant Emissions - EF'!$J970*IF(OR(ISBLANK($E970),$G970="Yes"),1,$E970)*IF($H970="Yes",1,(1-$F970))</f>
        <v>1.688823529411765E-3</v>
      </c>
      <c r="O970" s="130">
        <f>IFERROR(IF(OR($C970="",$C970="No CAS"),INDEX('DEQ Pollutant List'!$D$7:$D$611,MATCH($D970,'DEQ Pollutant List'!$B$7:$B$611,0)),INDEX('DEQ Pollutant List'!$D$7:$D$611,MATCH($C970,'DEQ Pollutant List'!$A$7:$A$611,0))),"")</f>
        <v>632</v>
      </c>
    </row>
    <row r="971" spans="1:15" ht="15" x14ac:dyDescent="0.25">
      <c r="A971" s="5"/>
      <c r="B971" s="7"/>
      <c r="C971" s="13"/>
      <c r="D971" s="19" t="str">
        <f>IFERROR(IF(C971="No CAS","",INDEX('DEQ Pollutant List'!$B$7:$B$611,MATCH('3. Pollutant Emissions - EF'!C971,'DEQ Pollutant List'!$A$7:$A$611,0))),"")</f>
        <v/>
      </c>
      <c r="E971" s="23"/>
      <c r="F971" s="21"/>
      <c r="G971" s="23"/>
      <c r="H971" s="21"/>
      <c r="I971" s="34"/>
      <c r="J971" s="11"/>
      <c r="K971" s="6"/>
      <c r="L971" s="20"/>
      <c r="M971" s="7">
        <f>IF(ISBLANK($B971),_xlfn.XLOOKUP($A971,'2. TEUs &amp; Activities - EF'!$A$9:$A$190,'2. TEUs &amp; Activities - EF'!$J$9:$J$190),_xlfn.XLOOKUP($B971,'2. TEUs &amp; Activities - EF'!$B$9:$B$190,'2. TEUs &amp; Activities - EF'!$J$9:$J$190))*'3. Pollutant Emissions - EF'!$I971*IF(OR(ISBLANK($E971),$G971="Yes"),1,$E971)*IF($H971="Yes",1,(1-$F971))</f>
        <v>0</v>
      </c>
      <c r="N971" s="5">
        <f>IF(ISBLANK($B971),_xlfn.XLOOKUP($A971,'2. TEUs &amp; Activities - EF'!$A$9:$A$190,'2. TEUs &amp; Activities - EF'!$M$9:$M$190),_xlfn.XLOOKUP($B971,'2. TEUs &amp; Activities - EF'!$B$9:$B$190,'2. TEUs &amp; Activities - EF'!$M$9:$M$190))*'3. Pollutant Emissions - EF'!$J971*IF(OR(ISBLANK($E971),$G971="Yes"),1,$E971)*IF($H971="Yes",1,(1-$F971))</f>
        <v>0</v>
      </c>
      <c r="O971" s="130" t="str">
        <f>IFERROR(IF(OR($C971="",$C971="No CAS"),INDEX('DEQ Pollutant List'!$D$7:$D$611,MATCH($D971,'DEQ Pollutant List'!$B$7:$B$611,0)),INDEX('DEQ Pollutant List'!$D$7:$D$611,MATCH($C971,'DEQ Pollutant List'!$A$7:$A$611,0))),"")</f>
        <v/>
      </c>
    </row>
    <row r="972" spans="1:15" ht="15" x14ac:dyDescent="0.25">
      <c r="A972" s="5" t="s">
        <v>1564</v>
      </c>
      <c r="B972" s="7"/>
      <c r="C972" s="13" t="s">
        <v>50</v>
      </c>
      <c r="D972" s="19" t="str">
        <f>IFERROR(IF(C972="No CAS","",INDEX('DEQ Pollutant List'!$B$7:$B$611,MATCH('3. Pollutant Emissions - EF'!C972,'DEQ Pollutant List'!$A$7:$A$611,0))),"")</f>
        <v>Acetaldehyde</v>
      </c>
      <c r="E972" s="23">
        <v>0</v>
      </c>
      <c r="F972" s="21">
        <v>0</v>
      </c>
      <c r="G972" s="23" t="s">
        <v>1415</v>
      </c>
      <c r="H972" s="21" t="s">
        <v>1415</v>
      </c>
      <c r="I972" s="34">
        <v>4.3E-3</v>
      </c>
      <c r="J972" s="11">
        <f t="shared" ref="J972:J997" si="35">I972</f>
        <v>4.3E-3</v>
      </c>
      <c r="K972" s="6" t="s">
        <v>1416</v>
      </c>
      <c r="L972" s="20" t="s">
        <v>1422</v>
      </c>
      <c r="M972" s="7">
        <f>IF(ISBLANK($B972),_xlfn.XLOOKUP($A972,'2. TEUs &amp; Activities - EF'!$A$9:$A$190,'2. TEUs &amp; Activities - EF'!$J$9:$J$190),_xlfn.XLOOKUP($B972,'2. TEUs &amp; Activities - EF'!$B$9:$B$190,'2. TEUs &amp; Activities - EF'!$J$9:$J$190))*'3. Pollutant Emissions - EF'!$I972*IF(OR(ISBLANK($E972),$G972="Yes"),1,$E972)*IF($H972="Yes",1,(1-$F972))</f>
        <v>9.1400294117647066E-2</v>
      </c>
      <c r="N972" s="5">
        <f>IF(ISBLANK($B972),_xlfn.XLOOKUP($A972,'2. TEUs &amp; Activities - EF'!$A$9:$A$190,'2. TEUs &amp; Activities - EF'!$M$9:$M$190),_xlfn.XLOOKUP($B972,'2. TEUs &amp; Activities - EF'!$B$9:$B$190,'2. TEUs &amp; Activities - EF'!$M$9:$M$190))*'3. Pollutant Emissions - EF'!$J972*IF(OR(ISBLANK($E972),$G972="Yes"),1,$E972)*IF($H972="Yes",1,(1-$F972))</f>
        <v>2.5041176470588236E-4</v>
      </c>
      <c r="O972" s="130">
        <f>IFERROR(IF(OR($C972="",$C972="No CAS"),INDEX('DEQ Pollutant List'!$D$7:$D$611,MATCH($D972,'DEQ Pollutant List'!$B$7:$B$611,0)),INDEX('DEQ Pollutant List'!$D$7:$D$611,MATCH($C972,'DEQ Pollutant List'!$A$7:$A$611,0))),"")</f>
        <v>1</v>
      </c>
    </row>
    <row r="973" spans="1:15" ht="15" x14ac:dyDescent="0.25">
      <c r="A973" s="5" t="s">
        <v>1564</v>
      </c>
      <c r="B973" s="7"/>
      <c r="C973" s="13" t="s">
        <v>51</v>
      </c>
      <c r="D973" s="19" t="str">
        <f>IFERROR(IF(C973="No CAS","",INDEX('DEQ Pollutant List'!$B$7:$B$611,MATCH('3. Pollutant Emissions - EF'!C973,'DEQ Pollutant List'!$A$7:$A$611,0))),"")</f>
        <v>Acrolein</v>
      </c>
      <c r="E973" s="23">
        <v>0</v>
      </c>
      <c r="F973" s="21">
        <v>0</v>
      </c>
      <c r="G973" s="23" t="s">
        <v>1415</v>
      </c>
      <c r="H973" s="21" t="s">
        <v>1415</v>
      </c>
      <c r="I973" s="34">
        <v>2.7000000000000001E-3</v>
      </c>
      <c r="J973" s="11">
        <f t="shared" si="35"/>
        <v>2.7000000000000001E-3</v>
      </c>
      <c r="K973" s="6" t="s">
        <v>1416</v>
      </c>
      <c r="L973" s="20" t="s">
        <v>1422</v>
      </c>
      <c r="M973" s="7">
        <f>IF(ISBLANK($B973),_xlfn.XLOOKUP($A973,'2. TEUs &amp; Activities - EF'!$A$9:$A$190,'2. TEUs &amp; Activities - EF'!$J$9:$J$190),_xlfn.XLOOKUP($B973,'2. TEUs &amp; Activities - EF'!$B$9:$B$190,'2. TEUs &amp; Activities - EF'!$J$9:$J$190))*'3. Pollutant Emissions - EF'!$I973*IF(OR(ISBLANK($E973),$G973="Yes"),1,$E973)*IF($H973="Yes",1,(1-$F973))</f>
        <v>5.7390882352941187E-2</v>
      </c>
      <c r="N973" s="5">
        <f>IF(ISBLANK($B973),_xlfn.XLOOKUP($A973,'2. TEUs &amp; Activities - EF'!$A$9:$A$190,'2. TEUs &amp; Activities - EF'!$M$9:$M$190),_xlfn.XLOOKUP($B973,'2. TEUs &amp; Activities - EF'!$B$9:$B$190,'2. TEUs &amp; Activities - EF'!$M$9:$M$190))*'3. Pollutant Emissions - EF'!$J973*IF(OR(ISBLANK($E973),$G973="Yes"),1,$E973)*IF($H973="Yes",1,(1-$F973))</f>
        <v>1.5723529411764707E-4</v>
      </c>
      <c r="O973" s="130">
        <f>IFERROR(IF(OR($C973="",$C973="No CAS"),INDEX('DEQ Pollutant List'!$D$7:$D$611,MATCH($D973,'DEQ Pollutant List'!$B$7:$B$611,0)),INDEX('DEQ Pollutant List'!$D$7:$D$611,MATCH($C973,'DEQ Pollutant List'!$A$7:$A$611,0))),"")</f>
        <v>5</v>
      </c>
    </row>
    <row r="974" spans="1:15" ht="15" x14ac:dyDescent="0.25">
      <c r="A974" s="5" t="s">
        <v>1564</v>
      </c>
      <c r="B974" s="7"/>
      <c r="C974" s="13" t="s">
        <v>52</v>
      </c>
      <c r="D974" s="19" t="str">
        <f>IFERROR(IF(C974="No CAS","",INDEX('DEQ Pollutant List'!$B$7:$B$611,MATCH('3. Pollutant Emissions - EF'!C974,'DEQ Pollutant List'!$A$7:$A$611,0))),"")</f>
        <v>Ammonia</v>
      </c>
      <c r="E974" s="23">
        <v>0</v>
      </c>
      <c r="F974" s="21">
        <v>0</v>
      </c>
      <c r="G974" s="23" t="s">
        <v>1415</v>
      </c>
      <c r="H974" s="21" t="s">
        <v>1415</v>
      </c>
      <c r="I974" s="34">
        <v>3.2</v>
      </c>
      <c r="J974" s="11">
        <f t="shared" si="35"/>
        <v>3.2</v>
      </c>
      <c r="K974" s="6" t="s">
        <v>1416</v>
      </c>
      <c r="L974" s="20" t="s">
        <v>1586</v>
      </c>
      <c r="M974" s="7">
        <f>IF(ISBLANK($B974),_xlfn.XLOOKUP($A974,'2. TEUs &amp; Activities - EF'!$A$9:$A$190,'2. TEUs &amp; Activities - EF'!$J$9:$J$190),_xlfn.XLOOKUP($B974,'2. TEUs &amp; Activities - EF'!$B$9:$B$190,'2. TEUs &amp; Activities - EF'!$J$9:$J$190))*'3. Pollutant Emissions - EF'!$I974*IF(OR(ISBLANK($E974),$G974="Yes"),1,$E974)*IF($H974="Yes",1,(1-$F974))</f>
        <v>68.018823529411776</v>
      </c>
      <c r="N974" s="5">
        <f>IF(ISBLANK($B974),_xlfn.XLOOKUP($A974,'2. TEUs &amp; Activities - EF'!$A$9:$A$190,'2. TEUs &amp; Activities - EF'!$M$9:$M$190),_xlfn.XLOOKUP($B974,'2. TEUs &amp; Activities - EF'!$B$9:$B$190,'2. TEUs &amp; Activities - EF'!$M$9:$M$190))*'3. Pollutant Emissions - EF'!$J974*IF(OR(ISBLANK($E974),$G974="Yes"),1,$E974)*IF($H974="Yes",1,(1-$F974))</f>
        <v>0.18635294117647061</v>
      </c>
      <c r="O974" s="130">
        <f>IFERROR(IF(OR($C974="",$C974="No CAS"),INDEX('DEQ Pollutant List'!$D$7:$D$611,MATCH($D974,'DEQ Pollutant List'!$B$7:$B$611,0)),INDEX('DEQ Pollutant List'!$D$7:$D$611,MATCH($C974,'DEQ Pollutant List'!$A$7:$A$611,0))),"")</f>
        <v>26</v>
      </c>
    </row>
    <row r="975" spans="1:15" ht="15" x14ac:dyDescent="0.25">
      <c r="A975" s="5" t="s">
        <v>1564</v>
      </c>
      <c r="B975" s="7"/>
      <c r="C975" s="13" t="s">
        <v>53</v>
      </c>
      <c r="D975" s="19" t="str">
        <f>IFERROR(IF(C975="No CAS","",INDEX('DEQ Pollutant List'!$B$7:$B$611,MATCH('3. Pollutant Emissions - EF'!C975,'DEQ Pollutant List'!$A$7:$A$611,0))),"")</f>
        <v>Arsenic and compounds</v>
      </c>
      <c r="E975" s="23">
        <v>0</v>
      </c>
      <c r="F975" s="21">
        <v>0</v>
      </c>
      <c r="G975" s="23" t="s">
        <v>1415</v>
      </c>
      <c r="H975" s="21" t="s">
        <v>1415</v>
      </c>
      <c r="I975" s="34">
        <v>2.0000000000000001E-4</v>
      </c>
      <c r="J975" s="11">
        <f t="shared" si="35"/>
        <v>2.0000000000000001E-4</v>
      </c>
      <c r="K975" s="6" t="s">
        <v>1416</v>
      </c>
      <c r="L975" s="20" t="s">
        <v>1422</v>
      </c>
      <c r="M975" s="7">
        <f>IF(ISBLANK($B975),_xlfn.XLOOKUP($A975,'2. TEUs &amp; Activities - EF'!$A$9:$A$190,'2. TEUs &amp; Activities - EF'!$J$9:$J$190),_xlfn.XLOOKUP($B975,'2. TEUs &amp; Activities - EF'!$B$9:$B$190,'2. TEUs &amp; Activities - EF'!$J$9:$J$190))*'3. Pollutant Emissions - EF'!$I975*IF(OR(ISBLANK($E975),$G975="Yes"),1,$E975)*IF($H975="Yes",1,(1-$F975))</f>
        <v>4.2511764705882357E-3</v>
      </c>
      <c r="N975" s="5">
        <f>IF(ISBLANK($B975),_xlfn.XLOOKUP($A975,'2. TEUs &amp; Activities - EF'!$A$9:$A$190,'2. TEUs &amp; Activities - EF'!$M$9:$M$190),_xlfn.XLOOKUP($B975,'2. TEUs &amp; Activities - EF'!$B$9:$B$190,'2. TEUs &amp; Activities - EF'!$M$9:$M$190))*'3. Pollutant Emissions - EF'!$J975*IF(OR(ISBLANK($E975),$G975="Yes"),1,$E975)*IF($H975="Yes",1,(1-$F975))</f>
        <v>1.1647058823529413E-5</v>
      </c>
      <c r="O975" s="130">
        <f>IFERROR(IF(OR($C975="",$C975="No CAS"),INDEX('DEQ Pollutant List'!$D$7:$D$611,MATCH($D975,'DEQ Pollutant List'!$B$7:$B$611,0)),INDEX('DEQ Pollutant List'!$D$7:$D$611,MATCH($C975,'DEQ Pollutant List'!$A$7:$A$611,0))),"")</f>
        <v>37</v>
      </c>
    </row>
    <row r="976" spans="1:15" ht="15" x14ac:dyDescent="0.25">
      <c r="A976" s="5" t="s">
        <v>1564</v>
      </c>
      <c r="B976" s="7"/>
      <c r="C976" s="13" t="s">
        <v>54</v>
      </c>
      <c r="D976" s="19" t="str">
        <f>IFERROR(IF(C976="No CAS","",INDEX('DEQ Pollutant List'!$B$7:$B$611,MATCH('3. Pollutant Emissions - EF'!C976,'DEQ Pollutant List'!$A$7:$A$611,0))),"")</f>
        <v>Barium and compounds</v>
      </c>
      <c r="E976" s="23">
        <v>0</v>
      </c>
      <c r="F976" s="21">
        <v>0</v>
      </c>
      <c r="G976" s="23" t="s">
        <v>1415</v>
      </c>
      <c r="H976" s="21" t="s">
        <v>1415</v>
      </c>
      <c r="I976" s="34">
        <v>4.4000000000000003E-3</v>
      </c>
      <c r="J976" s="11">
        <f t="shared" si="35"/>
        <v>4.4000000000000003E-3</v>
      </c>
      <c r="K976" s="6" t="s">
        <v>1416</v>
      </c>
      <c r="L976" s="20" t="s">
        <v>1422</v>
      </c>
      <c r="M976" s="7">
        <f>IF(ISBLANK($B976),_xlfn.XLOOKUP($A976,'2. TEUs &amp; Activities - EF'!$A$9:$A$190,'2. TEUs &amp; Activities - EF'!$J$9:$J$190),_xlfn.XLOOKUP($B976,'2. TEUs &amp; Activities - EF'!$B$9:$B$190,'2. TEUs &amp; Activities - EF'!$J$9:$J$190))*'3. Pollutant Emissions - EF'!$I976*IF(OR(ISBLANK($E976),$G976="Yes"),1,$E976)*IF($H976="Yes",1,(1-$F976))</f>
        <v>9.3525882352941195E-2</v>
      </c>
      <c r="N976" s="5">
        <f>IF(ISBLANK($B976),_xlfn.XLOOKUP($A976,'2. TEUs &amp; Activities - EF'!$A$9:$A$190,'2. TEUs &amp; Activities - EF'!$M$9:$M$190),_xlfn.XLOOKUP($B976,'2. TEUs &amp; Activities - EF'!$B$9:$B$190,'2. TEUs &amp; Activities - EF'!$M$9:$M$190))*'3. Pollutant Emissions - EF'!$J976*IF(OR(ISBLANK($E976),$G976="Yes"),1,$E976)*IF($H976="Yes",1,(1-$F976))</f>
        <v>2.5623529411764712E-4</v>
      </c>
      <c r="O976" s="130">
        <f>IFERROR(IF(OR($C976="",$C976="No CAS"),INDEX('DEQ Pollutant List'!$D$7:$D$611,MATCH($D976,'DEQ Pollutant List'!$B$7:$B$611,0)),INDEX('DEQ Pollutant List'!$D$7:$D$611,MATCH($C976,'DEQ Pollutant List'!$A$7:$A$611,0))),"")</f>
        <v>45</v>
      </c>
    </row>
    <row r="977" spans="1:15" ht="15" x14ac:dyDescent="0.25">
      <c r="A977" s="5" t="s">
        <v>1564</v>
      </c>
      <c r="B977" s="7"/>
      <c r="C977" s="13" t="s">
        <v>46</v>
      </c>
      <c r="D977" s="19" t="str">
        <f>IFERROR(IF(C977="No CAS","",INDEX('DEQ Pollutant List'!$B$7:$B$611,MATCH('3. Pollutant Emissions - EF'!C977,'DEQ Pollutant List'!$A$7:$A$611,0))),"")</f>
        <v>Benzene</v>
      </c>
      <c r="E977" s="23">
        <v>0</v>
      </c>
      <c r="F977" s="21">
        <v>0</v>
      </c>
      <c r="G977" s="23" t="s">
        <v>1415</v>
      </c>
      <c r="H977" s="21" t="s">
        <v>1415</v>
      </c>
      <c r="I977" s="34">
        <v>8.0000000000000002E-3</v>
      </c>
      <c r="J977" s="11">
        <f t="shared" si="35"/>
        <v>8.0000000000000002E-3</v>
      </c>
      <c r="K977" s="6" t="s">
        <v>1416</v>
      </c>
      <c r="L977" s="20" t="s">
        <v>1422</v>
      </c>
      <c r="M977" s="7">
        <f>IF(ISBLANK($B977),_xlfn.XLOOKUP($A977,'2. TEUs &amp; Activities - EF'!$A$9:$A$190,'2. TEUs &amp; Activities - EF'!$J$9:$J$190),_xlfn.XLOOKUP($B977,'2. TEUs &amp; Activities - EF'!$B$9:$B$190,'2. TEUs &amp; Activities - EF'!$J$9:$J$190))*'3. Pollutant Emissions - EF'!$I977*IF(OR(ISBLANK($E977),$G977="Yes"),1,$E977)*IF($H977="Yes",1,(1-$F977))</f>
        <v>0.17004705882352944</v>
      </c>
      <c r="N977" s="5">
        <f>IF(ISBLANK($B977),_xlfn.XLOOKUP($A977,'2. TEUs &amp; Activities - EF'!$A$9:$A$190,'2. TEUs &amp; Activities - EF'!$M$9:$M$190),_xlfn.XLOOKUP($B977,'2. TEUs &amp; Activities - EF'!$B$9:$B$190,'2. TEUs &amp; Activities - EF'!$M$9:$M$190))*'3. Pollutant Emissions - EF'!$J977*IF(OR(ISBLANK($E977),$G977="Yes"),1,$E977)*IF($H977="Yes",1,(1-$F977))</f>
        <v>4.6588235294117654E-4</v>
      </c>
      <c r="O977" s="130">
        <f>IFERROR(IF(OR($C977="",$C977="No CAS"),INDEX('DEQ Pollutant List'!$D$7:$D$611,MATCH($D977,'DEQ Pollutant List'!$B$7:$B$611,0)),INDEX('DEQ Pollutant List'!$D$7:$D$611,MATCH($C977,'DEQ Pollutant List'!$A$7:$A$611,0))),"")</f>
        <v>46</v>
      </c>
    </row>
    <row r="978" spans="1:15" ht="15" x14ac:dyDescent="0.25">
      <c r="A978" s="5" t="s">
        <v>1564</v>
      </c>
      <c r="B978" s="7"/>
      <c r="C978" s="13" t="s">
        <v>55</v>
      </c>
      <c r="D978" s="19" t="str">
        <f>IFERROR(IF(C978="No CAS","",INDEX('DEQ Pollutant List'!$B$7:$B$611,MATCH('3. Pollutant Emissions - EF'!C978,'DEQ Pollutant List'!$A$7:$A$611,0))),"")</f>
        <v>Beryllium and compounds</v>
      </c>
      <c r="E978" s="23">
        <v>0</v>
      </c>
      <c r="F978" s="21">
        <v>0</v>
      </c>
      <c r="G978" s="23" t="s">
        <v>1415</v>
      </c>
      <c r="H978" s="21" t="s">
        <v>1415</v>
      </c>
      <c r="I978" s="34">
        <v>1.2E-5</v>
      </c>
      <c r="J978" s="11">
        <f t="shared" si="35"/>
        <v>1.2E-5</v>
      </c>
      <c r="K978" s="6" t="s">
        <v>1416</v>
      </c>
      <c r="L978" s="20" t="s">
        <v>1422</v>
      </c>
      <c r="M978" s="7">
        <f>IF(ISBLANK($B978),_xlfn.XLOOKUP($A978,'2. TEUs &amp; Activities - EF'!$A$9:$A$190,'2. TEUs &amp; Activities - EF'!$J$9:$J$190),_xlfn.XLOOKUP($B978,'2. TEUs &amp; Activities - EF'!$B$9:$B$190,'2. TEUs &amp; Activities - EF'!$J$9:$J$190))*'3. Pollutant Emissions - EF'!$I978*IF(OR(ISBLANK($E978),$G978="Yes"),1,$E978)*IF($H978="Yes",1,(1-$F978))</f>
        <v>2.5507058823529417E-4</v>
      </c>
      <c r="N978" s="5">
        <f>IF(ISBLANK($B978),_xlfn.XLOOKUP($A978,'2. TEUs &amp; Activities - EF'!$A$9:$A$190,'2. TEUs &amp; Activities - EF'!$M$9:$M$190),_xlfn.XLOOKUP($B978,'2. TEUs &amp; Activities - EF'!$B$9:$B$190,'2. TEUs &amp; Activities - EF'!$M$9:$M$190))*'3. Pollutant Emissions - EF'!$J978*IF(OR(ISBLANK($E978),$G978="Yes"),1,$E978)*IF($H978="Yes",1,(1-$F978))</f>
        <v>6.9882352941176484E-7</v>
      </c>
      <c r="O978" s="130">
        <f>IFERROR(IF(OR($C978="",$C978="No CAS"),INDEX('DEQ Pollutant List'!$D$7:$D$611,MATCH($D978,'DEQ Pollutant List'!$B$7:$B$611,0)),INDEX('DEQ Pollutant List'!$D$7:$D$611,MATCH($C978,'DEQ Pollutant List'!$A$7:$A$611,0))),"")</f>
        <v>58</v>
      </c>
    </row>
    <row r="979" spans="1:15" ht="15" x14ac:dyDescent="0.25">
      <c r="A979" s="5" t="s">
        <v>1564</v>
      </c>
      <c r="B979" s="7"/>
      <c r="C979" s="13" t="s">
        <v>56</v>
      </c>
      <c r="D979" s="19" t="str">
        <f>IFERROR(IF(C979="No CAS","",INDEX('DEQ Pollutant List'!$B$7:$B$611,MATCH('3. Pollutant Emissions - EF'!C979,'DEQ Pollutant List'!$A$7:$A$611,0))),"")</f>
        <v>Cadmium and compounds</v>
      </c>
      <c r="E979" s="23">
        <v>0</v>
      </c>
      <c r="F979" s="21">
        <v>0</v>
      </c>
      <c r="G979" s="23" t="s">
        <v>1415</v>
      </c>
      <c r="H979" s="21" t="s">
        <v>1415</v>
      </c>
      <c r="I979" s="34">
        <v>1.1000000000000001E-3</v>
      </c>
      <c r="J979" s="11">
        <f t="shared" si="35"/>
        <v>1.1000000000000001E-3</v>
      </c>
      <c r="K979" s="6" t="s">
        <v>1416</v>
      </c>
      <c r="L979" s="20" t="s">
        <v>1422</v>
      </c>
      <c r="M979" s="7">
        <f>IF(ISBLANK($B979),_xlfn.XLOOKUP($A979,'2. TEUs &amp; Activities - EF'!$A$9:$A$190,'2. TEUs &amp; Activities - EF'!$J$9:$J$190),_xlfn.XLOOKUP($B979,'2. TEUs &amp; Activities - EF'!$B$9:$B$190,'2. TEUs &amp; Activities - EF'!$J$9:$J$190))*'3. Pollutant Emissions - EF'!$I979*IF(OR(ISBLANK($E979),$G979="Yes"),1,$E979)*IF($H979="Yes",1,(1-$F979))</f>
        <v>2.3381470588235299E-2</v>
      </c>
      <c r="N979" s="5">
        <f>IF(ISBLANK($B979),_xlfn.XLOOKUP($A979,'2. TEUs &amp; Activities - EF'!$A$9:$A$190,'2. TEUs &amp; Activities - EF'!$M$9:$M$190),_xlfn.XLOOKUP($B979,'2. TEUs &amp; Activities - EF'!$B$9:$B$190,'2. TEUs &amp; Activities - EF'!$M$9:$M$190))*'3. Pollutant Emissions - EF'!$J979*IF(OR(ISBLANK($E979),$G979="Yes"),1,$E979)*IF($H979="Yes",1,(1-$F979))</f>
        <v>6.4058823529411781E-5</v>
      </c>
      <c r="O979" s="130">
        <f>IFERROR(IF(OR($C979="",$C979="No CAS"),INDEX('DEQ Pollutant List'!$D$7:$D$611,MATCH($D979,'DEQ Pollutant List'!$B$7:$B$611,0)),INDEX('DEQ Pollutant List'!$D$7:$D$611,MATCH($C979,'DEQ Pollutant List'!$A$7:$A$611,0))),"")</f>
        <v>83</v>
      </c>
    </row>
    <row r="980" spans="1:15" ht="15" x14ac:dyDescent="0.25">
      <c r="A980" s="5" t="s">
        <v>1564</v>
      </c>
      <c r="B980" s="7"/>
      <c r="C980" s="13" t="s">
        <v>57</v>
      </c>
      <c r="D980" s="19" t="str">
        <f>IFERROR(IF(C980="No CAS","",INDEX('DEQ Pollutant List'!$B$7:$B$611,MATCH('3. Pollutant Emissions - EF'!C980,'DEQ Pollutant List'!$A$7:$A$611,0))),"")</f>
        <v>Chromium VI, chromate and dichromate particulate</v>
      </c>
      <c r="E980" s="23">
        <v>0</v>
      </c>
      <c r="F980" s="21">
        <v>0</v>
      </c>
      <c r="G980" s="23" t="s">
        <v>1415</v>
      </c>
      <c r="H980" s="21" t="s">
        <v>1415</v>
      </c>
      <c r="I980" s="34">
        <v>1.4E-3</v>
      </c>
      <c r="J980" s="11">
        <f t="shared" si="35"/>
        <v>1.4E-3</v>
      </c>
      <c r="K980" s="6" t="s">
        <v>1416</v>
      </c>
      <c r="L980" s="20" t="s">
        <v>1422</v>
      </c>
      <c r="M980" s="7">
        <f>IF(ISBLANK($B980),_xlfn.XLOOKUP($A980,'2. TEUs &amp; Activities - EF'!$A$9:$A$190,'2. TEUs &amp; Activities - EF'!$J$9:$J$190),_xlfn.XLOOKUP($B980,'2. TEUs &amp; Activities - EF'!$B$9:$B$190,'2. TEUs &amp; Activities - EF'!$J$9:$J$190))*'3. Pollutant Emissions - EF'!$I980*IF(OR(ISBLANK($E980),$G980="Yes"),1,$E980)*IF($H980="Yes",1,(1-$F980))</f>
        <v>2.9758235294117648E-2</v>
      </c>
      <c r="N980" s="5">
        <f>IF(ISBLANK($B980),_xlfn.XLOOKUP($A980,'2. TEUs &amp; Activities - EF'!$A$9:$A$190,'2. TEUs &amp; Activities - EF'!$M$9:$M$190),_xlfn.XLOOKUP($B980,'2. TEUs &amp; Activities - EF'!$B$9:$B$190,'2. TEUs &amp; Activities - EF'!$M$9:$M$190))*'3. Pollutant Emissions - EF'!$J980*IF(OR(ISBLANK($E980),$G980="Yes"),1,$E980)*IF($H980="Yes",1,(1-$F980))</f>
        <v>8.1529411764705894E-5</v>
      </c>
      <c r="O980" s="130">
        <f>IFERROR(IF(OR($C980="",$C980="No CAS"),INDEX('DEQ Pollutant List'!$D$7:$D$611,MATCH($D980,'DEQ Pollutant List'!$B$7:$B$611,0)),INDEX('DEQ Pollutant List'!$D$7:$D$611,MATCH($C980,'DEQ Pollutant List'!$A$7:$A$611,0))),"")</f>
        <v>136</v>
      </c>
    </row>
    <row r="981" spans="1:15" ht="15" x14ac:dyDescent="0.25">
      <c r="A981" s="5" t="s">
        <v>1564</v>
      </c>
      <c r="B981" s="7"/>
      <c r="C981" s="13" t="s">
        <v>58</v>
      </c>
      <c r="D981" s="19" t="str">
        <f>IFERROR(IF(C981="No CAS","",INDEX('DEQ Pollutant List'!$B$7:$B$611,MATCH('3. Pollutant Emissions - EF'!C981,'DEQ Pollutant List'!$A$7:$A$611,0))),"")</f>
        <v>Cobalt and compounds</v>
      </c>
      <c r="E981" s="23">
        <v>0</v>
      </c>
      <c r="F981" s="21">
        <v>0</v>
      </c>
      <c r="G981" s="23" t="s">
        <v>1415</v>
      </c>
      <c r="H981" s="21" t="s">
        <v>1415</v>
      </c>
      <c r="I981" s="34">
        <v>8.3999999999999995E-5</v>
      </c>
      <c r="J981" s="11">
        <f t="shared" si="35"/>
        <v>8.3999999999999995E-5</v>
      </c>
      <c r="K981" s="6" t="s">
        <v>1416</v>
      </c>
      <c r="L981" s="20" t="s">
        <v>1422</v>
      </c>
      <c r="M981" s="7">
        <f>IF(ISBLANK($B981),_xlfn.XLOOKUP($A981,'2. TEUs &amp; Activities - EF'!$A$9:$A$190,'2. TEUs &amp; Activities - EF'!$J$9:$J$190),_xlfn.XLOOKUP($B981,'2. TEUs &amp; Activities - EF'!$B$9:$B$190,'2. TEUs &amp; Activities - EF'!$J$9:$J$190))*'3. Pollutant Emissions - EF'!$I981*IF(OR(ISBLANK($E981),$G981="Yes"),1,$E981)*IF($H981="Yes",1,(1-$F981))</f>
        <v>1.7854941176470589E-3</v>
      </c>
      <c r="N981" s="5">
        <f>IF(ISBLANK($B981),_xlfn.XLOOKUP($A981,'2. TEUs &amp; Activities - EF'!$A$9:$A$190,'2. TEUs &amp; Activities - EF'!$M$9:$M$190),_xlfn.XLOOKUP($B981,'2. TEUs &amp; Activities - EF'!$B$9:$B$190,'2. TEUs &amp; Activities - EF'!$M$9:$M$190))*'3. Pollutant Emissions - EF'!$J981*IF(OR(ISBLANK($E981),$G981="Yes"),1,$E981)*IF($H981="Yes",1,(1-$F981))</f>
        <v>4.891764705882353E-6</v>
      </c>
      <c r="O981" s="130">
        <f>IFERROR(IF(OR($C981="",$C981="No CAS"),INDEX('DEQ Pollutant List'!$D$7:$D$611,MATCH($D981,'DEQ Pollutant List'!$B$7:$B$611,0)),INDEX('DEQ Pollutant List'!$D$7:$D$611,MATCH($C981,'DEQ Pollutant List'!$A$7:$A$611,0))),"")</f>
        <v>146</v>
      </c>
    </row>
    <row r="982" spans="1:15" ht="15" x14ac:dyDescent="0.25">
      <c r="A982" s="5" t="s">
        <v>1564</v>
      </c>
      <c r="B982" s="7"/>
      <c r="C982" s="13" t="s">
        <v>59</v>
      </c>
      <c r="D982" s="19" t="str">
        <f>IFERROR(IF(C982="No CAS","",INDEX('DEQ Pollutant List'!$B$7:$B$611,MATCH('3. Pollutant Emissions - EF'!C982,'DEQ Pollutant List'!$A$7:$A$611,0))),"")</f>
        <v>Copper and compounds</v>
      </c>
      <c r="E982" s="23">
        <v>0</v>
      </c>
      <c r="F982" s="21">
        <v>0</v>
      </c>
      <c r="G982" s="23" t="s">
        <v>1415</v>
      </c>
      <c r="H982" s="21" t="s">
        <v>1415</v>
      </c>
      <c r="I982" s="34">
        <v>8.4999999999999995E-4</v>
      </c>
      <c r="J982" s="11">
        <f t="shared" si="35"/>
        <v>8.4999999999999995E-4</v>
      </c>
      <c r="K982" s="6" t="s">
        <v>1416</v>
      </c>
      <c r="L982" s="20" t="s">
        <v>1422</v>
      </c>
      <c r="M982" s="7">
        <f>IF(ISBLANK($B982),_xlfn.XLOOKUP($A982,'2. TEUs &amp; Activities - EF'!$A$9:$A$190,'2. TEUs &amp; Activities - EF'!$J$9:$J$190),_xlfn.XLOOKUP($B982,'2. TEUs &amp; Activities - EF'!$B$9:$B$190,'2. TEUs &amp; Activities - EF'!$J$9:$J$190))*'3. Pollutant Emissions - EF'!$I982*IF(OR(ISBLANK($E982),$G982="Yes"),1,$E982)*IF($H982="Yes",1,(1-$F982))</f>
        <v>1.80675E-2</v>
      </c>
      <c r="N982" s="5">
        <f>IF(ISBLANK($B982),_xlfn.XLOOKUP($A982,'2. TEUs &amp; Activities - EF'!$A$9:$A$190,'2. TEUs &amp; Activities - EF'!$M$9:$M$190),_xlfn.XLOOKUP($B982,'2. TEUs &amp; Activities - EF'!$B$9:$B$190,'2. TEUs &amp; Activities - EF'!$M$9:$M$190))*'3. Pollutant Emissions - EF'!$J982*IF(OR(ISBLANK($E982),$G982="Yes"),1,$E982)*IF($H982="Yes",1,(1-$F982))</f>
        <v>4.9500000000000004E-5</v>
      </c>
      <c r="O982" s="130">
        <f>IFERROR(IF(OR($C982="",$C982="No CAS"),INDEX('DEQ Pollutant List'!$D$7:$D$611,MATCH($D982,'DEQ Pollutant List'!$B$7:$B$611,0)),INDEX('DEQ Pollutant List'!$D$7:$D$611,MATCH($C982,'DEQ Pollutant List'!$A$7:$A$611,0))),"")</f>
        <v>149</v>
      </c>
    </row>
    <row r="983" spans="1:15" ht="15" x14ac:dyDescent="0.25">
      <c r="A983" s="5" t="s">
        <v>1564</v>
      </c>
      <c r="B983" s="7"/>
      <c r="C983" s="13" t="s">
        <v>60</v>
      </c>
      <c r="D983" s="19" t="str">
        <f>IFERROR(IF(C983="No CAS","",INDEX('DEQ Pollutant List'!$B$7:$B$611,MATCH('3. Pollutant Emissions - EF'!C983,'DEQ Pollutant List'!$A$7:$A$611,0))),"")</f>
        <v>Ethyl benzene</v>
      </c>
      <c r="E983" s="23">
        <v>0</v>
      </c>
      <c r="F983" s="21">
        <v>0</v>
      </c>
      <c r="G983" s="23" t="s">
        <v>1415</v>
      </c>
      <c r="H983" s="21" t="s">
        <v>1415</v>
      </c>
      <c r="I983" s="34">
        <v>9.4999999999999998E-3</v>
      </c>
      <c r="J983" s="11">
        <f t="shared" si="35"/>
        <v>9.4999999999999998E-3</v>
      </c>
      <c r="K983" s="6" t="s">
        <v>1416</v>
      </c>
      <c r="L983" s="20" t="s">
        <v>1422</v>
      </c>
      <c r="M983" s="7">
        <f>IF(ISBLANK($B983),_xlfn.XLOOKUP($A983,'2. TEUs &amp; Activities - EF'!$A$9:$A$190,'2. TEUs &amp; Activities - EF'!$J$9:$J$190),_xlfn.XLOOKUP($B983,'2. TEUs &amp; Activities - EF'!$B$9:$B$190,'2. TEUs &amp; Activities - EF'!$J$9:$J$190))*'3. Pollutant Emissions - EF'!$I983*IF(OR(ISBLANK($E983),$G983="Yes"),1,$E983)*IF($H983="Yes",1,(1-$F983))</f>
        <v>0.20193088235294118</v>
      </c>
      <c r="N983" s="5">
        <f>IF(ISBLANK($B983),_xlfn.XLOOKUP($A983,'2. TEUs &amp; Activities - EF'!$A$9:$A$190,'2. TEUs &amp; Activities - EF'!$M$9:$M$190),_xlfn.XLOOKUP($B983,'2. TEUs &amp; Activities - EF'!$B$9:$B$190,'2. TEUs &amp; Activities - EF'!$M$9:$M$190))*'3. Pollutant Emissions - EF'!$J983*IF(OR(ISBLANK($E983),$G983="Yes"),1,$E983)*IF($H983="Yes",1,(1-$F983))</f>
        <v>5.5323529411764713E-4</v>
      </c>
      <c r="O983" s="130">
        <f>IFERROR(IF(OR($C983="",$C983="No CAS"),INDEX('DEQ Pollutant List'!$D$7:$D$611,MATCH($D983,'DEQ Pollutant List'!$B$7:$B$611,0)),INDEX('DEQ Pollutant List'!$D$7:$D$611,MATCH($C983,'DEQ Pollutant List'!$A$7:$A$611,0))),"")</f>
        <v>229</v>
      </c>
    </row>
    <row r="984" spans="1:15" ht="15" x14ac:dyDescent="0.25">
      <c r="A984" s="5" t="s">
        <v>1564</v>
      </c>
      <c r="B984" s="7"/>
      <c r="C984" s="13" t="s">
        <v>47</v>
      </c>
      <c r="D984" s="19" t="str">
        <f>IFERROR(IF(C984="No CAS","",INDEX('DEQ Pollutant List'!$B$7:$B$611,MATCH('3. Pollutant Emissions - EF'!C984,'DEQ Pollutant List'!$A$7:$A$611,0))),"")</f>
        <v>Formaldehyde</v>
      </c>
      <c r="E984" s="23">
        <v>0</v>
      </c>
      <c r="F984" s="21">
        <v>0</v>
      </c>
      <c r="G984" s="23" t="s">
        <v>1415</v>
      </c>
      <c r="H984" s="21" t="s">
        <v>1415</v>
      </c>
      <c r="I984" s="34">
        <v>1.7000000000000001E-2</v>
      </c>
      <c r="J984" s="11">
        <f t="shared" si="35"/>
        <v>1.7000000000000001E-2</v>
      </c>
      <c r="K984" s="6" t="s">
        <v>1416</v>
      </c>
      <c r="L984" s="20" t="s">
        <v>1422</v>
      </c>
      <c r="M984" s="7">
        <f>IF(ISBLANK($B984),_xlfn.XLOOKUP($A984,'2. TEUs &amp; Activities - EF'!$A$9:$A$190,'2. TEUs &amp; Activities - EF'!$J$9:$J$190),_xlfn.XLOOKUP($B984,'2. TEUs &amp; Activities - EF'!$B$9:$B$190,'2. TEUs &amp; Activities - EF'!$J$9:$J$190))*'3. Pollutant Emissions - EF'!$I984*IF(OR(ISBLANK($E984),$G984="Yes"),1,$E984)*IF($H984="Yes",1,(1-$F984))</f>
        <v>0.36135000000000006</v>
      </c>
      <c r="N984" s="5">
        <f>IF(ISBLANK($B984),_xlfn.XLOOKUP($A984,'2. TEUs &amp; Activities - EF'!$A$9:$A$190,'2. TEUs &amp; Activities - EF'!$M$9:$M$190),_xlfn.XLOOKUP($B984,'2. TEUs &amp; Activities - EF'!$B$9:$B$190,'2. TEUs &amp; Activities - EF'!$M$9:$M$190))*'3. Pollutant Emissions - EF'!$J984*IF(OR(ISBLANK($E984),$G984="Yes"),1,$E984)*IF($H984="Yes",1,(1-$F984))</f>
        <v>9.9000000000000021E-4</v>
      </c>
      <c r="O984" s="130">
        <f>IFERROR(IF(OR($C984="",$C984="No CAS"),INDEX('DEQ Pollutant List'!$D$7:$D$611,MATCH($D984,'DEQ Pollutant List'!$B$7:$B$611,0)),INDEX('DEQ Pollutant List'!$D$7:$D$611,MATCH($C984,'DEQ Pollutant List'!$A$7:$A$611,0))),"")</f>
        <v>250</v>
      </c>
    </row>
    <row r="985" spans="1:15" ht="15" x14ac:dyDescent="0.25">
      <c r="A985" s="5" t="s">
        <v>1564</v>
      </c>
      <c r="B985" s="7"/>
      <c r="C985" s="13" t="s">
        <v>61</v>
      </c>
      <c r="D985" s="19" t="str">
        <f>IFERROR(IF(C985="No CAS","",INDEX('DEQ Pollutant List'!$B$7:$B$611,MATCH('3. Pollutant Emissions - EF'!C985,'DEQ Pollutant List'!$A$7:$A$611,0))),"")</f>
        <v>Hexane</v>
      </c>
      <c r="E985" s="23">
        <v>0</v>
      </c>
      <c r="F985" s="21">
        <v>0</v>
      </c>
      <c r="G985" s="23" t="s">
        <v>1415</v>
      </c>
      <c r="H985" s="21" t="s">
        <v>1415</v>
      </c>
      <c r="I985" s="34">
        <v>6.3E-3</v>
      </c>
      <c r="J985" s="11">
        <f t="shared" si="35"/>
        <v>6.3E-3</v>
      </c>
      <c r="K985" s="6" t="s">
        <v>1416</v>
      </c>
      <c r="L985" s="20" t="s">
        <v>1422</v>
      </c>
      <c r="M985" s="7">
        <f>IF(ISBLANK($B985),_xlfn.XLOOKUP($A985,'2. TEUs &amp; Activities - EF'!$A$9:$A$190,'2. TEUs &amp; Activities - EF'!$J$9:$J$190),_xlfn.XLOOKUP($B985,'2. TEUs &amp; Activities - EF'!$B$9:$B$190,'2. TEUs &amp; Activities - EF'!$J$9:$J$190))*'3. Pollutant Emissions - EF'!$I985*IF(OR(ISBLANK($E985),$G985="Yes"),1,$E985)*IF($H985="Yes",1,(1-$F985))</f>
        <v>0.13391205882352941</v>
      </c>
      <c r="N985" s="5">
        <f>IF(ISBLANK($B985),_xlfn.XLOOKUP($A985,'2. TEUs &amp; Activities - EF'!$A$9:$A$190,'2. TEUs &amp; Activities - EF'!$M$9:$M$190),_xlfn.XLOOKUP($B985,'2. TEUs &amp; Activities - EF'!$B$9:$B$190,'2. TEUs &amp; Activities - EF'!$M$9:$M$190))*'3. Pollutant Emissions - EF'!$J985*IF(OR(ISBLANK($E985),$G985="Yes"),1,$E985)*IF($H985="Yes",1,(1-$F985))</f>
        <v>3.6688235294117652E-4</v>
      </c>
      <c r="O985" s="130">
        <f>IFERROR(IF(OR($C985="",$C985="No CAS"),INDEX('DEQ Pollutant List'!$D$7:$D$611,MATCH($D985,'DEQ Pollutant List'!$B$7:$B$611,0)),INDEX('DEQ Pollutant List'!$D$7:$D$611,MATCH($C985,'DEQ Pollutant List'!$A$7:$A$611,0))),"")</f>
        <v>289</v>
      </c>
    </row>
    <row r="986" spans="1:15" ht="15" x14ac:dyDescent="0.25">
      <c r="A986" s="5" t="s">
        <v>1564</v>
      </c>
      <c r="B986" s="7"/>
      <c r="C986" s="13" t="s">
        <v>62</v>
      </c>
      <c r="D986" s="19" t="str">
        <f>IFERROR(IF(C986="No CAS","",INDEX('DEQ Pollutant List'!$B$7:$B$611,MATCH('3. Pollutant Emissions - EF'!C986,'DEQ Pollutant List'!$A$7:$A$611,0))),"")</f>
        <v>Lead and compounds</v>
      </c>
      <c r="E986" s="23">
        <v>0</v>
      </c>
      <c r="F986" s="21">
        <v>0</v>
      </c>
      <c r="G986" s="23" t="s">
        <v>1415</v>
      </c>
      <c r="H986" s="21" t="s">
        <v>1415</v>
      </c>
      <c r="I986" s="34">
        <v>5.0000000000000001E-4</v>
      </c>
      <c r="J986" s="11">
        <f t="shared" si="35"/>
        <v>5.0000000000000001E-4</v>
      </c>
      <c r="K986" s="6" t="s">
        <v>1416</v>
      </c>
      <c r="L986" s="20" t="s">
        <v>1422</v>
      </c>
      <c r="M986" s="7">
        <f>IF(ISBLANK($B986),_xlfn.XLOOKUP($A986,'2. TEUs &amp; Activities - EF'!$A$9:$A$190,'2. TEUs &amp; Activities - EF'!$J$9:$J$190),_xlfn.XLOOKUP($B986,'2. TEUs &amp; Activities - EF'!$B$9:$B$190,'2. TEUs &amp; Activities - EF'!$J$9:$J$190))*'3. Pollutant Emissions - EF'!$I986*IF(OR(ISBLANK($E986),$G986="Yes"),1,$E986)*IF($H986="Yes",1,(1-$F986))</f>
        <v>1.062794117647059E-2</v>
      </c>
      <c r="N986" s="5">
        <f>IF(ISBLANK($B986),_xlfn.XLOOKUP($A986,'2. TEUs &amp; Activities - EF'!$A$9:$A$190,'2. TEUs &amp; Activities - EF'!$M$9:$M$190),_xlfn.XLOOKUP($B986,'2. TEUs &amp; Activities - EF'!$B$9:$B$190,'2. TEUs &amp; Activities - EF'!$M$9:$M$190))*'3. Pollutant Emissions - EF'!$J986*IF(OR(ISBLANK($E986),$G986="Yes"),1,$E986)*IF($H986="Yes",1,(1-$F986))</f>
        <v>2.9117647058823534E-5</v>
      </c>
      <c r="O986" s="130">
        <f>IFERROR(IF(OR($C986="",$C986="No CAS"),INDEX('DEQ Pollutant List'!$D$7:$D$611,MATCH($D986,'DEQ Pollutant List'!$B$7:$B$611,0)),INDEX('DEQ Pollutant List'!$D$7:$D$611,MATCH($C986,'DEQ Pollutant List'!$A$7:$A$611,0))),"")</f>
        <v>305</v>
      </c>
    </row>
    <row r="987" spans="1:15" ht="15" x14ac:dyDescent="0.25">
      <c r="A987" s="5" t="s">
        <v>1564</v>
      </c>
      <c r="B987" s="7"/>
      <c r="C987" s="13" t="s">
        <v>63</v>
      </c>
      <c r="D987" s="19" t="str">
        <f>IFERROR(IF(C987="No CAS","",INDEX('DEQ Pollutant List'!$B$7:$B$611,MATCH('3. Pollutant Emissions - EF'!C987,'DEQ Pollutant List'!$A$7:$A$611,0))),"")</f>
        <v>Manganese and compounds</v>
      </c>
      <c r="E987" s="23">
        <v>0</v>
      </c>
      <c r="F987" s="21">
        <v>0</v>
      </c>
      <c r="G987" s="23" t="s">
        <v>1415</v>
      </c>
      <c r="H987" s="21" t="s">
        <v>1415</v>
      </c>
      <c r="I987" s="34">
        <v>3.8000000000000002E-4</v>
      </c>
      <c r="J987" s="11">
        <f t="shared" si="35"/>
        <v>3.8000000000000002E-4</v>
      </c>
      <c r="K987" s="6" t="s">
        <v>1416</v>
      </c>
      <c r="L987" s="20" t="s">
        <v>1422</v>
      </c>
      <c r="M987" s="7">
        <f>IF(ISBLANK($B987),_xlfn.XLOOKUP($A987,'2. TEUs &amp; Activities - EF'!$A$9:$A$190,'2. TEUs &amp; Activities - EF'!$J$9:$J$190),_xlfn.XLOOKUP($B987,'2. TEUs &amp; Activities - EF'!$B$9:$B$190,'2. TEUs &amp; Activities - EF'!$J$9:$J$190))*'3. Pollutant Emissions - EF'!$I987*IF(OR(ISBLANK($E987),$G987="Yes"),1,$E987)*IF($H987="Yes",1,(1-$F987))</f>
        <v>8.077235294117649E-3</v>
      </c>
      <c r="N987" s="5">
        <f>IF(ISBLANK($B987),_xlfn.XLOOKUP($A987,'2. TEUs &amp; Activities - EF'!$A$9:$A$190,'2. TEUs &amp; Activities - EF'!$M$9:$M$190),_xlfn.XLOOKUP($B987,'2. TEUs &amp; Activities - EF'!$B$9:$B$190,'2. TEUs &amp; Activities - EF'!$M$9:$M$190))*'3. Pollutant Emissions - EF'!$J987*IF(OR(ISBLANK($E987),$G987="Yes"),1,$E987)*IF($H987="Yes",1,(1-$F987))</f>
        <v>2.2129411764705887E-5</v>
      </c>
      <c r="O987" s="130">
        <f>IFERROR(IF(OR($C987="",$C987="No CAS"),INDEX('DEQ Pollutant List'!$D$7:$D$611,MATCH($D987,'DEQ Pollutant List'!$B$7:$B$611,0)),INDEX('DEQ Pollutant List'!$D$7:$D$611,MATCH($C987,'DEQ Pollutant List'!$A$7:$A$611,0))),"")</f>
        <v>312</v>
      </c>
    </row>
    <row r="988" spans="1:15" ht="15" x14ac:dyDescent="0.25">
      <c r="A988" s="5" t="s">
        <v>1564</v>
      </c>
      <c r="B988" s="7"/>
      <c r="C988" s="13" t="s">
        <v>64</v>
      </c>
      <c r="D988" s="19" t="str">
        <f>IFERROR(IF(C988="No CAS","",INDEX('DEQ Pollutant List'!$B$7:$B$611,MATCH('3. Pollutant Emissions - EF'!C988,'DEQ Pollutant List'!$A$7:$A$611,0))),"")</f>
        <v>Mercury and compounds</v>
      </c>
      <c r="E988" s="23">
        <v>0</v>
      </c>
      <c r="F988" s="21">
        <v>0</v>
      </c>
      <c r="G988" s="23" t="s">
        <v>1415</v>
      </c>
      <c r="H988" s="21" t="s">
        <v>1415</v>
      </c>
      <c r="I988" s="34">
        <v>2.5999999999999998E-4</v>
      </c>
      <c r="J988" s="11">
        <f t="shared" si="35"/>
        <v>2.5999999999999998E-4</v>
      </c>
      <c r="K988" s="6" t="s">
        <v>1416</v>
      </c>
      <c r="L988" s="20" t="s">
        <v>1422</v>
      </c>
      <c r="M988" s="7">
        <f>IF(ISBLANK($B988),_xlfn.XLOOKUP($A988,'2. TEUs &amp; Activities - EF'!$A$9:$A$190,'2. TEUs &amp; Activities - EF'!$J$9:$J$190),_xlfn.XLOOKUP($B988,'2. TEUs &amp; Activities - EF'!$B$9:$B$190,'2. TEUs &amp; Activities - EF'!$J$9:$J$190))*'3. Pollutant Emissions - EF'!$I988*IF(OR(ISBLANK($E988),$G988="Yes"),1,$E988)*IF($H988="Yes",1,(1-$F988))</f>
        <v>5.5265294117647062E-3</v>
      </c>
      <c r="N988" s="5">
        <f>IF(ISBLANK($B988),_xlfn.XLOOKUP($A988,'2. TEUs &amp; Activities - EF'!$A$9:$A$190,'2. TEUs &amp; Activities - EF'!$M$9:$M$190),_xlfn.XLOOKUP($B988,'2. TEUs &amp; Activities - EF'!$B$9:$B$190,'2. TEUs &amp; Activities - EF'!$M$9:$M$190))*'3. Pollutant Emissions - EF'!$J988*IF(OR(ISBLANK($E988),$G988="Yes"),1,$E988)*IF($H988="Yes",1,(1-$F988))</f>
        <v>1.5141176470588235E-5</v>
      </c>
      <c r="O988" s="130">
        <f>IFERROR(IF(OR($C988="",$C988="No CAS"),INDEX('DEQ Pollutant List'!$D$7:$D$611,MATCH($D988,'DEQ Pollutant List'!$B$7:$B$611,0)),INDEX('DEQ Pollutant List'!$D$7:$D$611,MATCH($C988,'DEQ Pollutant List'!$A$7:$A$611,0))),"")</f>
        <v>316</v>
      </c>
    </row>
    <row r="989" spans="1:15" ht="15" x14ac:dyDescent="0.25">
      <c r="A989" s="5" t="s">
        <v>1564</v>
      </c>
      <c r="B989" s="7"/>
      <c r="C989" s="13" t="s">
        <v>65</v>
      </c>
      <c r="D989" s="19" t="str">
        <f>IFERROR(IF(C989="No CAS","",INDEX('DEQ Pollutant List'!$B$7:$B$611,MATCH('3. Pollutant Emissions - EF'!C989,'DEQ Pollutant List'!$A$7:$A$611,0))),"")</f>
        <v>Molybdenum trioxide</v>
      </c>
      <c r="E989" s="23">
        <v>0</v>
      </c>
      <c r="F989" s="21">
        <v>0</v>
      </c>
      <c r="G989" s="23" t="s">
        <v>1415</v>
      </c>
      <c r="H989" s="21" t="s">
        <v>1415</v>
      </c>
      <c r="I989" s="34">
        <v>1.65E-3</v>
      </c>
      <c r="J989" s="11">
        <f t="shared" si="35"/>
        <v>1.65E-3</v>
      </c>
      <c r="K989" s="6" t="s">
        <v>1416</v>
      </c>
      <c r="L989" s="20" t="s">
        <v>1422</v>
      </c>
      <c r="M989" s="7">
        <f>IF(ISBLANK($B989),_xlfn.XLOOKUP($A989,'2. TEUs &amp; Activities - EF'!$A$9:$A$190,'2. TEUs &amp; Activities - EF'!$J$9:$J$190),_xlfn.XLOOKUP($B989,'2. TEUs &amp; Activities - EF'!$B$9:$B$190,'2. TEUs &amp; Activities - EF'!$J$9:$J$190))*'3. Pollutant Emissions - EF'!$I989*IF(OR(ISBLANK($E989),$G989="Yes"),1,$E989)*IF($H989="Yes",1,(1-$F989))</f>
        <v>3.5072205882352943E-2</v>
      </c>
      <c r="N989" s="5">
        <f>IF(ISBLANK($B989),_xlfn.XLOOKUP($A989,'2. TEUs &amp; Activities - EF'!$A$9:$A$190,'2. TEUs &amp; Activities - EF'!$M$9:$M$190),_xlfn.XLOOKUP($B989,'2. TEUs &amp; Activities - EF'!$B$9:$B$190,'2. TEUs &amp; Activities - EF'!$M$9:$M$190))*'3. Pollutant Emissions - EF'!$J989*IF(OR(ISBLANK($E989),$G989="Yes"),1,$E989)*IF($H989="Yes",1,(1-$F989))</f>
        <v>9.6088235294117664E-5</v>
      </c>
      <c r="O989" s="130">
        <f>IFERROR(IF(OR($C989="",$C989="No CAS"),INDEX('DEQ Pollutant List'!$D$7:$D$611,MATCH($D989,'DEQ Pollutant List'!$B$7:$B$611,0)),INDEX('DEQ Pollutant List'!$D$7:$D$611,MATCH($C989,'DEQ Pollutant List'!$A$7:$A$611,0))),"")</f>
        <v>361</v>
      </c>
    </row>
    <row r="990" spans="1:15" ht="15" x14ac:dyDescent="0.25">
      <c r="A990" s="5" t="s">
        <v>1564</v>
      </c>
      <c r="B990" s="7"/>
      <c r="C990" s="13" t="s">
        <v>49</v>
      </c>
      <c r="D990" s="19" t="str">
        <f>IFERROR(IF(C990="No CAS","",INDEX('DEQ Pollutant List'!$B$7:$B$611,MATCH('3. Pollutant Emissions - EF'!C990,'DEQ Pollutant List'!$A$7:$A$611,0))),"")</f>
        <v>Naphthalene</v>
      </c>
      <c r="E990" s="23">
        <v>0</v>
      </c>
      <c r="F990" s="21">
        <v>0</v>
      </c>
      <c r="G990" s="23" t="s">
        <v>1415</v>
      </c>
      <c r="H990" s="21" t="s">
        <v>1415</v>
      </c>
      <c r="I990" s="34">
        <v>2.9999999999999997E-4</v>
      </c>
      <c r="J990" s="11">
        <f t="shared" si="35"/>
        <v>2.9999999999999997E-4</v>
      </c>
      <c r="K990" s="6" t="s">
        <v>1416</v>
      </c>
      <c r="L990" s="20" t="s">
        <v>1422</v>
      </c>
      <c r="M990" s="7">
        <f>IF(ISBLANK($B990),_xlfn.XLOOKUP($A990,'2. TEUs &amp; Activities - EF'!$A$9:$A$190,'2. TEUs &amp; Activities - EF'!$J$9:$J$190),_xlfn.XLOOKUP($B990,'2. TEUs &amp; Activities - EF'!$B$9:$B$190,'2. TEUs &amp; Activities - EF'!$J$9:$J$190))*'3. Pollutant Emissions - EF'!$I990*IF(OR(ISBLANK($E990),$G990="Yes"),1,$E990)*IF($H990="Yes",1,(1-$F990))</f>
        <v>6.3767647058823526E-3</v>
      </c>
      <c r="N990" s="5">
        <f>IF(ISBLANK($B990),_xlfn.XLOOKUP($A990,'2. TEUs &amp; Activities - EF'!$A$9:$A$190,'2. TEUs &amp; Activities - EF'!$M$9:$M$190),_xlfn.XLOOKUP($B990,'2. TEUs &amp; Activities - EF'!$B$9:$B$190,'2. TEUs &amp; Activities - EF'!$M$9:$M$190))*'3. Pollutant Emissions - EF'!$J990*IF(OR(ISBLANK($E990),$G990="Yes"),1,$E990)*IF($H990="Yes",1,(1-$F990))</f>
        <v>1.7470588235294117E-5</v>
      </c>
      <c r="O990" s="130">
        <f>IFERROR(IF(OR($C990="",$C990="No CAS"),INDEX('DEQ Pollutant List'!$D$7:$D$611,MATCH($D990,'DEQ Pollutant List'!$B$7:$B$611,0)),INDEX('DEQ Pollutant List'!$D$7:$D$611,MATCH($C990,'DEQ Pollutant List'!$A$7:$A$611,0))),"")</f>
        <v>428</v>
      </c>
    </row>
    <row r="991" spans="1:15" ht="15" x14ac:dyDescent="0.25">
      <c r="A991" s="5" t="s">
        <v>1564</v>
      </c>
      <c r="B991" s="7"/>
      <c r="C991" s="13" t="s">
        <v>66</v>
      </c>
      <c r="D991" s="19" t="str">
        <f>IFERROR(IF(C991="No CAS","",INDEX('DEQ Pollutant List'!$B$7:$B$611,MATCH('3. Pollutant Emissions - EF'!C991,'DEQ Pollutant List'!$A$7:$A$611,0))),"")</f>
        <v>Nickel and compounds</v>
      </c>
      <c r="E991" s="23">
        <v>0</v>
      </c>
      <c r="F991" s="21">
        <v>0</v>
      </c>
      <c r="G991" s="23" t="s">
        <v>1415</v>
      </c>
      <c r="H991" s="21" t="s">
        <v>1415</v>
      </c>
      <c r="I991" s="34">
        <v>2.0999999999999999E-3</v>
      </c>
      <c r="J991" s="11">
        <f t="shared" si="35"/>
        <v>2.0999999999999999E-3</v>
      </c>
      <c r="K991" s="6" t="s">
        <v>1416</v>
      </c>
      <c r="L991" s="20" t="s">
        <v>1422</v>
      </c>
      <c r="M991" s="7">
        <f>IF(ISBLANK($B991),_xlfn.XLOOKUP($A991,'2. TEUs &amp; Activities - EF'!$A$9:$A$190,'2. TEUs &amp; Activities - EF'!$J$9:$J$190),_xlfn.XLOOKUP($B991,'2. TEUs &amp; Activities - EF'!$B$9:$B$190,'2. TEUs &amp; Activities - EF'!$J$9:$J$190))*'3. Pollutant Emissions - EF'!$I991*IF(OR(ISBLANK($E991),$G991="Yes"),1,$E991)*IF($H991="Yes",1,(1-$F991))</f>
        <v>4.4637352941176468E-2</v>
      </c>
      <c r="N991" s="5">
        <f>IF(ISBLANK($B991),_xlfn.XLOOKUP($A991,'2. TEUs &amp; Activities - EF'!$A$9:$A$190,'2. TEUs &amp; Activities - EF'!$M$9:$M$190),_xlfn.XLOOKUP($B991,'2. TEUs &amp; Activities - EF'!$B$9:$B$190,'2. TEUs &amp; Activities - EF'!$M$9:$M$190))*'3. Pollutant Emissions - EF'!$J991*IF(OR(ISBLANK($E991),$G991="Yes"),1,$E991)*IF($H991="Yes",1,(1-$F991))</f>
        <v>1.2229411764705882E-4</v>
      </c>
      <c r="O991" s="130">
        <f>IFERROR(IF(OR($C991="",$C991="No CAS"),INDEX('DEQ Pollutant List'!$D$7:$D$611,MATCH($D991,'DEQ Pollutant List'!$B$7:$B$611,0)),INDEX('DEQ Pollutant List'!$D$7:$D$611,MATCH($C991,'DEQ Pollutant List'!$A$7:$A$611,0))),"")</f>
        <v>364</v>
      </c>
    </row>
    <row r="992" spans="1:15" ht="15" x14ac:dyDescent="0.25">
      <c r="A992" s="5" t="s">
        <v>1564</v>
      </c>
      <c r="B992" s="7"/>
      <c r="C992" s="13">
        <v>401</v>
      </c>
      <c r="D992" s="19" t="str">
        <f>IFERROR(IF(C992="No CAS","",INDEX('DEQ Pollutant List'!$B$7:$B$611,MATCH('3. Pollutant Emissions - EF'!C992,'DEQ Pollutant List'!$A$7:$A$611,0))),"")</f>
        <v>Polycyclic aromatic hydrocarbons (PAHs)</v>
      </c>
      <c r="E992" s="23">
        <v>0</v>
      </c>
      <c r="F992" s="21">
        <v>0</v>
      </c>
      <c r="G992" s="23" t="s">
        <v>1415</v>
      </c>
      <c r="H992" s="21" t="s">
        <v>1415</v>
      </c>
      <c r="I992" s="34">
        <v>1E-4</v>
      </c>
      <c r="J992" s="11">
        <f t="shared" si="35"/>
        <v>1E-4</v>
      </c>
      <c r="K992" s="6" t="s">
        <v>1416</v>
      </c>
      <c r="L992" s="20" t="s">
        <v>1422</v>
      </c>
      <c r="M992" s="7">
        <f>IF(ISBLANK($B992),_xlfn.XLOOKUP($A992,'2. TEUs &amp; Activities - EF'!$A$9:$A$190,'2. TEUs &amp; Activities - EF'!$J$9:$J$190),_xlfn.XLOOKUP($B992,'2. TEUs &amp; Activities - EF'!$B$9:$B$190,'2. TEUs &amp; Activities - EF'!$J$9:$J$190))*'3. Pollutant Emissions - EF'!$I992*IF(OR(ISBLANK($E992),$G992="Yes"),1,$E992)*IF($H992="Yes",1,(1-$F992))</f>
        <v>2.1255882352941178E-3</v>
      </c>
      <c r="N992" s="5">
        <f>IF(ISBLANK($B992),_xlfn.XLOOKUP($A992,'2. TEUs &amp; Activities - EF'!$A$9:$A$190,'2. TEUs &amp; Activities - EF'!$M$9:$M$190),_xlfn.XLOOKUP($B992,'2. TEUs &amp; Activities - EF'!$B$9:$B$190,'2. TEUs &amp; Activities - EF'!$M$9:$M$190))*'3. Pollutant Emissions - EF'!$J992*IF(OR(ISBLANK($E992),$G992="Yes"),1,$E992)*IF($H992="Yes",1,(1-$F992))</f>
        <v>5.8235294117647067E-6</v>
      </c>
      <c r="O992" s="130">
        <f>IFERROR(IF(OR($C992="",$C992="No CAS"),INDEX('DEQ Pollutant List'!$D$7:$D$611,MATCH($D992,'DEQ Pollutant List'!$B$7:$B$611,0)),INDEX('DEQ Pollutant List'!$D$7:$D$611,MATCH($C992,'DEQ Pollutant List'!$A$7:$A$611,0))),"")</f>
        <v>401</v>
      </c>
    </row>
    <row r="993" spans="1:15" ht="15" x14ac:dyDescent="0.25">
      <c r="A993" s="5" t="s">
        <v>1564</v>
      </c>
      <c r="B993" s="7"/>
      <c r="C993" s="13" t="s">
        <v>67</v>
      </c>
      <c r="D993" s="19" t="str">
        <f>IFERROR(IF(C993="No CAS","",INDEX('DEQ Pollutant List'!$B$7:$B$611,MATCH('3. Pollutant Emissions - EF'!C993,'DEQ Pollutant List'!$A$7:$A$611,0))),"")</f>
        <v>Selenium and compounds</v>
      </c>
      <c r="E993" s="23">
        <v>0</v>
      </c>
      <c r="F993" s="21">
        <v>0</v>
      </c>
      <c r="G993" s="23" t="s">
        <v>1415</v>
      </c>
      <c r="H993" s="21" t="s">
        <v>1415</v>
      </c>
      <c r="I993" s="34">
        <v>2.4000000000000001E-5</v>
      </c>
      <c r="J993" s="11">
        <f t="shared" si="35"/>
        <v>2.4000000000000001E-5</v>
      </c>
      <c r="K993" s="6" t="s">
        <v>1416</v>
      </c>
      <c r="L993" s="20" t="s">
        <v>1422</v>
      </c>
      <c r="M993" s="7">
        <f>IF(ISBLANK($B993),_xlfn.XLOOKUP($A993,'2. TEUs &amp; Activities - EF'!$A$9:$A$190,'2. TEUs &amp; Activities - EF'!$J$9:$J$190),_xlfn.XLOOKUP($B993,'2. TEUs &amp; Activities - EF'!$B$9:$B$190,'2. TEUs &amp; Activities - EF'!$J$9:$J$190))*'3. Pollutant Emissions - EF'!$I993*IF(OR(ISBLANK($E993),$G993="Yes"),1,$E993)*IF($H993="Yes",1,(1-$F993))</f>
        <v>5.1014117647058834E-4</v>
      </c>
      <c r="N993" s="5">
        <f>IF(ISBLANK($B993),_xlfn.XLOOKUP($A993,'2. TEUs &amp; Activities - EF'!$A$9:$A$190,'2. TEUs &amp; Activities - EF'!$M$9:$M$190),_xlfn.XLOOKUP($B993,'2. TEUs &amp; Activities - EF'!$B$9:$B$190,'2. TEUs &amp; Activities - EF'!$M$9:$M$190))*'3. Pollutant Emissions - EF'!$J993*IF(OR(ISBLANK($E993),$G993="Yes"),1,$E993)*IF($H993="Yes",1,(1-$F993))</f>
        <v>1.3976470588235297E-6</v>
      </c>
      <c r="O993" s="130">
        <f>IFERROR(IF(OR($C993="",$C993="No CAS"),INDEX('DEQ Pollutant List'!$D$7:$D$611,MATCH($D993,'DEQ Pollutant List'!$B$7:$B$611,0)),INDEX('DEQ Pollutant List'!$D$7:$D$611,MATCH($C993,'DEQ Pollutant List'!$A$7:$A$611,0))),"")</f>
        <v>575</v>
      </c>
    </row>
    <row r="994" spans="1:15" ht="15" x14ac:dyDescent="0.25">
      <c r="A994" s="5" t="s">
        <v>1564</v>
      </c>
      <c r="B994" s="7"/>
      <c r="C994" s="13" t="s">
        <v>68</v>
      </c>
      <c r="D994" s="19" t="str">
        <f>IFERROR(IF(C994="No CAS","",INDEX('DEQ Pollutant List'!$B$7:$B$611,MATCH('3. Pollutant Emissions - EF'!C994,'DEQ Pollutant List'!$A$7:$A$611,0))),"")</f>
        <v>Toluene</v>
      </c>
      <c r="E994" s="23">
        <v>0</v>
      </c>
      <c r="F994" s="21">
        <v>0</v>
      </c>
      <c r="G994" s="23" t="s">
        <v>1415</v>
      </c>
      <c r="H994" s="21" t="s">
        <v>1415</v>
      </c>
      <c r="I994" s="34">
        <v>3.6600000000000001E-2</v>
      </c>
      <c r="J994" s="11">
        <f t="shared" si="35"/>
        <v>3.6600000000000001E-2</v>
      </c>
      <c r="K994" s="6" t="s">
        <v>1416</v>
      </c>
      <c r="L994" s="20" t="s">
        <v>1422</v>
      </c>
      <c r="M994" s="7">
        <f>IF(ISBLANK($B994),_xlfn.XLOOKUP($A994,'2. TEUs &amp; Activities - EF'!$A$9:$A$190,'2. TEUs &amp; Activities - EF'!$J$9:$J$190),_xlfn.XLOOKUP($B994,'2. TEUs &amp; Activities - EF'!$B$9:$B$190,'2. TEUs &amp; Activities - EF'!$J$9:$J$190))*'3. Pollutant Emissions - EF'!$I994*IF(OR(ISBLANK($E994),$G994="Yes"),1,$E994)*IF($H994="Yes",1,(1-$F994))</f>
        <v>0.77796529411764714</v>
      </c>
      <c r="N994" s="5">
        <f>IF(ISBLANK($B994),_xlfn.XLOOKUP($A994,'2. TEUs &amp; Activities - EF'!$A$9:$A$190,'2. TEUs &amp; Activities - EF'!$M$9:$M$190),_xlfn.XLOOKUP($B994,'2. TEUs &amp; Activities - EF'!$B$9:$B$190,'2. TEUs &amp; Activities - EF'!$M$9:$M$190))*'3. Pollutant Emissions - EF'!$J994*IF(OR(ISBLANK($E994),$G994="Yes"),1,$E994)*IF($H994="Yes",1,(1-$F994))</f>
        <v>2.1314117647058825E-3</v>
      </c>
      <c r="O994" s="130">
        <f>IFERROR(IF(OR($C994="",$C994="No CAS"),INDEX('DEQ Pollutant List'!$D$7:$D$611,MATCH($D994,'DEQ Pollutant List'!$B$7:$B$611,0)),INDEX('DEQ Pollutant List'!$D$7:$D$611,MATCH($C994,'DEQ Pollutant List'!$A$7:$A$611,0))),"")</f>
        <v>600</v>
      </c>
    </row>
    <row r="995" spans="1:15" ht="15" x14ac:dyDescent="0.25">
      <c r="A995" s="5" t="s">
        <v>1564</v>
      </c>
      <c r="B995" s="7"/>
      <c r="C995" s="13" t="s">
        <v>69</v>
      </c>
      <c r="D995" s="19" t="str">
        <f>IFERROR(IF(C995="No CAS","",INDEX('DEQ Pollutant List'!$B$7:$B$611,MATCH('3. Pollutant Emissions - EF'!C995,'DEQ Pollutant List'!$A$7:$A$611,0))),"")</f>
        <v>Vanadium (fume or dust)</v>
      </c>
      <c r="E995" s="23">
        <v>0</v>
      </c>
      <c r="F995" s="21">
        <v>0</v>
      </c>
      <c r="G995" s="23" t="s">
        <v>1415</v>
      </c>
      <c r="H995" s="21" t="s">
        <v>1415</v>
      </c>
      <c r="I995" s="34">
        <v>2.3E-3</v>
      </c>
      <c r="J995" s="11">
        <f t="shared" si="35"/>
        <v>2.3E-3</v>
      </c>
      <c r="K995" s="6" t="s">
        <v>1416</v>
      </c>
      <c r="L995" s="20" t="s">
        <v>1422</v>
      </c>
      <c r="M995" s="7">
        <f>IF(ISBLANK($B995),_xlfn.XLOOKUP($A995,'2. TEUs &amp; Activities - EF'!$A$9:$A$190,'2. TEUs &amp; Activities - EF'!$J$9:$J$190),_xlfn.XLOOKUP($B995,'2. TEUs &amp; Activities - EF'!$B$9:$B$190,'2. TEUs &amp; Activities - EF'!$J$9:$J$190))*'3. Pollutant Emissions - EF'!$I995*IF(OR(ISBLANK($E995),$G995="Yes"),1,$E995)*IF($H995="Yes",1,(1-$F995))</f>
        <v>4.8888529411764706E-2</v>
      </c>
      <c r="N995" s="5">
        <f>IF(ISBLANK($B995),_xlfn.XLOOKUP($A995,'2. TEUs &amp; Activities - EF'!$A$9:$A$190,'2. TEUs &amp; Activities - EF'!$M$9:$M$190),_xlfn.XLOOKUP($B995,'2. TEUs &amp; Activities - EF'!$B$9:$B$190,'2. TEUs &amp; Activities - EF'!$M$9:$M$190))*'3. Pollutant Emissions - EF'!$J995*IF(OR(ISBLANK($E995),$G995="Yes"),1,$E995)*IF($H995="Yes",1,(1-$F995))</f>
        <v>1.3394117647058825E-4</v>
      </c>
      <c r="O995" s="130">
        <f>IFERROR(IF(OR($C995="",$C995="No CAS"),INDEX('DEQ Pollutant List'!$D$7:$D$611,MATCH($D995,'DEQ Pollutant List'!$B$7:$B$611,0)),INDEX('DEQ Pollutant List'!$D$7:$D$611,MATCH($C995,'DEQ Pollutant List'!$A$7:$A$611,0))),"")</f>
        <v>620</v>
      </c>
    </row>
    <row r="996" spans="1:15" ht="15" x14ac:dyDescent="0.25">
      <c r="A996" s="5" t="s">
        <v>1564</v>
      </c>
      <c r="B996" s="7"/>
      <c r="C996" s="13" t="s">
        <v>70</v>
      </c>
      <c r="D996" s="19" t="str">
        <f>IFERROR(IF(C996="No CAS","",INDEX('DEQ Pollutant List'!$B$7:$B$611,MATCH('3. Pollutant Emissions - EF'!C996,'DEQ Pollutant List'!$A$7:$A$611,0))),"")</f>
        <v>Xylene (mixture), including m-xylene, o-xylene, p-xylene</v>
      </c>
      <c r="E996" s="23">
        <v>0</v>
      </c>
      <c r="F996" s="21">
        <v>0</v>
      </c>
      <c r="G996" s="23" t="s">
        <v>1415</v>
      </c>
      <c r="H996" s="21" t="s">
        <v>1415</v>
      </c>
      <c r="I996" s="34">
        <v>2.7199999999999998E-2</v>
      </c>
      <c r="J996" s="11">
        <f t="shared" si="35"/>
        <v>2.7199999999999998E-2</v>
      </c>
      <c r="K996" s="6" t="s">
        <v>1416</v>
      </c>
      <c r="L996" s="20" t="s">
        <v>1422</v>
      </c>
      <c r="M996" s="7">
        <f>IF(ISBLANK($B996),_xlfn.XLOOKUP($A996,'2. TEUs &amp; Activities - EF'!$A$9:$A$190,'2. TEUs &amp; Activities - EF'!$J$9:$J$190),_xlfn.XLOOKUP($B996,'2. TEUs &amp; Activities - EF'!$B$9:$B$190,'2. TEUs &amp; Activities - EF'!$J$9:$J$190))*'3. Pollutant Emissions - EF'!$I996*IF(OR(ISBLANK($E996),$G996="Yes"),1,$E996)*IF($H996="Yes",1,(1-$F996))</f>
        <v>0.57816000000000001</v>
      </c>
      <c r="N996" s="5">
        <f>IF(ISBLANK($B996),_xlfn.XLOOKUP($A996,'2. TEUs &amp; Activities - EF'!$A$9:$A$190,'2. TEUs &amp; Activities - EF'!$M$9:$M$190),_xlfn.XLOOKUP($B996,'2. TEUs &amp; Activities - EF'!$B$9:$B$190,'2. TEUs &amp; Activities - EF'!$M$9:$M$190))*'3. Pollutant Emissions - EF'!$J996*IF(OR(ISBLANK($E996),$G996="Yes"),1,$E996)*IF($H996="Yes",1,(1-$F996))</f>
        <v>1.5840000000000001E-3</v>
      </c>
      <c r="O996" s="130">
        <f>IFERROR(IF(OR($C996="",$C996="No CAS"),INDEX('DEQ Pollutant List'!$D$7:$D$611,MATCH($D996,'DEQ Pollutant List'!$B$7:$B$611,0)),INDEX('DEQ Pollutant List'!$D$7:$D$611,MATCH($C996,'DEQ Pollutant List'!$A$7:$A$611,0))),"")</f>
        <v>628</v>
      </c>
    </row>
    <row r="997" spans="1:15" ht="15" x14ac:dyDescent="0.25">
      <c r="A997" s="5" t="s">
        <v>1564</v>
      </c>
      <c r="B997" s="7"/>
      <c r="C997" s="13" t="s">
        <v>71</v>
      </c>
      <c r="D997" s="19" t="str">
        <f>IFERROR(IF(C997="No CAS","",INDEX('DEQ Pollutant List'!$B$7:$B$611,MATCH('3. Pollutant Emissions - EF'!C997,'DEQ Pollutant List'!$A$7:$A$611,0))),"")</f>
        <v>Zinc and compounds</v>
      </c>
      <c r="E997" s="23">
        <v>0</v>
      </c>
      <c r="F997" s="21">
        <v>0</v>
      </c>
      <c r="G997" s="23" t="s">
        <v>1415</v>
      </c>
      <c r="H997" s="21" t="s">
        <v>1415</v>
      </c>
      <c r="I997" s="34">
        <v>2.9000000000000001E-2</v>
      </c>
      <c r="J997" s="11">
        <f t="shared" si="35"/>
        <v>2.9000000000000001E-2</v>
      </c>
      <c r="K997" s="6" t="s">
        <v>1416</v>
      </c>
      <c r="L997" s="20" t="s">
        <v>1422</v>
      </c>
      <c r="M997" s="7">
        <f>IF(ISBLANK($B997),_xlfn.XLOOKUP($A997,'2. TEUs &amp; Activities - EF'!$A$9:$A$190,'2. TEUs &amp; Activities - EF'!$J$9:$J$190),_xlfn.XLOOKUP($B997,'2. TEUs &amp; Activities - EF'!$B$9:$B$190,'2. TEUs &amp; Activities - EF'!$J$9:$J$190))*'3. Pollutant Emissions - EF'!$I997*IF(OR(ISBLANK($E997),$G997="Yes"),1,$E997)*IF($H997="Yes",1,(1-$F997))</f>
        <v>0.61642058823529422</v>
      </c>
      <c r="N997" s="5">
        <f>IF(ISBLANK($B997),_xlfn.XLOOKUP($A997,'2. TEUs &amp; Activities - EF'!$A$9:$A$190,'2. TEUs &amp; Activities - EF'!$M$9:$M$190),_xlfn.XLOOKUP($B997,'2. TEUs &amp; Activities - EF'!$B$9:$B$190,'2. TEUs &amp; Activities - EF'!$M$9:$M$190))*'3. Pollutant Emissions - EF'!$J997*IF(OR(ISBLANK($E997),$G997="Yes"),1,$E997)*IF($H997="Yes",1,(1-$F997))</f>
        <v>1.688823529411765E-3</v>
      </c>
      <c r="O997" s="130">
        <f>IFERROR(IF(OR($C997="",$C997="No CAS"),INDEX('DEQ Pollutant List'!$D$7:$D$611,MATCH($D997,'DEQ Pollutant List'!$B$7:$B$611,0)),INDEX('DEQ Pollutant List'!$D$7:$D$611,MATCH($C997,'DEQ Pollutant List'!$A$7:$A$611,0))),"")</f>
        <v>632</v>
      </c>
    </row>
    <row r="998" spans="1:15" ht="15" x14ac:dyDescent="0.25">
      <c r="A998" s="5"/>
      <c r="B998" s="7"/>
      <c r="C998" s="13"/>
      <c r="D998" s="19" t="str">
        <f>IFERROR(IF(C998="No CAS","",INDEX('DEQ Pollutant List'!$B$7:$B$611,MATCH('3. Pollutant Emissions - EF'!C998,'DEQ Pollutant List'!$A$7:$A$611,0))),"")</f>
        <v/>
      </c>
      <c r="E998" s="23"/>
      <c r="F998" s="21"/>
      <c r="G998" s="23"/>
      <c r="H998" s="21"/>
      <c r="I998" s="34"/>
      <c r="J998" s="11"/>
      <c r="K998" s="6"/>
      <c r="L998" s="20"/>
      <c r="M998" s="7">
        <f>IF(ISBLANK($B998),_xlfn.XLOOKUP($A998,'2. TEUs &amp; Activities - EF'!$A$9:$A$190,'2. TEUs &amp; Activities - EF'!$J$9:$J$190),_xlfn.XLOOKUP($B998,'2. TEUs &amp; Activities - EF'!$B$9:$B$190,'2. TEUs &amp; Activities - EF'!$J$9:$J$190))*'3. Pollutant Emissions - EF'!$I998*IF(OR(ISBLANK($E998),$G998="Yes"),1,$E998)*IF($H998="Yes",1,(1-$F998))</f>
        <v>0</v>
      </c>
      <c r="N998" s="5">
        <f>IF(ISBLANK($B998),_xlfn.XLOOKUP($A998,'2. TEUs &amp; Activities - EF'!$A$9:$A$190,'2. TEUs &amp; Activities - EF'!$M$9:$M$190),_xlfn.XLOOKUP($B998,'2. TEUs &amp; Activities - EF'!$B$9:$B$190,'2. TEUs &amp; Activities - EF'!$M$9:$M$190))*'3. Pollutant Emissions - EF'!$J998*IF(OR(ISBLANK($E998),$G998="Yes"),1,$E998)*IF($H998="Yes",1,(1-$F998))</f>
        <v>0</v>
      </c>
      <c r="O998" s="130" t="str">
        <f>IFERROR(IF(OR($C998="",$C998="No CAS"),INDEX('DEQ Pollutant List'!$D$7:$D$611,MATCH($D998,'DEQ Pollutant List'!$B$7:$B$611,0)),INDEX('DEQ Pollutant List'!$D$7:$D$611,MATCH($C998,'DEQ Pollutant List'!$A$7:$A$611,0))),"")</f>
        <v/>
      </c>
    </row>
    <row r="999" spans="1:15" ht="15" x14ac:dyDescent="0.25">
      <c r="A999" s="5" t="s">
        <v>1565</v>
      </c>
      <c r="B999" s="7"/>
      <c r="C999" s="13" t="s">
        <v>50</v>
      </c>
      <c r="D999" s="19" t="str">
        <f>IFERROR(IF(C999="No CAS","",INDEX('DEQ Pollutant List'!$B$7:$B$611,MATCH('3. Pollutant Emissions - EF'!C999,'DEQ Pollutant List'!$A$7:$A$611,0))),"")</f>
        <v>Acetaldehyde</v>
      </c>
      <c r="E999" s="23">
        <v>0</v>
      </c>
      <c r="F999" s="21">
        <v>0</v>
      </c>
      <c r="G999" s="23" t="s">
        <v>1415</v>
      </c>
      <c r="H999" s="21" t="s">
        <v>1415</v>
      </c>
      <c r="I999" s="34">
        <v>4.3E-3</v>
      </c>
      <c r="J999" s="11">
        <f t="shared" ref="J999:J1024" si="36">I999</f>
        <v>4.3E-3</v>
      </c>
      <c r="K999" s="6" t="s">
        <v>1416</v>
      </c>
      <c r="L999" s="20" t="s">
        <v>1422</v>
      </c>
      <c r="M999" s="7">
        <f>IF(ISBLANK($B999),_xlfn.XLOOKUP($A999,'2. TEUs &amp; Activities - EF'!$A$9:$A$190,'2. TEUs &amp; Activities - EF'!$J$9:$J$190),_xlfn.XLOOKUP($B999,'2. TEUs &amp; Activities - EF'!$B$9:$B$190,'2. TEUs &amp; Activities - EF'!$J$9:$J$190))*'3. Pollutant Emissions - EF'!$I999*IF(OR(ISBLANK($E999),$G999="Yes"),1,$E999)*IF($H999="Yes",1,(1-$F999))</f>
        <v>9.1400294117647066E-2</v>
      </c>
      <c r="N999" s="5">
        <f>IF(ISBLANK($B999),_xlfn.XLOOKUP($A999,'2. TEUs &amp; Activities - EF'!$A$9:$A$190,'2. TEUs &amp; Activities - EF'!$M$9:$M$190),_xlfn.XLOOKUP($B999,'2. TEUs &amp; Activities - EF'!$B$9:$B$190,'2. TEUs &amp; Activities - EF'!$M$9:$M$190))*'3. Pollutant Emissions - EF'!$J999*IF(OR(ISBLANK($E999),$G999="Yes"),1,$E999)*IF($H999="Yes",1,(1-$F999))</f>
        <v>2.5041176470588236E-4</v>
      </c>
      <c r="O999" s="130">
        <f>IFERROR(IF(OR($C999="",$C999="No CAS"),INDEX('DEQ Pollutant List'!$D$7:$D$611,MATCH($D999,'DEQ Pollutant List'!$B$7:$B$611,0)),INDEX('DEQ Pollutant List'!$D$7:$D$611,MATCH($C999,'DEQ Pollutant List'!$A$7:$A$611,0))),"")</f>
        <v>1</v>
      </c>
    </row>
    <row r="1000" spans="1:15" ht="15" x14ac:dyDescent="0.25">
      <c r="A1000" s="5" t="s">
        <v>1565</v>
      </c>
      <c r="B1000" s="7"/>
      <c r="C1000" s="13" t="s">
        <v>51</v>
      </c>
      <c r="D1000" s="19" t="str">
        <f>IFERROR(IF(C1000="No CAS","",INDEX('DEQ Pollutant List'!$B$7:$B$611,MATCH('3. Pollutant Emissions - EF'!C1000,'DEQ Pollutant List'!$A$7:$A$611,0))),"")</f>
        <v>Acrolein</v>
      </c>
      <c r="E1000" s="23">
        <v>0</v>
      </c>
      <c r="F1000" s="21">
        <v>0</v>
      </c>
      <c r="G1000" s="23" t="s">
        <v>1415</v>
      </c>
      <c r="H1000" s="21" t="s">
        <v>1415</v>
      </c>
      <c r="I1000" s="34">
        <v>2.7000000000000001E-3</v>
      </c>
      <c r="J1000" s="11">
        <f t="shared" si="36"/>
        <v>2.7000000000000001E-3</v>
      </c>
      <c r="K1000" s="6" t="s">
        <v>1416</v>
      </c>
      <c r="L1000" s="20" t="s">
        <v>1422</v>
      </c>
      <c r="M1000" s="7">
        <f>IF(ISBLANK($B1000),_xlfn.XLOOKUP($A1000,'2. TEUs &amp; Activities - EF'!$A$9:$A$190,'2. TEUs &amp; Activities - EF'!$J$9:$J$190),_xlfn.XLOOKUP($B1000,'2. TEUs &amp; Activities - EF'!$B$9:$B$190,'2. TEUs &amp; Activities - EF'!$J$9:$J$190))*'3. Pollutant Emissions - EF'!$I1000*IF(OR(ISBLANK($E1000),$G1000="Yes"),1,$E1000)*IF($H1000="Yes",1,(1-$F1000))</f>
        <v>5.7390882352941187E-2</v>
      </c>
      <c r="N1000" s="5">
        <f>IF(ISBLANK($B1000),_xlfn.XLOOKUP($A1000,'2. TEUs &amp; Activities - EF'!$A$9:$A$190,'2. TEUs &amp; Activities - EF'!$M$9:$M$190),_xlfn.XLOOKUP($B1000,'2. TEUs &amp; Activities - EF'!$B$9:$B$190,'2. TEUs &amp; Activities - EF'!$M$9:$M$190))*'3. Pollutant Emissions - EF'!$J1000*IF(OR(ISBLANK($E1000),$G1000="Yes"),1,$E1000)*IF($H1000="Yes",1,(1-$F1000))</f>
        <v>1.5723529411764707E-4</v>
      </c>
      <c r="O1000" s="130">
        <f>IFERROR(IF(OR($C1000="",$C1000="No CAS"),INDEX('DEQ Pollutant List'!$D$7:$D$611,MATCH($D1000,'DEQ Pollutant List'!$B$7:$B$611,0)),INDEX('DEQ Pollutant List'!$D$7:$D$611,MATCH($C1000,'DEQ Pollutant List'!$A$7:$A$611,0))),"")</f>
        <v>5</v>
      </c>
    </row>
    <row r="1001" spans="1:15" ht="15" x14ac:dyDescent="0.25">
      <c r="A1001" s="5" t="s">
        <v>1565</v>
      </c>
      <c r="B1001" s="7"/>
      <c r="C1001" s="13" t="s">
        <v>52</v>
      </c>
      <c r="D1001" s="19" t="str">
        <f>IFERROR(IF(C1001="No CAS","",INDEX('DEQ Pollutant List'!$B$7:$B$611,MATCH('3. Pollutant Emissions - EF'!C1001,'DEQ Pollutant List'!$A$7:$A$611,0))),"")</f>
        <v>Ammonia</v>
      </c>
      <c r="E1001" s="23">
        <v>0</v>
      </c>
      <c r="F1001" s="21">
        <v>0</v>
      </c>
      <c r="G1001" s="23" t="s">
        <v>1415</v>
      </c>
      <c r="H1001" s="21" t="s">
        <v>1415</v>
      </c>
      <c r="I1001" s="34">
        <v>3.2</v>
      </c>
      <c r="J1001" s="11">
        <f t="shared" si="36"/>
        <v>3.2</v>
      </c>
      <c r="K1001" s="6" t="s">
        <v>1416</v>
      </c>
      <c r="L1001" s="20" t="s">
        <v>1586</v>
      </c>
      <c r="M1001" s="7">
        <f>IF(ISBLANK($B1001),_xlfn.XLOOKUP($A1001,'2. TEUs &amp; Activities - EF'!$A$9:$A$190,'2. TEUs &amp; Activities - EF'!$J$9:$J$190),_xlfn.XLOOKUP($B1001,'2. TEUs &amp; Activities - EF'!$B$9:$B$190,'2. TEUs &amp; Activities - EF'!$J$9:$J$190))*'3. Pollutant Emissions - EF'!$I1001*IF(OR(ISBLANK($E1001),$G1001="Yes"),1,$E1001)*IF($H1001="Yes",1,(1-$F1001))</f>
        <v>68.018823529411776</v>
      </c>
      <c r="N1001" s="5">
        <f>IF(ISBLANK($B1001),_xlfn.XLOOKUP($A1001,'2. TEUs &amp; Activities - EF'!$A$9:$A$190,'2. TEUs &amp; Activities - EF'!$M$9:$M$190),_xlfn.XLOOKUP($B1001,'2. TEUs &amp; Activities - EF'!$B$9:$B$190,'2. TEUs &amp; Activities - EF'!$M$9:$M$190))*'3. Pollutant Emissions - EF'!$J1001*IF(OR(ISBLANK($E1001),$G1001="Yes"),1,$E1001)*IF($H1001="Yes",1,(1-$F1001))</f>
        <v>0.18635294117647061</v>
      </c>
      <c r="O1001" s="130">
        <f>IFERROR(IF(OR($C1001="",$C1001="No CAS"),INDEX('DEQ Pollutant List'!$D$7:$D$611,MATCH($D1001,'DEQ Pollutant List'!$B$7:$B$611,0)),INDEX('DEQ Pollutant List'!$D$7:$D$611,MATCH($C1001,'DEQ Pollutant List'!$A$7:$A$611,0))),"")</f>
        <v>26</v>
      </c>
    </row>
    <row r="1002" spans="1:15" ht="15" x14ac:dyDescent="0.25">
      <c r="A1002" s="5" t="s">
        <v>1565</v>
      </c>
      <c r="B1002" s="7"/>
      <c r="C1002" s="13" t="s">
        <v>53</v>
      </c>
      <c r="D1002" s="19" t="str">
        <f>IFERROR(IF(C1002="No CAS","",INDEX('DEQ Pollutant List'!$B$7:$B$611,MATCH('3. Pollutant Emissions - EF'!C1002,'DEQ Pollutant List'!$A$7:$A$611,0))),"")</f>
        <v>Arsenic and compounds</v>
      </c>
      <c r="E1002" s="23">
        <v>0</v>
      </c>
      <c r="F1002" s="21">
        <v>0</v>
      </c>
      <c r="G1002" s="23" t="s">
        <v>1415</v>
      </c>
      <c r="H1002" s="21" t="s">
        <v>1415</v>
      </c>
      <c r="I1002" s="34">
        <v>2.0000000000000001E-4</v>
      </c>
      <c r="J1002" s="11">
        <f t="shared" si="36"/>
        <v>2.0000000000000001E-4</v>
      </c>
      <c r="K1002" s="6" t="s">
        <v>1416</v>
      </c>
      <c r="L1002" s="20" t="s">
        <v>1422</v>
      </c>
      <c r="M1002" s="7">
        <f>IF(ISBLANK($B1002),_xlfn.XLOOKUP($A1002,'2. TEUs &amp; Activities - EF'!$A$9:$A$190,'2. TEUs &amp; Activities - EF'!$J$9:$J$190),_xlfn.XLOOKUP($B1002,'2. TEUs &amp; Activities - EF'!$B$9:$B$190,'2. TEUs &amp; Activities - EF'!$J$9:$J$190))*'3. Pollutant Emissions - EF'!$I1002*IF(OR(ISBLANK($E1002),$G1002="Yes"),1,$E1002)*IF($H1002="Yes",1,(1-$F1002))</f>
        <v>4.2511764705882357E-3</v>
      </c>
      <c r="N1002" s="5">
        <f>IF(ISBLANK($B1002),_xlfn.XLOOKUP($A1002,'2. TEUs &amp; Activities - EF'!$A$9:$A$190,'2. TEUs &amp; Activities - EF'!$M$9:$M$190),_xlfn.XLOOKUP($B1002,'2. TEUs &amp; Activities - EF'!$B$9:$B$190,'2. TEUs &amp; Activities - EF'!$M$9:$M$190))*'3. Pollutant Emissions - EF'!$J1002*IF(OR(ISBLANK($E1002),$G1002="Yes"),1,$E1002)*IF($H1002="Yes",1,(1-$F1002))</f>
        <v>1.1647058823529413E-5</v>
      </c>
      <c r="O1002" s="130"/>
    </row>
    <row r="1003" spans="1:15" ht="15" x14ac:dyDescent="0.25">
      <c r="A1003" s="5" t="s">
        <v>1565</v>
      </c>
      <c r="B1003" s="7"/>
      <c r="C1003" s="13" t="s">
        <v>54</v>
      </c>
      <c r="D1003" s="19" t="str">
        <f>IFERROR(IF(C1003="No CAS","",INDEX('DEQ Pollutant List'!$B$7:$B$611,MATCH('3. Pollutant Emissions - EF'!C1003,'DEQ Pollutant List'!$A$7:$A$611,0))),"")</f>
        <v>Barium and compounds</v>
      </c>
      <c r="E1003" s="23">
        <v>0</v>
      </c>
      <c r="F1003" s="21">
        <v>0</v>
      </c>
      <c r="G1003" s="23" t="s">
        <v>1415</v>
      </c>
      <c r="H1003" s="21" t="s">
        <v>1415</v>
      </c>
      <c r="I1003" s="34">
        <v>4.4000000000000003E-3</v>
      </c>
      <c r="J1003" s="11">
        <f t="shared" si="36"/>
        <v>4.4000000000000003E-3</v>
      </c>
      <c r="K1003" s="6" t="s">
        <v>1416</v>
      </c>
      <c r="L1003" s="20" t="s">
        <v>1422</v>
      </c>
      <c r="M1003" s="7">
        <f>IF(ISBLANK($B1003),_xlfn.XLOOKUP($A1003,'2. TEUs &amp; Activities - EF'!$A$9:$A$190,'2. TEUs &amp; Activities - EF'!$J$9:$J$190),_xlfn.XLOOKUP($B1003,'2. TEUs &amp; Activities - EF'!$B$9:$B$190,'2. TEUs &amp; Activities - EF'!$J$9:$J$190))*'3. Pollutant Emissions - EF'!$I1003*IF(OR(ISBLANK($E1003),$G1003="Yes"),1,$E1003)*IF($H1003="Yes",1,(1-$F1003))</f>
        <v>9.3525882352941195E-2</v>
      </c>
      <c r="N1003" s="5">
        <f>IF(ISBLANK($B1003),_xlfn.XLOOKUP($A1003,'2. TEUs &amp; Activities - EF'!$A$9:$A$190,'2. TEUs &amp; Activities - EF'!$M$9:$M$190),_xlfn.XLOOKUP($B1003,'2. TEUs &amp; Activities - EF'!$B$9:$B$190,'2. TEUs &amp; Activities - EF'!$M$9:$M$190))*'3. Pollutant Emissions - EF'!$J1003*IF(OR(ISBLANK($E1003),$G1003="Yes"),1,$E1003)*IF($H1003="Yes",1,(1-$F1003))</f>
        <v>2.5623529411764712E-4</v>
      </c>
      <c r="O1003" s="130"/>
    </row>
    <row r="1004" spans="1:15" ht="15" x14ac:dyDescent="0.25">
      <c r="A1004" s="5" t="s">
        <v>1565</v>
      </c>
      <c r="B1004" s="7"/>
      <c r="C1004" s="13" t="s">
        <v>46</v>
      </c>
      <c r="D1004" s="19" t="str">
        <f>IFERROR(IF(C1004="No CAS","",INDEX('DEQ Pollutant List'!$B$7:$B$611,MATCH('3. Pollutant Emissions - EF'!C1004,'DEQ Pollutant List'!$A$7:$A$611,0))),"")</f>
        <v>Benzene</v>
      </c>
      <c r="E1004" s="23">
        <v>0</v>
      </c>
      <c r="F1004" s="21">
        <v>0</v>
      </c>
      <c r="G1004" s="23" t="s">
        <v>1415</v>
      </c>
      <c r="H1004" s="21" t="s">
        <v>1415</v>
      </c>
      <c r="I1004" s="34">
        <v>8.0000000000000002E-3</v>
      </c>
      <c r="J1004" s="11">
        <f t="shared" si="36"/>
        <v>8.0000000000000002E-3</v>
      </c>
      <c r="K1004" s="6" t="s">
        <v>1416</v>
      </c>
      <c r="L1004" s="20" t="s">
        <v>1422</v>
      </c>
      <c r="M1004" s="7">
        <f>IF(ISBLANK($B1004),_xlfn.XLOOKUP($A1004,'2. TEUs &amp; Activities - EF'!$A$9:$A$190,'2. TEUs &amp; Activities - EF'!$J$9:$J$190),_xlfn.XLOOKUP($B1004,'2. TEUs &amp; Activities - EF'!$B$9:$B$190,'2. TEUs &amp; Activities - EF'!$J$9:$J$190))*'3. Pollutant Emissions - EF'!$I1004*IF(OR(ISBLANK($E1004),$G1004="Yes"),1,$E1004)*IF($H1004="Yes",1,(1-$F1004))</f>
        <v>0.17004705882352944</v>
      </c>
      <c r="N1004" s="5">
        <f>IF(ISBLANK($B1004),_xlfn.XLOOKUP($A1004,'2. TEUs &amp; Activities - EF'!$A$9:$A$190,'2. TEUs &amp; Activities - EF'!$M$9:$M$190),_xlfn.XLOOKUP($B1004,'2. TEUs &amp; Activities - EF'!$B$9:$B$190,'2. TEUs &amp; Activities - EF'!$M$9:$M$190))*'3. Pollutant Emissions - EF'!$J1004*IF(OR(ISBLANK($E1004),$G1004="Yes"),1,$E1004)*IF($H1004="Yes",1,(1-$F1004))</f>
        <v>4.6588235294117654E-4</v>
      </c>
      <c r="O1004" s="130"/>
    </row>
    <row r="1005" spans="1:15" ht="15" x14ac:dyDescent="0.25">
      <c r="A1005" s="5" t="s">
        <v>1565</v>
      </c>
      <c r="B1005" s="7"/>
      <c r="C1005" s="13" t="s">
        <v>55</v>
      </c>
      <c r="D1005" s="19" t="str">
        <f>IFERROR(IF(C1005="No CAS","",INDEX('DEQ Pollutant List'!$B$7:$B$611,MATCH('3. Pollutant Emissions - EF'!C1005,'DEQ Pollutant List'!$A$7:$A$611,0))),"")</f>
        <v>Beryllium and compounds</v>
      </c>
      <c r="E1005" s="23">
        <v>0</v>
      </c>
      <c r="F1005" s="21">
        <v>0</v>
      </c>
      <c r="G1005" s="23" t="s">
        <v>1415</v>
      </c>
      <c r="H1005" s="21" t="s">
        <v>1415</v>
      </c>
      <c r="I1005" s="34">
        <v>1.2E-5</v>
      </c>
      <c r="J1005" s="11">
        <f t="shared" si="36"/>
        <v>1.2E-5</v>
      </c>
      <c r="K1005" s="6" t="s">
        <v>1416</v>
      </c>
      <c r="L1005" s="20" t="s">
        <v>1422</v>
      </c>
      <c r="M1005" s="7">
        <f>IF(ISBLANK($B1005),_xlfn.XLOOKUP($A1005,'2. TEUs &amp; Activities - EF'!$A$9:$A$190,'2. TEUs &amp; Activities - EF'!$J$9:$J$190),_xlfn.XLOOKUP($B1005,'2. TEUs &amp; Activities - EF'!$B$9:$B$190,'2. TEUs &amp; Activities - EF'!$J$9:$J$190))*'3. Pollutant Emissions - EF'!$I1005*IF(OR(ISBLANK($E1005),$G1005="Yes"),1,$E1005)*IF($H1005="Yes",1,(1-$F1005))</f>
        <v>2.5507058823529417E-4</v>
      </c>
      <c r="N1005" s="5">
        <f>IF(ISBLANK($B1005),_xlfn.XLOOKUP($A1005,'2. TEUs &amp; Activities - EF'!$A$9:$A$190,'2. TEUs &amp; Activities - EF'!$M$9:$M$190),_xlfn.XLOOKUP($B1005,'2. TEUs &amp; Activities - EF'!$B$9:$B$190,'2. TEUs &amp; Activities - EF'!$M$9:$M$190))*'3. Pollutant Emissions - EF'!$J1005*IF(OR(ISBLANK($E1005),$G1005="Yes"),1,$E1005)*IF($H1005="Yes",1,(1-$F1005))</f>
        <v>6.9882352941176484E-7</v>
      </c>
      <c r="O1005" s="130"/>
    </row>
    <row r="1006" spans="1:15" ht="15" x14ac:dyDescent="0.25">
      <c r="A1006" s="5" t="s">
        <v>1565</v>
      </c>
      <c r="B1006" s="7"/>
      <c r="C1006" s="13" t="s">
        <v>56</v>
      </c>
      <c r="D1006" s="19" t="str">
        <f>IFERROR(IF(C1006="No CAS","",INDEX('DEQ Pollutant List'!$B$7:$B$611,MATCH('3. Pollutant Emissions - EF'!C1006,'DEQ Pollutant List'!$A$7:$A$611,0))),"")</f>
        <v>Cadmium and compounds</v>
      </c>
      <c r="E1006" s="23">
        <v>0</v>
      </c>
      <c r="F1006" s="21">
        <v>0</v>
      </c>
      <c r="G1006" s="23" t="s">
        <v>1415</v>
      </c>
      <c r="H1006" s="21" t="s">
        <v>1415</v>
      </c>
      <c r="I1006" s="34">
        <v>1.1000000000000001E-3</v>
      </c>
      <c r="J1006" s="11">
        <f t="shared" si="36"/>
        <v>1.1000000000000001E-3</v>
      </c>
      <c r="K1006" s="6" t="s">
        <v>1416</v>
      </c>
      <c r="L1006" s="20" t="s">
        <v>1422</v>
      </c>
      <c r="M1006" s="7">
        <f>IF(ISBLANK($B1006),_xlfn.XLOOKUP($A1006,'2. TEUs &amp; Activities - EF'!$A$9:$A$190,'2. TEUs &amp; Activities - EF'!$J$9:$J$190),_xlfn.XLOOKUP($B1006,'2. TEUs &amp; Activities - EF'!$B$9:$B$190,'2. TEUs &amp; Activities - EF'!$J$9:$J$190))*'3. Pollutant Emissions - EF'!$I1006*IF(OR(ISBLANK($E1006),$G1006="Yes"),1,$E1006)*IF($H1006="Yes",1,(1-$F1006))</f>
        <v>2.3381470588235299E-2</v>
      </c>
      <c r="N1006" s="5">
        <f>IF(ISBLANK($B1006),_xlfn.XLOOKUP($A1006,'2. TEUs &amp; Activities - EF'!$A$9:$A$190,'2. TEUs &amp; Activities - EF'!$M$9:$M$190),_xlfn.XLOOKUP($B1006,'2. TEUs &amp; Activities - EF'!$B$9:$B$190,'2. TEUs &amp; Activities - EF'!$M$9:$M$190))*'3. Pollutant Emissions - EF'!$J1006*IF(OR(ISBLANK($E1006),$G1006="Yes"),1,$E1006)*IF($H1006="Yes",1,(1-$F1006))</f>
        <v>6.4058823529411781E-5</v>
      </c>
      <c r="O1006" s="130"/>
    </row>
    <row r="1007" spans="1:15" ht="15" x14ac:dyDescent="0.25">
      <c r="A1007" s="5" t="s">
        <v>1565</v>
      </c>
      <c r="B1007" s="7"/>
      <c r="C1007" s="13" t="s">
        <v>57</v>
      </c>
      <c r="D1007" s="19" t="str">
        <f>IFERROR(IF(C1007="No CAS","",INDEX('DEQ Pollutant List'!$B$7:$B$611,MATCH('3. Pollutant Emissions - EF'!C1007,'DEQ Pollutant List'!$A$7:$A$611,0))),"")</f>
        <v>Chromium VI, chromate and dichromate particulate</v>
      </c>
      <c r="E1007" s="23">
        <v>0</v>
      </c>
      <c r="F1007" s="21">
        <v>0</v>
      </c>
      <c r="G1007" s="23" t="s">
        <v>1415</v>
      </c>
      <c r="H1007" s="21" t="s">
        <v>1415</v>
      </c>
      <c r="I1007" s="34">
        <v>1.4E-3</v>
      </c>
      <c r="J1007" s="11">
        <f t="shared" si="36"/>
        <v>1.4E-3</v>
      </c>
      <c r="K1007" s="6" t="s">
        <v>1416</v>
      </c>
      <c r="L1007" s="20" t="s">
        <v>1422</v>
      </c>
      <c r="M1007" s="7">
        <f>IF(ISBLANK($B1007),_xlfn.XLOOKUP($A1007,'2. TEUs &amp; Activities - EF'!$A$9:$A$190,'2. TEUs &amp; Activities - EF'!$J$9:$J$190),_xlfn.XLOOKUP($B1007,'2. TEUs &amp; Activities - EF'!$B$9:$B$190,'2. TEUs &amp; Activities - EF'!$J$9:$J$190))*'3. Pollutant Emissions - EF'!$I1007*IF(OR(ISBLANK($E1007),$G1007="Yes"),1,$E1007)*IF($H1007="Yes",1,(1-$F1007))</f>
        <v>2.9758235294117648E-2</v>
      </c>
      <c r="N1007" s="5">
        <f>IF(ISBLANK($B1007),_xlfn.XLOOKUP($A1007,'2. TEUs &amp; Activities - EF'!$A$9:$A$190,'2. TEUs &amp; Activities - EF'!$M$9:$M$190),_xlfn.XLOOKUP($B1007,'2. TEUs &amp; Activities - EF'!$B$9:$B$190,'2. TEUs &amp; Activities - EF'!$M$9:$M$190))*'3. Pollutant Emissions - EF'!$J1007*IF(OR(ISBLANK($E1007),$G1007="Yes"),1,$E1007)*IF($H1007="Yes",1,(1-$F1007))</f>
        <v>8.1529411764705894E-5</v>
      </c>
      <c r="O1007" s="130"/>
    </row>
    <row r="1008" spans="1:15" ht="15" x14ac:dyDescent="0.25">
      <c r="A1008" s="5" t="s">
        <v>1565</v>
      </c>
      <c r="B1008" s="7"/>
      <c r="C1008" s="13" t="s">
        <v>58</v>
      </c>
      <c r="D1008" s="19" t="str">
        <f>IFERROR(IF(C1008="No CAS","",INDEX('DEQ Pollutant List'!$B$7:$B$611,MATCH('3. Pollutant Emissions - EF'!C1008,'DEQ Pollutant List'!$A$7:$A$611,0))),"")</f>
        <v>Cobalt and compounds</v>
      </c>
      <c r="E1008" s="23">
        <v>0</v>
      </c>
      <c r="F1008" s="21">
        <v>0</v>
      </c>
      <c r="G1008" s="23" t="s">
        <v>1415</v>
      </c>
      <c r="H1008" s="21" t="s">
        <v>1415</v>
      </c>
      <c r="I1008" s="34">
        <v>8.3999999999999995E-5</v>
      </c>
      <c r="J1008" s="11">
        <f t="shared" si="36"/>
        <v>8.3999999999999995E-5</v>
      </c>
      <c r="K1008" s="6" t="s">
        <v>1416</v>
      </c>
      <c r="L1008" s="20" t="s">
        <v>1422</v>
      </c>
      <c r="M1008" s="7">
        <f>IF(ISBLANK($B1008),_xlfn.XLOOKUP($A1008,'2. TEUs &amp; Activities - EF'!$A$9:$A$190,'2. TEUs &amp; Activities - EF'!$J$9:$J$190),_xlfn.XLOOKUP($B1008,'2. TEUs &amp; Activities - EF'!$B$9:$B$190,'2. TEUs &amp; Activities - EF'!$J$9:$J$190))*'3. Pollutant Emissions - EF'!$I1008*IF(OR(ISBLANK($E1008),$G1008="Yes"),1,$E1008)*IF($H1008="Yes",1,(1-$F1008))</f>
        <v>1.7854941176470589E-3</v>
      </c>
      <c r="N1008" s="5">
        <f>IF(ISBLANK($B1008),_xlfn.XLOOKUP($A1008,'2. TEUs &amp; Activities - EF'!$A$9:$A$190,'2. TEUs &amp; Activities - EF'!$M$9:$M$190),_xlfn.XLOOKUP($B1008,'2. TEUs &amp; Activities - EF'!$B$9:$B$190,'2. TEUs &amp; Activities - EF'!$M$9:$M$190))*'3. Pollutant Emissions - EF'!$J1008*IF(OR(ISBLANK($E1008),$G1008="Yes"),1,$E1008)*IF($H1008="Yes",1,(1-$F1008))</f>
        <v>4.891764705882353E-6</v>
      </c>
      <c r="O1008" s="130"/>
    </row>
    <row r="1009" spans="1:15" ht="15" x14ac:dyDescent="0.25">
      <c r="A1009" s="5" t="s">
        <v>1565</v>
      </c>
      <c r="B1009" s="7"/>
      <c r="C1009" s="13" t="s">
        <v>59</v>
      </c>
      <c r="D1009" s="19" t="str">
        <f>IFERROR(IF(C1009="No CAS","",INDEX('DEQ Pollutant List'!$B$7:$B$611,MATCH('3. Pollutant Emissions - EF'!C1009,'DEQ Pollutant List'!$A$7:$A$611,0))),"")</f>
        <v>Copper and compounds</v>
      </c>
      <c r="E1009" s="23">
        <v>0</v>
      </c>
      <c r="F1009" s="21">
        <v>0</v>
      </c>
      <c r="G1009" s="23" t="s">
        <v>1415</v>
      </c>
      <c r="H1009" s="21" t="s">
        <v>1415</v>
      </c>
      <c r="I1009" s="34">
        <v>8.4999999999999995E-4</v>
      </c>
      <c r="J1009" s="11">
        <f t="shared" si="36"/>
        <v>8.4999999999999995E-4</v>
      </c>
      <c r="K1009" s="6" t="s">
        <v>1416</v>
      </c>
      <c r="L1009" s="20" t="s">
        <v>1422</v>
      </c>
      <c r="M1009" s="7">
        <f>IF(ISBLANK($B1009),_xlfn.XLOOKUP($A1009,'2. TEUs &amp; Activities - EF'!$A$9:$A$190,'2. TEUs &amp; Activities - EF'!$J$9:$J$190),_xlfn.XLOOKUP($B1009,'2. TEUs &amp; Activities - EF'!$B$9:$B$190,'2. TEUs &amp; Activities - EF'!$J$9:$J$190))*'3. Pollutant Emissions - EF'!$I1009*IF(OR(ISBLANK($E1009),$G1009="Yes"),1,$E1009)*IF($H1009="Yes",1,(1-$F1009))</f>
        <v>1.80675E-2</v>
      </c>
      <c r="N1009" s="5">
        <f>IF(ISBLANK($B1009),_xlfn.XLOOKUP($A1009,'2. TEUs &amp; Activities - EF'!$A$9:$A$190,'2. TEUs &amp; Activities - EF'!$M$9:$M$190),_xlfn.XLOOKUP($B1009,'2. TEUs &amp; Activities - EF'!$B$9:$B$190,'2. TEUs &amp; Activities - EF'!$M$9:$M$190))*'3. Pollutant Emissions - EF'!$J1009*IF(OR(ISBLANK($E1009),$G1009="Yes"),1,$E1009)*IF($H1009="Yes",1,(1-$F1009))</f>
        <v>4.9500000000000004E-5</v>
      </c>
      <c r="O1009" s="130"/>
    </row>
    <row r="1010" spans="1:15" ht="15" x14ac:dyDescent="0.25">
      <c r="A1010" s="5" t="s">
        <v>1565</v>
      </c>
      <c r="B1010" s="7"/>
      <c r="C1010" s="13" t="s">
        <v>60</v>
      </c>
      <c r="D1010" s="19" t="str">
        <f>IFERROR(IF(C1010="No CAS","",INDEX('DEQ Pollutant List'!$B$7:$B$611,MATCH('3. Pollutant Emissions - EF'!C1010,'DEQ Pollutant List'!$A$7:$A$611,0))),"")</f>
        <v>Ethyl benzene</v>
      </c>
      <c r="E1010" s="23">
        <v>0</v>
      </c>
      <c r="F1010" s="21">
        <v>0</v>
      </c>
      <c r="G1010" s="23" t="s">
        <v>1415</v>
      </c>
      <c r="H1010" s="21" t="s">
        <v>1415</v>
      </c>
      <c r="I1010" s="34">
        <v>9.4999999999999998E-3</v>
      </c>
      <c r="J1010" s="11">
        <f t="shared" si="36"/>
        <v>9.4999999999999998E-3</v>
      </c>
      <c r="K1010" s="6" t="s">
        <v>1416</v>
      </c>
      <c r="L1010" s="20" t="s">
        <v>1422</v>
      </c>
      <c r="M1010" s="7">
        <f>IF(ISBLANK($B1010),_xlfn.XLOOKUP($A1010,'2. TEUs &amp; Activities - EF'!$A$9:$A$190,'2. TEUs &amp; Activities - EF'!$J$9:$J$190),_xlfn.XLOOKUP($B1010,'2. TEUs &amp; Activities - EF'!$B$9:$B$190,'2. TEUs &amp; Activities - EF'!$J$9:$J$190))*'3. Pollutant Emissions - EF'!$I1010*IF(OR(ISBLANK($E1010),$G1010="Yes"),1,$E1010)*IF($H1010="Yes",1,(1-$F1010))</f>
        <v>0.20193088235294118</v>
      </c>
      <c r="N1010" s="5">
        <f>IF(ISBLANK($B1010),_xlfn.XLOOKUP($A1010,'2. TEUs &amp; Activities - EF'!$A$9:$A$190,'2. TEUs &amp; Activities - EF'!$M$9:$M$190),_xlfn.XLOOKUP($B1010,'2. TEUs &amp; Activities - EF'!$B$9:$B$190,'2. TEUs &amp; Activities - EF'!$M$9:$M$190))*'3. Pollutant Emissions - EF'!$J1010*IF(OR(ISBLANK($E1010),$G1010="Yes"),1,$E1010)*IF($H1010="Yes",1,(1-$F1010))</f>
        <v>5.5323529411764713E-4</v>
      </c>
      <c r="O1010" s="130"/>
    </row>
    <row r="1011" spans="1:15" ht="15" x14ac:dyDescent="0.25">
      <c r="A1011" s="5" t="s">
        <v>1565</v>
      </c>
      <c r="B1011" s="7"/>
      <c r="C1011" s="13" t="s">
        <v>47</v>
      </c>
      <c r="D1011" s="19" t="str">
        <f>IFERROR(IF(C1011="No CAS","",INDEX('DEQ Pollutant List'!$B$7:$B$611,MATCH('3. Pollutant Emissions - EF'!C1011,'DEQ Pollutant List'!$A$7:$A$611,0))),"")</f>
        <v>Formaldehyde</v>
      </c>
      <c r="E1011" s="23">
        <v>0</v>
      </c>
      <c r="F1011" s="21">
        <v>0</v>
      </c>
      <c r="G1011" s="23" t="s">
        <v>1415</v>
      </c>
      <c r="H1011" s="21" t="s">
        <v>1415</v>
      </c>
      <c r="I1011" s="34">
        <v>1.7000000000000001E-2</v>
      </c>
      <c r="J1011" s="11">
        <f t="shared" si="36"/>
        <v>1.7000000000000001E-2</v>
      </c>
      <c r="K1011" s="6" t="s">
        <v>1416</v>
      </c>
      <c r="L1011" s="20" t="s">
        <v>1422</v>
      </c>
      <c r="M1011" s="7">
        <f>IF(ISBLANK($B1011),_xlfn.XLOOKUP($A1011,'2. TEUs &amp; Activities - EF'!$A$9:$A$190,'2. TEUs &amp; Activities - EF'!$J$9:$J$190),_xlfn.XLOOKUP($B1011,'2. TEUs &amp; Activities - EF'!$B$9:$B$190,'2. TEUs &amp; Activities - EF'!$J$9:$J$190))*'3. Pollutant Emissions - EF'!$I1011*IF(OR(ISBLANK($E1011),$G1011="Yes"),1,$E1011)*IF($H1011="Yes",1,(1-$F1011))</f>
        <v>0.36135000000000006</v>
      </c>
      <c r="N1011" s="5">
        <f>IF(ISBLANK($B1011),_xlfn.XLOOKUP($A1011,'2. TEUs &amp; Activities - EF'!$A$9:$A$190,'2. TEUs &amp; Activities - EF'!$M$9:$M$190),_xlfn.XLOOKUP($B1011,'2. TEUs &amp; Activities - EF'!$B$9:$B$190,'2. TEUs &amp; Activities - EF'!$M$9:$M$190))*'3. Pollutant Emissions - EF'!$J1011*IF(OR(ISBLANK($E1011),$G1011="Yes"),1,$E1011)*IF($H1011="Yes",1,(1-$F1011))</f>
        <v>9.9000000000000021E-4</v>
      </c>
      <c r="O1011" s="130"/>
    </row>
    <row r="1012" spans="1:15" ht="15" x14ac:dyDescent="0.25">
      <c r="A1012" s="5" t="s">
        <v>1565</v>
      </c>
      <c r="B1012" s="7"/>
      <c r="C1012" s="13" t="s">
        <v>61</v>
      </c>
      <c r="D1012" s="19" t="str">
        <f>IFERROR(IF(C1012="No CAS","",INDEX('DEQ Pollutant List'!$B$7:$B$611,MATCH('3. Pollutant Emissions - EF'!C1012,'DEQ Pollutant List'!$A$7:$A$611,0))),"")</f>
        <v>Hexane</v>
      </c>
      <c r="E1012" s="23">
        <v>0</v>
      </c>
      <c r="F1012" s="21">
        <v>0</v>
      </c>
      <c r="G1012" s="23" t="s">
        <v>1415</v>
      </c>
      <c r="H1012" s="21" t="s">
        <v>1415</v>
      </c>
      <c r="I1012" s="34">
        <v>6.3E-3</v>
      </c>
      <c r="J1012" s="11">
        <f t="shared" si="36"/>
        <v>6.3E-3</v>
      </c>
      <c r="K1012" s="6" t="s">
        <v>1416</v>
      </c>
      <c r="L1012" s="20" t="s">
        <v>1422</v>
      </c>
      <c r="M1012" s="7">
        <f>IF(ISBLANK($B1012),_xlfn.XLOOKUP($A1012,'2. TEUs &amp; Activities - EF'!$A$9:$A$190,'2. TEUs &amp; Activities - EF'!$J$9:$J$190),_xlfn.XLOOKUP($B1012,'2. TEUs &amp; Activities - EF'!$B$9:$B$190,'2. TEUs &amp; Activities - EF'!$J$9:$J$190))*'3. Pollutant Emissions - EF'!$I1012*IF(OR(ISBLANK($E1012),$G1012="Yes"),1,$E1012)*IF($H1012="Yes",1,(1-$F1012))</f>
        <v>0.13391205882352941</v>
      </c>
      <c r="N1012" s="5">
        <f>IF(ISBLANK($B1012),_xlfn.XLOOKUP($A1012,'2. TEUs &amp; Activities - EF'!$A$9:$A$190,'2. TEUs &amp; Activities - EF'!$M$9:$M$190),_xlfn.XLOOKUP($B1012,'2. TEUs &amp; Activities - EF'!$B$9:$B$190,'2. TEUs &amp; Activities - EF'!$M$9:$M$190))*'3. Pollutant Emissions - EF'!$J1012*IF(OR(ISBLANK($E1012),$G1012="Yes"),1,$E1012)*IF($H1012="Yes",1,(1-$F1012))</f>
        <v>3.6688235294117652E-4</v>
      </c>
      <c r="O1012" s="130"/>
    </row>
    <row r="1013" spans="1:15" ht="15" x14ac:dyDescent="0.25">
      <c r="A1013" s="5" t="s">
        <v>1565</v>
      </c>
      <c r="B1013" s="7"/>
      <c r="C1013" s="13" t="s">
        <v>62</v>
      </c>
      <c r="D1013" s="19" t="str">
        <f>IFERROR(IF(C1013="No CAS","",INDEX('DEQ Pollutant List'!$B$7:$B$611,MATCH('3. Pollutant Emissions - EF'!C1013,'DEQ Pollutant List'!$A$7:$A$611,0))),"")</f>
        <v>Lead and compounds</v>
      </c>
      <c r="E1013" s="23">
        <v>0</v>
      </c>
      <c r="F1013" s="21">
        <v>0</v>
      </c>
      <c r="G1013" s="23" t="s">
        <v>1415</v>
      </c>
      <c r="H1013" s="21" t="s">
        <v>1415</v>
      </c>
      <c r="I1013" s="34">
        <v>5.0000000000000001E-4</v>
      </c>
      <c r="J1013" s="11">
        <f t="shared" si="36"/>
        <v>5.0000000000000001E-4</v>
      </c>
      <c r="K1013" s="6" t="s">
        <v>1416</v>
      </c>
      <c r="L1013" s="20" t="s">
        <v>1422</v>
      </c>
      <c r="M1013" s="7">
        <f>IF(ISBLANK($B1013),_xlfn.XLOOKUP($A1013,'2. TEUs &amp; Activities - EF'!$A$9:$A$190,'2. TEUs &amp; Activities - EF'!$J$9:$J$190),_xlfn.XLOOKUP($B1013,'2. TEUs &amp; Activities - EF'!$B$9:$B$190,'2. TEUs &amp; Activities - EF'!$J$9:$J$190))*'3. Pollutant Emissions - EF'!$I1013*IF(OR(ISBLANK($E1013),$G1013="Yes"),1,$E1013)*IF($H1013="Yes",1,(1-$F1013))</f>
        <v>1.062794117647059E-2</v>
      </c>
      <c r="N1013" s="5">
        <f>IF(ISBLANK($B1013),_xlfn.XLOOKUP($A1013,'2. TEUs &amp; Activities - EF'!$A$9:$A$190,'2. TEUs &amp; Activities - EF'!$M$9:$M$190),_xlfn.XLOOKUP($B1013,'2. TEUs &amp; Activities - EF'!$B$9:$B$190,'2. TEUs &amp; Activities - EF'!$M$9:$M$190))*'3. Pollutant Emissions - EF'!$J1013*IF(OR(ISBLANK($E1013),$G1013="Yes"),1,$E1013)*IF($H1013="Yes",1,(1-$F1013))</f>
        <v>2.9117647058823534E-5</v>
      </c>
      <c r="O1013" s="130"/>
    </row>
    <row r="1014" spans="1:15" ht="15" x14ac:dyDescent="0.25">
      <c r="A1014" s="5" t="s">
        <v>1565</v>
      </c>
      <c r="B1014" s="7"/>
      <c r="C1014" s="13" t="s">
        <v>63</v>
      </c>
      <c r="D1014" s="19" t="str">
        <f>IFERROR(IF(C1014="No CAS","",INDEX('DEQ Pollutant List'!$B$7:$B$611,MATCH('3. Pollutant Emissions - EF'!C1014,'DEQ Pollutant List'!$A$7:$A$611,0))),"")</f>
        <v>Manganese and compounds</v>
      </c>
      <c r="E1014" s="23">
        <v>0</v>
      </c>
      <c r="F1014" s="21">
        <v>0</v>
      </c>
      <c r="G1014" s="23" t="s">
        <v>1415</v>
      </c>
      <c r="H1014" s="21" t="s">
        <v>1415</v>
      </c>
      <c r="I1014" s="34">
        <v>3.8000000000000002E-4</v>
      </c>
      <c r="J1014" s="11">
        <f t="shared" si="36"/>
        <v>3.8000000000000002E-4</v>
      </c>
      <c r="K1014" s="6" t="s">
        <v>1416</v>
      </c>
      <c r="L1014" s="20" t="s">
        <v>1422</v>
      </c>
      <c r="M1014" s="7">
        <f>IF(ISBLANK($B1014),_xlfn.XLOOKUP($A1014,'2. TEUs &amp; Activities - EF'!$A$9:$A$190,'2. TEUs &amp; Activities - EF'!$J$9:$J$190),_xlfn.XLOOKUP($B1014,'2. TEUs &amp; Activities - EF'!$B$9:$B$190,'2. TEUs &amp; Activities - EF'!$J$9:$J$190))*'3. Pollutant Emissions - EF'!$I1014*IF(OR(ISBLANK($E1014),$G1014="Yes"),1,$E1014)*IF($H1014="Yes",1,(1-$F1014))</f>
        <v>8.077235294117649E-3</v>
      </c>
      <c r="N1014" s="5">
        <f>IF(ISBLANK($B1014),_xlfn.XLOOKUP($A1014,'2. TEUs &amp; Activities - EF'!$A$9:$A$190,'2. TEUs &amp; Activities - EF'!$M$9:$M$190),_xlfn.XLOOKUP($B1014,'2. TEUs &amp; Activities - EF'!$B$9:$B$190,'2. TEUs &amp; Activities - EF'!$M$9:$M$190))*'3. Pollutant Emissions - EF'!$J1014*IF(OR(ISBLANK($E1014),$G1014="Yes"),1,$E1014)*IF($H1014="Yes",1,(1-$F1014))</f>
        <v>2.2129411764705887E-5</v>
      </c>
      <c r="O1014" s="130"/>
    </row>
    <row r="1015" spans="1:15" ht="15" x14ac:dyDescent="0.25">
      <c r="A1015" s="5" t="s">
        <v>1565</v>
      </c>
      <c r="B1015" s="7"/>
      <c r="C1015" s="13" t="s">
        <v>64</v>
      </c>
      <c r="D1015" s="19" t="str">
        <f>IFERROR(IF(C1015="No CAS","",INDEX('DEQ Pollutant List'!$B$7:$B$611,MATCH('3. Pollutant Emissions - EF'!C1015,'DEQ Pollutant List'!$A$7:$A$611,0))),"")</f>
        <v>Mercury and compounds</v>
      </c>
      <c r="E1015" s="23">
        <v>0</v>
      </c>
      <c r="F1015" s="21">
        <v>0</v>
      </c>
      <c r="G1015" s="23" t="s">
        <v>1415</v>
      </c>
      <c r="H1015" s="21" t="s">
        <v>1415</v>
      </c>
      <c r="I1015" s="34">
        <v>2.5999999999999998E-4</v>
      </c>
      <c r="J1015" s="11">
        <f t="shared" si="36"/>
        <v>2.5999999999999998E-4</v>
      </c>
      <c r="K1015" s="6" t="s">
        <v>1416</v>
      </c>
      <c r="L1015" s="20" t="s">
        <v>1422</v>
      </c>
      <c r="M1015" s="7">
        <f>IF(ISBLANK($B1015),_xlfn.XLOOKUP($A1015,'2. TEUs &amp; Activities - EF'!$A$9:$A$190,'2. TEUs &amp; Activities - EF'!$J$9:$J$190),_xlfn.XLOOKUP($B1015,'2. TEUs &amp; Activities - EF'!$B$9:$B$190,'2. TEUs &amp; Activities - EF'!$J$9:$J$190))*'3. Pollutant Emissions - EF'!$I1015*IF(OR(ISBLANK($E1015),$G1015="Yes"),1,$E1015)*IF($H1015="Yes",1,(1-$F1015))</f>
        <v>5.5265294117647062E-3</v>
      </c>
      <c r="N1015" s="5">
        <f>IF(ISBLANK($B1015),_xlfn.XLOOKUP($A1015,'2. TEUs &amp; Activities - EF'!$A$9:$A$190,'2. TEUs &amp; Activities - EF'!$M$9:$M$190),_xlfn.XLOOKUP($B1015,'2. TEUs &amp; Activities - EF'!$B$9:$B$190,'2. TEUs &amp; Activities - EF'!$M$9:$M$190))*'3. Pollutant Emissions - EF'!$J1015*IF(OR(ISBLANK($E1015),$G1015="Yes"),1,$E1015)*IF($H1015="Yes",1,(1-$F1015))</f>
        <v>1.5141176470588235E-5</v>
      </c>
      <c r="O1015" s="130"/>
    </row>
    <row r="1016" spans="1:15" ht="15" x14ac:dyDescent="0.25">
      <c r="A1016" s="5" t="s">
        <v>1565</v>
      </c>
      <c r="B1016" s="7"/>
      <c r="C1016" s="13" t="s">
        <v>65</v>
      </c>
      <c r="D1016" s="19" t="str">
        <f>IFERROR(IF(C1016="No CAS","",INDEX('DEQ Pollutant List'!$B$7:$B$611,MATCH('3. Pollutant Emissions - EF'!C1016,'DEQ Pollutant List'!$A$7:$A$611,0))),"")</f>
        <v>Molybdenum trioxide</v>
      </c>
      <c r="E1016" s="23">
        <v>0</v>
      </c>
      <c r="F1016" s="21">
        <v>0</v>
      </c>
      <c r="G1016" s="23" t="s">
        <v>1415</v>
      </c>
      <c r="H1016" s="21" t="s">
        <v>1415</v>
      </c>
      <c r="I1016" s="34">
        <v>1.65E-3</v>
      </c>
      <c r="J1016" s="11">
        <f t="shared" si="36"/>
        <v>1.65E-3</v>
      </c>
      <c r="K1016" s="6" t="s">
        <v>1416</v>
      </c>
      <c r="L1016" s="20" t="s">
        <v>1422</v>
      </c>
      <c r="M1016" s="7">
        <f>IF(ISBLANK($B1016),_xlfn.XLOOKUP($A1016,'2. TEUs &amp; Activities - EF'!$A$9:$A$190,'2. TEUs &amp; Activities - EF'!$J$9:$J$190),_xlfn.XLOOKUP($B1016,'2. TEUs &amp; Activities - EF'!$B$9:$B$190,'2. TEUs &amp; Activities - EF'!$J$9:$J$190))*'3. Pollutant Emissions - EF'!$I1016*IF(OR(ISBLANK($E1016),$G1016="Yes"),1,$E1016)*IF($H1016="Yes",1,(1-$F1016))</f>
        <v>3.5072205882352943E-2</v>
      </c>
      <c r="N1016" s="5">
        <f>IF(ISBLANK($B1016),_xlfn.XLOOKUP($A1016,'2. TEUs &amp; Activities - EF'!$A$9:$A$190,'2. TEUs &amp; Activities - EF'!$M$9:$M$190),_xlfn.XLOOKUP($B1016,'2. TEUs &amp; Activities - EF'!$B$9:$B$190,'2. TEUs &amp; Activities - EF'!$M$9:$M$190))*'3. Pollutant Emissions - EF'!$J1016*IF(OR(ISBLANK($E1016),$G1016="Yes"),1,$E1016)*IF($H1016="Yes",1,(1-$F1016))</f>
        <v>9.6088235294117664E-5</v>
      </c>
      <c r="O1016" s="130"/>
    </row>
    <row r="1017" spans="1:15" ht="15" x14ac:dyDescent="0.25">
      <c r="A1017" s="5" t="s">
        <v>1565</v>
      </c>
      <c r="B1017" s="7"/>
      <c r="C1017" s="13" t="s">
        <v>49</v>
      </c>
      <c r="D1017" s="19" t="str">
        <f>IFERROR(IF(C1017="No CAS","",INDEX('DEQ Pollutant List'!$B$7:$B$611,MATCH('3. Pollutant Emissions - EF'!C1017,'DEQ Pollutant List'!$A$7:$A$611,0))),"")</f>
        <v>Naphthalene</v>
      </c>
      <c r="E1017" s="23">
        <v>0</v>
      </c>
      <c r="F1017" s="21">
        <v>0</v>
      </c>
      <c r="G1017" s="23" t="s">
        <v>1415</v>
      </c>
      <c r="H1017" s="21" t="s">
        <v>1415</v>
      </c>
      <c r="I1017" s="34">
        <v>2.9999999999999997E-4</v>
      </c>
      <c r="J1017" s="11">
        <f t="shared" si="36"/>
        <v>2.9999999999999997E-4</v>
      </c>
      <c r="K1017" s="6" t="s">
        <v>1416</v>
      </c>
      <c r="L1017" s="20" t="s">
        <v>1422</v>
      </c>
      <c r="M1017" s="7">
        <f>IF(ISBLANK($B1017),_xlfn.XLOOKUP($A1017,'2. TEUs &amp; Activities - EF'!$A$9:$A$190,'2. TEUs &amp; Activities - EF'!$J$9:$J$190),_xlfn.XLOOKUP($B1017,'2. TEUs &amp; Activities - EF'!$B$9:$B$190,'2. TEUs &amp; Activities - EF'!$J$9:$J$190))*'3. Pollutant Emissions - EF'!$I1017*IF(OR(ISBLANK($E1017),$G1017="Yes"),1,$E1017)*IF($H1017="Yes",1,(1-$F1017))</f>
        <v>6.3767647058823526E-3</v>
      </c>
      <c r="N1017" s="5">
        <f>IF(ISBLANK($B1017),_xlfn.XLOOKUP($A1017,'2. TEUs &amp; Activities - EF'!$A$9:$A$190,'2. TEUs &amp; Activities - EF'!$M$9:$M$190),_xlfn.XLOOKUP($B1017,'2. TEUs &amp; Activities - EF'!$B$9:$B$190,'2. TEUs &amp; Activities - EF'!$M$9:$M$190))*'3. Pollutant Emissions - EF'!$J1017*IF(OR(ISBLANK($E1017),$G1017="Yes"),1,$E1017)*IF($H1017="Yes",1,(1-$F1017))</f>
        <v>1.7470588235294117E-5</v>
      </c>
      <c r="O1017" s="130"/>
    </row>
    <row r="1018" spans="1:15" ht="15" x14ac:dyDescent="0.25">
      <c r="A1018" s="5" t="s">
        <v>1565</v>
      </c>
      <c r="B1018" s="7"/>
      <c r="C1018" s="13" t="s">
        <v>66</v>
      </c>
      <c r="D1018" s="19" t="str">
        <f>IFERROR(IF(C1018="No CAS","",INDEX('DEQ Pollutant List'!$B$7:$B$611,MATCH('3. Pollutant Emissions - EF'!C1018,'DEQ Pollutant List'!$A$7:$A$611,0))),"")</f>
        <v>Nickel and compounds</v>
      </c>
      <c r="E1018" s="23">
        <v>0</v>
      </c>
      <c r="F1018" s="21">
        <v>0</v>
      </c>
      <c r="G1018" s="23" t="s">
        <v>1415</v>
      </c>
      <c r="H1018" s="21" t="s">
        <v>1415</v>
      </c>
      <c r="I1018" s="34">
        <v>2.0999999999999999E-3</v>
      </c>
      <c r="J1018" s="11">
        <f t="shared" si="36"/>
        <v>2.0999999999999999E-3</v>
      </c>
      <c r="K1018" s="6" t="s">
        <v>1416</v>
      </c>
      <c r="L1018" s="20" t="s">
        <v>1422</v>
      </c>
      <c r="M1018" s="7">
        <f>IF(ISBLANK($B1018),_xlfn.XLOOKUP($A1018,'2. TEUs &amp; Activities - EF'!$A$9:$A$190,'2. TEUs &amp; Activities - EF'!$J$9:$J$190),_xlfn.XLOOKUP($B1018,'2. TEUs &amp; Activities - EF'!$B$9:$B$190,'2. TEUs &amp; Activities - EF'!$J$9:$J$190))*'3. Pollutant Emissions - EF'!$I1018*IF(OR(ISBLANK($E1018),$G1018="Yes"),1,$E1018)*IF($H1018="Yes",1,(1-$F1018))</f>
        <v>4.4637352941176468E-2</v>
      </c>
      <c r="N1018" s="5">
        <f>IF(ISBLANK($B1018),_xlfn.XLOOKUP($A1018,'2. TEUs &amp; Activities - EF'!$A$9:$A$190,'2. TEUs &amp; Activities - EF'!$M$9:$M$190),_xlfn.XLOOKUP($B1018,'2. TEUs &amp; Activities - EF'!$B$9:$B$190,'2. TEUs &amp; Activities - EF'!$M$9:$M$190))*'3. Pollutant Emissions - EF'!$J1018*IF(OR(ISBLANK($E1018),$G1018="Yes"),1,$E1018)*IF($H1018="Yes",1,(1-$F1018))</f>
        <v>1.2229411764705882E-4</v>
      </c>
      <c r="O1018" s="130"/>
    </row>
    <row r="1019" spans="1:15" ht="15" x14ac:dyDescent="0.25">
      <c r="A1019" s="5" t="s">
        <v>1565</v>
      </c>
      <c r="B1019" s="7"/>
      <c r="C1019" s="13">
        <v>401</v>
      </c>
      <c r="D1019" s="19" t="str">
        <f>IFERROR(IF(C1019="No CAS","",INDEX('DEQ Pollutant List'!$B$7:$B$611,MATCH('3. Pollutant Emissions - EF'!C1019,'DEQ Pollutant List'!$A$7:$A$611,0))),"")</f>
        <v>Polycyclic aromatic hydrocarbons (PAHs)</v>
      </c>
      <c r="E1019" s="23">
        <v>0</v>
      </c>
      <c r="F1019" s="21">
        <v>0</v>
      </c>
      <c r="G1019" s="23" t="s">
        <v>1415</v>
      </c>
      <c r="H1019" s="21" t="s">
        <v>1415</v>
      </c>
      <c r="I1019" s="34">
        <v>1E-4</v>
      </c>
      <c r="J1019" s="11">
        <f t="shared" si="36"/>
        <v>1E-4</v>
      </c>
      <c r="K1019" s="6" t="s">
        <v>1416</v>
      </c>
      <c r="L1019" s="20" t="s">
        <v>1422</v>
      </c>
      <c r="M1019" s="7">
        <f>IF(ISBLANK($B1019),_xlfn.XLOOKUP($A1019,'2. TEUs &amp; Activities - EF'!$A$9:$A$190,'2. TEUs &amp; Activities - EF'!$J$9:$J$190),_xlfn.XLOOKUP($B1019,'2. TEUs &amp; Activities - EF'!$B$9:$B$190,'2. TEUs &amp; Activities - EF'!$J$9:$J$190))*'3. Pollutant Emissions - EF'!$I1019*IF(OR(ISBLANK($E1019),$G1019="Yes"),1,$E1019)*IF($H1019="Yes",1,(1-$F1019))</f>
        <v>2.1255882352941178E-3</v>
      </c>
      <c r="N1019" s="5">
        <f>IF(ISBLANK($B1019),_xlfn.XLOOKUP($A1019,'2. TEUs &amp; Activities - EF'!$A$9:$A$190,'2. TEUs &amp; Activities - EF'!$M$9:$M$190),_xlfn.XLOOKUP($B1019,'2. TEUs &amp; Activities - EF'!$B$9:$B$190,'2. TEUs &amp; Activities - EF'!$M$9:$M$190))*'3. Pollutant Emissions - EF'!$J1019*IF(OR(ISBLANK($E1019),$G1019="Yes"),1,$E1019)*IF($H1019="Yes",1,(1-$F1019))</f>
        <v>5.8235294117647067E-6</v>
      </c>
      <c r="O1019" s="130"/>
    </row>
    <row r="1020" spans="1:15" ht="15" x14ac:dyDescent="0.25">
      <c r="A1020" s="5" t="s">
        <v>1565</v>
      </c>
      <c r="B1020" s="7"/>
      <c r="C1020" s="13" t="s">
        <v>67</v>
      </c>
      <c r="D1020" s="19" t="str">
        <f>IFERROR(IF(C1020="No CAS","",INDEX('DEQ Pollutant List'!$B$7:$B$611,MATCH('3. Pollutant Emissions - EF'!C1020,'DEQ Pollutant List'!$A$7:$A$611,0))),"")</f>
        <v>Selenium and compounds</v>
      </c>
      <c r="E1020" s="23">
        <v>0</v>
      </c>
      <c r="F1020" s="21">
        <v>0</v>
      </c>
      <c r="G1020" s="23" t="s">
        <v>1415</v>
      </c>
      <c r="H1020" s="21" t="s">
        <v>1415</v>
      </c>
      <c r="I1020" s="34">
        <v>2.4000000000000001E-5</v>
      </c>
      <c r="J1020" s="11">
        <f t="shared" si="36"/>
        <v>2.4000000000000001E-5</v>
      </c>
      <c r="K1020" s="6" t="s">
        <v>1416</v>
      </c>
      <c r="L1020" s="20" t="s">
        <v>1422</v>
      </c>
      <c r="M1020" s="7">
        <f>IF(ISBLANK($B1020),_xlfn.XLOOKUP($A1020,'2. TEUs &amp; Activities - EF'!$A$9:$A$190,'2. TEUs &amp; Activities - EF'!$J$9:$J$190),_xlfn.XLOOKUP($B1020,'2. TEUs &amp; Activities - EF'!$B$9:$B$190,'2. TEUs &amp; Activities - EF'!$J$9:$J$190))*'3. Pollutant Emissions - EF'!$I1020*IF(OR(ISBLANK($E1020),$G1020="Yes"),1,$E1020)*IF($H1020="Yes",1,(1-$F1020))</f>
        <v>5.1014117647058834E-4</v>
      </c>
      <c r="N1020" s="5">
        <f>IF(ISBLANK($B1020),_xlfn.XLOOKUP($A1020,'2. TEUs &amp; Activities - EF'!$A$9:$A$190,'2. TEUs &amp; Activities - EF'!$M$9:$M$190),_xlfn.XLOOKUP($B1020,'2. TEUs &amp; Activities - EF'!$B$9:$B$190,'2. TEUs &amp; Activities - EF'!$M$9:$M$190))*'3. Pollutant Emissions - EF'!$J1020*IF(OR(ISBLANK($E1020),$G1020="Yes"),1,$E1020)*IF($H1020="Yes",1,(1-$F1020))</f>
        <v>1.3976470588235297E-6</v>
      </c>
      <c r="O1020" s="130"/>
    </row>
    <row r="1021" spans="1:15" ht="15" x14ac:dyDescent="0.25">
      <c r="A1021" s="5" t="s">
        <v>1565</v>
      </c>
      <c r="B1021" s="7"/>
      <c r="C1021" s="13" t="s">
        <v>68</v>
      </c>
      <c r="D1021" s="19" t="str">
        <f>IFERROR(IF(C1021="No CAS","",INDEX('DEQ Pollutant List'!$B$7:$B$611,MATCH('3. Pollutant Emissions - EF'!C1021,'DEQ Pollutant List'!$A$7:$A$611,0))),"")</f>
        <v>Toluene</v>
      </c>
      <c r="E1021" s="23">
        <v>0</v>
      </c>
      <c r="F1021" s="21">
        <v>0</v>
      </c>
      <c r="G1021" s="23" t="s">
        <v>1415</v>
      </c>
      <c r="H1021" s="21" t="s">
        <v>1415</v>
      </c>
      <c r="I1021" s="34">
        <v>3.6600000000000001E-2</v>
      </c>
      <c r="J1021" s="11">
        <f t="shared" si="36"/>
        <v>3.6600000000000001E-2</v>
      </c>
      <c r="K1021" s="6" t="s">
        <v>1416</v>
      </c>
      <c r="L1021" s="20" t="s">
        <v>1422</v>
      </c>
      <c r="M1021" s="7">
        <f>IF(ISBLANK($B1021),_xlfn.XLOOKUP($A1021,'2. TEUs &amp; Activities - EF'!$A$9:$A$190,'2. TEUs &amp; Activities - EF'!$J$9:$J$190),_xlfn.XLOOKUP($B1021,'2. TEUs &amp; Activities - EF'!$B$9:$B$190,'2. TEUs &amp; Activities - EF'!$J$9:$J$190))*'3. Pollutant Emissions - EF'!$I1021*IF(OR(ISBLANK($E1021),$G1021="Yes"),1,$E1021)*IF($H1021="Yes",1,(1-$F1021))</f>
        <v>0.77796529411764714</v>
      </c>
      <c r="N1021" s="5">
        <f>IF(ISBLANK($B1021),_xlfn.XLOOKUP($A1021,'2. TEUs &amp; Activities - EF'!$A$9:$A$190,'2. TEUs &amp; Activities - EF'!$M$9:$M$190),_xlfn.XLOOKUP($B1021,'2. TEUs &amp; Activities - EF'!$B$9:$B$190,'2. TEUs &amp; Activities - EF'!$M$9:$M$190))*'3. Pollutant Emissions - EF'!$J1021*IF(OR(ISBLANK($E1021),$G1021="Yes"),1,$E1021)*IF($H1021="Yes",1,(1-$F1021))</f>
        <v>2.1314117647058825E-3</v>
      </c>
      <c r="O1021" s="130"/>
    </row>
    <row r="1022" spans="1:15" ht="15" x14ac:dyDescent="0.25">
      <c r="A1022" s="5" t="s">
        <v>1565</v>
      </c>
      <c r="B1022" s="7"/>
      <c r="C1022" s="13" t="s">
        <v>69</v>
      </c>
      <c r="D1022" s="19" t="str">
        <f>IFERROR(IF(C1022="No CAS","",INDEX('DEQ Pollutant List'!$B$7:$B$611,MATCH('3. Pollutant Emissions - EF'!C1022,'DEQ Pollutant List'!$A$7:$A$611,0))),"")</f>
        <v>Vanadium (fume or dust)</v>
      </c>
      <c r="E1022" s="23">
        <v>0</v>
      </c>
      <c r="F1022" s="21">
        <v>0</v>
      </c>
      <c r="G1022" s="23" t="s">
        <v>1415</v>
      </c>
      <c r="H1022" s="21" t="s">
        <v>1415</v>
      </c>
      <c r="I1022" s="34">
        <v>2.3E-3</v>
      </c>
      <c r="J1022" s="11">
        <f t="shared" si="36"/>
        <v>2.3E-3</v>
      </c>
      <c r="K1022" s="6" t="s">
        <v>1416</v>
      </c>
      <c r="L1022" s="20" t="s">
        <v>1422</v>
      </c>
      <c r="M1022" s="7">
        <f>IF(ISBLANK($B1022),_xlfn.XLOOKUP($A1022,'2. TEUs &amp; Activities - EF'!$A$9:$A$190,'2. TEUs &amp; Activities - EF'!$J$9:$J$190),_xlfn.XLOOKUP($B1022,'2. TEUs &amp; Activities - EF'!$B$9:$B$190,'2. TEUs &amp; Activities - EF'!$J$9:$J$190))*'3. Pollutant Emissions - EF'!$I1022*IF(OR(ISBLANK($E1022),$G1022="Yes"),1,$E1022)*IF($H1022="Yes",1,(1-$F1022))</f>
        <v>4.8888529411764706E-2</v>
      </c>
      <c r="N1022" s="5">
        <f>IF(ISBLANK($B1022),_xlfn.XLOOKUP($A1022,'2. TEUs &amp; Activities - EF'!$A$9:$A$190,'2. TEUs &amp; Activities - EF'!$M$9:$M$190),_xlfn.XLOOKUP($B1022,'2. TEUs &amp; Activities - EF'!$B$9:$B$190,'2. TEUs &amp; Activities - EF'!$M$9:$M$190))*'3. Pollutant Emissions - EF'!$J1022*IF(OR(ISBLANK($E1022),$G1022="Yes"),1,$E1022)*IF($H1022="Yes",1,(1-$F1022))</f>
        <v>1.3394117647058825E-4</v>
      </c>
      <c r="O1022" s="130"/>
    </row>
    <row r="1023" spans="1:15" ht="15" x14ac:dyDescent="0.25">
      <c r="A1023" s="5" t="s">
        <v>1565</v>
      </c>
      <c r="B1023" s="7"/>
      <c r="C1023" s="13" t="s">
        <v>70</v>
      </c>
      <c r="D1023" s="19" t="str">
        <f>IFERROR(IF(C1023="No CAS","",INDEX('DEQ Pollutant List'!$B$7:$B$611,MATCH('3. Pollutant Emissions - EF'!C1023,'DEQ Pollutant List'!$A$7:$A$611,0))),"")</f>
        <v>Xylene (mixture), including m-xylene, o-xylene, p-xylene</v>
      </c>
      <c r="E1023" s="23">
        <v>0</v>
      </c>
      <c r="F1023" s="21">
        <v>0</v>
      </c>
      <c r="G1023" s="23" t="s">
        <v>1415</v>
      </c>
      <c r="H1023" s="21" t="s">
        <v>1415</v>
      </c>
      <c r="I1023" s="34">
        <v>2.7199999999999998E-2</v>
      </c>
      <c r="J1023" s="11">
        <f t="shared" si="36"/>
        <v>2.7199999999999998E-2</v>
      </c>
      <c r="K1023" s="6" t="s">
        <v>1416</v>
      </c>
      <c r="L1023" s="20" t="s">
        <v>1422</v>
      </c>
      <c r="M1023" s="7">
        <f>IF(ISBLANK($B1023),_xlfn.XLOOKUP($A1023,'2. TEUs &amp; Activities - EF'!$A$9:$A$190,'2. TEUs &amp; Activities - EF'!$J$9:$J$190),_xlfn.XLOOKUP($B1023,'2. TEUs &amp; Activities - EF'!$B$9:$B$190,'2. TEUs &amp; Activities - EF'!$J$9:$J$190))*'3. Pollutant Emissions - EF'!$I1023*IF(OR(ISBLANK($E1023),$G1023="Yes"),1,$E1023)*IF($H1023="Yes",1,(1-$F1023))</f>
        <v>0.57816000000000001</v>
      </c>
      <c r="N1023" s="5">
        <f>IF(ISBLANK($B1023),_xlfn.XLOOKUP($A1023,'2. TEUs &amp; Activities - EF'!$A$9:$A$190,'2. TEUs &amp; Activities - EF'!$M$9:$M$190),_xlfn.XLOOKUP($B1023,'2. TEUs &amp; Activities - EF'!$B$9:$B$190,'2. TEUs &amp; Activities - EF'!$M$9:$M$190))*'3. Pollutant Emissions - EF'!$J1023*IF(OR(ISBLANK($E1023),$G1023="Yes"),1,$E1023)*IF($H1023="Yes",1,(1-$F1023))</f>
        <v>1.5840000000000001E-3</v>
      </c>
      <c r="O1023" s="130"/>
    </row>
    <row r="1024" spans="1:15" ht="15" x14ac:dyDescent="0.25">
      <c r="A1024" s="5" t="s">
        <v>1565</v>
      </c>
      <c r="B1024" s="7"/>
      <c r="C1024" s="13" t="s">
        <v>71</v>
      </c>
      <c r="D1024" s="19" t="str">
        <f>IFERROR(IF(C1024="No CAS","",INDEX('DEQ Pollutant List'!$B$7:$B$611,MATCH('3. Pollutant Emissions - EF'!C1024,'DEQ Pollutant List'!$A$7:$A$611,0))),"")</f>
        <v>Zinc and compounds</v>
      </c>
      <c r="E1024" s="23">
        <v>0</v>
      </c>
      <c r="F1024" s="21">
        <v>0</v>
      </c>
      <c r="G1024" s="23" t="s">
        <v>1415</v>
      </c>
      <c r="H1024" s="21" t="s">
        <v>1415</v>
      </c>
      <c r="I1024" s="34">
        <v>2.9000000000000001E-2</v>
      </c>
      <c r="J1024" s="11">
        <f t="shared" si="36"/>
        <v>2.9000000000000001E-2</v>
      </c>
      <c r="K1024" s="6" t="s">
        <v>1416</v>
      </c>
      <c r="L1024" s="20" t="s">
        <v>1422</v>
      </c>
      <c r="M1024" s="7">
        <f>IF(ISBLANK($B1024),_xlfn.XLOOKUP($A1024,'2. TEUs &amp; Activities - EF'!$A$9:$A$190,'2. TEUs &amp; Activities - EF'!$J$9:$J$190),_xlfn.XLOOKUP($B1024,'2. TEUs &amp; Activities - EF'!$B$9:$B$190,'2. TEUs &amp; Activities - EF'!$J$9:$J$190))*'3. Pollutant Emissions - EF'!$I1024*IF(OR(ISBLANK($E1024),$G1024="Yes"),1,$E1024)*IF($H1024="Yes",1,(1-$F1024))</f>
        <v>0.61642058823529422</v>
      </c>
      <c r="N1024" s="5">
        <f>IF(ISBLANK($B1024),_xlfn.XLOOKUP($A1024,'2. TEUs &amp; Activities - EF'!$A$9:$A$190,'2. TEUs &amp; Activities - EF'!$M$9:$M$190),_xlfn.XLOOKUP($B1024,'2. TEUs &amp; Activities - EF'!$B$9:$B$190,'2. TEUs &amp; Activities - EF'!$M$9:$M$190))*'3. Pollutant Emissions - EF'!$J1024*IF(OR(ISBLANK($E1024),$G1024="Yes"),1,$E1024)*IF($H1024="Yes",1,(1-$F1024))</f>
        <v>1.688823529411765E-3</v>
      </c>
      <c r="O1024" s="130"/>
    </row>
    <row r="1025" spans="1:15" ht="15" x14ac:dyDescent="0.25">
      <c r="A1025" s="5"/>
      <c r="B1025" s="7"/>
      <c r="C1025" s="13"/>
      <c r="D1025" s="19" t="str">
        <f>IFERROR(IF(C1025="No CAS","",INDEX('DEQ Pollutant List'!$B$7:$B$611,MATCH('3. Pollutant Emissions - EF'!C1025,'DEQ Pollutant List'!$A$7:$A$611,0))),"")</f>
        <v/>
      </c>
      <c r="E1025" s="23"/>
      <c r="F1025" s="21"/>
      <c r="G1025" s="23"/>
      <c r="H1025" s="21"/>
      <c r="I1025" s="34"/>
      <c r="J1025" s="11"/>
      <c r="K1025" s="6"/>
      <c r="L1025" s="20"/>
      <c r="M1025" s="7">
        <f>IF(ISBLANK($B1025),_xlfn.XLOOKUP($A1025,'2. TEUs &amp; Activities - EF'!$A$9:$A$190,'2. TEUs &amp; Activities - EF'!$J$9:$J$190),_xlfn.XLOOKUP($B1025,'2. TEUs &amp; Activities - EF'!$B$9:$B$190,'2. TEUs &amp; Activities - EF'!$J$9:$J$190))*'3. Pollutant Emissions - EF'!$I1025*IF(OR(ISBLANK($E1025),$G1025="Yes"),1,$E1025)*IF($H1025="Yes",1,(1-$F1025))</f>
        <v>0</v>
      </c>
      <c r="N1025" s="5">
        <f>IF(ISBLANK($B1025),_xlfn.XLOOKUP($A1025,'2. TEUs &amp; Activities - EF'!$A$9:$A$190,'2. TEUs &amp; Activities - EF'!$M$9:$M$190),_xlfn.XLOOKUP($B1025,'2. TEUs &amp; Activities - EF'!$B$9:$B$190,'2. TEUs &amp; Activities - EF'!$M$9:$M$190))*'3. Pollutant Emissions - EF'!$J1025*IF(OR(ISBLANK($E1025),$G1025="Yes"),1,$E1025)*IF($H1025="Yes",1,(1-$F1025))</f>
        <v>0</v>
      </c>
      <c r="O1025" s="130"/>
    </row>
    <row r="1026" spans="1:15" ht="15" x14ac:dyDescent="0.25">
      <c r="A1026" s="5" t="s">
        <v>1566</v>
      </c>
      <c r="B1026" s="7"/>
      <c r="C1026" s="13" t="s">
        <v>50</v>
      </c>
      <c r="D1026" s="19" t="str">
        <f>IFERROR(IF(C1026="No CAS","",INDEX('DEQ Pollutant List'!$B$7:$B$611,MATCH('3. Pollutant Emissions - EF'!C1026,'DEQ Pollutant List'!$A$7:$A$611,0))),"")</f>
        <v>Acetaldehyde</v>
      </c>
      <c r="E1026" s="23">
        <v>0</v>
      </c>
      <c r="F1026" s="21">
        <v>0</v>
      </c>
      <c r="G1026" s="23" t="s">
        <v>1415</v>
      </c>
      <c r="H1026" s="21" t="s">
        <v>1415</v>
      </c>
      <c r="I1026" s="34">
        <v>4.3E-3</v>
      </c>
      <c r="J1026" s="11">
        <f t="shared" ref="J1026:J1051" si="37">I1026</f>
        <v>4.3E-3</v>
      </c>
      <c r="K1026" s="6" t="s">
        <v>1416</v>
      </c>
      <c r="L1026" s="20" t="s">
        <v>1422</v>
      </c>
      <c r="M1026" s="7">
        <f>IF(ISBLANK($B1026),_xlfn.XLOOKUP($A1026,'2. TEUs &amp; Activities - EF'!$A$9:$A$190,'2. TEUs &amp; Activities - EF'!$J$9:$J$190),_xlfn.XLOOKUP($B1026,'2. TEUs &amp; Activities - EF'!$B$9:$B$190,'2. TEUs &amp; Activities - EF'!$J$9:$J$190))*'3. Pollutant Emissions - EF'!$I1026*IF(OR(ISBLANK($E1026),$G1026="Yes"),1,$E1026)*IF($H1026="Yes",1,(1-$F1026))</f>
        <v>0.11466582352941175</v>
      </c>
      <c r="N1026" s="5">
        <f>IF(ISBLANK($B1026),_xlfn.XLOOKUP($A1026,'2. TEUs &amp; Activities - EF'!$A$9:$A$190,'2. TEUs &amp; Activities - EF'!$M$9:$M$190),_xlfn.XLOOKUP($B1026,'2. TEUs &amp; Activities - EF'!$B$9:$B$190,'2. TEUs &amp; Activities - EF'!$M$9:$M$190))*'3. Pollutant Emissions - EF'!$J1026*IF(OR(ISBLANK($E1026),$G1026="Yes"),1,$E1026)*IF($H1026="Yes",1,(1-$F1026))</f>
        <v>3.1415294117647058E-4</v>
      </c>
      <c r="O1026" s="130"/>
    </row>
    <row r="1027" spans="1:15" ht="15" x14ac:dyDescent="0.25">
      <c r="A1027" s="5" t="s">
        <v>1566</v>
      </c>
      <c r="B1027" s="7"/>
      <c r="C1027" s="13" t="s">
        <v>51</v>
      </c>
      <c r="D1027" s="19" t="str">
        <f>IFERROR(IF(C1027="No CAS","",INDEX('DEQ Pollutant List'!$B$7:$B$611,MATCH('3. Pollutant Emissions - EF'!C1027,'DEQ Pollutant List'!$A$7:$A$611,0))),"")</f>
        <v>Acrolein</v>
      </c>
      <c r="E1027" s="23">
        <v>0</v>
      </c>
      <c r="F1027" s="21">
        <v>0</v>
      </c>
      <c r="G1027" s="23" t="s">
        <v>1415</v>
      </c>
      <c r="H1027" s="21" t="s">
        <v>1415</v>
      </c>
      <c r="I1027" s="34">
        <v>2.7000000000000001E-3</v>
      </c>
      <c r="J1027" s="11">
        <f t="shared" si="37"/>
        <v>2.7000000000000001E-3</v>
      </c>
      <c r="K1027" s="6" t="s">
        <v>1416</v>
      </c>
      <c r="L1027" s="20" t="s">
        <v>1422</v>
      </c>
      <c r="M1027" s="7">
        <f>IF(ISBLANK($B1027),_xlfn.XLOOKUP($A1027,'2. TEUs &amp; Activities - EF'!$A$9:$A$190,'2. TEUs &amp; Activities - EF'!$J$9:$J$190),_xlfn.XLOOKUP($B1027,'2. TEUs &amp; Activities - EF'!$B$9:$B$190,'2. TEUs &amp; Activities - EF'!$J$9:$J$190))*'3. Pollutant Emissions - EF'!$I1027*IF(OR(ISBLANK($E1027),$G1027="Yes"),1,$E1027)*IF($H1027="Yes",1,(1-$F1027))</f>
        <v>7.199947058823529E-2</v>
      </c>
      <c r="N1027" s="5">
        <f>IF(ISBLANK($B1027),_xlfn.XLOOKUP($A1027,'2. TEUs &amp; Activities - EF'!$A$9:$A$190,'2. TEUs &amp; Activities - EF'!$M$9:$M$190),_xlfn.XLOOKUP($B1027,'2. TEUs &amp; Activities - EF'!$B$9:$B$190,'2. TEUs &amp; Activities - EF'!$M$9:$M$190))*'3. Pollutant Emissions - EF'!$J1027*IF(OR(ISBLANK($E1027),$G1027="Yes"),1,$E1027)*IF($H1027="Yes",1,(1-$F1027))</f>
        <v>1.9725882352941175E-4</v>
      </c>
      <c r="O1027" s="130"/>
    </row>
    <row r="1028" spans="1:15" ht="15" x14ac:dyDescent="0.25">
      <c r="A1028" s="5" t="s">
        <v>1566</v>
      </c>
      <c r="B1028" s="7"/>
      <c r="C1028" s="13" t="s">
        <v>52</v>
      </c>
      <c r="D1028" s="19" t="str">
        <f>IFERROR(IF(C1028="No CAS","",INDEX('DEQ Pollutant List'!$B$7:$B$611,MATCH('3. Pollutant Emissions - EF'!C1028,'DEQ Pollutant List'!$A$7:$A$611,0))),"")</f>
        <v>Ammonia</v>
      </c>
      <c r="E1028" s="23">
        <v>0</v>
      </c>
      <c r="F1028" s="21">
        <v>0</v>
      </c>
      <c r="G1028" s="23" t="s">
        <v>1415</v>
      </c>
      <c r="H1028" s="21" t="s">
        <v>1415</v>
      </c>
      <c r="I1028" s="34">
        <v>3.2</v>
      </c>
      <c r="J1028" s="11">
        <f t="shared" si="37"/>
        <v>3.2</v>
      </c>
      <c r="K1028" s="6" t="s">
        <v>1416</v>
      </c>
      <c r="L1028" s="20" t="s">
        <v>1586</v>
      </c>
      <c r="M1028" s="7">
        <f>IF(ISBLANK($B1028),_xlfn.XLOOKUP($A1028,'2. TEUs &amp; Activities - EF'!$A$9:$A$190,'2. TEUs &amp; Activities - EF'!$J$9:$J$190),_xlfn.XLOOKUP($B1028,'2. TEUs &amp; Activities - EF'!$B$9:$B$190,'2. TEUs &amp; Activities - EF'!$J$9:$J$190))*'3. Pollutant Emissions - EF'!$I1028*IF(OR(ISBLANK($E1028),$G1028="Yes"),1,$E1028)*IF($H1028="Yes",1,(1-$F1028))</f>
        <v>85.33270588235294</v>
      </c>
      <c r="N1028" s="5">
        <f>IF(ISBLANK($B1028),_xlfn.XLOOKUP($A1028,'2. TEUs &amp; Activities - EF'!$A$9:$A$190,'2. TEUs &amp; Activities - EF'!$M$9:$M$190),_xlfn.XLOOKUP($B1028,'2. TEUs &amp; Activities - EF'!$B$9:$B$190,'2. TEUs &amp; Activities - EF'!$M$9:$M$190))*'3. Pollutant Emissions - EF'!$J1028*IF(OR(ISBLANK($E1028),$G1028="Yes"),1,$E1028)*IF($H1028="Yes",1,(1-$F1028))</f>
        <v>0.23378823529411763</v>
      </c>
      <c r="O1028" s="130"/>
    </row>
    <row r="1029" spans="1:15" ht="15" x14ac:dyDescent="0.25">
      <c r="A1029" s="5" t="s">
        <v>1566</v>
      </c>
      <c r="B1029" s="7"/>
      <c r="C1029" s="13" t="s">
        <v>53</v>
      </c>
      <c r="D1029" s="19" t="str">
        <f>IFERROR(IF(C1029="No CAS","",INDEX('DEQ Pollutant List'!$B$7:$B$611,MATCH('3. Pollutant Emissions - EF'!C1029,'DEQ Pollutant List'!$A$7:$A$611,0))),"")</f>
        <v>Arsenic and compounds</v>
      </c>
      <c r="E1029" s="23">
        <v>0</v>
      </c>
      <c r="F1029" s="21">
        <v>0</v>
      </c>
      <c r="G1029" s="23" t="s">
        <v>1415</v>
      </c>
      <c r="H1029" s="21" t="s">
        <v>1415</v>
      </c>
      <c r="I1029" s="34">
        <v>2.0000000000000001E-4</v>
      </c>
      <c r="J1029" s="11">
        <f t="shared" si="37"/>
        <v>2.0000000000000001E-4</v>
      </c>
      <c r="K1029" s="6" t="s">
        <v>1416</v>
      </c>
      <c r="L1029" s="20" t="s">
        <v>1422</v>
      </c>
      <c r="M1029" s="7">
        <f>IF(ISBLANK($B1029),_xlfn.XLOOKUP($A1029,'2. TEUs &amp; Activities - EF'!$A$9:$A$190,'2. TEUs &amp; Activities - EF'!$J$9:$J$190),_xlfn.XLOOKUP($B1029,'2. TEUs &amp; Activities - EF'!$B$9:$B$190,'2. TEUs &amp; Activities - EF'!$J$9:$J$190))*'3. Pollutant Emissions - EF'!$I1029*IF(OR(ISBLANK($E1029),$G1029="Yes"),1,$E1029)*IF($H1029="Yes",1,(1-$F1029))</f>
        <v>5.3332941176470585E-3</v>
      </c>
      <c r="N1029" s="5">
        <f>IF(ISBLANK($B1029),_xlfn.XLOOKUP($A1029,'2. TEUs &amp; Activities - EF'!$A$9:$A$190,'2. TEUs &amp; Activities - EF'!$M$9:$M$190),_xlfn.XLOOKUP($B1029,'2. TEUs &amp; Activities - EF'!$B$9:$B$190,'2. TEUs &amp; Activities - EF'!$M$9:$M$190))*'3. Pollutant Emissions - EF'!$J1029*IF(OR(ISBLANK($E1029),$G1029="Yes"),1,$E1029)*IF($H1029="Yes",1,(1-$F1029))</f>
        <v>1.4611764705882353E-5</v>
      </c>
      <c r="O1029" s="130"/>
    </row>
    <row r="1030" spans="1:15" ht="15" x14ac:dyDescent="0.25">
      <c r="A1030" s="5" t="s">
        <v>1566</v>
      </c>
      <c r="B1030" s="7"/>
      <c r="C1030" s="13" t="s">
        <v>54</v>
      </c>
      <c r="D1030" s="19" t="str">
        <f>IFERROR(IF(C1030="No CAS","",INDEX('DEQ Pollutant List'!$B$7:$B$611,MATCH('3. Pollutant Emissions - EF'!C1030,'DEQ Pollutant List'!$A$7:$A$611,0))),"")</f>
        <v>Barium and compounds</v>
      </c>
      <c r="E1030" s="23">
        <v>0</v>
      </c>
      <c r="F1030" s="21">
        <v>0</v>
      </c>
      <c r="G1030" s="23" t="s">
        <v>1415</v>
      </c>
      <c r="H1030" s="21" t="s">
        <v>1415</v>
      </c>
      <c r="I1030" s="34">
        <v>4.4000000000000003E-3</v>
      </c>
      <c r="J1030" s="11">
        <f t="shared" si="37"/>
        <v>4.4000000000000003E-3</v>
      </c>
      <c r="K1030" s="6" t="s">
        <v>1416</v>
      </c>
      <c r="L1030" s="20" t="s">
        <v>1422</v>
      </c>
      <c r="M1030" s="7">
        <f>IF(ISBLANK($B1030),_xlfn.XLOOKUP($A1030,'2. TEUs &amp; Activities - EF'!$A$9:$A$190,'2. TEUs &amp; Activities - EF'!$J$9:$J$190),_xlfn.XLOOKUP($B1030,'2. TEUs &amp; Activities - EF'!$B$9:$B$190,'2. TEUs &amp; Activities - EF'!$J$9:$J$190))*'3. Pollutant Emissions - EF'!$I1030*IF(OR(ISBLANK($E1030),$G1030="Yes"),1,$E1030)*IF($H1030="Yes",1,(1-$F1030))</f>
        <v>0.11733247058823529</v>
      </c>
      <c r="N1030" s="5">
        <f>IF(ISBLANK($B1030),_xlfn.XLOOKUP($A1030,'2. TEUs &amp; Activities - EF'!$A$9:$A$190,'2. TEUs &amp; Activities - EF'!$M$9:$M$190),_xlfn.XLOOKUP($B1030,'2. TEUs &amp; Activities - EF'!$B$9:$B$190,'2. TEUs &amp; Activities - EF'!$M$9:$M$190))*'3. Pollutant Emissions - EF'!$J1030*IF(OR(ISBLANK($E1030),$G1030="Yes"),1,$E1030)*IF($H1030="Yes",1,(1-$F1030))</f>
        <v>3.2145882352941176E-4</v>
      </c>
      <c r="O1030" s="130"/>
    </row>
    <row r="1031" spans="1:15" ht="15" x14ac:dyDescent="0.25">
      <c r="A1031" s="5" t="s">
        <v>1566</v>
      </c>
      <c r="B1031" s="7"/>
      <c r="C1031" s="13" t="s">
        <v>46</v>
      </c>
      <c r="D1031" s="19" t="str">
        <f>IFERROR(IF(C1031="No CAS","",INDEX('DEQ Pollutant List'!$B$7:$B$611,MATCH('3. Pollutant Emissions - EF'!C1031,'DEQ Pollutant List'!$A$7:$A$611,0))),"")</f>
        <v>Benzene</v>
      </c>
      <c r="E1031" s="23">
        <v>0</v>
      </c>
      <c r="F1031" s="21">
        <v>0</v>
      </c>
      <c r="G1031" s="23" t="s">
        <v>1415</v>
      </c>
      <c r="H1031" s="21" t="s">
        <v>1415</v>
      </c>
      <c r="I1031" s="34">
        <v>8.0000000000000002E-3</v>
      </c>
      <c r="J1031" s="11">
        <f t="shared" si="37"/>
        <v>8.0000000000000002E-3</v>
      </c>
      <c r="K1031" s="6" t="s">
        <v>1416</v>
      </c>
      <c r="L1031" s="20" t="s">
        <v>1422</v>
      </c>
      <c r="M1031" s="7">
        <f>IF(ISBLANK($B1031),_xlfn.XLOOKUP($A1031,'2. TEUs &amp; Activities - EF'!$A$9:$A$190,'2. TEUs &amp; Activities - EF'!$J$9:$J$190),_xlfn.XLOOKUP($B1031,'2. TEUs &amp; Activities - EF'!$B$9:$B$190,'2. TEUs &amp; Activities - EF'!$J$9:$J$190))*'3. Pollutant Emissions - EF'!$I1031*IF(OR(ISBLANK($E1031),$G1031="Yes"),1,$E1031)*IF($H1031="Yes",1,(1-$F1031))</f>
        <v>0.21333176470588233</v>
      </c>
      <c r="N1031" s="5">
        <f>IF(ISBLANK($B1031),_xlfn.XLOOKUP($A1031,'2. TEUs &amp; Activities - EF'!$A$9:$A$190,'2. TEUs &amp; Activities - EF'!$M$9:$M$190),_xlfn.XLOOKUP($B1031,'2. TEUs &amp; Activities - EF'!$B$9:$B$190,'2. TEUs &amp; Activities - EF'!$M$9:$M$190))*'3. Pollutant Emissions - EF'!$J1031*IF(OR(ISBLANK($E1031),$G1031="Yes"),1,$E1031)*IF($H1031="Yes",1,(1-$F1031))</f>
        <v>5.8447058823529404E-4</v>
      </c>
      <c r="O1031" s="130"/>
    </row>
    <row r="1032" spans="1:15" ht="15" x14ac:dyDescent="0.25">
      <c r="A1032" s="5" t="s">
        <v>1566</v>
      </c>
      <c r="B1032" s="7"/>
      <c r="C1032" s="13" t="s">
        <v>55</v>
      </c>
      <c r="D1032" s="19" t="str">
        <f>IFERROR(IF(C1032="No CAS","",INDEX('DEQ Pollutant List'!$B$7:$B$611,MATCH('3. Pollutant Emissions - EF'!C1032,'DEQ Pollutant List'!$A$7:$A$611,0))),"")</f>
        <v>Beryllium and compounds</v>
      </c>
      <c r="E1032" s="23">
        <v>0</v>
      </c>
      <c r="F1032" s="21">
        <v>0</v>
      </c>
      <c r="G1032" s="23" t="s">
        <v>1415</v>
      </c>
      <c r="H1032" s="21" t="s">
        <v>1415</v>
      </c>
      <c r="I1032" s="34">
        <v>1.2E-5</v>
      </c>
      <c r="J1032" s="11">
        <f t="shared" si="37"/>
        <v>1.2E-5</v>
      </c>
      <c r="K1032" s="6" t="s">
        <v>1416</v>
      </c>
      <c r="L1032" s="20" t="s">
        <v>1422</v>
      </c>
      <c r="M1032" s="7">
        <f>IF(ISBLANK($B1032),_xlfn.XLOOKUP($A1032,'2. TEUs &amp; Activities - EF'!$A$9:$A$190,'2. TEUs &amp; Activities - EF'!$J$9:$J$190),_xlfn.XLOOKUP($B1032,'2. TEUs &amp; Activities - EF'!$B$9:$B$190,'2. TEUs &amp; Activities - EF'!$J$9:$J$190))*'3. Pollutant Emissions - EF'!$I1032*IF(OR(ISBLANK($E1032),$G1032="Yes"),1,$E1032)*IF($H1032="Yes",1,(1-$F1032))</f>
        <v>3.1999764705882349E-4</v>
      </c>
      <c r="N1032" s="5">
        <f>IF(ISBLANK($B1032),_xlfn.XLOOKUP($A1032,'2. TEUs &amp; Activities - EF'!$A$9:$A$190,'2. TEUs &amp; Activities - EF'!$M$9:$M$190),_xlfn.XLOOKUP($B1032,'2. TEUs &amp; Activities - EF'!$B$9:$B$190,'2. TEUs &amp; Activities - EF'!$M$9:$M$190))*'3. Pollutant Emissions - EF'!$J1032*IF(OR(ISBLANK($E1032),$G1032="Yes"),1,$E1032)*IF($H1032="Yes",1,(1-$F1032))</f>
        <v>8.7670588235294112E-7</v>
      </c>
      <c r="O1032" s="130"/>
    </row>
    <row r="1033" spans="1:15" ht="15" x14ac:dyDescent="0.25">
      <c r="A1033" s="5" t="s">
        <v>1566</v>
      </c>
      <c r="B1033" s="7"/>
      <c r="C1033" s="13" t="s">
        <v>56</v>
      </c>
      <c r="D1033" s="19" t="str">
        <f>IFERROR(IF(C1033="No CAS","",INDEX('DEQ Pollutant List'!$B$7:$B$611,MATCH('3. Pollutant Emissions - EF'!C1033,'DEQ Pollutant List'!$A$7:$A$611,0))),"")</f>
        <v>Cadmium and compounds</v>
      </c>
      <c r="E1033" s="23">
        <v>0</v>
      </c>
      <c r="F1033" s="21">
        <v>0</v>
      </c>
      <c r="G1033" s="23" t="s">
        <v>1415</v>
      </c>
      <c r="H1033" s="21" t="s">
        <v>1415</v>
      </c>
      <c r="I1033" s="34">
        <v>1.1000000000000001E-3</v>
      </c>
      <c r="J1033" s="11">
        <f t="shared" si="37"/>
        <v>1.1000000000000001E-3</v>
      </c>
      <c r="K1033" s="6" t="s">
        <v>1416</v>
      </c>
      <c r="L1033" s="20" t="s">
        <v>1422</v>
      </c>
      <c r="M1033" s="7">
        <f>IF(ISBLANK($B1033),_xlfn.XLOOKUP($A1033,'2. TEUs &amp; Activities - EF'!$A$9:$A$190,'2. TEUs &amp; Activities - EF'!$J$9:$J$190),_xlfn.XLOOKUP($B1033,'2. TEUs &amp; Activities - EF'!$B$9:$B$190,'2. TEUs &amp; Activities - EF'!$J$9:$J$190))*'3. Pollutant Emissions - EF'!$I1033*IF(OR(ISBLANK($E1033),$G1033="Yes"),1,$E1033)*IF($H1033="Yes",1,(1-$F1033))</f>
        <v>2.9333117647058822E-2</v>
      </c>
      <c r="N1033" s="5">
        <f>IF(ISBLANK($B1033),_xlfn.XLOOKUP($A1033,'2. TEUs &amp; Activities - EF'!$A$9:$A$190,'2. TEUs &amp; Activities - EF'!$M$9:$M$190),_xlfn.XLOOKUP($B1033,'2. TEUs &amp; Activities - EF'!$B$9:$B$190,'2. TEUs &amp; Activities - EF'!$M$9:$M$190))*'3. Pollutant Emissions - EF'!$J1033*IF(OR(ISBLANK($E1033),$G1033="Yes"),1,$E1033)*IF($H1033="Yes",1,(1-$F1033))</f>
        <v>8.0364705882352941E-5</v>
      </c>
      <c r="O1033" s="130"/>
    </row>
    <row r="1034" spans="1:15" ht="15" x14ac:dyDescent="0.25">
      <c r="A1034" s="5" t="s">
        <v>1566</v>
      </c>
      <c r="B1034" s="7"/>
      <c r="C1034" s="13" t="s">
        <v>57</v>
      </c>
      <c r="D1034" s="19" t="str">
        <f>IFERROR(IF(C1034="No CAS","",INDEX('DEQ Pollutant List'!$B$7:$B$611,MATCH('3. Pollutant Emissions - EF'!C1034,'DEQ Pollutant List'!$A$7:$A$611,0))),"")</f>
        <v>Chromium VI, chromate and dichromate particulate</v>
      </c>
      <c r="E1034" s="23">
        <v>0</v>
      </c>
      <c r="F1034" s="21">
        <v>0</v>
      </c>
      <c r="G1034" s="23" t="s">
        <v>1415</v>
      </c>
      <c r="H1034" s="21" t="s">
        <v>1415</v>
      </c>
      <c r="I1034" s="34">
        <v>1.4E-3</v>
      </c>
      <c r="J1034" s="11">
        <f t="shared" si="37"/>
        <v>1.4E-3</v>
      </c>
      <c r="K1034" s="6" t="s">
        <v>1416</v>
      </c>
      <c r="L1034" s="20" t="s">
        <v>1422</v>
      </c>
      <c r="M1034" s="7">
        <f>IF(ISBLANK($B1034),_xlfn.XLOOKUP($A1034,'2. TEUs &amp; Activities - EF'!$A$9:$A$190,'2. TEUs &amp; Activities - EF'!$J$9:$J$190),_xlfn.XLOOKUP($B1034,'2. TEUs &amp; Activities - EF'!$B$9:$B$190,'2. TEUs &amp; Activities - EF'!$J$9:$J$190))*'3. Pollutant Emissions - EF'!$I1034*IF(OR(ISBLANK($E1034),$G1034="Yes"),1,$E1034)*IF($H1034="Yes",1,(1-$F1034))</f>
        <v>3.7333058823529407E-2</v>
      </c>
      <c r="N1034" s="5">
        <f>IF(ISBLANK($B1034),_xlfn.XLOOKUP($A1034,'2. TEUs &amp; Activities - EF'!$A$9:$A$190,'2. TEUs &amp; Activities - EF'!$M$9:$M$190),_xlfn.XLOOKUP($B1034,'2. TEUs &amp; Activities - EF'!$B$9:$B$190,'2. TEUs &amp; Activities - EF'!$M$9:$M$190))*'3. Pollutant Emissions - EF'!$J1034*IF(OR(ISBLANK($E1034),$G1034="Yes"),1,$E1034)*IF($H1034="Yes",1,(1-$F1034))</f>
        <v>1.0228235294117647E-4</v>
      </c>
      <c r="O1034" s="130"/>
    </row>
    <row r="1035" spans="1:15" ht="15" x14ac:dyDescent="0.25">
      <c r="A1035" s="5" t="s">
        <v>1566</v>
      </c>
      <c r="B1035" s="7"/>
      <c r="C1035" s="13" t="s">
        <v>58</v>
      </c>
      <c r="D1035" s="19" t="str">
        <f>IFERROR(IF(C1035="No CAS","",INDEX('DEQ Pollutant List'!$B$7:$B$611,MATCH('3. Pollutant Emissions - EF'!C1035,'DEQ Pollutant List'!$A$7:$A$611,0))),"")</f>
        <v>Cobalt and compounds</v>
      </c>
      <c r="E1035" s="23">
        <v>0</v>
      </c>
      <c r="F1035" s="21">
        <v>0</v>
      </c>
      <c r="G1035" s="23" t="s">
        <v>1415</v>
      </c>
      <c r="H1035" s="21" t="s">
        <v>1415</v>
      </c>
      <c r="I1035" s="34">
        <v>8.3999999999999995E-5</v>
      </c>
      <c r="J1035" s="11">
        <f t="shared" si="37"/>
        <v>8.3999999999999995E-5</v>
      </c>
      <c r="K1035" s="6" t="s">
        <v>1416</v>
      </c>
      <c r="L1035" s="20" t="s">
        <v>1422</v>
      </c>
      <c r="M1035" s="7">
        <f>IF(ISBLANK($B1035),_xlfn.XLOOKUP($A1035,'2. TEUs &amp; Activities - EF'!$A$9:$A$190,'2. TEUs &amp; Activities - EF'!$J$9:$J$190),_xlfn.XLOOKUP($B1035,'2. TEUs &amp; Activities - EF'!$B$9:$B$190,'2. TEUs &amp; Activities - EF'!$J$9:$J$190))*'3. Pollutant Emissions - EF'!$I1035*IF(OR(ISBLANK($E1035),$G1035="Yes"),1,$E1035)*IF($H1035="Yes",1,(1-$F1035))</f>
        <v>2.2399835294117645E-3</v>
      </c>
      <c r="N1035" s="5">
        <f>IF(ISBLANK($B1035),_xlfn.XLOOKUP($A1035,'2. TEUs &amp; Activities - EF'!$A$9:$A$190,'2. TEUs &amp; Activities - EF'!$M$9:$M$190),_xlfn.XLOOKUP($B1035,'2. TEUs &amp; Activities - EF'!$B$9:$B$190,'2. TEUs &amp; Activities - EF'!$M$9:$M$190))*'3. Pollutant Emissions - EF'!$J1035*IF(OR(ISBLANK($E1035),$G1035="Yes"),1,$E1035)*IF($H1035="Yes",1,(1-$F1035))</f>
        <v>6.1369411764705877E-6</v>
      </c>
      <c r="O1035" s="130"/>
    </row>
    <row r="1036" spans="1:15" ht="15" x14ac:dyDescent="0.25">
      <c r="A1036" s="5" t="s">
        <v>1566</v>
      </c>
      <c r="B1036" s="7"/>
      <c r="C1036" s="13" t="s">
        <v>59</v>
      </c>
      <c r="D1036" s="19" t="str">
        <f>IFERROR(IF(C1036="No CAS","",INDEX('DEQ Pollutant List'!$B$7:$B$611,MATCH('3. Pollutant Emissions - EF'!C1036,'DEQ Pollutant List'!$A$7:$A$611,0))),"")</f>
        <v>Copper and compounds</v>
      </c>
      <c r="E1036" s="23">
        <v>0</v>
      </c>
      <c r="F1036" s="21">
        <v>0</v>
      </c>
      <c r="G1036" s="23" t="s">
        <v>1415</v>
      </c>
      <c r="H1036" s="21" t="s">
        <v>1415</v>
      </c>
      <c r="I1036" s="34">
        <v>8.4999999999999995E-4</v>
      </c>
      <c r="J1036" s="11">
        <f t="shared" si="37"/>
        <v>8.4999999999999995E-4</v>
      </c>
      <c r="K1036" s="6" t="s">
        <v>1416</v>
      </c>
      <c r="L1036" s="20" t="s">
        <v>1422</v>
      </c>
      <c r="M1036" s="7">
        <f>IF(ISBLANK($B1036),_xlfn.XLOOKUP($A1036,'2. TEUs &amp; Activities - EF'!$A$9:$A$190,'2. TEUs &amp; Activities - EF'!$J$9:$J$190),_xlfn.XLOOKUP($B1036,'2. TEUs &amp; Activities - EF'!$B$9:$B$190,'2. TEUs &amp; Activities - EF'!$J$9:$J$190))*'3. Pollutant Emissions - EF'!$I1036*IF(OR(ISBLANK($E1036),$G1036="Yes"),1,$E1036)*IF($H1036="Yes",1,(1-$F1036))</f>
        <v>2.2666499999999996E-2</v>
      </c>
      <c r="N1036" s="5">
        <f>IF(ISBLANK($B1036),_xlfn.XLOOKUP($A1036,'2. TEUs &amp; Activities - EF'!$A$9:$A$190,'2. TEUs &amp; Activities - EF'!$M$9:$M$190),_xlfn.XLOOKUP($B1036,'2. TEUs &amp; Activities - EF'!$B$9:$B$190,'2. TEUs &amp; Activities - EF'!$M$9:$M$190))*'3. Pollutant Emissions - EF'!$J1036*IF(OR(ISBLANK($E1036),$G1036="Yes"),1,$E1036)*IF($H1036="Yes",1,(1-$F1036))</f>
        <v>6.2099999999999992E-5</v>
      </c>
      <c r="O1036" s="130"/>
    </row>
    <row r="1037" spans="1:15" ht="15" x14ac:dyDescent="0.25">
      <c r="A1037" s="5" t="s">
        <v>1566</v>
      </c>
      <c r="B1037" s="7"/>
      <c r="C1037" s="13" t="s">
        <v>60</v>
      </c>
      <c r="D1037" s="19" t="str">
        <f>IFERROR(IF(C1037="No CAS","",INDEX('DEQ Pollutant List'!$B$7:$B$611,MATCH('3. Pollutant Emissions - EF'!C1037,'DEQ Pollutant List'!$A$7:$A$611,0))),"")</f>
        <v>Ethyl benzene</v>
      </c>
      <c r="E1037" s="23">
        <v>0</v>
      </c>
      <c r="F1037" s="21">
        <v>0</v>
      </c>
      <c r="G1037" s="23" t="s">
        <v>1415</v>
      </c>
      <c r="H1037" s="21" t="s">
        <v>1415</v>
      </c>
      <c r="I1037" s="34">
        <v>9.4999999999999998E-3</v>
      </c>
      <c r="J1037" s="11">
        <f t="shared" si="37"/>
        <v>9.4999999999999998E-3</v>
      </c>
      <c r="K1037" s="6" t="s">
        <v>1416</v>
      </c>
      <c r="L1037" s="20" t="s">
        <v>1422</v>
      </c>
      <c r="M1037" s="7">
        <f>IF(ISBLANK($B1037),_xlfn.XLOOKUP($A1037,'2. TEUs &amp; Activities - EF'!$A$9:$A$190,'2. TEUs &amp; Activities - EF'!$J$9:$J$190),_xlfn.XLOOKUP($B1037,'2. TEUs &amp; Activities - EF'!$B$9:$B$190,'2. TEUs &amp; Activities - EF'!$J$9:$J$190))*'3. Pollutant Emissions - EF'!$I1037*IF(OR(ISBLANK($E1037),$G1037="Yes"),1,$E1037)*IF($H1037="Yes",1,(1-$F1037))</f>
        <v>0.25333147058823524</v>
      </c>
      <c r="N1037" s="5">
        <f>IF(ISBLANK($B1037),_xlfn.XLOOKUP($A1037,'2. TEUs &amp; Activities - EF'!$A$9:$A$190,'2. TEUs &amp; Activities - EF'!$M$9:$M$190),_xlfn.XLOOKUP($B1037,'2. TEUs &amp; Activities - EF'!$B$9:$B$190,'2. TEUs &amp; Activities - EF'!$M$9:$M$190))*'3. Pollutant Emissions - EF'!$J1037*IF(OR(ISBLANK($E1037),$G1037="Yes"),1,$E1037)*IF($H1037="Yes",1,(1-$F1037))</f>
        <v>6.9405882352941166E-4</v>
      </c>
      <c r="O1037" s="130"/>
    </row>
    <row r="1038" spans="1:15" ht="15" x14ac:dyDescent="0.25">
      <c r="A1038" s="5" t="s">
        <v>1566</v>
      </c>
      <c r="B1038" s="7"/>
      <c r="C1038" s="13" t="s">
        <v>47</v>
      </c>
      <c r="D1038" s="19" t="str">
        <f>IFERROR(IF(C1038="No CAS","",INDEX('DEQ Pollutant List'!$B$7:$B$611,MATCH('3. Pollutant Emissions - EF'!C1038,'DEQ Pollutant List'!$A$7:$A$611,0))),"")</f>
        <v>Formaldehyde</v>
      </c>
      <c r="E1038" s="23">
        <v>0</v>
      </c>
      <c r="F1038" s="21">
        <v>0</v>
      </c>
      <c r="G1038" s="23" t="s">
        <v>1415</v>
      </c>
      <c r="H1038" s="21" t="s">
        <v>1415</v>
      </c>
      <c r="I1038" s="34">
        <v>1.7000000000000001E-2</v>
      </c>
      <c r="J1038" s="11">
        <f t="shared" si="37"/>
        <v>1.7000000000000001E-2</v>
      </c>
      <c r="K1038" s="6" t="s">
        <v>1416</v>
      </c>
      <c r="L1038" s="20" t="s">
        <v>1422</v>
      </c>
      <c r="M1038" s="7">
        <f>IF(ISBLANK($B1038),_xlfn.XLOOKUP($A1038,'2. TEUs &amp; Activities - EF'!$A$9:$A$190,'2. TEUs &amp; Activities - EF'!$J$9:$J$190),_xlfn.XLOOKUP($B1038,'2. TEUs &amp; Activities - EF'!$B$9:$B$190,'2. TEUs &amp; Activities - EF'!$J$9:$J$190))*'3. Pollutant Emissions - EF'!$I1038*IF(OR(ISBLANK($E1038),$G1038="Yes"),1,$E1038)*IF($H1038="Yes",1,(1-$F1038))</f>
        <v>0.45333000000000001</v>
      </c>
      <c r="N1038" s="5">
        <f>IF(ISBLANK($B1038),_xlfn.XLOOKUP($A1038,'2. TEUs &amp; Activities - EF'!$A$9:$A$190,'2. TEUs &amp; Activities - EF'!$M$9:$M$190),_xlfn.XLOOKUP($B1038,'2. TEUs &amp; Activities - EF'!$B$9:$B$190,'2. TEUs &amp; Activities - EF'!$M$9:$M$190))*'3. Pollutant Emissions - EF'!$J1038*IF(OR(ISBLANK($E1038),$G1038="Yes"),1,$E1038)*IF($H1038="Yes",1,(1-$F1038))</f>
        <v>1.242E-3</v>
      </c>
      <c r="O1038" s="130"/>
    </row>
    <row r="1039" spans="1:15" ht="15" x14ac:dyDescent="0.25">
      <c r="A1039" s="5" t="s">
        <v>1566</v>
      </c>
      <c r="B1039" s="7"/>
      <c r="C1039" s="13" t="s">
        <v>61</v>
      </c>
      <c r="D1039" s="19" t="str">
        <f>IFERROR(IF(C1039="No CAS","",INDEX('DEQ Pollutant List'!$B$7:$B$611,MATCH('3. Pollutant Emissions - EF'!C1039,'DEQ Pollutant List'!$A$7:$A$611,0))),"")</f>
        <v>Hexane</v>
      </c>
      <c r="E1039" s="23">
        <v>0</v>
      </c>
      <c r="F1039" s="21">
        <v>0</v>
      </c>
      <c r="G1039" s="23" t="s">
        <v>1415</v>
      </c>
      <c r="H1039" s="21" t="s">
        <v>1415</v>
      </c>
      <c r="I1039" s="34">
        <v>6.3E-3</v>
      </c>
      <c r="J1039" s="11">
        <f t="shared" si="37"/>
        <v>6.3E-3</v>
      </c>
      <c r="K1039" s="6" t="s">
        <v>1416</v>
      </c>
      <c r="L1039" s="20" t="s">
        <v>1422</v>
      </c>
      <c r="M1039" s="7">
        <f>IF(ISBLANK($B1039),_xlfn.XLOOKUP($A1039,'2. TEUs &amp; Activities - EF'!$A$9:$A$190,'2. TEUs &amp; Activities - EF'!$J$9:$J$190),_xlfn.XLOOKUP($B1039,'2. TEUs &amp; Activities - EF'!$B$9:$B$190,'2. TEUs &amp; Activities - EF'!$J$9:$J$190))*'3. Pollutant Emissions - EF'!$I1039*IF(OR(ISBLANK($E1039),$G1039="Yes"),1,$E1039)*IF($H1039="Yes",1,(1-$F1039))</f>
        <v>0.16799876470588235</v>
      </c>
      <c r="N1039" s="5">
        <f>IF(ISBLANK($B1039),_xlfn.XLOOKUP($A1039,'2. TEUs &amp; Activities - EF'!$A$9:$A$190,'2. TEUs &amp; Activities - EF'!$M$9:$M$190),_xlfn.XLOOKUP($B1039,'2. TEUs &amp; Activities - EF'!$B$9:$B$190,'2. TEUs &amp; Activities - EF'!$M$9:$M$190))*'3. Pollutant Emissions - EF'!$J1039*IF(OR(ISBLANK($E1039),$G1039="Yes"),1,$E1039)*IF($H1039="Yes",1,(1-$F1039))</f>
        <v>4.6027058823529406E-4</v>
      </c>
      <c r="O1039" s="130"/>
    </row>
    <row r="1040" spans="1:15" ht="15" x14ac:dyDescent="0.25">
      <c r="A1040" s="5" t="s">
        <v>1566</v>
      </c>
      <c r="B1040" s="7"/>
      <c r="C1040" s="13" t="s">
        <v>62</v>
      </c>
      <c r="D1040" s="19" t="str">
        <f>IFERROR(IF(C1040="No CAS","",INDEX('DEQ Pollutant List'!$B$7:$B$611,MATCH('3. Pollutant Emissions - EF'!C1040,'DEQ Pollutant List'!$A$7:$A$611,0))),"")</f>
        <v>Lead and compounds</v>
      </c>
      <c r="E1040" s="23">
        <v>0</v>
      </c>
      <c r="F1040" s="21">
        <v>0</v>
      </c>
      <c r="G1040" s="23" t="s">
        <v>1415</v>
      </c>
      <c r="H1040" s="21" t="s">
        <v>1415</v>
      </c>
      <c r="I1040" s="34">
        <v>5.0000000000000001E-4</v>
      </c>
      <c r="J1040" s="11">
        <f t="shared" si="37"/>
        <v>5.0000000000000001E-4</v>
      </c>
      <c r="K1040" s="6" t="s">
        <v>1416</v>
      </c>
      <c r="L1040" s="20" t="s">
        <v>1422</v>
      </c>
      <c r="M1040" s="7">
        <f>IF(ISBLANK($B1040),_xlfn.XLOOKUP($A1040,'2. TEUs &amp; Activities - EF'!$A$9:$A$190,'2. TEUs &amp; Activities - EF'!$J$9:$J$190),_xlfn.XLOOKUP($B1040,'2. TEUs &amp; Activities - EF'!$B$9:$B$190,'2. TEUs &amp; Activities - EF'!$J$9:$J$190))*'3. Pollutant Emissions - EF'!$I1040*IF(OR(ISBLANK($E1040),$G1040="Yes"),1,$E1040)*IF($H1040="Yes",1,(1-$F1040))</f>
        <v>1.3333235294117646E-2</v>
      </c>
      <c r="N1040" s="5">
        <f>IF(ISBLANK($B1040),_xlfn.XLOOKUP($A1040,'2. TEUs &amp; Activities - EF'!$A$9:$A$190,'2. TEUs &amp; Activities - EF'!$M$9:$M$190),_xlfn.XLOOKUP($B1040,'2. TEUs &amp; Activities - EF'!$B$9:$B$190,'2. TEUs &amp; Activities - EF'!$M$9:$M$190))*'3. Pollutant Emissions - EF'!$J1040*IF(OR(ISBLANK($E1040),$G1040="Yes"),1,$E1040)*IF($H1040="Yes",1,(1-$F1040))</f>
        <v>3.6529411764705878E-5</v>
      </c>
      <c r="O1040" s="130"/>
    </row>
    <row r="1041" spans="1:15" ht="15" x14ac:dyDescent="0.25">
      <c r="A1041" s="5" t="s">
        <v>1566</v>
      </c>
      <c r="B1041" s="7"/>
      <c r="C1041" s="13" t="s">
        <v>63</v>
      </c>
      <c r="D1041" s="19" t="str">
        <f>IFERROR(IF(C1041="No CAS","",INDEX('DEQ Pollutant List'!$B$7:$B$611,MATCH('3. Pollutant Emissions - EF'!C1041,'DEQ Pollutant List'!$A$7:$A$611,0))),"")</f>
        <v>Manganese and compounds</v>
      </c>
      <c r="E1041" s="23">
        <v>0</v>
      </c>
      <c r="F1041" s="21">
        <v>0</v>
      </c>
      <c r="G1041" s="23" t="s">
        <v>1415</v>
      </c>
      <c r="H1041" s="21" t="s">
        <v>1415</v>
      </c>
      <c r="I1041" s="34">
        <v>3.8000000000000002E-4</v>
      </c>
      <c r="J1041" s="11">
        <f t="shared" si="37"/>
        <v>3.8000000000000002E-4</v>
      </c>
      <c r="K1041" s="6" t="s">
        <v>1416</v>
      </c>
      <c r="L1041" s="20" t="s">
        <v>1422</v>
      </c>
      <c r="M1041" s="7">
        <f>IF(ISBLANK($B1041),_xlfn.XLOOKUP($A1041,'2. TEUs &amp; Activities - EF'!$A$9:$A$190,'2. TEUs &amp; Activities - EF'!$J$9:$J$190),_xlfn.XLOOKUP($B1041,'2. TEUs &amp; Activities - EF'!$B$9:$B$190,'2. TEUs &amp; Activities - EF'!$J$9:$J$190))*'3. Pollutant Emissions - EF'!$I1041*IF(OR(ISBLANK($E1041),$G1041="Yes"),1,$E1041)*IF($H1041="Yes",1,(1-$F1041))</f>
        <v>1.0133258823529412E-2</v>
      </c>
      <c r="N1041" s="5">
        <f>IF(ISBLANK($B1041),_xlfn.XLOOKUP($A1041,'2. TEUs &amp; Activities - EF'!$A$9:$A$190,'2. TEUs &amp; Activities - EF'!$M$9:$M$190),_xlfn.XLOOKUP($B1041,'2. TEUs &amp; Activities - EF'!$B$9:$B$190,'2. TEUs &amp; Activities - EF'!$M$9:$M$190))*'3. Pollutant Emissions - EF'!$J1041*IF(OR(ISBLANK($E1041),$G1041="Yes"),1,$E1041)*IF($H1041="Yes",1,(1-$F1041))</f>
        <v>2.7762352941176471E-5</v>
      </c>
      <c r="O1041" s="130"/>
    </row>
    <row r="1042" spans="1:15" ht="15" x14ac:dyDescent="0.25">
      <c r="A1042" s="5" t="s">
        <v>1566</v>
      </c>
      <c r="B1042" s="7"/>
      <c r="C1042" s="13" t="s">
        <v>64</v>
      </c>
      <c r="D1042" s="19" t="str">
        <f>IFERROR(IF(C1042="No CAS","",INDEX('DEQ Pollutant List'!$B$7:$B$611,MATCH('3. Pollutant Emissions - EF'!C1042,'DEQ Pollutant List'!$A$7:$A$611,0))),"")</f>
        <v>Mercury and compounds</v>
      </c>
      <c r="E1042" s="23">
        <v>0</v>
      </c>
      <c r="F1042" s="21">
        <v>0</v>
      </c>
      <c r="G1042" s="23" t="s">
        <v>1415</v>
      </c>
      <c r="H1042" s="21" t="s">
        <v>1415</v>
      </c>
      <c r="I1042" s="34">
        <v>2.5999999999999998E-4</v>
      </c>
      <c r="J1042" s="11">
        <f t="shared" si="37"/>
        <v>2.5999999999999998E-4</v>
      </c>
      <c r="K1042" s="6" t="s">
        <v>1416</v>
      </c>
      <c r="L1042" s="20" t="s">
        <v>1422</v>
      </c>
      <c r="M1042" s="7">
        <f>IF(ISBLANK($B1042),_xlfn.XLOOKUP($A1042,'2. TEUs &amp; Activities - EF'!$A$9:$A$190,'2. TEUs &amp; Activities - EF'!$J$9:$J$190),_xlfn.XLOOKUP($B1042,'2. TEUs &amp; Activities - EF'!$B$9:$B$190,'2. TEUs &amp; Activities - EF'!$J$9:$J$190))*'3. Pollutant Emissions - EF'!$I1042*IF(OR(ISBLANK($E1042),$G1042="Yes"),1,$E1042)*IF($H1042="Yes",1,(1-$F1042))</f>
        <v>6.9332823529411752E-3</v>
      </c>
      <c r="N1042" s="5">
        <f>IF(ISBLANK($B1042),_xlfn.XLOOKUP($A1042,'2. TEUs &amp; Activities - EF'!$A$9:$A$190,'2. TEUs &amp; Activities - EF'!$M$9:$M$190),_xlfn.XLOOKUP($B1042,'2. TEUs &amp; Activities - EF'!$B$9:$B$190,'2. TEUs &amp; Activities - EF'!$M$9:$M$190))*'3. Pollutant Emissions - EF'!$J1042*IF(OR(ISBLANK($E1042),$G1042="Yes"),1,$E1042)*IF($H1042="Yes",1,(1-$F1042))</f>
        <v>1.8995294117647057E-5</v>
      </c>
      <c r="O1042" s="130"/>
    </row>
    <row r="1043" spans="1:15" ht="15" x14ac:dyDescent="0.25">
      <c r="A1043" s="5" t="s">
        <v>1566</v>
      </c>
      <c r="B1043" s="7"/>
      <c r="C1043" s="13" t="s">
        <v>65</v>
      </c>
      <c r="D1043" s="19" t="str">
        <f>IFERROR(IF(C1043="No CAS","",INDEX('DEQ Pollutant List'!$B$7:$B$611,MATCH('3. Pollutant Emissions - EF'!C1043,'DEQ Pollutant List'!$A$7:$A$611,0))),"")</f>
        <v>Molybdenum trioxide</v>
      </c>
      <c r="E1043" s="23">
        <v>0</v>
      </c>
      <c r="F1043" s="21">
        <v>0</v>
      </c>
      <c r="G1043" s="23" t="s">
        <v>1415</v>
      </c>
      <c r="H1043" s="21" t="s">
        <v>1415</v>
      </c>
      <c r="I1043" s="34">
        <v>1.65E-3</v>
      </c>
      <c r="J1043" s="11">
        <f t="shared" si="37"/>
        <v>1.65E-3</v>
      </c>
      <c r="K1043" s="6" t="s">
        <v>1416</v>
      </c>
      <c r="L1043" s="20" t="s">
        <v>1422</v>
      </c>
      <c r="M1043" s="7">
        <f>IF(ISBLANK($B1043),_xlfn.XLOOKUP($A1043,'2. TEUs &amp; Activities - EF'!$A$9:$A$190,'2. TEUs &amp; Activities - EF'!$J$9:$J$190),_xlfn.XLOOKUP($B1043,'2. TEUs &amp; Activities - EF'!$B$9:$B$190,'2. TEUs &amp; Activities - EF'!$J$9:$J$190))*'3. Pollutant Emissions - EF'!$I1043*IF(OR(ISBLANK($E1043),$G1043="Yes"),1,$E1043)*IF($H1043="Yes",1,(1-$F1043))</f>
        <v>4.399967647058823E-2</v>
      </c>
      <c r="N1043" s="5">
        <f>IF(ISBLANK($B1043),_xlfn.XLOOKUP($A1043,'2. TEUs &amp; Activities - EF'!$A$9:$A$190,'2. TEUs &amp; Activities - EF'!$M$9:$M$190),_xlfn.XLOOKUP($B1043,'2. TEUs &amp; Activities - EF'!$B$9:$B$190,'2. TEUs &amp; Activities - EF'!$M$9:$M$190))*'3. Pollutant Emissions - EF'!$J1043*IF(OR(ISBLANK($E1043),$G1043="Yes"),1,$E1043)*IF($H1043="Yes",1,(1-$F1043))</f>
        <v>1.205470588235294E-4</v>
      </c>
      <c r="O1043" s="130"/>
    </row>
    <row r="1044" spans="1:15" ht="15" x14ac:dyDescent="0.25">
      <c r="A1044" s="5" t="s">
        <v>1566</v>
      </c>
      <c r="B1044" s="7"/>
      <c r="C1044" s="13" t="s">
        <v>49</v>
      </c>
      <c r="D1044" s="19" t="str">
        <f>IFERROR(IF(C1044="No CAS","",INDEX('DEQ Pollutant List'!$B$7:$B$611,MATCH('3. Pollutant Emissions - EF'!C1044,'DEQ Pollutant List'!$A$7:$A$611,0))),"")</f>
        <v>Naphthalene</v>
      </c>
      <c r="E1044" s="23">
        <v>0</v>
      </c>
      <c r="F1044" s="21">
        <v>0</v>
      </c>
      <c r="G1044" s="23" t="s">
        <v>1415</v>
      </c>
      <c r="H1044" s="21" t="s">
        <v>1415</v>
      </c>
      <c r="I1044" s="34">
        <v>2.9999999999999997E-4</v>
      </c>
      <c r="J1044" s="11">
        <f t="shared" si="37"/>
        <v>2.9999999999999997E-4</v>
      </c>
      <c r="K1044" s="6" t="s">
        <v>1416</v>
      </c>
      <c r="L1044" s="20" t="s">
        <v>1422</v>
      </c>
      <c r="M1044" s="7">
        <f>IF(ISBLANK($B1044),_xlfn.XLOOKUP($A1044,'2. TEUs &amp; Activities - EF'!$A$9:$A$190,'2. TEUs &amp; Activities - EF'!$J$9:$J$190),_xlfn.XLOOKUP($B1044,'2. TEUs &amp; Activities - EF'!$B$9:$B$190,'2. TEUs &amp; Activities - EF'!$J$9:$J$190))*'3. Pollutant Emissions - EF'!$I1044*IF(OR(ISBLANK($E1044),$G1044="Yes"),1,$E1044)*IF($H1044="Yes",1,(1-$F1044))</f>
        <v>7.9999411764705864E-3</v>
      </c>
      <c r="N1044" s="5">
        <f>IF(ISBLANK($B1044),_xlfn.XLOOKUP($A1044,'2. TEUs &amp; Activities - EF'!$A$9:$A$190,'2. TEUs &amp; Activities - EF'!$M$9:$M$190),_xlfn.XLOOKUP($B1044,'2. TEUs &amp; Activities - EF'!$B$9:$B$190,'2. TEUs &amp; Activities - EF'!$M$9:$M$190))*'3. Pollutant Emissions - EF'!$J1044*IF(OR(ISBLANK($E1044),$G1044="Yes"),1,$E1044)*IF($H1044="Yes",1,(1-$F1044))</f>
        <v>2.1917647058823525E-5</v>
      </c>
      <c r="O1044" s="130"/>
    </row>
    <row r="1045" spans="1:15" ht="15" x14ac:dyDescent="0.25">
      <c r="A1045" s="5" t="s">
        <v>1566</v>
      </c>
      <c r="B1045" s="7"/>
      <c r="C1045" s="13" t="s">
        <v>66</v>
      </c>
      <c r="D1045" s="19" t="str">
        <f>IFERROR(IF(C1045="No CAS","",INDEX('DEQ Pollutant List'!$B$7:$B$611,MATCH('3. Pollutant Emissions - EF'!C1045,'DEQ Pollutant List'!$A$7:$A$611,0))),"")</f>
        <v>Nickel and compounds</v>
      </c>
      <c r="E1045" s="23">
        <v>0</v>
      </c>
      <c r="F1045" s="21">
        <v>0</v>
      </c>
      <c r="G1045" s="23" t="s">
        <v>1415</v>
      </c>
      <c r="H1045" s="21" t="s">
        <v>1415</v>
      </c>
      <c r="I1045" s="34">
        <v>2.0999999999999999E-3</v>
      </c>
      <c r="J1045" s="11">
        <f t="shared" si="37"/>
        <v>2.0999999999999999E-3</v>
      </c>
      <c r="K1045" s="6" t="s">
        <v>1416</v>
      </c>
      <c r="L1045" s="20" t="s">
        <v>1422</v>
      </c>
      <c r="M1045" s="7">
        <f>IF(ISBLANK($B1045),_xlfn.XLOOKUP($A1045,'2. TEUs &amp; Activities - EF'!$A$9:$A$190,'2. TEUs &amp; Activities - EF'!$J$9:$J$190),_xlfn.XLOOKUP($B1045,'2. TEUs &amp; Activities - EF'!$B$9:$B$190,'2. TEUs &amp; Activities - EF'!$J$9:$J$190))*'3. Pollutant Emissions - EF'!$I1045*IF(OR(ISBLANK($E1045),$G1045="Yes"),1,$E1045)*IF($H1045="Yes",1,(1-$F1045))</f>
        <v>5.5999588235294107E-2</v>
      </c>
      <c r="N1045" s="5">
        <f>IF(ISBLANK($B1045),_xlfn.XLOOKUP($A1045,'2. TEUs &amp; Activities - EF'!$A$9:$A$190,'2. TEUs &amp; Activities - EF'!$M$9:$M$190),_xlfn.XLOOKUP($B1045,'2. TEUs &amp; Activities - EF'!$B$9:$B$190,'2. TEUs &amp; Activities - EF'!$M$9:$M$190))*'3. Pollutant Emissions - EF'!$J1045*IF(OR(ISBLANK($E1045),$G1045="Yes"),1,$E1045)*IF($H1045="Yes",1,(1-$F1045))</f>
        <v>1.534235294117647E-4</v>
      </c>
      <c r="O1045" s="130"/>
    </row>
    <row r="1046" spans="1:15" ht="15" x14ac:dyDescent="0.25">
      <c r="A1046" s="5" t="s">
        <v>1566</v>
      </c>
      <c r="B1046" s="7"/>
      <c r="C1046" s="13">
        <v>401</v>
      </c>
      <c r="D1046" s="19" t="str">
        <f>IFERROR(IF(C1046="No CAS","",INDEX('DEQ Pollutant List'!$B$7:$B$611,MATCH('3. Pollutant Emissions - EF'!C1046,'DEQ Pollutant List'!$A$7:$A$611,0))),"")</f>
        <v>Polycyclic aromatic hydrocarbons (PAHs)</v>
      </c>
      <c r="E1046" s="23">
        <v>0</v>
      </c>
      <c r="F1046" s="21">
        <v>0</v>
      </c>
      <c r="G1046" s="23" t="s">
        <v>1415</v>
      </c>
      <c r="H1046" s="21" t="s">
        <v>1415</v>
      </c>
      <c r="I1046" s="34">
        <v>1E-4</v>
      </c>
      <c r="J1046" s="11">
        <f t="shared" si="37"/>
        <v>1E-4</v>
      </c>
      <c r="K1046" s="6" t="s">
        <v>1416</v>
      </c>
      <c r="L1046" s="20" t="s">
        <v>1422</v>
      </c>
      <c r="M1046" s="7">
        <f>IF(ISBLANK($B1046),_xlfn.XLOOKUP($A1046,'2. TEUs &amp; Activities - EF'!$A$9:$A$190,'2. TEUs &amp; Activities - EF'!$J$9:$J$190),_xlfn.XLOOKUP($B1046,'2. TEUs &amp; Activities - EF'!$B$9:$B$190,'2. TEUs &amp; Activities - EF'!$J$9:$J$190))*'3. Pollutant Emissions - EF'!$I1046*IF(OR(ISBLANK($E1046),$G1046="Yes"),1,$E1046)*IF($H1046="Yes",1,(1-$F1046))</f>
        <v>2.6666470588235292E-3</v>
      </c>
      <c r="N1046" s="5">
        <f>IF(ISBLANK($B1046),_xlfn.XLOOKUP($A1046,'2. TEUs &amp; Activities - EF'!$A$9:$A$190,'2. TEUs &amp; Activities - EF'!$M$9:$M$190),_xlfn.XLOOKUP($B1046,'2. TEUs &amp; Activities - EF'!$B$9:$B$190,'2. TEUs &amp; Activities - EF'!$M$9:$M$190))*'3. Pollutant Emissions - EF'!$J1046*IF(OR(ISBLANK($E1046),$G1046="Yes"),1,$E1046)*IF($H1046="Yes",1,(1-$F1046))</f>
        <v>7.3058823529411766E-6</v>
      </c>
      <c r="O1046" s="130"/>
    </row>
    <row r="1047" spans="1:15" ht="15" x14ac:dyDescent="0.25">
      <c r="A1047" s="5" t="s">
        <v>1566</v>
      </c>
      <c r="B1047" s="7"/>
      <c r="C1047" s="13" t="s">
        <v>67</v>
      </c>
      <c r="D1047" s="19" t="str">
        <f>IFERROR(IF(C1047="No CAS","",INDEX('DEQ Pollutant List'!$B$7:$B$611,MATCH('3. Pollutant Emissions - EF'!C1047,'DEQ Pollutant List'!$A$7:$A$611,0))),"")</f>
        <v>Selenium and compounds</v>
      </c>
      <c r="E1047" s="23">
        <v>0</v>
      </c>
      <c r="F1047" s="21">
        <v>0</v>
      </c>
      <c r="G1047" s="23" t="s">
        <v>1415</v>
      </c>
      <c r="H1047" s="21" t="s">
        <v>1415</v>
      </c>
      <c r="I1047" s="34">
        <v>2.4000000000000001E-5</v>
      </c>
      <c r="J1047" s="11">
        <f t="shared" si="37"/>
        <v>2.4000000000000001E-5</v>
      </c>
      <c r="K1047" s="6" t="s">
        <v>1416</v>
      </c>
      <c r="L1047" s="20" t="s">
        <v>1422</v>
      </c>
      <c r="M1047" s="7">
        <f>IF(ISBLANK($B1047),_xlfn.XLOOKUP($A1047,'2. TEUs &amp; Activities - EF'!$A$9:$A$190,'2. TEUs &amp; Activities - EF'!$J$9:$J$190),_xlfn.XLOOKUP($B1047,'2. TEUs &amp; Activities - EF'!$B$9:$B$190,'2. TEUs &amp; Activities - EF'!$J$9:$J$190))*'3. Pollutant Emissions - EF'!$I1047*IF(OR(ISBLANK($E1047),$G1047="Yes"),1,$E1047)*IF($H1047="Yes",1,(1-$F1047))</f>
        <v>6.3999529411764699E-4</v>
      </c>
      <c r="N1047" s="5">
        <f>IF(ISBLANK($B1047),_xlfn.XLOOKUP($A1047,'2. TEUs &amp; Activities - EF'!$A$9:$A$190,'2. TEUs &amp; Activities - EF'!$M$9:$M$190),_xlfn.XLOOKUP($B1047,'2. TEUs &amp; Activities - EF'!$B$9:$B$190,'2. TEUs &amp; Activities - EF'!$M$9:$M$190))*'3. Pollutant Emissions - EF'!$J1047*IF(OR(ISBLANK($E1047),$G1047="Yes"),1,$E1047)*IF($H1047="Yes",1,(1-$F1047))</f>
        <v>1.7534117647058822E-6</v>
      </c>
      <c r="O1047" s="130"/>
    </row>
    <row r="1048" spans="1:15" ht="15" x14ac:dyDescent="0.25">
      <c r="A1048" s="5" t="s">
        <v>1566</v>
      </c>
      <c r="B1048" s="7"/>
      <c r="C1048" s="13" t="s">
        <v>68</v>
      </c>
      <c r="D1048" s="19" t="str">
        <f>IFERROR(IF(C1048="No CAS","",INDEX('DEQ Pollutant List'!$B$7:$B$611,MATCH('3. Pollutant Emissions - EF'!C1048,'DEQ Pollutant List'!$A$7:$A$611,0))),"")</f>
        <v>Toluene</v>
      </c>
      <c r="E1048" s="23">
        <v>0</v>
      </c>
      <c r="F1048" s="21">
        <v>0</v>
      </c>
      <c r="G1048" s="23" t="s">
        <v>1415</v>
      </c>
      <c r="H1048" s="21" t="s">
        <v>1415</v>
      </c>
      <c r="I1048" s="34">
        <v>3.6600000000000001E-2</v>
      </c>
      <c r="J1048" s="11">
        <f t="shared" si="37"/>
        <v>3.6600000000000001E-2</v>
      </c>
      <c r="K1048" s="6" t="s">
        <v>1416</v>
      </c>
      <c r="L1048" s="20" t="s">
        <v>1422</v>
      </c>
      <c r="M1048" s="7">
        <f>IF(ISBLANK($B1048),_xlfn.XLOOKUP($A1048,'2. TEUs &amp; Activities - EF'!$A$9:$A$190,'2. TEUs &amp; Activities - EF'!$J$9:$J$190),_xlfn.XLOOKUP($B1048,'2. TEUs &amp; Activities - EF'!$B$9:$B$190,'2. TEUs &amp; Activities - EF'!$J$9:$J$190))*'3. Pollutant Emissions - EF'!$I1048*IF(OR(ISBLANK($E1048),$G1048="Yes"),1,$E1048)*IF($H1048="Yes",1,(1-$F1048))</f>
        <v>0.97599282352941175</v>
      </c>
      <c r="N1048" s="5">
        <f>IF(ISBLANK($B1048),_xlfn.XLOOKUP($A1048,'2. TEUs &amp; Activities - EF'!$A$9:$A$190,'2. TEUs &amp; Activities - EF'!$M$9:$M$190),_xlfn.XLOOKUP($B1048,'2. TEUs &amp; Activities - EF'!$B$9:$B$190,'2. TEUs &amp; Activities - EF'!$M$9:$M$190))*'3. Pollutant Emissions - EF'!$J1048*IF(OR(ISBLANK($E1048),$G1048="Yes"),1,$E1048)*IF($H1048="Yes",1,(1-$F1048))</f>
        <v>2.6739529411764704E-3</v>
      </c>
      <c r="O1048" s="130"/>
    </row>
    <row r="1049" spans="1:15" ht="15" x14ac:dyDescent="0.25">
      <c r="A1049" s="5" t="s">
        <v>1566</v>
      </c>
      <c r="B1049" s="7"/>
      <c r="C1049" s="13" t="s">
        <v>69</v>
      </c>
      <c r="D1049" s="19" t="str">
        <f>IFERROR(IF(C1049="No CAS","",INDEX('DEQ Pollutant List'!$B$7:$B$611,MATCH('3. Pollutant Emissions - EF'!C1049,'DEQ Pollutant List'!$A$7:$A$611,0))),"")</f>
        <v>Vanadium (fume or dust)</v>
      </c>
      <c r="E1049" s="23">
        <v>0</v>
      </c>
      <c r="F1049" s="21">
        <v>0</v>
      </c>
      <c r="G1049" s="23" t="s">
        <v>1415</v>
      </c>
      <c r="H1049" s="21" t="s">
        <v>1415</v>
      </c>
      <c r="I1049" s="34">
        <v>2.3E-3</v>
      </c>
      <c r="J1049" s="11">
        <f t="shared" si="37"/>
        <v>2.3E-3</v>
      </c>
      <c r="K1049" s="6" t="s">
        <v>1416</v>
      </c>
      <c r="L1049" s="20" t="s">
        <v>1422</v>
      </c>
      <c r="M1049" s="7">
        <f>IF(ISBLANK($B1049),_xlfn.XLOOKUP($A1049,'2. TEUs &amp; Activities - EF'!$A$9:$A$190,'2. TEUs &amp; Activities - EF'!$J$9:$J$190),_xlfn.XLOOKUP($B1049,'2. TEUs &amp; Activities - EF'!$B$9:$B$190,'2. TEUs &amp; Activities - EF'!$J$9:$J$190))*'3. Pollutant Emissions - EF'!$I1049*IF(OR(ISBLANK($E1049),$G1049="Yes"),1,$E1049)*IF($H1049="Yes",1,(1-$F1049))</f>
        <v>6.1332882352941168E-2</v>
      </c>
      <c r="N1049" s="5">
        <f>IF(ISBLANK($B1049),_xlfn.XLOOKUP($A1049,'2. TEUs &amp; Activities - EF'!$A$9:$A$190,'2. TEUs &amp; Activities - EF'!$M$9:$M$190),_xlfn.XLOOKUP($B1049,'2. TEUs &amp; Activities - EF'!$B$9:$B$190,'2. TEUs &amp; Activities - EF'!$M$9:$M$190))*'3. Pollutant Emissions - EF'!$J1049*IF(OR(ISBLANK($E1049),$G1049="Yes"),1,$E1049)*IF($H1049="Yes",1,(1-$F1049))</f>
        <v>1.6803529411764704E-4</v>
      </c>
      <c r="O1049" s="130"/>
    </row>
    <row r="1050" spans="1:15" ht="15" x14ac:dyDescent="0.25">
      <c r="A1050" s="5" t="s">
        <v>1566</v>
      </c>
      <c r="B1050" s="7"/>
      <c r="C1050" s="13" t="s">
        <v>70</v>
      </c>
      <c r="D1050" s="19" t="str">
        <f>IFERROR(IF(C1050="No CAS","",INDEX('DEQ Pollutant List'!$B$7:$B$611,MATCH('3. Pollutant Emissions - EF'!C1050,'DEQ Pollutant List'!$A$7:$A$611,0))),"")</f>
        <v>Xylene (mixture), including m-xylene, o-xylene, p-xylene</v>
      </c>
      <c r="E1050" s="23">
        <v>0</v>
      </c>
      <c r="F1050" s="21">
        <v>0</v>
      </c>
      <c r="G1050" s="23" t="s">
        <v>1415</v>
      </c>
      <c r="H1050" s="21" t="s">
        <v>1415</v>
      </c>
      <c r="I1050" s="34">
        <v>2.7199999999999998E-2</v>
      </c>
      <c r="J1050" s="11">
        <f t="shared" si="37"/>
        <v>2.7199999999999998E-2</v>
      </c>
      <c r="K1050" s="6" t="s">
        <v>1416</v>
      </c>
      <c r="L1050" s="20" t="s">
        <v>1422</v>
      </c>
      <c r="M1050" s="7">
        <f>IF(ISBLANK($B1050),_xlfn.XLOOKUP($A1050,'2. TEUs &amp; Activities - EF'!$A$9:$A$190,'2. TEUs &amp; Activities - EF'!$J$9:$J$190),_xlfn.XLOOKUP($B1050,'2. TEUs &amp; Activities - EF'!$B$9:$B$190,'2. TEUs &amp; Activities - EF'!$J$9:$J$190))*'3. Pollutant Emissions - EF'!$I1050*IF(OR(ISBLANK($E1050),$G1050="Yes"),1,$E1050)*IF($H1050="Yes",1,(1-$F1050))</f>
        <v>0.72532799999999986</v>
      </c>
      <c r="N1050" s="5">
        <f>IF(ISBLANK($B1050),_xlfn.XLOOKUP($A1050,'2. TEUs &amp; Activities - EF'!$A$9:$A$190,'2. TEUs &amp; Activities - EF'!$M$9:$M$190),_xlfn.XLOOKUP($B1050,'2. TEUs &amp; Activities - EF'!$B$9:$B$190,'2. TEUs &amp; Activities - EF'!$M$9:$M$190))*'3. Pollutant Emissions - EF'!$J1050*IF(OR(ISBLANK($E1050),$G1050="Yes"),1,$E1050)*IF($H1050="Yes",1,(1-$F1050))</f>
        <v>1.9871999999999997E-3</v>
      </c>
      <c r="O1050" s="130"/>
    </row>
    <row r="1051" spans="1:15" ht="15" x14ac:dyDescent="0.25">
      <c r="A1051" s="5" t="s">
        <v>1566</v>
      </c>
      <c r="B1051" s="7"/>
      <c r="C1051" s="13" t="s">
        <v>71</v>
      </c>
      <c r="D1051" s="19" t="str">
        <f>IFERROR(IF(C1051="No CAS","",INDEX('DEQ Pollutant List'!$B$7:$B$611,MATCH('3. Pollutant Emissions - EF'!C1051,'DEQ Pollutant List'!$A$7:$A$611,0))),"")</f>
        <v>Zinc and compounds</v>
      </c>
      <c r="E1051" s="23">
        <v>0</v>
      </c>
      <c r="F1051" s="21">
        <v>0</v>
      </c>
      <c r="G1051" s="23" t="s">
        <v>1415</v>
      </c>
      <c r="H1051" s="21" t="s">
        <v>1415</v>
      </c>
      <c r="I1051" s="34">
        <v>2.9000000000000001E-2</v>
      </c>
      <c r="J1051" s="11">
        <f t="shared" si="37"/>
        <v>2.9000000000000001E-2</v>
      </c>
      <c r="K1051" s="6" t="s">
        <v>1416</v>
      </c>
      <c r="L1051" s="20" t="s">
        <v>1422</v>
      </c>
      <c r="M1051" s="7">
        <f>IF(ISBLANK($B1051),_xlfn.XLOOKUP($A1051,'2. TEUs &amp; Activities - EF'!$A$9:$A$190,'2. TEUs &amp; Activities - EF'!$J$9:$J$190),_xlfn.XLOOKUP($B1051,'2. TEUs &amp; Activities - EF'!$B$9:$B$190,'2. TEUs &amp; Activities - EF'!$J$9:$J$190))*'3. Pollutant Emissions - EF'!$I1051*IF(OR(ISBLANK($E1051),$G1051="Yes"),1,$E1051)*IF($H1051="Yes",1,(1-$F1051))</f>
        <v>0.77332764705882351</v>
      </c>
      <c r="N1051" s="5">
        <f>IF(ISBLANK($B1051),_xlfn.XLOOKUP($A1051,'2. TEUs &amp; Activities - EF'!$A$9:$A$190,'2. TEUs &amp; Activities - EF'!$M$9:$M$190),_xlfn.XLOOKUP($B1051,'2. TEUs &amp; Activities - EF'!$B$9:$B$190,'2. TEUs &amp; Activities - EF'!$M$9:$M$190))*'3. Pollutant Emissions - EF'!$J1051*IF(OR(ISBLANK($E1051),$G1051="Yes"),1,$E1051)*IF($H1051="Yes",1,(1-$F1051))</f>
        <v>2.118705882352941E-3</v>
      </c>
      <c r="O1051" s="130"/>
    </row>
    <row r="1052" spans="1:15" ht="15" x14ac:dyDescent="0.25">
      <c r="A1052" s="5"/>
      <c r="B1052" s="7"/>
      <c r="C1052" s="13"/>
      <c r="D1052" s="19" t="str">
        <f>IFERROR(IF(C1052="No CAS","",INDEX('DEQ Pollutant List'!$B$7:$B$611,MATCH('3. Pollutant Emissions - EF'!C1052,'DEQ Pollutant List'!$A$7:$A$611,0))),"")</f>
        <v/>
      </c>
      <c r="E1052" s="23"/>
      <c r="F1052" s="21"/>
      <c r="G1052" s="23"/>
      <c r="H1052" s="21"/>
      <c r="I1052" s="34"/>
      <c r="J1052" s="11"/>
      <c r="K1052" s="6"/>
      <c r="L1052" s="20"/>
      <c r="M1052" s="7">
        <f>IF(ISBLANK($B1052),_xlfn.XLOOKUP($A1052,'2. TEUs &amp; Activities - EF'!$A$9:$A$190,'2. TEUs &amp; Activities - EF'!$J$9:$J$190),_xlfn.XLOOKUP($B1052,'2. TEUs &amp; Activities - EF'!$B$9:$B$190,'2. TEUs &amp; Activities - EF'!$J$9:$J$190))*'3. Pollutant Emissions - EF'!$I1052*IF(OR(ISBLANK($E1052),$G1052="Yes"),1,$E1052)*IF($H1052="Yes",1,(1-$F1052))</f>
        <v>0</v>
      </c>
      <c r="N1052" s="5">
        <f>IF(ISBLANK($B1052),_xlfn.XLOOKUP($A1052,'2. TEUs &amp; Activities - EF'!$A$9:$A$190,'2. TEUs &amp; Activities - EF'!$M$9:$M$190),_xlfn.XLOOKUP($B1052,'2. TEUs &amp; Activities - EF'!$B$9:$B$190,'2. TEUs &amp; Activities - EF'!$M$9:$M$190))*'3. Pollutant Emissions - EF'!$J1052*IF(OR(ISBLANK($E1052),$G1052="Yes"),1,$E1052)*IF($H1052="Yes",1,(1-$F1052))</f>
        <v>0</v>
      </c>
      <c r="O1052" s="130"/>
    </row>
    <row r="1053" spans="1:15" ht="15" x14ac:dyDescent="0.25">
      <c r="A1053" s="5" t="s">
        <v>1567</v>
      </c>
      <c r="B1053" s="7"/>
      <c r="C1053" s="13" t="s">
        <v>50</v>
      </c>
      <c r="D1053" s="19" t="str">
        <f>IFERROR(IF(C1053="No CAS","",INDEX('DEQ Pollutant List'!$B$7:$B$611,MATCH('3. Pollutant Emissions - EF'!C1053,'DEQ Pollutant List'!$A$7:$A$611,0))),"")</f>
        <v>Acetaldehyde</v>
      </c>
      <c r="E1053" s="23">
        <v>0</v>
      </c>
      <c r="F1053" s="21">
        <v>0</v>
      </c>
      <c r="G1053" s="23" t="s">
        <v>1415</v>
      </c>
      <c r="H1053" s="21" t="s">
        <v>1415</v>
      </c>
      <c r="I1053" s="34">
        <v>4.3E-3</v>
      </c>
      <c r="J1053" s="11">
        <f t="shared" ref="J1053:J1078" si="38">I1053</f>
        <v>4.3E-3</v>
      </c>
      <c r="K1053" s="6" t="s">
        <v>1416</v>
      </c>
      <c r="L1053" s="20" t="s">
        <v>1422</v>
      </c>
      <c r="M1053" s="7">
        <f>IF(ISBLANK($B1053),_xlfn.XLOOKUP($A1053,'2. TEUs &amp; Activities - EF'!$A$9:$A$190,'2. TEUs &amp; Activities - EF'!$J$9:$J$190),_xlfn.XLOOKUP($B1053,'2. TEUs &amp; Activities - EF'!$B$9:$B$190,'2. TEUs &amp; Activities - EF'!$J$9:$J$190))*'3. Pollutant Emissions - EF'!$I1053*IF(OR(ISBLANK($E1053),$G1053="Yes"),1,$E1053)*IF($H1053="Yes",1,(1-$F1053))</f>
        <v>0.11632764705882352</v>
      </c>
      <c r="N1053" s="5">
        <f>IF(ISBLANK($B1053),_xlfn.XLOOKUP($A1053,'2. TEUs &amp; Activities - EF'!$A$9:$A$190,'2. TEUs &amp; Activities - EF'!$M$9:$M$190),_xlfn.XLOOKUP($B1053,'2. TEUs &amp; Activities - EF'!$B$9:$B$190,'2. TEUs &amp; Activities - EF'!$M$9:$M$190))*'3. Pollutant Emissions - EF'!$J1053*IF(OR(ISBLANK($E1053),$G1053="Yes"),1,$E1053)*IF($H1053="Yes",1,(1-$F1053))</f>
        <v>3.1870588235294116E-4</v>
      </c>
      <c r="O1053" s="130"/>
    </row>
    <row r="1054" spans="1:15" ht="15" x14ac:dyDescent="0.25">
      <c r="A1054" s="5" t="s">
        <v>1567</v>
      </c>
      <c r="B1054" s="7"/>
      <c r="C1054" s="13" t="s">
        <v>51</v>
      </c>
      <c r="D1054" s="19" t="str">
        <f>IFERROR(IF(C1054="No CAS","",INDEX('DEQ Pollutant List'!$B$7:$B$611,MATCH('3. Pollutant Emissions - EF'!C1054,'DEQ Pollutant List'!$A$7:$A$611,0))),"")</f>
        <v>Acrolein</v>
      </c>
      <c r="E1054" s="23">
        <v>0</v>
      </c>
      <c r="F1054" s="21">
        <v>0</v>
      </c>
      <c r="G1054" s="23" t="s">
        <v>1415</v>
      </c>
      <c r="H1054" s="21" t="s">
        <v>1415</v>
      </c>
      <c r="I1054" s="34">
        <v>2.7000000000000001E-3</v>
      </c>
      <c r="J1054" s="11">
        <f t="shared" si="38"/>
        <v>2.7000000000000001E-3</v>
      </c>
      <c r="K1054" s="6" t="s">
        <v>1416</v>
      </c>
      <c r="L1054" s="20" t="s">
        <v>1422</v>
      </c>
      <c r="M1054" s="7">
        <f>IF(ISBLANK($B1054),_xlfn.XLOOKUP($A1054,'2. TEUs &amp; Activities - EF'!$A$9:$A$190,'2. TEUs &amp; Activities - EF'!$J$9:$J$190),_xlfn.XLOOKUP($B1054,'2. TEUs &amp; Activities - EF'!$B$9:$B$190,'2. TEUs &amp; Activities - EF'!$J$9:$J$190))*'3. Pollutant Emissions - EF'!$I1054*IF(OR(ISBLANK($E1054),$G1054="Yes"),1,$E1054)*IF($H1054="Yes",1,(1-$F1054))</f>
        <v>7.3042941176470588E-2</v>
      </c>
      <c r="N1054" s="5">
        <f>IF(ISBLANK($B1054),_xlfn.XLOOKUP($A1054,'2. TEUs &amp; Activities - EF'!$A$9:$A$190,'2. TEUs &amp; Activities - EF'!$M$9:$M$190),_xlfn.XLOOKUP($B1054,'2. TEUs &amp; Activities - EF'!$B$9:$B$190,'2. TEUs &amp; Activities - EF'!$M$9:$M$190))*'3. Pollutant Emissions - EF'!$J1054*IF(OR(ISBLANK($E1054),$G1054="Yes"),1,$E1054)*IF($H1054="Yes",1,(1-$F1054))</f>
        <v>2.0011764705882352E-4</v>
      </c>
      <c r="O1054" s="130"/>
    </row>
    <row r="1055" spans="1:15" ht="15" x14ac:dyDescent="0.25">
      <c r="A1055" s="5" t="s">
        <v>1567</v>
      </c>
      <c r="B1055" s="7"/>
      <c r="C1055" s="13" t="s">
        <v>52</v>
      </c>
      <c r="D1055" s="19" t="str">
        <f>IFERROR(IF(C1055="No CAS","",INDEX('DEQ Pollutant List'!$B$7:$B$611,MATCH('3. Pollutant Emissions - EF'!C1055,'DEQ Pollutant List'!$A$7:$A$611,0))),"")</f>
        <v>Ammonia</v>
      </c>
      <c r="E1055" s="23">
        <v>0</v>
      </c>
      <c r="F1055" s="21">
        <v>0</v>
      </c>
      <c r="G1055" s="23" t="s">
        <v>1415</v>
      </c>
      <c r="H1055" s="21" t="s">
        <v>1415</v>
      </c>
      <c r="I1055" s="34">
        <v>3.2</v>
      </c>
      <c r="J1055" s="11">
        <f t="shared" si="38"/>
        <v>3.2</v>
      </c>
      <c r="K1055" s="6" t="s">
        <v>1416</v>
      </c>
      <c r="L1055" s="20" t="s">
        <v>1586</v>
      </c>
      <c r="M1055" s="7">
        <f>IF(ISBLANK($B1055),_xlfn.XLOOKUP($A1055,'2. TEUs &amp; Activities - EF'!$A$9:$A$190,'2. TEUs &amp; Activities - EF'!$J$9:$J$190),_xlfn.XLOOKUP($B1055,'2. TEUs &amp; Activities - EF'!$B$9:$B$190,'2. TEUs &amp; Activities - EF'!$J$9:$J$190))*'3. Pollutant Emissions - EF'!$I1055*IF(OR(ISBLANK($E1055),$G1055="Yes"),1,$E1055)*IF($H1055="Yes",1,(1-$F1055))</f>
        <v>86.569411764705876</v>
      </c>
      <c r="N1055" s="5">
        <f>IF(ISBLANK($B1055),_xlfn.XLOOKUP($A1055,'2. TEUs &amp; Activities - EF'!$A$9:$A$190,'2. TEUs &amp; Activities - EF'!$M$9:$M$190),_xlfn.XLOOKUP($B1055,'2. TEUs &amp; Activities - EF'!$B$9:$B$190,'2. TEUs &amp; Activities - EF'!$M$9:$M$190))*'3. Pollutant Emissions - EF'!$J1055*IF(OR(ISBLANK($E1055),$G1055="Yes"),1,$E1055)*IF($H1055="Yes",1,(1-$F1055))</f>
        <v>0.23717647058823529</v>
      </c>
      <c r="O1055" s="130"/>
    </row>
    <row r="1056" spans="1:15" ht="15" x14ac:dyDescent="0.25">
      <c r="A1056" s="5" t="s">
        <v>1567</v>
      </c>
      <c r="B1056" s="7"/>
      <c r="C1056" s="13" t="s">
        <v>53</v>
      </c>
      <c r="D1056" s="19" t="str">
        <f>IFERROR(IF(C1056="No CAS","",INDEX('DEQ Pollutant List'!$B$7:$B$611,MATCH('3. Pollutant Emissions - EF'!C1056,'DEQ Pollutant List'!$A$7:$A$611,0))),"")</f>
        <v>Arsenic and compounds</v>
      </c>
      <c r="E1056" s="23">
        <v>0</v>
      </c>
      <c r="F1056" s="21">
        <v>0</v>
      </c>
      <c r="G1056" s="23" t="s">
        <v>1415</v>
      </c>
      <c r="H1056" s="21" t="s">
        <v>1415</v>
      </c>
      <c r="I1056" s="34">
        <v>2.0000000000000001E-4</v>
      </c>
      <c r="J1056" s="11">
        <f t="shared" si="38"/>
        <v>2.0000000000000001E-4</v>
      </c>
      <c r="K1056" s="6" t="s">
        <v>1416</v>
      </c>
      <c r="L1056" s="20" t="s">
        <v>1422</v>
      </c>
      <c r="M1056" s="7">
        <f>IF(ISBLANK($B1056),_xlfn.XLOOKUP($A1056,'2. TEUs &amp; Activities - EF'!$A$9:$A$190,'2. TEUs &amp; Activities - EF'!$J$9:$J$190),_xlfn.XLOOKUP($B1056,'2. TEUs &amp; Activities - EF'!$B$9:$B$190,'2. TEUs &amp; Activities - EF'!$J$9:$J$190))*'3. Pollutant Emissions - EF'!$I1056*IF(OR(ISBLANK($E1056),$G1056="Yes"),1,$E1056)*IF($H1056="Yes",1,(1-$F1056))</f>
        <v>5.4105882352941176E-3</v>
      </c>
      <c r="N1056" s="5">
        <f>IF(ISBLANK($B1056),_xlfn.XLOOKUP($A1056,'2. TEUs &amp; Activities - EF'!$A$9:$A$190,'2. TEUs &amp; Activities - EF'!$M$9:$M$190),_xlfn.XLOOKUP($B1056,'2. TEUs &amp; Activities - EF'!$B$9:$B$190,'2. TEUs &amp; Activities - EF'!$M$9:$M$190))*'3. Pollutant Emissions - EF'!$J1056*IF(OR(ISBLANK($E1056),$G1056="Yes"),1,$E1056)*IF($H1056="Yes",1,(1-$F1056))</f>
        <v>1.4823529411764705E-5</v>
      </c>
      <c r="O1056" s="130"/>
    </row>
    <row r="1057" spans="1:15" ht="15" x14ac:dyDescent="0.25">
      <c r="A1057" s="5" t="s">
        <v>1567</v>
      </c>
      <c r="B1057" s="7"/>
      <c r="C1057" s="13" t="s">
        <v>54</v>
      </c>
      <c r="D1057" s="19" t="str">
        <f>IFERROR(IF(C1057="No CAS","",INDEX('DEQ Pollutant List'!$B$7:$B$611,MATCH('3. Pollutant Emissions - EF'!C1057,'DEQ Pollutant List'!$A$7:$A$611,0))),"")</f>
        <v>Barium and compounds</v>
      </c>
      <c r="E1057" s="23">
        <v>0</v>
      </c>
      <c r="F1057" s="21">
        <v>0</v>
      </c>
      <c r="G1057" s="23" t="s">
        <v>1415</v>
      </c>
      <c r="H1057" s="21" t="s">
        <v>1415</v>
      </c>
      <c r="I1057" s="34">
        <v>4.4000000000000003E-3</v>
      </c>
      <c r="J1057" s="11">
        <f t="shared" si="38"/>
        <v>4.4000000000000003E-3</v>
      </c>
      <c r="K1057" s="6" t="s">
        <v>1416</v>
      </c>
      <c r="L1057" s="20" t="s">
        <v>1422</v>
      </c>
      <c r="M1057" s="7">
        <f>IF(ISBLANK($B1057),_xlfn.XLOOKUP($A1057,'2. TEUs &amp; Activities - EF'!$A$9:$A$190,'2. TEUs &amp; Activities - EF'!$J$9:$J$190),_xlfn.XLOOKUP($B1057,'2. TEUs &amp; Activities - EF'!$B$9:$B$190,'2. TEUs &amp; Activities - EF'!$J$9:$J$190))*'3. Pollutant Emissions - EF'!$I1057*IF(OR(ISBLANK($E1057),$G1057="Yes"),1,$E1057)*IF($H1057="Yes",1,(1-$F1057))</f>
        <v>0.11903294117647059</v>
      </c>
      <c r="N1057" s="5">
        <f>IF(ISBLANK($B1057),_xlfn.XLOOKUP($A1057,'2. TEUs &amp; Activities - EF'!$A$9:$A$190,'2. TEUs &amp; Activities - EF'!$M$9:$M$190),_xlfn.XLOOKUP($B1057,'2. TEUs &amp; Activities - EF'!$B$9:$B$190,'2. TEUs &amp; Activities - EF'!$M$9:$M$190))*'3. Pollutant Emissions - EF'!$J1057*IF(OR(ISBLANK($E1057),$G1057="Yes"),1,$E1057)*IF($H1057="Yes",1,(1-$F1057))</f>
        <v>3.2611764705882352E-4</v>
      </c>
      <c r="O1057" s="130"/>
    </row>
    <row r="1058" spans="1:15" ht="15" x14ac:dyDescent="0.25">
      <c r="A1058" s="5" t="s">
        <v>1567</v>
      </c>
      <c r="B1058" s="7"/>
      <c r="C1058" s="13" t="s">
        <v>46</v>
      </c>
      <c r="D1058" s="19" t="str">
        <f>IFERROR(IF(C1058="No CAS","",INDEX('DEQ Pollutant List'!$B$7:$B$611,MATCH('3. Pollutant Emissions - EF'!C1058,'DEQ Pollutant List'!$A$7:$A$611,0))),"")</f>
        <v>Benzene</v>
      </c>
      <c r="E1058" s="23">
        <v>0</v>
      </c>
      <c r="F1058" s="21">
        <v>0</v>
      </c>
      <c r="G1058" s="23" t="s">
        <v>1415</v>
      </c>
      <c r="H1058" s="21" t="s">
        <v>1415</v>
      </c>
      <c r="I1058" s="34">
        <v>8.0000000000000002E-3</v>
      </c>
      <c r="J1058" s="11">
        <f t="shared" si="38"/>
        <v>8.0000000000000002E-3</v>
      </c>
      <c r="K1058" s="6" t="s">
        <v>1416</v>
      </c>
      <c r="L1058" s="20" t="s">
        <v>1422</v>
      </c>
      <c r="M1058" s="7">
        <f>IF(ISBLANK($B1058),_xlfn.XLOOKUP($A1058,'2. TEUs &amp; Activities - EF'!$A$9:$A$190,'2. TEUs &amp; Activities - EF'!$J$9:$J$190),_xlfn.XLOOKUP($B1058,'2. TEUs &amp; Activities - EF'!$B$9:$B$190,'2. TEUs &amp; Activities - EF'!$J$9:$J$190))*'3. Pollutant Emissions - EF'!$I1058*IF(OR(ISBLANK($E1058),$G1058="Yes"),1,$E1058)*IF($H1058="Yes",1,(1-$F1058))</f>
        <v>0.21642352941176468</v>
      </c>
      <c r="N1058" s="5">
        <f>IF(ISBLANK($B1058),_xlfn.XLOOKUP($A1058,'2. TEUs &amp; Activities - EF'!$A$9:$A$190,'2. TEUs &amp; Activities - EF'!$M$9:$M$190),_xlfn.XLOOKUP($B1058,'2. TEUs &amp; Activities - EF'!$B$9:$B$190,'2. TEUs &amp; Activities - EF'!$M$9:$M$190))*'3. Pollutant Emissions - EF'!$J1058*IF(OR(ISBLANK($E1058),$G1058="Yes"),1,$E1058)*IF($H1058="Yes",1,(1-$F1058))</f>
        <v>5.9294117647058818E-4</v>
      </c>
      <c r="O1058" s="130"/>
    </row>
    <row r="1059" spans="1:15" ht="15" x14ac:dyDescent="0.25">
      <c r="A1059" s="5" t="s">
        <v>1567</v>
      </c>
      <c r="B1059" s="7"/>
      <c r="C1059" s="13" t="s">
        <v>55</v>
      </c>
      <c r="D1059" s="19" t="str">
        <f>IFERROR(IF(C1059="No CAS","",INDEX('DEQ Pollutant List'!$B$7:$B$611,MATCH('3. Pollutant Emissions - EF'!C1059,'DEQ Pollutant List'!$A$7:$A$611,0))),"")</f>
        <v>Beryllium and compounds</v>
      </c>
      <c r="E1059" s="23">
        <v>0</v>
      </c>
      <c r="F1059" s="21">
        <v>0</v>
      </c>
      <c r="G1059" s="23" t="s">
        <v>1415</v>
      </c>
      <c r="H1059" s="21" t="s">
        <v>1415</v>
      </c>
      <c r="I1059" s="34">
        <v>1.2E-5</v>
      </c>
      <c r="J1059" s="11">
        <f t="shared" si="38"/>
        <v>1.2E-5</v>
      </c>
      <c r="K1059" s="6" t="s">
        <v>1416</v>
      </c>
      <c r="L1059" s="20" t="s">
        <v>1422</v>
      </c>
      <c r="M1059" s="7">
        <f>IF(ISBLANK($B1059),_xlfn.XLOOKUP($A1059,'2. TEUs &amp; Activities - EF'!$A$9:$A$190,'2. TEUs &amp; Activities - EF'!$J$9:$J$190),_xlfn.XLOOKUP($B1059,'2. TEUs &amp; Activities - EF'!$B$9:$B$190,'2. TEUs &amp; Activities - EF'!$J$9:$J$190))*'3. Pollutant Emissions - EF'!$I1059*IF(OR(ISBLANK($E1059),$G1059="Yes"),1,$E1059)*IF($H1059="Yes",1,(1-$F1059))</f>
        <v>3.2463529411764705E-4</v>
      </c>
      <c r="N1059" s="5">
        <f>IF(ISBLANK($B1059),_xlfn.XLOOKUP($A1059,'2. TEUs &amp; Activities - EF'!$A$9:$A$190,'2. TEUs &amp; Activities - EF'!$M$9:$M$190),_xlfn.XLOOKUP($B1059,'2. TEUs &amp; Activities - EF'!$B$9:$B$190,'2. TEUs &amp; Activities - EF'!$M$9:$M$190))*'3. Pollutant Emissions - EF'!$J1059*IF(OR(ISBLANK($E1059),$G1059="Yes"),1,$E1059)*IF($H1059="Yes",1,(1-$F1059))</f>
        <v>8.8941176470588233E-7</v>
      </c>
      <c r="O1059" s="130"/>
    </row>
    <row r="1060" spans="1:15" ht="15" x14ac:dyDescent="0.25">
      <c r="A1060" s="5" t="s">
        <v>1567</v>
      </c>
      <c r="B1060" s="7"/>
      <c r="C1060" s="13" t="s">
        <v>56</v>
      </c>
      <c r="D1060" s="19" t="str">
        <f>IFERROR(IF(C1060="No CAS","",INDEX('DEQ Pollutant List'!$B$7:$B$611,MATCH('3. Pollutant Emissions - EF'!C1060,'DEQ Pollutant List'!$A$7:$A$611,0))),"")</f>
        <v>Cadmium and compounds</v>
      </c>
      <c r="E1060" s="23">
        <v>0</v>
      </c>
      <c r="F1060" s="21">
        <v>0</v>
      </c>
      <c r="G1060" s="23" t="s">
        <v>1415</v>
      </c>
      <c r="H1060" s="21" t="s">
        <v>1415</v>
      </c>
      <c r="I1060" s="34">
        <v>1.1000000000000001E-3</v>
      </c>
      <c r="J1060" s="11">
        <f t="shared" si="38"/>
        <v>1.1000000000000001E-3</v>
      </c>
      <c r="K1060" s="6" t="s">
        <v>1416</v>
      </c>
      <c r="L1060" s="20" t="s">
        <v>1422</v>
      </c>
      <c r="M1060" s="7">
        <f>IF(ISBLANK($B1060),_xlfn.XLOOKUP($A1060,'2. TEUs &amp; Activities - EF'!$A$9:$A$190,'2. TEUs &amp; Activities - EF'!$J$9:$J$190),_xlfn.XLOOKUP($B1060,'2. TEUs &amp; Activities - EF'!$B$9:$B$190,'2. TEUs &amp; Activities - EF'!$J$9:$J$190))*'3. Pollutant Emissions - EF'!$I1060*IF(OR(ISBLANK($E1060),$G1060="Yes"),1,$E1060)*IF($H1060="Yes",1,(1-$F1060))</f>
        <v>2.9758235294117648E-2</v>
      </c>
      <c r="N1060" s="5">
        <f>IF(ISBLANK($B1060),_xlfn.XLOOKUP($A1060,'2. TEUs &amp; Activities - EF'!$A$9:$A$190,'2. TEUs &amp; Activities - EF'!$M$9:$M$190),_xlfn.XLOOKUP($B1060,'2. TEUs &amp; Activities - EF'!$B$9:$B$190,'2. TEUs &amp; Activities - EF'!$M$9:$M$190))*'3. Pollutant Emissions - EF'!$J1060*IF(OR(ISBLANK($E1060),$G1060="Yes"),1,$E1060)*IF($H1060="Yes",1,(1-$F1060))</f>
        <v>8.1529411764705881E-5</v>
      </c>
      <c r="O1060" s="130"/>
    </row>
    <row r="1061" spans="1:15" ht="15" x14ac:dyDescent="0.25">
      <c r="A1061" s="5" t="s">
        <v>1567</v>
      </c>
      <c r="B1061" s="7"/>
      <c r="C1061" s="13" t="s">
        <v>57</v>
      </c>
      <c r="D1061" s="19" t="str">
        <f>IFERROR(IF(C1061="No CAS","",INDEX('DEQ Pollutant List'!$B$7:$B$611,MATCH('3. Pollutant Emissions - EF'!C1061,'DEQ Pollutant List'!$A$7:$A$611,0))),"")</f>
        <v>Chromium VI, chromate and dichromate particulate</v>
      </c>
      <c r="E1061" s="23">
        <v>0</v>
      </c>
      <c r="F1061" s="21">
        <v>0</v>
      </c>
      <c r="G1061" s="23" t="s">
        <v>1415</v>
      </c>
      <c r="H1061" s="21" t="s">
        <v>1415</v>
      </c>
      <c r="I1061" s="34">
        <v>1.4E-3</v>
      </c>
      <c r="J1061" s="11">
        <f t="shared" si="38"/>
        <v>1.4E-3</v>
      </c>
      <c r="K1061" s="6" t="s">
        <v>1416</v>
      </c>
      <c r="L1061" s="20" t="s">
        <v>1422</v>
      </c>
      <c r="M1061" s="7">
        <f>IF(ISBLANK($B1061),_xlfn.XLOOKUP($A1061,'2. TEUs &amp; Activities - EF'!$A$9:$A$190,'2. TEUs &amp; Activities - EF'!$J$9:$J$190),_xlfn.XLOOKUP($B1061,'2. TEUs &amp; Activities - EF'!$B$9:$B$190,'2. TEUs &amp; Activities - EF'!$J$9:$J$190))*'3. Pollutant Emissions - EF'!$I1061*IF(OR(ISBLANK($E1061),$G1061="Yes"),1,$E1061)*IF($H1061="Yes",1,(1-$F1061))</f>
        <v>3.7874117647058822E-2</v>
      </c>
      <c r="N1061" s="5">
        <f>IF(ISBLANK($B1061),_xlfn.XLOOKUP($A1061,'2. TEUs &amp; Activities - EF'!$A$9:$A$190,'2. TEUs &amp; Activities - EF'!$M$9:$M$190),_xlfn.XLOOKUP($B1061,'2. TEUs &amp; Activities - EF'!$B$9:$B$190,'2. TEUs &amp; Activities - EF'!$M$9:$M$190))*'3. Pollutant Emissions - EF'!$J1061*IF(OR(ISBLANK($E1061),$G1061="Yes"),1,$E1061)*IF($H1061="Yes",1,(1-$F1061))</f>
        <v>1.0376470588235293E-4</v>
      </c>
      <c r="O1061" s="130"/>
    </row>
    <row r="1062" spans="1:15" ht="15" x14ac:dyDescent="0.25">
      <c r="A1062" s="5" t="s">
        <v>1567</v>
      </c>
      <c r="B1062" s="7"/>
      <c r="C1062" s="13" t="s">
        <v>58</v>
      </c>
      <c r="D1062" s="19" t="str">
        <f>IFERROR(IF(C1062="No CAS","",INDEX('DEQ Pollutant List'!$B$7:$B$611,MATCH('3. Pollutant Emissions - EF'!C1062,'DEQ Pollutant List'!$A$7:$A$611,0))),"")</f>
        <v>Cobalt and compounds</v>
      </c>
      <c r="E1062" s="23">
        <v>0</v>
      </c>
      <c r="F1062" s="21">
        <v>0</v>
      </c>
      <c r="G1062" s="23" t="s">
        <v>1415</v>
      </c>
      <c r="H1062" s="21" t="s">
        <v>1415</v>
      </c>
      <c r="I1062" s="34">
        <v>8.3999999999999995E-5</v>
      </c>
      <c r="J1062" s="11">
        <f t="shared" si="38"/>
        <v>8.3999999999999995E-5</v>
      </c>
      <c r="K1062" s="6" t="s">
        <v>1416</v>
      </c>
      <c r="L1062" s="20" t="s">
        <v>1422</v>
      </c>
      <c r="M1062" s="7">
        <f>IF(ISBLANK($B1062),_xlfn.XLOOKUP($A1062,'2. TEUs &amp; Activities - EF'!$A$9:$A$190,'2. TEUs &amp; Activities - EF'!$J$9:$J$190),_xlfn.XLOOKUP($B1062,'2. TEUs &amp; Activities - EF'!$B$9:$B$190,'2. TEUs &amp; Activities - EF'!$J$9:$J$190))*'3. Pollutant Emissions - EF'!$I1062*IF(OR(ISBLANK($E1062),$G1062="Yes"),1,$E1062)*IF($H1062="Yes",1,(1-$F1062))</f>
        <v>2.2724470588235293E-3</v>
      </c>
      <c r="N1062" s="5">
        <f>IF(ISBLANK($B1062),_xlfn.XLOOKUP($A1062,'2. TEUs &amp; Activities - EF'!$A$9:$A$190,'2. TEUs &amp; Activities - EF'!$M$9:$M$190),_xlfn.XLOOKUP($B1062,'2. TEUs &amp; Activities - EF'!$B$9:$B$190,'2. TEUs &amp; Activities - EF'!$M$9:$M$190))*'3. Pollutant Emissions - EF'!$J1062*IF(OR(ISBLANK($E1062),$G1062="Yes"),1,$E1062)*IF($H1062="Yes",1,(1-$F1062))</f>
        <v>6.2258823529411759E-6</v>
      </c>
      <c r="O1062" s="130"/>
    </row>
    <row r="1063" spans="1:15" ht="15" x14ac:dyDescent="0.25">
      <c r="A1063" s="5" t="s">
        <v>1567</v>
      </c>
      <c r="B1063" s="7"/>
      <c r="C1063" s="13" t="s">
        <v>59</v>
      </c>
      <c r="D1063" s="19" t="str">
        <f>IFERROR(IF(C1063="No CAS","",INDEX('DEQ Pollutant List'!$B$7:$B$611,MATCH('3. Pollutant Emissions - EF'!C1063,'DEQ Pollutant List'!$A$7:$A$611,0))),"")</f>
        <v>Copper and compounds</v>
      </c>
      <c r="E1063" s="23">
        <v>0</v>
      </c>
      <c r="F1063" s="21">
        <v>0</v>
      </c>
      <c r="G1063" s="23" t="s">
        <v>1415</v>
      </c>
      <c r="H1063" s="21" t="s">
        <v>1415</v>
      </c>
      <c r="I1063" s="34">
        <v>8.4999999999999995E-4</v>
      </c>
      <c r="J1063" s="11">
        <f t="shared" si="38"/>
        <v>8.4999999999999995E-4</v>
      </c>
      <c r="K1063" s="6" t="s">
        <v>1416</v>
      </c>
      <c r="L1063" s="20" t="s">
        <v>1422</v>
      </c>
      <c r="M1063" s="7">
        <f>IF(ISBLANK($B1063),_xlfn.XLOOKUP($A1063,'2. TEUs &amp; Activities - EF'!$A$9:$A$190,'2. TEUs &amp; Activities - EF'!$J$9:$J$190),_xlfn.XLOOKUP($B1063,'2. TEUs &amp; Activities - EF'!$B$9:$B$190,'2. TEUs &amp; Activities - EF'!$J$9:$J$190))*'3. Pollutant Emissions - EF'!$I1063*IF(OR(ISBLANK($E1063),$G1063="Yes"),1,$E1063)*IF($H1063="Yes",1,(1-$F1063))</f>
        <v>2.2994999999999998E-2</v>
      </c>
      <c r="N1063" s="5">
        <f>IF(ISBLANK($B1063),_xlfn.XLOOKUP($A1063,'2. TEUs &amp; Activities - EF'!$A$9:$A$190,'2. TEUs &amp; Activities - EF'!$M$9:$M$190),_xlfn.XLOOKUP($B1063,'2. TEUs &amp; Activities - EF'!$B$9:$B$190,'2. TEUs &amp; Activities - EF'!$M$9:$M$190))*'3. Pollutant Emissions - EF'!$J1063*IF(OR(ISBLANK($E1063),$G1063="Yes"),1,$E1063)*IF($H1063="Yes",1,(1-$F1063))</f>
        <v>6.2999999999999986E-5</v>
      </c>
      <c r="O1063" s="130"/>
    </row>
    <row r="1064" spans="1:15" ht="15" x14ac:dyDescent="0.25">
      <c r="A1064" s="5" t="s">
        <v>1567</v>
      </c>
      <c r="B1064" s="7"/>
      <c r="C1064" s="13" t="s">
        <v>60</v>
      </c>
      <c r="D1064" s="19" t="str">
        <f>IFERROR(IF(C1064="No CAS","",INDEX('DEQ Pollutant List'!$B$7:$B$611,MATCH('3. Pollutant Emissions - EF'!C1064,'DEQ Pollutant List'!$A$7:$A$611,0))),"")</f>
        <v>Ethyl benzene</v>
      </c>
      <c r="E1064" s="23">
        <v>0</v>
      </c>
      <c r="F1064" s="21">
        <v>0</v>
      </c>
      <c r="G1064" s="23" t="s">
        <v>1415</v>
      </c>
      <c r="H1064" s="21" t="s">
        <v>1415</v>
      </c>
      <c r="I1064" s="34">
        <v>9.4999999999999998E-3</v>
      </c>
      <c r="J1064" s="11">
        <f t="shared" si="38"/>
        <v>9.4999999999999998E-3</v>
      </c>
      <c r="K1064" s="6" t="s">
        <v>1416</v>
      </c>
      <c r="L1064" s="20" t="s">
        <v>1422</v>
      </c>
      <c r="M1064" s="7">
        <f>IF(ISBLANK($B1064),_xlfn.XLOOKUP($A1064,'2. TEUs &amp; Activities - EF'!$A$9:$A$190,'2. TEUs &amp; Activities - EF'!$J$9:$J$190),_xlfn.XLOOKUP($B1064,'2. TEUs &amp; Activities - EF'!$B$9:$B$190,'2. TEUs &amp; Activities - EF'!$J$9:$J$190))*'3. Pollutant Emissions - EF'!$I1064*IF(OR(ISBLANK($E1064),$G1064="Yes"),1,$E1064)*IF($H1064="Yes",1,(1-$F1064))</f>
        <v>0.25700294117647055</v>
      </c>
      <c r="N1064" s="5">
        <f>IF(ISBLANK($B1064),_xlfn.XLOOKUP($A1064,'2. TEUs &amp; Activities - EF'!$A$9:$A$190,'2. TEUs &amp; Activities - EF'!$M$9:$M$190),_xlfn.XLOOKUP($B1064,'2. TEUs &amp; Activities - EF'!$B$9:$B$190,'2. TEUs &amp; Activities - EF'!$M$9:$M$190))*'3. Pollutant Emissions - EF'!$J1064*IF(OR(ISBLANK($E1064),$G1064="Yes"),1,$E1064)*IF($H1064="Yes",1,(1-$F1064))</f>
        <v>7.0411764705882349E-4</v>
      </c>
      <c r="O1064" s="130"/>
    </row>
    <row r="1065" spans="1:15" ht="15" x14ac:dyDescent="0.25">
      <c r="A1065" s="5" t="s">
        <v>1567</v>
      </c>
      <c r="B1065" s="7"/>
      <c r="C1065" s="13" t="s">
        <v>47</v>
      </c>
      <c r="D1065" s="19" t="str">
        <f>IFERROR(IF(C1065="No CAS","",INDEX('DEQ Pollutant List'!$B$7:$B$611,MATCH('3. Pollutant Emissions - EF'!C1065,'DEQ Pollutant List'!$A$7:$A$611,0))),"")</f>
        <v>Formaldehyde</v>
      </c>
      <c r="E1065" s="23">
        <v>0</v>
      </c>
      <c r="F1065" s="21">
        <v>0</v>
      </c>
      <c r="G1065" s="23" t="s">
        <v>1415</v>
      </c>
      <c r="H1065" s="21" t="s">
        <v>1415</v>
      </c>
      <c r="I1065" s="34">
        <v>1.7000000000000001E-2</v>
      </c>
      <c r="J1065" s="11">
        <f t="shared" si="38"/>
        <v>1.7000000000000001E-2</v>
      </c>
      <c r="K1065" s="6" t="s">
        <v>1416</v>
      </c>
      <c r="L1065" s="20" t="s">
        <v>1422</v>
      </c>
      <c r="M1065" s="7">
        <f>IF(ISBLANK($B1065),_xlfn.XLOOKUP($A1065,'2. TEUs &amp; Activities - EF'!$A$9:$A$190,'2. TEUs &amp; Activities - EF'!$J$9:$J$190),_xlfn.XLOOKUP($B1065,'2. TEUs &amp; Activities - EF'!$B$9:$B$190,'2. TEUs &amp; Activities - EF'!$J$9:$J$190))*'3. Pollutant Emissions - EF'!$I1065*IF(OR(ISBLANK($E1065),$G1065="Yes"),1,$E1065)*IF($H1065="Yes",1,(1-$F1065))</f>
        <v>0.45989999999999998</v>
      </c>
      <c r="N1065" s="5">
        <f>IF(ISBLANK($B1065),_xlfn.XLOOKUP($A1065,'2. TEUs &amp; Activities - EF'!$A$9:$A$190,'2. TEUs &amp; Activities - EF'!$M$9:$M$190),_xlfn.XLOOKUP($B1065,'2. TEUs &amp; Activities - EF'!$B$9:$B$190,'2. TEUs &amp; Activities - EF'!$M$9:$M$190))*'3. Pollutant Emissions - EF'!$J1065*IF(OR(ISBLANK($E1065),$G1065="Yes"),1,$E1065)*IF($H1065="Yes",1,(1-$F1065))</f>
        <v>1.2600000000000001E-3</v>
      </c>
      <c r="O1065" s="130"/>
    </row>
    <row r="1066" spans="1:15" ht="15" x14ac:dyDescent="0.25">
      <c r="A1066" s="5" t="s">
        <v>1567</v>
      </c>
      <c r="B1066" s="7"/>
      <c r="C1066" s="13" t="s">
        <v>61</v>
      </c>
      <c r="D1066" s="19" t="str">
        <f>IFERROR(IF(C1066="No CAS","",INDEX('DEQ Pollutant List'!$B$7:$B$611,MATCH('3. Pollutant Emissions - EF'!C1066,'DEQ Pollutant List'!$A$7:$A$611,0))),"")</f>
        <v>Hexane</v>
      </c>
      <c r="E1066" s="23">
        <v>0</v>
      </c>
      <c r="F1066" s="21">
        <v>0</v>
      </c>
      <c r="G1066" s="23" t="s">
        <v>1415</v>
      </c>
      <c r="H1066" s="21" t="s">
        <v>1415</v>
      </c>
      <c r="I1066" s="34">
        <v>6.3E-3</v>
      </c>
      <c r="J1066" s="11">
        <f t="shared" si="38"/>
        <v>6.3E-3</v>
      </c>
      <c r="K1066" s="6" t="s">
        <v>1416</v>
      </c>
      <c r="L1066" s="20" t="s">
        <v>1422</v>
      </c>
      <c r="M1066" s="7">
        <f>IF(ISBLANK($B1066),_xlfn.XLOOKUP($A1066,'2. TEUs &amp; Activities - EF'!$A$9:$A$190,'2. TEUs &amp; Activities - EF'!$J$9:$J$190),_xlfn.XLOOKUP($B1066,'2. TEUs &amp; Activities - EF'!$B$9:$B$190,'2. TEUs &amp; Activities - EF'!$J$9:$J$190))*'3. Pollutant Emissions - EF'!$I1066*IF(OR(ISBLANK($E1066),$G1066="Yes"),1,$E1066)*IF($H1066="Yes",1,(1-$F1066))</f>
        <v>0.17043352941176471</v>
      </c>
      <c r="N1066" s="5">
        <f>IF(ISBLANK($B1066),_xlfn.XLOOKUP($A1066,'2. TEUs &amp; Activities - EF'!$A$9:$A$190,'2. TEUs &amp; Activities - EF'!$M$9:$M$190),_xlfn.XLOOKUP($B1066,'2. TEUs &amp; Activities - EF'!$B$9:$B$190,'2. TEUs &amp; Activities - EF'!$M$9:$M$190))*'3. Pollutant Emissions - EF'!$J1066*IF(OR(ISBLANK($E1066),$G1066="Yes"),1,$E1066)*IF($H1066="Yes",1,(1-$F1066))</f>
        <v>4.6694117647058821E-4</v>
      </c>
      <c r="O1066" s="130"/>
    </row>
    <row r="1067" spans="1:15" ht="15" x14ac:dyDescent="0.25">
      <c r="A1067" s="5" t="s">
        <v>1567</v>
      </c>
      <c r="B1067" s="7"/>
      <c r="C1067" s="13" t="s">
        <v>62</v>
      </c>
      <c r="D1067" s="19" t="str">
        <f>IFERROR(IF(C1067="No CAS","",INDEX('DEQ Pollutant List'!$B$7:$B$611,MATCH('3. Pollutant Emissions - EF'!C1067,'DEQ Pollutant List'!$A$7:$A$611,0))),"")</f>
        <v>Lead and compounds</v>
      </c>
      <c r="E1067" s="23">
        <v>0</v>
      </c>
      <c r="F1067" s="21">
        <v>0</v>
      </c>
      <c r="G1067" s="23" t="s">
        <v>1415</v>
      </c>
      <c r="H1067" s="21" t="s">
        <v>1415</v>
      </c>
      <c r="I1067" s="34">
        <v>5.0000000000000001E-4</v>
      </c>
      <c r="J1067" s="11">
        <f t="shared" si="38"/>
        <v>5.0000000000000001E-4</v>
      </c>
      <c r="K1067" s="6" t="s">
        <v>1416</v>
      </c>
      <c r="L1067" s="20" t="s">
        <v>1422</v>
      </c>
      <c r="M1067" s="7">
        <f>IF(ISBLANK($B1067),_xlfn.XLOOKUP($A1067,'2. TEUs &amp; Activities - EF'!$A$9:$A$190,'2. TEUs &amp; Activities - EF'!$J$9:$J$190),_xlfn.XLOOKUP($B1067,'2. TEUs &amp; Activities - EF'!$B$9:$B$190,'2. TEUs &amp; Activities - EF'!$J$9:$J$190))*'3. Pollutant Emissions - EF'!$I1067*IF(OR(ISBLANK($E1067),$G1067="Yes"),1,$E1067)*IF($H1067="Yes",1,(1-$F1067))</f>
        <v>1.3526470588235293E-2</v>
      </c>
      <c r="N1067" s="5">
        <f>IF(ISBLANK($B1067),_xlfn.XLOOKUP($A1067,'2. TEUs &amp; Activities - EF'!$A$9:$A$190,'2. TEUs &amp; Activities - EF'!$M$9:$M$190),_xlfn.XLOOKUP($B1067,'2. TEUs &amp; Activities - EF'!$B$9:$B$190,'2. TEUs &amp; Activities - EF'!$M$9:$M$190))*'3. Pollutant Emissions - EF'!$J1067*IF(OR(ISBLANK($E1067),$G1067="Yes"),1,$E1067)*IF($H1067="Yes",1,(1-$F1067))</f>
        <v>3.7058823529411761E-5</v>
      </c>
      <c r="O1067" s="130"/>
    </row>
    <row r="1068" spans="1:15" ht="15" x14ac:dyDescent="0.25">
      <c r="A1068" s="5" t="s">
        <v>1567</v>
      </c>
      <c r="B1068" s="7"/>
      <c r="C1068" s="13" t="s">
        <v>63</v>
      </c>
      <c r="D1068" s="19" t="str">
        <f>IFERROR(IF(C1068="No CAS","",INDEX('DEQ Pollutant List'!$B$7:$B$611,MATCH('3. Pollutant Emissions - EF'!C1068,'DEQ Pollutant List'!$A$7:$A$611,0))),"")</f>
        <v>Manganese and compounds</v>
      </c>
      <c r="E1068" s="23">
        <v>0</v>
      </c>
      <c r="F1068" s="21">
        <v>0</v>
      </c>
      <c r="G1068" s="23" t="s">
        <v>1415</v>
      </c>
      <c r="H1068" s="21" t="s">
        <v>1415</v>
      </c>
      <c r="I1068" s="34">
        <v>3.8000000000000002E-4</v>
      </c>
      <c r="J1068" s="11">
        <f t="shared" si="38"/>
        <v>3.8000000000000002E-4</v>
      </c>
      <c r="K1068" s="6" t="s">
        <v>1416</v>
      </c>
      <c r="L1068" s="20" t="s">
        <v>1422</v>
      </c>
      <c r="M1068" s="7">
        <f>IF(ISBLANK($B1068),_xlfn.XLOOKUP($A1068,'2. TEUs &amp; Activities - EF'!$A$9:$A$190,'2. TEUs &amp; Activities - EF'!$J$9:$J$190),_xlfn.XLOOKUP($B1068,'2. TEUs &amp; Activities - EF'!$B$9:$B$190,'2. TEUs &amp; Activities - EF'!$J$9:$J$190))*'3. Pollutant Emissions - EF'!$I1068*IF(OR(ISBLANK($E1068),$G1068="Yes"),1,$E1068)*IF($H1068="Yes",1,(1-$F1068))</f>
        <v>1.0280117647058823E-2</v>
      </c>
      <c r="N1068" s="5">
        <f>IF(ISBLANK($B1068),_xlfn.XLOOKUP($A1068,'2. TEUs &amp; Activities - EF'!$A$9:$A$190,'2. TEUs &amp; Activities - EF'!$M$9:$M$190),_xlfn.XLOOKUP($B1068,'2. TEUs &amp; Activities - EF'!$B$9:$B$190,'2. TEUs &amp; Activities - EF'!$M$9:$M$190))*'3. Pollutant Emissions - EF'!$J1068*IF(OR(ISBLANK($E1068),$G1068="Yes"),1,$E1068)*IF($H1068="Yes",1,(1-$F1068))</f>
        <v>2.8164705882352942E-5</v>
      </c>
      <c r="O1068" s="130"/>
    </row>
    <row r="1069" spans="1:15" ht="15" x14ac:dyDescent="0.25">
      <c r="A1069" s="5" t="s">
        <v>1567</v>
      </c>
      <c r="B1069" s="7"/>
      <c r="C1069" s="13" t="s">
        <v>64</v>
      </c>
      <c r="D1069" s="19" t="str">
        <f>IFERROR(IF(C1069="No CAS","",INDEX('DEQ Pollutant List'!$B$7:$B$611,MATCH('3. Pollutant Emissions - EF'!C1069,'DEQ Pollutant List'!$A$7:$A$611,0))),"")</f>
        <v>Mercury and compounds</v>
      </c>
      <c r="E1069" s="23">
        <v>0</v>
      </c>
      <c r="F1069" s="21">
        <v>0</v>
      </c>
      <c r="G1069" s="23" t="s">
        <v>1415</v>
      </c>
      <c r="H1069" s="21" t="s">
        <v>1415</v>
      </c>
      <c r="I1069" s="34">
        <v>2.5999999999999998E-4</v>
      </c>
      <c r="J1069" s="11">
        <f t="shared" si="38"/>
        <v>2.5999999999999998E-4</v>
      </c>
      <c r="K1069" s="6" t="s">
        <v>1416</v>
      </c>
      <c r="L1069" s="20" t="s">
        <v>1422</v>
      </c>
      <c r="M1069" s="7">
        <f>IF(ISBLANK($B1069),_xlfn.XLOOKUP($A1069,'2. TEUs &amp; Activities - EF'!$A$9:$A$190,'2. TEUs &amp; Activities - EF'!$J$9:$J$190),_xlfn.XLOOKUP($B1069,'2. TEUs &amp; Activities - EF'!$B$9:$B$190,'2. TEUs &amp; Activities - EF'!$J$9:$J$190))*'3. Pollutant Emissions - EF'!$I1069*IF(OR(ISBLANK($E1069),$G1069="Yes"),1,$E1069)*IF($H1069="Yes",1,(1-$F1069))</f>
        <v>7.0337647058823522E-3</v>
      </c>
      <c r="N1069" s="5">
        <f>IF(ISBLANK($B1069),_xlfn.XLOOKUP($A1069,'2. TEUs &amp; Activities - EF'!$A$9:$A$190,'2. TEUs &amp; Activities - EF'!$M$9:$M$190),_xlfn.XLOOKUP($B1069,'2. TEUs &amp; Activities - EF'!$B$9:$B$190,'2. TEUs &amp; Activities - EF'!$M$9:$M$190))*'3. Pollutant Emissions - EF'!$J1069*IF(OR(ISBLANK($E1069),$G1069="Yes"),1,$E1069)*IF($H1069="Yes",1,(1-$F1069))</f>
        <v>1.9270588235294113E-5</v>
      </c>
      <c r="O1069" s="130"/>
    </row>
    <row r="1070" spans="1:15" ht="15" x14ac:dyDescent="0.25">
      <c r="A1070" s="5" t="s">
        <v>1567</v>
      </c>
      <c r="B1070" s="7"/>
      <c r="C1070" s="13" t="s">
        <v>65</v>
      </c>
      <c r="D1070" s="19" t="str">
        <f>IFERROR(IF(C1070="No CAS","",INDEX('DEQ Pollutant List'!$B$7:$B$611,MATCH('3. Pollutant Emissions - EF'!C1070,'DEQ Pollutant List'!$A$7:$A$611,0))),"")</f>
        <v>Molybdenum trioxide</v>
      </c>
      <c r="E1070" s="23">
        <v>0</v>
      </c>
      <c r="F1070" s="21">
        <v>0</v>
      </c>
      <c r="G1070" s="23" t="s">
        <v>1415</v>
      </c>
      <c r="H1070" s="21" t="s">
        <v>1415</v>
      </c>
      <c r="I1070" s="34">
        <v>1.65E-3</v>
      </c>
      <c r="J1070" s="11">
        <f t="shared" si="38"/>
        <v>1.65E-3</v>
      </c>
      <c r="K1070" s="6" t="s">
        <v>1416</v>
      </c>
      <c r="L1070" s="20" t="s">
        <v>1422</v>
      </c>
      <c r="M1070" s="7">
        <f>IF(ISBLANK($B1070),_xlfn.XLOOKUP($A1070,'2. TEUs &amp; Activities - EF'!$A$9:$A$190,'2. TEUs &amp; Activities - EF'!$J$9:$J$190),_xlfn.XLOOKUP($B1070,'2. TEUs &amp; Activities - EF'!$B$9:$B$190,'2. TEUs &amp; Activities - EF'!$J$9:$J$190))*'3. Pollutant Emissions - EF'!$I1070*IF(OR(ISBLANK($E1070),$G1070="Yes"),1,$E1070)*IF($H1070="Yes",1,(1-$F1070))</f>
        <v>4.4637352941176468E-2</v>
      </c>
      <c r="N1070" s="5">
        <f>IF(ISBLANK($B1070),_xlfn.XLOOKUP($A1070,'2. TEUs &amp; Activities - EF'!$A$9:$A$190,'2. TEUs &amp; Activities - EF'!$M$9:$M$190),_xlfn.XLOOKUP($B1070,'2. TEUs &amp; Activities - EF'!$B$9:$B$190,'2. TEUs &amp; Activities - EF'!$M$9:$M$190))*'3. Pollutant Emissions - EF'!$J1070*IF(OR(ISBLANK($E1070),$G1070="Yes"),1,$E1070)*IF($H1070="Yes",1,(1-$F1070))</f>
        <v>1.2229411764705882E-4</v>
      </c>
      <c r="O1070" s="130"/>
    </row>
    <row r="1071" spans="1:15" ht="15" x14ac:dyDescent="0.25">
      <c r="A1071" s="5" t="s">
        <v>1567</v>
      </c>
      <c r="B1071" s="7"/>
      <c r="C1071" s="13" t="s">
        <v>49</v>
      </c>
      <c r="D1071" s="19" t="str">
        <f>IFERROR(IF(C1071="No CAS","",INDEX('DEQ Pollutant List'!$B$7:$B$611,MATCH('3. Pollutant Emissions - EF'!C1071,'DEQ Pollutant List'!$A$7:$A$611,0))),"")</f>
        <v>Naphthalene</v>
      </c>
      <c r="E1071" s="23">
        <v>0</v>
      </c>
      <c r="F1071" s="21">
        <v>0</v>
      </c>
      <c r="G1071" s="23" t="s">
        <v>1415</v>
      </c>
      <c r="H1071" s="21" t="s">
        <v>1415</v>
      </c>
      <c r="I1071" s="34">
        <v>2.9999999999999997E-4</v>
      </c>
      <c r="J1071" s="11">
        <f t="shared" si="38"/>
        <v>2.9999999999999997E-4</v>
      </c>
      <c r="K1071" s="6" t="s">
        <v>1416</v>
      </c>
      <c r="L1071" s="20" t="s">
        <v>1422</v>
      </c>
      <c r="M1071" s="7">
        <f>IF(ISBLANK($B1071),_xlfn.XLOOKUP($A1071,'2. TEUs &amp; Activities - EF'!$A$9:$A$190,'2. TEUs &amp; Activities - EF'!$J$9:$J$190),_xlfn.XLOOKUP($B1071,'2. TEUs &amp; Activities - EF'!$B$9:$B$190,'2. TEUs &amp; Activities - EF'!$J$9:$J$190))*'3. Pollutant Emissions - EF'!$I1071*IF(OR(ISBLANK($E1071),$G1071="Yes"),1,$E1071)*IF($H1071="Yes",1,(1-$F1071))</f>
        <v>8.1158823529411759E-3</v>
      </c>
      <c r="N1071" s="5">
        <f>IF(ISBLANK($B1071),_xlfn.XLOOKUP($A1071,'2. TEUs &amp; Activities - EF'!$A$9:$A$190,'2. TEUs &amp; Activities - EF'!$M$9:$M$190),_xlfn.XLOOKUP($B1071,'2. TEUs &amp; Activities - EF'!$B$9:$B$190,'2. TEUs &amp; Activities - EF'!$M$9:$M$190))*'3. Pollutant Emissions - EF'!$J1071*IF(OR(ISBLANK($E1071),$G1071="Yes"),1,$E1071)*IF($H1071="Yes",1,(1-$F1071))</f>
        <v>2.2235294117647056E-5</v>
      </c>
      <c r="O1071" s="130"/>
    </row>
    <row r="1072" spans="1:15" ht="15" x14ac:dyDescent="0.25">
      <c r="A1072" s="5" t="s">
        <v>1567</v>
      </c>
      <c r="B1072" s="7"/>
      <c r="C1072" s="13" t="s">
        <v>66</v>
      </c>
      <c r="D1072" s="19" t="str">
        <f>IFERROR(IF(C1072="No CAS","",INDEX('DEQ Pollutant List'!$B$7:$B$611,MATCH('3. Pollutant Emissions - EF'!C1072,'DEQ Pollutant List'!$A$7:$A$611,0))),"")</f>
        <v>Nickel and compounds</v>
      </c>
      <c r="E1072" s="23">
        <v>0</v>
      </c>
      <c r="F1072" s="21">
        <v>0</v>
      </c>
      <c r="G1072" s="23" t="s">
        <v>1415</v>
      </c>
      <c r="H1072" s="21" t="s">
        <v>1415</v>
      </c>
      <c r="I1072" s="34">
        <v>2.0999999999999999E-3</v>
      </c>
      <c r="J1072" s="11">
        <f t="shared" si="38"/>
        <v>2.0999999999999999E-3</v>
      </c>
      <c r="K1072" s="6" t="s">
        <v>1416</v>
      </c>
      <c r="L1072" s="20" t="s">
        <v>1422</v>
      </c>
      <c r="M1072" s="7">
        <f>IF(ISBLANK($B1072),_xlfn.XLOOKUP($A1072,'2. TEUs &amp; Activities - EF'!$A$9:$A$190,'2. TEUs &amp; Activities - EF'!$J$9:$J$190),_xlfn.XLOOKUP($B1072,'2. TEUs &amp; Activities - EF'!$B$9:$B$190,'2. TEUs &amp; Activities - EF'!$J$9:$J$190))*'3. Pollutant Emissions - EF'!$I1072*IF(OR(ISBLANK($E1072),$G1072="Yes"),1,$E1072)*IF($H1072="Yes",1,(1-$F1072))</f>
        <v>5.6811176470588226E-2</v>
      </c>
      <c r="N1072" s="5">
        <f>IF(ISBLANK($B1072),_xlfn.XLOOKUP($A1072,'2. TEUs &amp; Activities - EF'!$A$9:$A$190,'2. TEUs &amp; Activities - EF'!$M$9:$M$190),_xlfn.XLOOKUP($B1072,'2. TEUs &amp; Activities - EF'!$B$9:$B$190,'2. TEUs &amp; Activities - EF'!$M$9:$M$190))*'3. Pollutant Emissions - EF'!$J1072*IF(OR(ISBLANK($E1072),$G1072="Yes"),1,$E1072)*IF($H1072="Yes",1,(1-$F1072))</f>
        <v>1.556470588235294E-4</v>
      </c>
      <c r="O1072" s="130"/>
    </row>
    <row r="1073" spans="1:15" ht="15" x14ac:dyDescent="0.25">
      <c r="A1073" s="5" t="s">
        <v>1567</v>
      </c>
      <c r="B1073" s="7"/>
      <c r="C1073" s="13">
        <v>401</v>
      </c>
      <c r="D1073" s="19" t="str">
        <f>IFERROR(IF(C1073="No CAS","",INDEX('DEQ Pollutant List'!$B$7:$B$611,MATCH('3. Pollutant Emissions - EF'!C1073,'DEQ Pollutant List'!$A$7:$A$611,0))),"")</f>
        <v>Polycyclic aromatic hydrocarbons (PAHs)</v>
      </c>
      <c r="E1073" s="23">
        <v>0</v>
      </c>
      <c r="F1073" s="21">
        <v>0</v>
      </c>
      <c r="G1073" s="23" t="s">
        <v>1415</v>
      </c>
      <c r="H1073" s="21" t="s">
        <v>1415</v>
      </c>
      <c r="I1073" s="34">
        <v>1E-4</v>
      </c>
      <c r="J1073" s="11">
        <f t="shared" si="38"/>
        <v>1E-4</v>
      </c>
      <c r="K1073" s="6" t="s">
        <v>1416</v>
      </c>
      <c r="L1073" s="20" t="s">
        <v>1422</v>
      </c>
      <c r="M1073" s="7">
        <f>IF(ISBLANK($B1073),_xlfn.XLOOKUP($A1073,'2. TEUs &amp; Activities - EF'!$A$9:$A$190,'2. TEUs &amp; Activities - EF'!$J$9:$J$190),_xlfn.XLOOKUP($B1073,'2. TEUs &amp; Activities - EF'!$B$9:$B$190,'2. TEUs &amp; Activities - EF'!$J$9:$J$190))*'3. Pollutant Emissions - EF'!$I1073*IF(OR(ISBLANK($E1073),$G1073="Yes"),1,$E1073)*IF($H1073="Yes",1,(1-$F1073))</f>
        <v>2.7052941176470588E-3</v>
      </c>
      <c r="N1073" s="5">
        <f>IF(ISBLANK($B1073),_xlfn.XLOOKUP($A1073,'2. TEUs &amp; Activities - EF'!$A$9:$A$190,'2. TEUs &amp; Activities - EF'!$M$9:$M$190),_xlfn.XLOOKUP($B1073,'2. TEUs &amp; Activities - EF'!$B$9:$B$190,'2. TEUs &amp; Activities - EF'!$M$9:$M$190))*'3. Pollutant Emissions - EF'!$J1073*IF(OR(ISBLANK($E1073),$G1073="Yes"),1,$E1073)*IF($H1073="Yes",1,(1-$F1073))</f>
        <v>7.4117647058823526E-6</v>
      </c>
      <c r="O1073" s="130"/>
    </row>
    <row r="1074" spans="1:15" ht="15" x14ac:dyDescent="0.25">
      <c r="A1074" s="5" t="s">
        <v>1567</v>
      </c>
      <c r="B1074" s="7"/>
      <c r="C1074" s="13" t="s">
        <v>67</v>
      </c>
      <c r="D1074" s="19" t="str">
        <f>IFERROR(IF(C1074="No CAS","",INDEX('DEQ Pollutant List'!$B$7:$B$611,MATCH('3. Pollutant Emissions - EF'!C1074,'DEQ Pollutant List'!$A$7:$A$611,0))),"")</f>
        <v>Selenium and compounds</v>
      </c>
      <c r="E1074" s="23">
        <v>0</v>
      </c>
      <c r="F1074" s="21">
        <v>0</v>
      </c>
      <c r="G1074" s="23" t="s">
        <v>1415</v>
      </c>
      <c r="H1074" s="21" t="s">
        <v>1415</v>
      </c>
      <c r="I1074" s="34">
        <v>2.4000000000000001E-5</v>
      </c>
      <c r="J1074" s="11">
        <f t="shared" si="38"/>
        <v>2.4000000000000001E-5</v>
      </c>
      <c r="K1074" s="6" t="s">
        <v>1416</v>
      </c>
      <c r="L1074" s="20" t="s">
        <v>1422</v>
      </c>
      <c r="M1074" s="7">
        <f>IF(ISBLANK($B1074),_xlfn.XLOOKUP($A1074,'2. TEUs &amp; Activities - EF'!$A$9:$A$190,'2. TEUs &amp; Activities - EF'!$J$9:$J$190),_xlfn.XLOOKUP($B1074,'2. TEUs &amp; Activities - EF'!$B$9:$B$190,'2. TEUs &amp; Activities - EF'!$J$9:$J$190))*'3. Pollutant Emissions - EF'!$I1074*IF(OR(ISBLANK($E1074),$G1074="Yes"),1,$E1074)*IF($H1074="Yes",1,(1-$F1074))</f>
        <v>6.492705882352941E-4</v>
      </c>
      <c r="N1074" s="5">
        <f>IF(ISBLANK($B1074),_xlfn.XLOOKUP($A1074,'2. TEUs &amp; Activities - EF'!$A$9:$A$190,'2. TEUs &amp; Activities - EF'!$M$9:$M$190),_xlfn.XLOOKUP($B1074,'2. TEUs &amp; Activities - EF'!$B$9:$B$190,'2. TEUs &amp; Activities - EF'!$M$9:$M$190))*'3. Pollutant Emissions - EF'!$J1074*IF(OR(ISBLANK($E1074),$G1074="Yes"),1,$E1074)*IF($H1074="Yes",1,(1-$F1074))</f>
        <v>1.7788235294117647E-6</v>
      </c>
      <c r="O1074" s="130"/>
    </row>
    <row r="1075" spans="1:15" ht="15" x14ac:dyDescent="0.25">
      <c r="A1075" s="5" t="s">
        <v>1567</v>
      </c>
      <c r="B1075" s="7"/>
      <c r="C1075" s="13" t="s">
        <v>68</v>
      </c>
      <c r="D1075" s="19" t="str">
        <f>IFERROR(IF(C1075="No CAS","",INDEX('DEQ Pollutant List'!$B$7:$B$611,MATCH('3. Pollutant Emissions - EF'!C1075,'DEQ Pollutant List'!$A$7:$A$611,0))),"")</f>
        <v>Toluene</v>
      </c>
      <c r="E1075" s="23">
        <v>0</v>
      </c>
      <c r="F1075" s="21">
        <v>0</v>
      </c>
      <c r="G1075" s="23" t="s">
        <v>1415</v>
      </c>
      <c r="H1075" s="21" t="s">
        <v>1415</v>
      </c>
      <c r="I1075" s="34">
        <v>3.6600000000000001E-2</v>
      </c>
      <c r="J1075" s="11">
        <f t="shared" si="38"/>
        <v>3.6600000000000001E-2</v>
      </c>
      <c r="K1075" s="6" t="s">
        <v>1416</v>
      </c>
      <c r="L1075" s="20" t="s">
        <v>1422</v>
      </c>
      <c r="M1075" s="7">
        <f>IF(ISBLANK($B1075),_xlfn.XLOOKUP($A1075,'2. TEUs &amp; Activities - EF'!$A$9:$A$190,'2. TEUs &amp; Activities - EF'!$J$9:$J$190),_xlfn.XLOOKUP($B1075,'2. TEUs &amp; Activities - EF'!$B$9:$B$190,'2. TEUs &amp; Activities - EF'!$J$9:$J$190))*'3. Pollutant Emissions - EF'!$I1075*IF(OR(ISBLANK($E1075),$G1075="Yes"),1,$E1075)*IF($H1075="Yes",1,(1-$F1075))</f>
        <v>0.99013764705882346</v>
      </c>
      <c r="N1075" s="5">
        <f>IF(ISBLANK($B1075),_xlfn.XLOOKUP($A1075,'2. TEUs &amp; Activities - EF'!$A$9:$A$190,'2. TEUs &amp; Activities - EF'!$M$9:$M$190),_xlfn.XLOOKUP($B1075,'2. TEUs &amp; Activities - EF'!$B$9:$B$190,'2. TEUs &amp; Activities - EF'!$M$9:$M$190))*'3. Pollutant Emissions - EF'!$J1075*IF(OR(ISBLANK($E1075),$G1075="Yes"),1,$E1075)*IF($H1075="Yes",1,(1-$F1075))</f>
        <v>2.7127058823529409E-3</v>
      </c>
      <c r="O1075" s="130"/>
    </row>
    <row r="1076" spans="1:15" ht="15" x14ac:dyDescent="0.25">
      <c r="A1076" s="5" t="s">
        <v>1567</v>
      </c>
      <c r="B1076" s="7"/>
      <c r="C1076" s="13" t="s">
        <v>69</v>
      </c>
      <c r="D1076" s="19" t="str">
        <f>IFERROR(IF(C1076="No CAS","",INDEX('DEQ Pollutant List'!$B$7:$B$611,MATCH('3. Pollutant Emissions - EF'!C1076,'DEQ Pollutant List'!$A$7:$A$611,0))),"")</f>
        <v>Vanadium (fume or dust)</v>
      </c>
      <c r="E1076" s="23">
        <v>0</v>
      </c>
      <c r="F1076" s="21">
        <v>0</v>
      </c>
      <c r="G1076" s="23" t="s">
        <v>1415</v>
      </c>
      <c r="H1076" s="21" t="s">
        <v>1415</v>
      </c>
      <c r="I1076" s="34">
        <v>2.3E-3</v>
      </c>
      <c r="J1076" s="11">
        <f t="shared" si="38"/>
        <v>2.3E-3</v>
      </c>
      <c r="K1076" s="6" t="s">
        <v>1416</v>
      </c>
      <c r="L1076" s="20" t="s">
        <v>1422</v>
      </c>
      <c r="M1076" s="7">
        <f>IF(ISBLANK($B1076),_xlfn.XLOOKUP($A1076,'2. TEUs &amp; Activities - EF'!$A$9:$A$190,'2. TEUs &amp; Activities - EF'!$J$9:$J$190),_xlfn.XLOOKUP($B1076,'2. TEUs &amp; Activities - EF'!$B$9:$B$190,'2. TEUs &amp; Activities - EF'!$J$9:$J$190))*'3. Pollutant Emissions - EF'!$I1076*IF(OR(ISBLANK($E1076),$G1076="Yes"),1,$E1076)*IF($H1076="Yes",1,(1-$F1076))</f>
        <v>6.2221764705882344E-2</v>
      </c>
      <c r="N1076" s="5">
        <f>IF(ISBLANK($B1076),_xlfn.XLOOKUP($A1076,'2. TEUs &amp; Activities - EF'!$A$9:$A$190,'2. TEUs &amp; Activities - EF'!$M$9:$M$190),_xlfn.XLOOKUP($B1076,'2. TEUs &amp; Activities - EF'!$B$9:$B$190,'2. TEUs &amp; Activities - EF'!$M$9:$M$190))*'3. Pollutant Emissions - EF'!$J1076*IF(OR(ISBLANK($E1076),$G1076="Yes"),1,$E1076)*IF($H1076="Yes",1,(1-$F1076))</f>
        <v>1.7047058823529409E-4</v>
      </c>
      <c r="O1076" s="130"/>
    </row>
    <row r="1077" spans="1:15" ht="15" x14ac:dyDescent="0.25">
      <c r="A1077" s="5" t="s">
        <v>1567</v>
      </c>
      <c r="B1077" s="7"/>
      <c r="C1077" s="13" t="s">
        <v>70</v>
      </c>
      <c r="D1077" s="19" t="str">
        <f>IFERROR(IF(C1077="No CAS","",INDEX('DEQ Pollutant List'!$B$7:$B$611,MATCH('3. Pollutant Emissions - EF'!C1077,'DEQ Pollutant List'!$A$7:$A$611,0))),"")</f>
        <v>Xylene (mixture), including m-xylene, o-xylene, p-xylene</v>
      </c>
      <c r="E1077" s="23">
        <v>0</v>
      </c>
      <c r="F1077" s="21">
        <v>0</v>
      </c>
      <c r="G1077" s="23" t="s">
        <v>1415</v>
      </c>
      <c r="H1077" s="21" t="s">
        <v>1415</v>
      </c>
      <c r="I1077" s="34">
        <v>2.7199999999999998E-2</v>
      </c>
      <c r="J1077" s="11">
        <f t="shared" si="38"/>
        <v>2.7199999999999998E-2</v>
      </c>
      <c r="K1077" s="6" t="s">
        <v>1416</v>
      </c>
      <c r="L1077" s="20" t="s">
        <v>1422</v>
      </c>
      <c r="M1077" s="7">
        <f>IF(ISBLANK($B1077),_xlfn.XLOOKUP($A1077,'2. TEUs &amp; Activities - EF'!$A$9:$A$190,'2. TEUs &amp; Activities - EF'!$J$9:$J$190),_xlfn.XLOOKUP($B1077,'2. TEUs &amp; Activities - EF'!$B$9:$B$190,'2. TEUs &amp; Activities - EF'!$J$9:$J$190))*'3. Pollutant Emissions - EF'!$I1077*IF(OR(ISBLANK($E1077),$G1077="Yes"),1,$E1077)*IF($H1077="Yes",1,(1-$F1077))</f>
        <v>0.73583999999999994</v>
      </c>
      <c r="N1077" s="5">
        <f>IF(ISBLANK($B1077),_xlfn.XLOOKUP($A1077,'2. TEUs &amp; Activities - EF'!$A$9:$A$190,'2. TEUs &amp; Activities - EF'!$M$9:$M$190),_xlfn.XLOOKUP($B1077,'2. TEUs &amp; Activities - EF'!$B$9:$B$190,'2. TEUs &amp; Activities - EF'!$M$9:$M$190))*'3. Pollutant Emissions - EF'!$J1077*IF(OR(ISBLANK($E1077),$G1077="Yes"),1,$E1077)*IF($H1077="Yes",1,(1-$F1077))</f>
        <v>2.0159999999999996E-3</v>
      </c>
      <c r="O1077" s="130"/>
    </row>
    <row r="1078" spans="1:15" ht="15" x14ac:dyDescent="0.25">
      <c r="A1078" s="5" t="s">
        <v>1567</v>
      </c>
      <c r="B1078" s="7"/>
      <c r="C1078" s="13" t="s">
        <v>71</v>
      </c>
      <c r="D1078" s="19" t="str">
        <f>IFERROR(IF(C1078="No CAS","",INDEX('DEQ Pollutant List'!$B$7:$B$611,MATCH('3. Pollutant Emissions - EF'!C1078,'DEQ Pollutant List'!$A$7:$A$611,0))),"")</f>
        <v>Zinc and compounds</v>
      </c>
      <c r="E1078" s="23">
        <v>0</v>
      </c>
      <c r="F1078" s="21">
        <v>0</v>
      </c>
      <c r="G1078" s="23" t="s">
        <v>1415</v>
      </c>
      <c r="H1078" s="21" t="s">
        <v>1415</v>
      </c>
      <c r="I1078" s="34">
        <v>2.9000000000000001E-2</v>
      </c>
      <c r="J1078" s="11">
        <f t="shared" si="38"/>
        <v>2.9000000000000001E-2</v>
      </c>
      <c r="K1078" s="6" t="s">
        <v>1416</v>
      </c>
      <c r="L1078" s="20" t="s">
        <v>1422</v>
      </c>
      <c r="M1078" s="7">
        <f>IF(ISBLANK($B1078),_xlfn.XLOOKUP($A1078,'2. TEUs &amp; Activities - EF'!$A$9:$A$190,'2. TEUs &amp; Activities - EF'!$J$9:$J$190),_xlfn.XLOOKUP($B1078,'2. TEUs &amp; Activities - EF'!$B$9:$B$190,'2. TEUs &amp; Activities - EF'!$J$9:$J$190))*'3. Pollutant Emissions - EF'!$I1078*IF(OR(ISBLANK($E1078),$G1078="Yes"),1,$E1078)*IF($H1078="Yes",1,(1-$F1078))</f>
        <v>0.784535294117647</v>
      </c>
      <c r="N1078" s="5">
        <f>IF(ISBLANK($B1078),_xlfn.XLOOKUP($A1078,'2. TEUs &amp; Activities - EF'!$A$9:$A$190,'2. TEUs &amp; Activities - EF'!$M$9:$M$190),_xlfn.XLOOKUP($B1078,'2. TEUs &amp; Activities - EF'!$B$9:$B$190,'2. TEUs &amp; Activities - EF'!$M$9:$M$190))*'3. Pollutant Emissions - EF'!$J1078*IF(OR(ISBLANK($E1078),$G1078="Yes"),1,$E1078)*IF($H1078="Yes",1,(1-$F1078))</f>
        <v>2.1494117647058823E-3</v>
      </c>
      <c r="O1078" s="130"/>
    </row>
    <row r="1079" spans="1:15" ht="15" x14ac:dyDescent="0.25">
      <c r="A1079" s="5"/>
      <c r="B1079" s="7"/>
      <c r="C1079" s="13"/>
      <c r="D1079" s="19" t="str">
        <f>IFERROR(IF(C1079="No CAS","",INDEX('DEQ Pollutant List'!$B$7:$B$611,MATCH('3. Pollutant Emissions - EF'!C1079,'DEQ Pollutant List'!$A$7:$A$611,0))),"")</f>
        <v/>
      </c>
      <c r="E1079" s="23"/>
      <c r="F1079" s="21"/>
      <c r="G1079" s="23"/>
      <c r="H1079" s="21"/>
      <c r="I1079" s="34"/>
      <c r="J1079" s="11"/>
      <c r="K1079" s="6"/>
      <c r="L1079" s="20"/>
      <c r="M1079" s="7">
        <f>IF(ISBLANK($B1079),_xlfn.XLOOKUP($A1079,'2. TEUs &amp; Activities - EF'!$A$9:$A$190,'2. TEUs &amp; Activities - EF'!$J$9:$J$190),_xlfn.XLOOKUP($B1079,'2. TEUs &amp; Activities - EF'!$B$9:$B$190,'2. TEUs &amp; Activities - EF'!$J$9:$J$190))*'3. Pollutant Emissions - EF'!$I1079*IF(OR(ISBLANK($E1079),$G1079="Yes"),1,$E1079)*IF($H1079="Yes",1,(1-$F1079))</f>
        <v>0</v>
      </c>
      <c r="N1079" s="5">
        <f>IF(ISBLANK($B1079),_xlfn.XLOOKUP($A1079,'2. TEUs &amp; Activities - EF'!$A$9:$A$190,'2. TEUs &amp; Activities - EF'!$M$9:$M$190),_xlfn.XLOOKUP($B1079,'2. TEUs &amp; Activities - EF'!$B$9:$B$190,'2. TEUs &amp; Activities - EF'!$M$9:$M$190))*'3. Pollutant Emissions - EF'!$J1079*IF(OR(ISBLANK($E1079),$G1079="Yes"),1,$E1079)*IF($H1079="Yes",1,(1-$F1079))</f>
        <v>0</v>
      </c>
      <c r="O1079" s="130"/>
    </row>
    <row r="1080" spans="1:15" ht="15" x14ac:dyDescent="0.25">
      <c r="A1080" s="5" t="s">
        <v>1568</v>
      </c>
      <c r="B1080" s="7"/>
      <c r="C1080" s="13" t="s">
        <v>50</v>
      </c>
      <c r="D1080" s="19" t="str">
        <f>IFERROR(IF(C1080="No CAS","",INDEX('DEQ Pollutant List'!$B$7:$B$611,MATCH('3. Pollutant Emissions - EF'!C1080,'DEQ Pollutant List'!$A$7:$A$611,0))),"")</f>
        <v>Acetaldehyde</v>
      </c>
      <c r="E1080" s="23">
        <v>0</v>
      </c>
      <c r="F1080" s="21">
        <v>0</v>
      </c>
      <c r="G1080" s="23" t="s">
        <v>1415</v>
      </c>
      <c r="H1080" s="21" t="s">
        <v>1415</v>
      </c>
      <c r="I1080" s="34">
        <v>4.3E-3</v>
      </c>
      <c r="J1080" s="11">
        <f t="shared" ref="J1080:J1105" si="39">I1080</f>
        <v>4.3E-3</v>
      </c>
      <c r="K1080" s="6" t="s">
        <v>1416</v>
      </c>
      <c r="L1080" s="20" t="s">
        <v>1422</v>
      </c>
      <c r="M1080" s="7">
        <f>IF(ISBLANK($B1080),_xlfn.XLOOKUP($A1080,'2. TEUs &amp; Activities - EF'!$A$9:$A$190,'2. TEUs &amp; Activities - EF'!$J$9:$J$190),_xlfn.XLOOKUP($B1080,'2. TEUs &amp; Activities - EF'!$B$9:$B$190,'2. TEUs &amp; Activities - EF'!$J$9:$J$190))*'3. Pollutant Emissions - EF'!$I1080*IF(OR(ISBLANK($E1080),$G1080="Yes"),1,$E1080)*IF($H1080="Yes",1,(1-$F1080))</f>
        <v>7.6776247058823535E-2</v>
      </c>
      <c r="N1080" s="5">
        <f>IF(ISBLANK($B1080),_xlfn.XLOOKUP($A1080,'2. TEUs &amp; Activities - EF'!$A$9:$A$190,'2. TEUs &amp; Activities - EF'!$M$9:$M$190),_xlfn.XLOOKUP($B1080,'2. TEUs &amp; Activities - EF'!$B$9:$B$190,'2. TEUs &amp; Activities - EF'!$M$9:$M$190))*'3. Pollutant Emissions - EF'!$J1080*IF(OR(ISBLANK($E1080),$G1080="Yes"),1,$E1080)*IF($H1080="Yes",1,(1-$F1080))</f>
        <v>2.1034588235294119E-4</v>
      </c>
      <c r="O1080" s="130"/>
    </row>
    <row r="1081" spans="1:15" ht="15" x14ac:dyDescent="0.25">
      <c r="A1081" s="5" t="s">
        <v>1568</v>
      </c>
      <c r="B1081" s="7"/>
      <c r="C1081" s="13" t="s">
        <v>51</v>
      </c>
      <c r="D1081" s="19" t="str">
        <f>IFERROR(IF(C1081="No CAS","",INDEX('DEQ Pollutant List'!$B$7:$B$611,MATCH('3. Pollutant Emissions - EF'!C1081,'DEQ Pollutant List'!$A$7:$A$611,0))),"")</f>
        <v>Acrolein</v>
      </c>
      <c r="E1081" s="23">
        <v>0</v>
      </c>
      <c r="F1081" s="21">
        <v>0</v>
      </c>
      <c r="G1081" s="23" t="s">
        <v>1415</v>
      </c>
      <c r="H1081" s="21" t="s">
        <v>1415</v>
      </c>
      <c r="I1081" s="34">
        <v>2.7000000000000001E-3</v>
      </c>
      <c r="J1081" s="11">
        <f t="shared" si="39"/>
        <v>2.7000000000000001E-3</v>
      </c>
      <c r="K1081" s="6" t="s">
        <v>1416</v>
      </c>
      <c r="L1081" s="20" t="s">
        <v>1422</v>
      </c>
      <c r="M1081" s="7">
        <f>IF(ISBLANK($B1081),_xlfn.XLOOKUP($A1081,'2. TEUs &amp; Activities - EF'!$A$9:$A$190,'2. TEUs &amp; Activities - EF'!$J$9:$J$190),_xlfn.XLOOKUP($B1081,'2. TEUs &amp; Activities - EF'!$B$9:$B$190,'2. TEUs &amp; Activities - EF'!$J$9:$J$190))*'3. Pollutant Emissions - EF'!$I1081*IF(OR(ISBLANK($E1081),$G1081="Yes"),1,$E1081)*IF($H1081="Yes",1,(1-$F1081))</f>
        <v>4.8208341176470597E-2</v>
      </c>
      <c r="N1081" s="5">
        <f>IF(ISBLANK($B1081),_xlfn.XLOOKUP($A1081,'2. TEUs &amp; Activities - EF'!$A$9:$A$190,'2. TEUs &amp; Activities - EF'!$M$9:$M$190),_xlfn.XLOOKUP($B1081,'2. TEUs &amp; Activities - EF'!$B$9:$B$190,'2. TEUs &amp; Activities - EF'!$M$9:$M$190))*'3. Pollutant Emissions - EF'!$J1081*IF(OR(ISBLANK($E1081),$G1081="Yes"),1,$E1081)*IF($H1081="Yes",1,(1-$F1081))</f>
        <v>1.3207764705882354E-4</v>
      </c>
      <c r="O1081" s="130"/>
    </row>
    <row r="1082" spans="1:15" ht="15" x14ac:dyDescent="0.25">
      <c r="A1082" s="5" t="s">
        <v>1568</v>
      </c>
      <c r="B1082" s="7"/>
      <c r="C1082" s="13" t="s">
        <v>52</v>
      </c>
      <c r="D1082" s="19" t="str">
        <f>IFERROR(IF(C1082="No CAS","",INDEX('DEQ Pollutant List'!$B$7:$B$611,MATCH('3. Pollutant Emissions - EF'!C1082,'DEQ Pollutant List'!$A$7:$A$611,0))),"")</f>
        <v>Ammonia</v>
      </c>
      <c r="E1082" s="23">
        <v>0</v>
      </c>
      <c r="F1082" s="21">
        <v>0</v>
      </c>
      <c r="G1082" s="23" t="s">
        <v>1415</v>
      </c>
      <c r="H1082" s="21" t="s">
        <v>1415</v>
      </c>
      <c r="I1082" s="34">
        <v>3.2</v>
      </c>
      <c r="J1082" s="11">
        <f t="shared" si="39"/>
        <v>3.2</v>
      </c>
      <c r="K1082" s="6" t="s">
        <v>1416</v>
      </c>
      <c r="L1082" s="20" t="s">
        <v>1586</v>
      </c>
      <c r="M1082" s="7">
        <f>IF(ISBLANK($B1082),_xlfn.XLOOKUP($A1082,'2. TEUs &amp; Activities - EF'!$A$9:$A$190,'2. TEUs &amp; Activities - EF'!$J$9:$J$190),_xlfn.XLOOKUP($B1082,'2. TEUs &amp; Activities - EF'!$B$9:$B$190,'2. TEUs &amp; Activities - EF'!$J$9:$J$190))*'3. Pollutant Emissions - EF'!$I1082*IF(OR(ISBLANK($E1082),$G1082="Yes"),1,$E1082)*IF($H1082="Yes",1,(1-$F1082))</f>
        <v>57.135811764705892</v>
      </c>
      <c r="N1082" s="5">
        <f>IF(ISBLANK($B1082),_xlfn.XLOOKUP($A1082,'2. TEUs &amp; Activities - EF'!$A$9:$A$190,'2. TEUs &amp; Activities - EF'!$M$9:$M$190),_xlfn.XLOOKUP($B1082,'2. TEUs &amp; Activities - EF'!$B$9:$B$190,'2. TEUs &amp; Activities - EF'!$M$9:$M$190))*'3. Pollutant Emissions - EF'!$J1082*IF(OR(ISBLANK($E1082),$G1082="Yes"),1,$E1082)*IF($H1082="Yes",1,(1-$F1082))</f>
        <v>0.1565364705882353</v>
      </c>
      <c r="O1082" s="130"/>
    </row>
    <row r="1083" spans="1:15" ht="15" x14ac:dyDescent="0.25">
      <c r="A1083" s="5" t="s">
        <v>1568</v>
      </c>
      <c r="B1083" s="7"/>
      <c r="C1083" s="13" t="s">
        <v>53</v>
      </c>
      <c r="D1083" s="19" t="str">
        <f>IFERROR(IF(C1083="No CAS","",INDEX('DEQ Pollutant List'!$B$7:$B$611,MATCH('3. Pollutant Emissions - EF'!C1083,'DEQ Pollutant List'!$A$7:$A$611,0))),"")</f>
        <v>Arsenic and compounds</v>
      </c>
      <c r="E1083" s="23">
        <v>0</v>
      </c>
      <c r="F1083" s="21">
        <v>0</v>
      </c>
      <c r="G1083" s="23" t="s">
        <v>1415</v>
      </c>
      <c r="H1083" s="21" t="s">
        <v>1415</v>
      </c>
      <c r="I1083" s="34">
        <v>2.0000000000000001E-4</v>
      </c>
      <c r="J1083" s="11">
        <f t="shared" si="39"/>
        <v>2.0000000000000001E-4</v>
      </c>
      <c r="K1083" s="6" t="s">
        <v>1416</v>
      </c>
      <c r="L1083" s="20" t="s">
        <v>1422</v>
      </c>
      <c r="M1083" s="7">
        <f>IF(ISBLANK($B1083),_xlfn.XLOOKUP($A1083,'2. TEUs &amp; Activities - EF'!$A$9:$A$190,'2. TEUs &amp; Activities - EF'!$J$9:$J$190),_xlfn.XLOOKUP($B1083,'2. TEUs &amp; Activities - EF'!$B$9:$B$190,'2. TEUs &amp; Activities - EF'!$J$9:$J$190))*'3. Pollutant Emissions - EF'!$I1083*IF(OR(ISBLANK($E1083),$G1083="Yes"),1,$E1083)*IF($H1083="Yes",1,(1-$F1083))</f>
        <v>3.5709882352941182E-3</v>
      </c>
      <c r="N1083" s="5">
        <f>IF(ISBLANK($B1083),_xlfn.XLOOKUP($A1083,'2. TEUs &amp; Activities - EF'!$A$9:$A$190,'2. TEUs &amp; Activities - EF'!$M$9:$M$190),_xlfn.XLOOKUP($B1083,'2. TEUs &amp; Activities - EF'!$B$9:$B$190,'2. TEUs &amp; Activities - EF'!$M$9:$M$190))*'3. Pollutant Emissions - EF'!$J1083*IF(OR(ISBLANK($E1083),$G1083="Yes"),1,$E1083)*IF($H1083="Yes",1,(1-$F1083))</f>
        <v>9.7835294117647061E-6</v>
      </c>
      <c r="O1083" s="130"/>
    </row>
    <row r="1084" spans="1:15" ht="15" x14ac:dyDescent="0.25">
      <c r="A1084" s="5" t="s">
        <v>1568</v>
      </c>
      <c r="B1084" s="7"/>
      <c r="C1084" s="13" t="s">
        <v>54</v>
      </c>
      <c r="D1084" s="19" t="str">
        <f>IFERROR(IF(C1084="No CAS","",INDEX('DEQ Pollutant List'!$B$7:$B$611,MATCH('3. Pollutant Emissions - EF'!C1084,'DEQ Pollutant List'!$A$7:$A$611,0))),"")</f>
        <v>Barium and compounds</v>
      </c>
      <c r="E1084" s="23">
        <v>0</v>
      </c>
      <c r="F1084" s="21">
        <v>0</v>
      </c>
      <c r="G1084" s="23" t="s">
        <v>1415</v>
      </c>
      <c r="H1084" s="21" t="s">
        <v>1415</v>
      </c>
      <c r="I1084" s="34">
        <v>4.4000000000000003E-3</v>
      </c>
      <c r="J1084" s="11">
        <f t="shared" si="39"/>
        <v>4.4000000000000003E-3</v>
      </c>
      <c r="K1084" s="6" t="s">
        <v>1416</v>
      </c>
      <c r="L1084" s="20" t="s">
        <v>1422</v>
      </c>
      <c r="M1084" s="7">
        <f>IF(ISBLANK($B1084),_xlfn.XLOOKUP($A1084,'2. TEUs &amp; Activities - EF'!$A$9:$A$190,'2. TEUs &amp; Activities - EF'!$J$9:$J$190),_xlfn.XLOOKUP($B1084,'2. TEUs &amp; Activities - EF'!$B$9:$B$190,'2. TEUs &amp; Activities - EF'!$J$9:$J$190))*'3. Pollutant Emissions - EF'!$I1084*IF(OR(ISBLANK($E1084),$G1084="Yes"),1,$E1084)*IF($H1084="Yes",1,(1-$F1084))</f>
        <v>7.8561741176470593E-2</v>
      </c>
      <c r="N1084" s="5">
        <f>IF(ISBLANK($B1084),_xlfn.XLOOKUP($A1084,'2. TEUs &amp; Activities - EF'!$A$9:$A$190,'2. TEUs &amp; Activities - EF'!$M$9:$M$190),_xlfn.XLOOKUP($B1084,'2. TEUs &amp; Activities - EF'!$B$9:$B$190,'2. TEUs &amp; Activities - EF'!$M$9:$M$190))*'3. Pollutant Emissions - EF'!$J1084*IF(OR(ISBLANK($E1084),$G1084="Yes"),1,$E1084)*IF($H1084="Yes",1,(1-$F1084))</f>
        <v>2.1523764705882355E-4</v>
      </c>
      <c r="O1084" s="130"/>
    </row>
    <row r="1085" spans="1:15" ht="15" x14ac:dyDescent="0.25">
      <c r="A1085" s="5" t="s">
        <v>1568</v>
      </c>
      <c r="B1085" s="7"/>
      <c r="C1085" s="13" t="s">
        <v>46</v>
      </c>
      <c r="D1085" s="19" t="str">
        <f>IFERROR(IF(C1085="No CAS","",INDEX('DEQ Pollutant List'!$B$7:$B$611,MATCH('3. Pollutant Emissions - EF'!C1085,'DEQ Pollutant List'!$A$7:$A$611,0))),"")</f>
        <v>Benzene</v>
      </c>
      <c r="E1085" s="23">
        <v>0</v>
      </c>
      <c r="F1085" s="21">
        <v>0</v>
      </c>
      <c r="G1085" s="23" t="s">
        <v>1415</v>
      </c>
      <c r="H1085" s="21" t="s">
        <v>1415</v>
      </c>
      <c r="I1085" s="34">
        <v>8.0000000000000002E-3</v>
      </c>
      <c r="J1085" s="11">
        <f t="shared" si="39"/>
        <v>8.0000000000000002E-3</v>
      </c>
      <c r="K1085" s="6" t="s">
        <v>1416</v>
      </c>
      <c r="L1085" s="20" t="s">
        <v>1422</v>
      </c>
      <c r="M1085" s="7">
        <f>IF(ISBLANK($B1085),_xlfn.XLOOKUP($A1085,'2. TEUs &amp; Activities - EF'!$A$9:$A$190,'2. TEUs &amp; Activities - EF'!$J$9:$J$190),_xlfn.XLOOKUP($B1085,'2. TEUs &amp; Activities - EF'!$B$9:$B$190,'2. TEUs &amp; Activities - EF'!$J$9:$J$190))*'3. Pollutant Emissions - EF'!$I1085*IF(OR(ISBLANK($E1085),$G1085="Yes"),1,$E1085)*IF($H1085="Yes",1,(1-$F1085))</f>
        <v>0.14283952941176473</v>
      </c>
      <c r="N1085" s="5">
        <f>IF(ISBLANK($B1085),_xlfn.XLOOKUP($A1085,'2. TEUs &amp; Activities - EF'!$A$9:$A$190,'2. TEUs &amp; Activities - EF'!$M$9:$M$190),_xlfn.XLOOKUP($B1085,'2. TEUs &amp; Activities - EF'!$B$9:$B$190,'2. TEUs &amp; Activities - EF'!$M$9:$M$190))*'3. Pollutant Emissions - EF'!$J1085*IF(OR(ISBLANK($E1085),$G1085="Yes"),1,$E1085)*IF($H1085="Yes",1,(1-$F1085))</f>
        <v>3.9134117647058827E-4</v>
      </c>
      <c r="O1085" s="130"/>
    </row>
    <row r="1086" spans="1:15" ht="15" x14ac:dyDescent="0.25">
      <c r="A1086" s="5" t="s">
        <v>1568</v>
      </c>
      <c r="B1086" s="7"/>
      <c r="C1086" s="13" t="s">
        <v>55</v>
      </c>
      <c r="D1086" s="19" t="str">
        <f>IFERROR(IF(C1086="No CAS","",INDEX('DEQ Pollutant List'!$B$7:$B$611,MATCH('3. Pollutant Emissions - EF'!C1086,'DEQ Pollutant List'!$A$7:$A$611,0))),"")</f>
        <v>Beryllium and compounds</v>
      </c>
      <c r="E1086" s="23">
        <v>0</v>
      </c>
      <c r="F1086" s="21">
        <v>0</v>
      </c>
      <c r="G1086" s="23" t="s">
        <v>1415</v>
      </c>
      <c r="H1086" s="21" t="s">
        <v>1415</v>
      </c>
      <c r="I1086" s="34">
        <v>1.2E-5</v>
      </c>
      <c r="J1086" s="11">
        <f t="shared" si="39"/>
        <v>1.2E-5</v>
      </c>
      <c r="K1086" s="6" t="s">
        <v>1416</v>
      </c>
      <c r="L1086" s="20" t="s">
        <v>1422</v>
      </c>
      <c r="M1086" s="7">
        <f>IF(ISBLANK($B1086),_xlfn.XLOOKUP($A1086,'2. TEUs &amp; Activities - EF'!$A$9:$A$190,'2. TEUs &amp; Activities - EF'!$J$9:$J$190),_xlfn.XLOOKUP($B1086,'2. TEUs &amp; Activities - EF'!$B$9:$B$190,'2. TEUs &amp; Activities - EF'!$J$9:$J$190))*'3. Pollutant Emissions - EF'!$I1086*IF(OR(ISBLANK($E1086),$G1086="Yes"),1,$E1086)*IF($H1086="Yes",1,(1-$F1086))</f>
        <v>2.1425929411764708E-4</v>
      </c>
      <c r="N1086" s="5">
        <f>IF(ISBLANK($B1086),_xlfn.XLOOKUP($A1086,'2. TEUs &amp; Activities - EF'!$A$9:$A$190,'2. TEUs &amp; Activities - EF'!$M$9:$M$190),_xlfn.XLOOKUP($B1086,'2. TEUs &amp; Activities - EF'!$B$9:$B$190,'2. TEUs &amp; Activities - EF'!$M$9:$M$190))*'3. Pollutant Emissions - EF'!$J1086*IF(OR(ISBLANK($E1086),$G1086="Yes"),1,$E1086)*IF($H1086="Yes",1,(1-$F1086))</f>
        <v>5.8701176470588238E-7</v>
      </c>
      <c r="O1086" s="130"/>
    </row>
    <row r="1087" spans="1:15" ht="15" x14ac:dyDescent="0.25">
      <c r="A1087" s="5" t="s">
        <v>1568</v>
      </c>
      <c r="B1087" s="7"/>
      <c r="C1087" s="13" t="s">
        <v>56</v>
      </c>
      <c r="D1087" s="19" t="str">
        <f>IFERROR(IF(C1087="No CAS","",INDEX('DEQ Pollutant List'!$B$7:$B$611,MATCH('3. Pollutant Emissions - EF'!C1087,'DEQ Pollutant List'!$A$7:$A$611,0))),"")</f>
        <v>Cadmium and compounds</v>
      </c>
      <c r="E1087" s="23">
        <v>0</v>
      </c>
      <c r="F1087" s="21">
        <v>0</v>
      </c>
      <c r="G1087" s="23" t="s">
        <v>1415</v>
      </c>
      <c r="H1087" s="21" t="s">
        <v>1415</v>
      </c>
      <c r="I1087" s="34">
        <v>1.1000000000000001E-3</v>
      </c>
      <c r="J1087" s="11">
        <f t="shared" si="39"/>
        <v>1.1000000000000001E-3</v>
      </c>
      <c r="K1087" s="6" t="s">
        <v>1416</v>
      </c>
      <c r="L1087" s="20" t="s">
        <v>1422</v>
      </c>
      <c r="M1087" s="7">
        <f>IF(ISBLANK($B1087),_xlfn.XLOOKUP($A1087,'2. TEUs &amp; Activities - EF'!$A$9:$A$190,'2. TEUs &amp; Activities - EF'!$J$9:$J$190),_xlfn.XLOOKUP($B1087,'2. TEUs &amp; Activities - EF'!$B$9:$B$190,'2. TEUs &amp; Activities - EF'!$J$9:$J$190))*'3. Pollutant Emissions - EF'!$I1087*IF(OR(ISBLANK($E1087),$G1087="Yes"),1,$E1087)*IF($H1087="Yes",1,(1-$F1087))</f>
        <v>1.9640435294117648E-2</v>
      </c>
      <c r="N1087" s="5">
        <f>IF(ISBLANK($B1087),_xlfn.XLOOKUP($A1087,'2. TEUs &amp; Activities - EF'!$A$9:$A$190,'2. TEUs &amp; Activities - EF'!$M$9:$M$190),_xlfn.XLOOKUP($B1087,'2. TEUs &amp; Activities - EF'!$B$9:$B$190,'2. TEUs &amp; Activities - EF'!$M$9:$M$190))*'3. Pollutant Emissions - EF'!$J1087*IF(OR(ISBLANK($E1087),$G1087="Yes"),1,$E1087)*IF($H1087="Yes",1,(1-$F1087))</f>
        <v>5.3809411764705889E-5</v>
      </c>
      <c r="O1087" s="130"/>
    </row>
    <row r="1088" spans="1:15" ht="15" x14ac:dyDescent="0.25">
      <c r="A1088" s="5" t="s">
        <v>1568</v>
      </c>
      <c r="B1088" s="7"/>
      <c r="C1088" s="13" t="s">
        <v>57</v>
      </c>
      <c r="D1088" s="19" t="str">
        <f>IFERROR(IF(C1088="No CAS","",INDEX('DEQ Pollutant List'!$B$7:$B$611,MATCH('3. Pollutant Emissions - EF'!C1088,'DEQ Pollutant List'!$A$7:$A$611,0))),"")</f>
        <v>Chromium VI, chromate and dichromate particulate</v>
      </c>
      <c r="E1088" s="23">
        <v>0</v>
      </c>
      <c r="F1088" s="21">
        <v>0</v>
      </c>
      <c r="G1088" s="23" t="s">
        <v>1415</v>
      </c>
      <c r="H1088" s="21" t="s">
        <v>1415</v>
      </c>
      <c r="I1088" s="34">
        <v>1.4E-3</v>
      </c>
      <c r="J1088" s="11">
        <f t="shared" si="39"/>
        <v>1.4E-3</v>
      </c>
      <c r="K1088" s="6" t="s">
        <v>1416</v>
      </c>
      <c r="L1088" s="20" t="s">
        <v>1422</v>
      </c>
      <c r="M1088" s="7">
        <f>IF(ISBLANK($B1088),_xlfn.XLOOKUP($A1088,'2. TEUs &amp; Activities - EF'!$A$9:$A$190,'2. TEUs &amp; Activities - EF'!$J$9:$J$190),_xlfn.XLOOKUP($B1088,'2. TEUs &amp; Activities - EF'!$B$9:$B$190,'2. TEUs &amp; Activities - EF'!$J$9:$J$190))*'3. Pollutant Emissions - EF'!$I1088*IF(OR(ISBLANK($E1088),$G1088="Yes"),1,$E1088)*IF($H1088="Yes",1,(1-$F1088))</f>
        <v>2.4996917647058824E-2</v>
      </c>
      <c r="N1088" s="5">
        <f>IF(ISBLANK($B1088),_xlfn.XLOOKUP($A1088,'2. TEUs &amp; Activities - EF'!$A$9:$A$190,'2. TEUs &amp; Activities - EF'!$M$9:$M$190),_xlfn.XLOOKUP($B1088,'2. TEUs &amp; Activities - EF'!$B$9:$B$190,'2. TEUs &amp; Activities - EF'!$M$9:$M$190))*'3. Pollutant Emissions - EF'!$J1088*IF(OR(ISBLANK($E1088),$G1088="Yes"),1,$E1088)*IF($H1088="Yes",1,(1-$F1088))</f>
        <v>6.8484705882352939E-5</v>
      </c>
      <c r="O1088" s="130"/>
    </row>
    <row r="1089" spans="1:15" ht="15" x14ac:dyDescent="0.25">
      <c r="A1089" s="5" t="s">
        <v>1568</v>
      </c>
      <c r="B1089" s="7"/>
      <c r="C1089" s="13" t="s">
        <v>58</v>
      </c>
      <c r="D1089" s="19" t="str">
        <f>IFERROR(IF(C1089="No CAS","",INDEX('DEQ Pollutant List'!$B$7:$B$611,MATCH('3. Pollutant Emissions - EF'!C1089,'DEQ Pollutant List'!$A$7:$A$611,0))),"")</f>
        <v>Cobalt and compounds</v>
      </c>
      <c r="E1089" s="23">
        <v>0</v>
      </c>
      <c r="F1089" s="21">
        <v>0</v>
      </c>
      <c r="G1089" s="23" t="s">
        <v>1415</v>
      </c>
      <c r="H1089" s="21" t="s">
        <v>1415</v>
      </c>
      <c r="I1089" s="34">
        <v>8.3999999999999995E-5</v>
      </c>
      <c r="J1089" s="11">
        <f t="shared" si="39"/>
        <v>8.3999999999999995E-5</v>
      </c>
      <c r="K1089" s="6" t="s">
        <v>1416</v>
      </c>
      <c r="L1089" s="20" t="s">
        <v>1422</v>
      </c>
      <c r="M1089" s="7">
        <f>IF(ISBLANK($B1089),_xlfn.XLOOKUP($A1089,'2. TEUs &amp; Activities - EF'!$A$9:$A$190,'2. TEUs &amp; Activities - EF'!$J$9:$J$190),_xlfn.XLOOKUP($B1089,'2. TEUs &amp; Activities - EF'!$B$9:$B$190,'2. TEUs &amp; Activities - EF'!$J$9:$J$190))*'3. Pollutant Emissions - EF'!$I1089*IF(OR(ISBLANK($E1089),$G1089="Yes"),1,$E1089)*IF($H1089="Yes",1,(1-$F1089))</f>
        <v>1.4998150588235294E-3</v>
      </c>
      <c r="N1089" s="5">
        <f>IF(ISBLANK($B1089),_xlfn.XLOOKUP($A1089,'2. TEUs &amp; Activities - EF'!$A$9:$A$190,'2. TEUs &amp; Activities - EF'!$M$9:$M$190),_xlfn.XLOOKUP($B1089,'2. TEUs &amp; Activities - EF'!$B$9:$B$190,'2. TEUs &amp; Activities - EF'!$M$9:$M$190))*'3. Pollutant Emissions - EF'!$J1089*IF(OR(ISBLANK($E1089),$G1089="Yes"),1,$E1089)*IF($H1089="Yes",1,(1-$F1089))</f>
        <v>4.1090823529411761E-6</v>
      </c>
      <c r="O1089" s="130"/>
    </row>
    <row r="1090" spans="1:15" ht="15" x14ac:dyDescent="0.25">
      <c r="A1090" s="5" t="s">
        <v>1568</v>
      </c>
      <c r="B1090" s="7"/>
      <c r="C1090" s="13" t="s">
        <v>59</v>
      </c>
      <c r="D1090" s="19" t="str">
        <f>IFERROR(IF(C1090="No CAS","",INDEX('DEQ Pollutant List'!$B$7:$B$611,MATCH('3. Pollutant Emissions - EF'!C1090,'DEQ Pollutant List'!$A$7:$A$611,0))),"")</f>
        <v>Copper and compounds</v>
      </c>
      <c r="E1090" s="23">
        <v>0</v>
      </c>
      <c r="F1090" s="21">
        <v>0</v>
      </c>
      <c r="G1090" s="23" t="s">
        <v>1415</v>
      </c>
      <c r="H1090" s="21" t="s">
        <v>1415</v>
      </c>
      <c r="I1090" s="34">
        <v>8.4999999999999995E-4</v>
      </c>
      <c r="J1090" s="11">
        <f t="shared" si="39"/>
        <v>8.4999999999999995E-4</v>
      </c>
      <c r="K1090" s="6" t="s">
        <v>1416</v>
      </c>
      <c r="L1090" s="20" t="s">
        <v>1422</v>
      </c>
      <c r="M1090" s="7">
        <f>IF(ISBLANK($B1090),_xlfn.XLOOKUP($A1090,'2. TEUs &amp; Activities - EF'!$A$9:$A$190,'2. TEUs &amp; Activities - EF'!$J$9:$J$190),_xlfn.XLOOKUP($B1090,'2. TEUs &amp; Activities - EF'!$B$9:$B$190,'2. TEUs &amp; Activities - EF'!$J$9:$J$190))*'3. Pollutant Emissions - EF'!$I1090*IF(OR(ISBLANK($E1090),$G1090="Yes"),1,$E1090)*IF($H1090="Yes",1,(1-$F1090))</f>
        <v>1.51767E-2</v>
      </c>
      <c r="N1090" s="5">
        <f>IF(ISBLANK($B1090),_xlfn.XLOOKUP($A1090,'2. TEUs &amp; Activities - EF'!$A$9:$A$190,'2. TEUs &amp; Activities - EF'!$M$9:$M$190),_xlfn.XLOOKUP($B1090,'2. TEUs &amp; Activities - EF'!$B$9:$B$190,'2. TEUs &amp; Activities - EF'!$M$9:$M$190))*'3. Pollutant Emissions - EF'!$J1090*IF(OR(ISBLANK($E1090),$G1090="Yes"),1,$E1090)*IF($H1090="Yes",1,(1-$F1090))</f>
        <v>4.1579999999999998E-5</v>
      </c>
      <c r="O1090" s="130"/>
    </row>
    <row r="1091" spans="1:15" ht="15" x14ac:dyDescent="0.25">
      <c r="A1091" s="5" t="s">
        <v>1568</v>
      </c>
      <c r="B1091" s="7"/>
      <c r="C1091" s="13" t="s">
        <v>60</v>
      </c>
      <c r="D1091" s="19" t="str">
        <f>IFERROR(IF(C1091="No CAS","",INDEX('DEQ Pollutant List'!$B$7:$B$611,MATCH('3. Pollutant Emissions - EF'!C1091,'DEQ Pollutant List'!$A$7:$A$611,0))),"")</f>
        <v>Ethyl benzene</v>
      </c>
      <c r="E1091" s="23">
        <v>0</v>
      </c>
      <c r="F1091" s="21">
        <v>0</v>
      </c>
      <c r="G1091" s="23" t="s">
        <v>1415</v>
      </c>
      <c r="H1091" s="21" t="s">
        <v>1415</v>
      </c>
      <c r="I1091" s="34">
        <v>9.4999999999999998E-3</v>
      </c>
      <c r="J1091" s="11">
        <f t="shared" si="39"/>
        <v>9.4999999999999998E-3</v>
      </c>
      <c r="K1091" s="6" t="s">
        <v>1416</v>
      </c>
      <c r="L1091" s="20" t="s">
        <v>1422</v>
      </c>
      <c r="M1091" s="7">
        <f>IF(ISBLANK($B1091),_xlfn.XLOOKUP($A1091,'2. TEUs &amp; Activities - EF'!$A$9:$A$190,'2. TEUs &amp; Activities - EF'!$J$9:$J$190),_xlfn.XLOOKUP($B1091,'2. TEUs &amp; Activities - EF'!$B$9:$B$190,'2. TEUs &amp; Activities - EF'!$J$9:$J$190))*'3. Pollutant Emissions - EF'!$I1091*IF(OR(ISBLANK($E1091),$G1091="Yes"),1,$E1091)*IF($H1091="Yes",1,(1-$F1091))</f>
        <v>0.16962194117647059</v>
      </c>
      <c r="N1091" s="5">
        <f>IF(ISBLANK($B1091),_xlfn.XLOOKUP($A1091,'2. TEUs &amp; Activities - EF'!$A$9:$A$190,'2. TEUs &amp; Activities - EF'!$M$9:$M$190),_xlfn.XLOOKUP($B1091,'2. TEUs &amp; Activities - EF'!$B$9:$B$190,'2. TEUs &amp; Activities - EF'!$M$9:$M$190))*'3. Pollutant Emissions - EF'!$J1091*IF(OR(ISBLANK($E1091),$G1091="Yes"),1,$E1091)*IF($H1091="Yes",1,(1-$F1091))</f>
        <v>4.6471764705882353E-4</v>
      </c>
      <c r="O1091" s="130"/>
    </row>
    <row r="1092" spans="1:15" ht="15" x14ac:dyDescent="0.25">
      <c r="A1092" s="5" t="s">
        <v>1568</v>
      </c>
      <c r="B1092" s="7"/>
      <c r="C1092" s="13" t="s">
        <v>47</v>
      </c>
      <c r="D1092" s="19" t="str">
        <f>IFERROR(IF(C1092="No CAS","",INDEX('DEQ Pollutant List'!$B$7:$B$611,MATCH('3. Pollutant Emissions - EF'!C1092,'DEQ Pollutant List'!$A$7:$A$611,0))),"")</f>
        <v>Formaldehyde</v>
      </c>
      <c r="E1092" s="23">
        <v>0</v>
      </c>
      <c r="F1092" s="21">
        <v>0</v>
      </c>
      <c r="G1092" s="23" t="s">
        <v>1415</v>
      </c>
      <c r="H1092" s="21" t="s">
        <v>1415</v>
      </c>
      <c r="I1092" s="34">
        <v>1.7000000000000001E-2</v>
      </c>
      <c r="J1092" s="11">
        <f t="shared" si="39"/>
        <v>1.7000000000000001E-2</v>
      </c>
      <c r="K1092" s="6" t="s">
        <v>1416</v>
      </c>
      <c r="L1092" s="20" t="s">
        <v>1422</v>
      </c>
      <c r="M1092" s="7">
        <f>IF(ISBLANK($B1092),_xlfn.XLOOKUP($A1092,'2. TEUs &amp; Activities - EF'!$A$9:$A$190,'2. TEUs &amp; Activities - EF'!$J$9:$J$190),_xlfn.XLOOKUP($B1092,'2. TEUs &amp; Activities - EF'!$B$9:$B$190,'2. TEUs &amp; Activities - EF'!$J$9:$J$190))*'3. Pollutant Emissions - EF'!$I1092*IF(OR(ISBLANK($E1092),$G1092="Yes"),1,$E1092)*IF($H1092="Yes",1,(1-$F1092))</f>
        <v>0.30353400000000003</v>
      </c>
      <c r="N1092" s="5">
        <f>IF(ISBLANK($B1092),_xlfn.XLOOKUP($A1092,'2. TEUs &amp; Activities - EF'!$A$9:$A$190,'2. TEUs &amp; Activities - EF'!$M$9:$M$190),_xlfn.XLOOKUP($B1092,'2. TEUs &amp; Activities - EF'!$B$9:$B$190,'2. TEUs &amp; Activities - EF'!$M$9:$M$190))*'3. Pollutant Emissions - EF'!$J1092*IF(OR(ISBLANK($E1092),$G1092="Yes"),1,$E1092)*IF($H1092="Yes",1,(1-$F1092))</f>
        <v>8.3160000000000005E-4</v>
      </c>
      <c r="O1092" s="130"/>
    </row>
    <row r="1093" spans="1:15" ht="15" x14ac:dyDescent="0.25">
      <c r="A1093" s="5" t="s">
        <v>1568</v>
      </c>
      <c r="B1093" s="7"/>
      <c r="C1093" s="13" t="s">
        <v>61</v>
      </c>
      <c r="D1093" s="19" t="str">
        <f>IFERROR(IF(C1093="No CAS","",INDEX('DEQ Pollutant List'!$B$7:$B$611,MATCH('3. Pollutant Emissions - EF'!C1093,'DEQ Pollutant List'!$A$7:$A$611,0))),"")</f>
        <v>Hexane</v>
      </c>
      <c r="E1093" s="23">
        <v>0</v>
      </c>
      <c r="F1093" s="21">
        <v>0</v>
      </c>
      <c r="G1093" s="23" t="s">
        <v>1415</v>
      </c>
      <c r="H1093" s="21" t="s">
        <v>1415</v>
      </c>
      <c r="I1093" s="34">
        <v>6.3E-3</v>
      </c>
      <c r="J1093" s="11">
        <f t="shared" si="39"/>
        <v>6.3E-3</v>
      </c>
      <c r="K1093" s="6" t="s">
        <v>1416</v>
      </c>
      <c r="L1093" s="20" t="s">
        <v>1422</v>
      </c>
      <c r="M1093" s="7">
        <f>IF(ISBLANK($B1093),_xlfn.XLOOKUP($A1093,'2. TEUs &amp; Activities - EF'!$A$9:$A$190,'2. TEUs &amp; Activities - EF'!$J$9:$J$190),_xlfn.XLOOKUP($B1093,'2. TEUs &amp; Activities - EF'!$B$9:$B$190,'2. TEUs &amp; Activities - EF'!$J$9:$J$190))*'3. Pollutant Emissions - EF'!$I1093*IF(OR(ISBLANK($E1093),$G1093="Yes"),1,$E1093)*IF($H1093="Yes",1,(1-$F1093))</f>
        <v>0.11248612941176471</v>
      </c>
      <c r="N1093" s="5">
        <f>IF(ISBLANK($B1093),_xlfn.XLOOKUP($A1093,'2. TEUs &amp; Activities - EF'!$A$9:$A$190,'2. TEUs &amp; Activities - EF'!$M$9:$M$190),_xlfn.XLOOKUP($B1093,'2. TEUs &amp; Activities - EF'!$B$9:$B$190,'2. TEUs &amp; Activities - EF'!$M$9:$M$190))*'3. Pollutant Emissions - EF'!$J1093*IF(OR(ISBLANK($E1093),$G1093="Yes"),1,$E1093)*IF($H1093="Yes",1,(1-$F1093))</f>
        <v>3.0818117647058823E-4</v>
      </c>
      <c r="O1093" s="130"/>
    </row>
    <row r="1094" spans="1:15" ht="15" x14ac:dyDescent="0.25">
      <c r="A1094" s="5" t="s">
        <v>1568</v>
      </c>
      <c r="B1094" s="7"/>
      <c r="C1094" s="13" t="s">
        <v>62</v>
      </c>
      <c r="D1094" s="19" t="str">
        <f>IFERROR(IF(C1094="No CAS","",INDEX('DEQ Pollutant List'!$B$7:$B$611,MATCH('3. Pollutant Emissions - EF'!C1094,'DEQ Pollutant List'!$A$7:$A$611,0))),"")</f>
        <v>Lead and compounds</v>
      </c>
      <c r="E1094" s="23">
        <v>0</v>
      </c>
      <c r="F1094" s="21">
        <v>0</v>
      </c>
      <c r="G1094" s="23" t="s">
        <v>1415</v>
      </c>
      <c r="H1094" s="21" t="s">
        <v>1415</v>
      </c>
      <c r="I1094" s="34">
        <v>5.0000000000000001E-4</v>
      </c>
      <c r="J1094" s="11">
        <f t="shared" si="39"/>
        <v>5.0000000000000001E-4</v>
      </c>
      <c r="K1094" s="6" t="s">
        <v>1416</v>
      </c>
      <c r="L1094" s="20" t="s">
        <v>1422</v>
      </c>
      <c r="M1094" s="7">
        <f>IF(ISBLANK($B1094),_xlfn.XLOOKUP($A1094,'2. TEUs &amp; Activities - EF'!$A$9:$A$190,'2. TEUs &amp; Activities - EF'!$J$9:$J$190),_xlfn.XLOOKUP($B1094,'2. TEUs &amp; Activities - EF'!$B$9:$B$190,'2. TEUs &amp; Activities - EF'!$J$9:$J$190))*'3. Pollutant Emissions - EF'!$I1094*IF(OR(ISBLANK($E1094),$G1094="Yes"),1,$E1094)*IF($H1094="Yes",1,(1-$F1094))</f>
        <v>8.9274705882352954E-3</v>
      </c>
      <c r="N1094" s="5">
        <f>IF(ISBLANK($B1094),_xlfn.XLOOKUP($A1094,'2. TEUs &amp; Activities - EF'!$A$9:$A$190,'2. TEUs &amp; Activities - EF'!$M$9:$M$190),_xlfn.XLOOKUP($B1094,'2. TEUs &amp; Activities - EF'!$B$9:$B$190,'2. TEUs &amp; Activities - EF'!$M$9:$M$190))*'3. Pollutant Emissions - EF'!$J1094*IF(OR(ISBLANK($E1094),$G1094="Yes"),1,$E1094)*IF($H1094="Yes",1,(1-$F1094))</f>
        <v>2.4458823529411767E-5</v>
      </c>
      <c r="O1094" s="130"/>
    </row>
    <row r="1095" spans="1:15" ht="15" x14ac:dyDescent="0.25">
      <c r="A1095" s="5" t="s">
        <v>1568</v>
      </c>
      <c r="B1095" s="7"/>
      <c r="C1095" s="13" t="s">
        <v>63</v>
      </c>
      <c r="D1095" s="19" t="str">
        <f>IFERROR(IF(C1095="No CAS","",INDEX('DEQ Pollutant List'!$B$7:$B$611,MATCH('3. Pollutant Emissions - EF'!C1095,'DEQ Pollutant List'!$A$7:$A$611,0))),"")</f>
        <v>Manganese and compounds</v>
      </c>
      <c r="E1095" s="23">
        <v>0</v>
      </c>
      <c r="F1095" s="21">
        <v>0</v>
      </c>
      <c r="G1095" s="23" t="s">
        <v>1415</v>
      </c>
      <c r="H1095" s="21" t="s">
        <v>1415</v>
      </c>
      <c r="I1095" s="34">
        <v>3.8000000000000002E-4</v>
      </c>
      <c r="J1095" s="11">
        <f t="shared" si="39"/>
        <v>3.8000000000000002E-4</v>
      </c>
      <c r="K1095" s="6" t="s">
        <v>1416</v>
      </c>
      <c r="L1095" s="20" t="s">
        <v>1422</v>
      </c>
      <c r="M1095" s="7">
        <f>IF(ISBLANK($B1095),_xlfn.XLOOKUP($A1095,'2. TEUs &amp; Activities - EF'!$A$9:$A$190,'2. TEUs &amp; Activities - EF'!$J$9:$J$190),_xlfn.XLOOKUP($B1095,'2. TEUs &amp; Activities - EF'!$B$9:$B$190,'2. TEUs &amp; Activities - EF'!$J$9:$J$190))*'3. Pollutant Emissions - EF'!$I1095*IF(OR(ISBLANK($E1095),$G1095="Yes"),1,$E1095)*IF($H1095="Yes",1,(1-$F1095))</f>
        <v>6.784877647058824E-3</v>
      </c>
      <c r="N1095" s="5">
        <f>IF(ISBLANK($B1095),_xlfn.XLOOKUP($A1095,'2. TEUs &amp; Activities - EF'!$A$9:$A$190,'2. TEUs &amp; Activities - EF'!$M$9:$M$190),_xlfn.XLOOKUP($B1095,'2. TEUs &amp; Activities - EF'!$B$9:$B$190,'2. TEUs &amp; Activities - EF'!$M$9:$M$190))*'3. Pollutant Emissions - EF'!$J1095*IF(OR(ISBLANK($E1095),$G1095="Yes"),1,$E1095)*IF($H1095="Yes",1,(1-$F1095))</f>
        <v>1.8588705882352941E-5</v>
      </c>
      <c r="O1095" s="130"/>
    </row>
    <row r="1096" spans="1:15" ht="15" x14ac:dyDescent="0.25">
      <c r="A1096" s="5" t="s">
        <v>1568</v>
      </c>
      <c r="B1096" s="7"/>
      <c r="C1096" s="13" t="s">
        <v>64</v>
      </c>
      <c r="D1096" s="19" t="str">
        <f>IFERROR(IF(C1096="No CAS","",INDEX('DEQ Pollutant List'!$B$7:$B$611,MATCH('3. Pollutant Emissions - EF'!C1096,'DEQ Pollutant List'!$A$7:$A$611,0))),"")</f>
        <v>Mercury and compounds</v>
      </c>
      <c r="E1096" s="23">
        <v>0</v>
      </c>
      <c r="F1096" s="21">
        <v>0</v>
      </c>
      <c r="G1096" s="23" t="s">
        <v>1415</v>
      </c>
      <c r="H1096" s="21" t="s">
        <v>1415</v>
      </c>
      <c r="I1096" s="34">
        <v>2.5999999999999998E-4</v>
      </c>
      <c r="J1096" s="11">
        <f t="shared" si="39"/>
        <v>2.5999999999999998E-4</v>
      </c>
      <c r="K1096" s="6" t="s">
        <v>1416</v>
      </c>
      <c r="L1096" s="20" t="s">
        <v>1422</v>
      </c>
      <c r="M1096" s="7">
        <f>IF(ISBLANK($B1096),_xlfn.XLOOKUP($A1096,'2. TEUs &amp; Activities - EF'!$A$9:$A$190,'2. TEUs &amp; Activities - EF'!$J$9:$J$190),_xlfn.XLOOKUP($B1096,'2. TEUs &amp; Activities - EF'!$B$9:$B$190,'2. TEUs &amp; Activities - EF'!$J$9:$J$190))*'3. Pollutant Emissions - EF'!$I1096*IF(OR(ISBLANK($E1096),$G1096="Yes"),1,$E1096)*IF($H1096="Yes",1,(1-$F1096))</f>
        <v>4.6422847058823526E-3</v>
      </c>
      <c r="N1096" s="5">
        <f>IF(ISBLANK($B1096),_xlfn.XLOOKUP($A1096,'2. TEUs &amp; Activities - EF'!$A$9:$A$190,'2. TEUs &amp; Activities - EF'!$M$9:$M$190),_xlfn.XLOOKUP($B1096,'2. TEUs &amp; Activities - EF'!$B$9:$B$190,'2. TEUs &amp; Activities - EF'!$M$9:$M$190))*'3. Pollutant Emissions - EF'!$J1096*IF(OR(ISBLANK($E1096),$G1096="Yes"),1,$E1096)*IF($H1096="Yes",1,(1-$F1096))</f>
        <v>1.2718588235294117E-5</v>
      </c>
      <c r="O1096" s="130"/>
    </row>
    <row r="1097" spans="1:15" ht="15" x14ac:dyDescent="0.25">
      <c r="A1097" s="5" t="s">
        <v>1568</v>
      </c>
      <c r="B1097" s="7"/>
      <c r="C1097" s="13" t="s">
        <v>65</v>
      </c>
      <c r="D1097" s="19" t="str">
        <f>IFERROR(IF(C1097="No CAS","",INDEX('DEQ Pollutant List'!$B$7:$B$611,MATCH('3. Pollutant Emissions - EF'!C1097,'DEQ Pollutant List'!$A$7:$A$611,0))),"")</f>
        <v>Molybdenum trioxide</v>
      </c>
      <c r="E1097" s="23">
        <v>0</v>
      </c>
      <c r="F1097" s="21">
        <v>0</v>
      </c>
      <c r="G1097" s="23" t="s">
        <v>1415</v>
      </c>
      <c r="H1097" s="21" t="s">
        <v>1415</v>
      </c>
      <c r="I1097" s="34">
        <v>1.65E-3</v>
      </c>
      <c r="J1097" s="11">
        <f t="shared" si="39"/>
        <v>1.65E-3</v>
      </c>
      <c r="K1097" s="6" t="s">
        <v>1416</v>
      </c>
      <c r="L1097" s="20" t="s">
        <v>1422</v>
      </c>
      <c r="M1097" s="7">
        <f>IF(ISBLANK($B1097),_xlfn.XLOOKUP($A1097,'2. TEUs &amp; Activities - EF'!$A$9:$A$190,'2. TEUs &amp; Activities - EF'!$J$9:$J$190),_xlfn.XLOOKUP($B1097,'2. TEUs &amp; Activities - EF'!$B$9:$B$190,'2. TEUs &amp; Activities - EF'!$J$9:$J$190))*'3. Pollutant Emissions - EF'!$I1097*IF(OR(ISBLANK($E1097),$G1097="Yes"),1,$E1097)*IF($H1097="Yes",1,(1-$F1097))</f>
        <v>2.9460652941176474E-2</v>
      </c>
      <c r="N1097" s="5">
        <f>IF(ISBLANK($B1097),_xlfn.XLOOKUP($A1097,'2. TEUs &amp; Activities - EF'!$A$9:$A$190,'2. TEUs &amp; Activities - EF'!$M$9:$M$190),_xlfn.XLOOKUP($B1097,'2. TEUs &amp; Activities - EF'!$B$9:$B$190,'2. TEUs &amp; Activities - EF'!$M$9:$M$190))*'3. Pollutant Emissions - EF'!$J1097*IF(OR(ISBLANK($E1097),$G1097="Yes"),1,$E1097)*IF($H1097="Yes",1,(1-$F1097))</f>
        <v>8.0714117647058829E-5</v>
      </c>
      <c r="O1097" s="130"/>
    </row>
    <row r="1098" spans="1:15" ht="15" x14ac:dyDescent="0.25">
      <c r="A1098" s="5" t="s">
        <v>1568</v>
      </c>
      <c r="B1098" s="7"/>
      <c r="C1098" s="13" t="s">
        <v>49</v>
      </c>
      <c r="D1098" s="19" t="str">
        <f>IFERROR(IF(C1098="No CAS","",INDEX('DEQ Pollutant List'!$B$7:$B$611,MATCH('3. Pollutant Emissions - EF'!C1098,'DEQ Pollutant List'!$A$7:$A$611,0))),"")</f>
        <v>Naphthalene</v>
      </c>
      <c r="E1098" s="23">
        <v>0</v>
      </c>
      <c r="F1098" s="21">
        <v>0</v>
      </c>
      <c r="G1098" s="23" t="s">
        <v>1415</v>
      </c>
      <c r="H1098" s="21" t="s">
        <v>1415</v>
      </c>
      <c r="I1098" s="34">
        <v>2.9999999999999997E-4</v>
      </c>
      <c r="J1098" s="11">
        <f t="shared" si="39"/>
        <v>2.9999999999999997E-4</v>
      </c>
      <c r="K1098" s="6" t="s">
        <v>1416</v>
      </c>
      <c r="L1098" s="20" t="s">
        <v>1422</v>
      </c>
      <c r="M1098" s="7">
        <f>IF(ISBLANK($B1098),_xlfn.XLOOKUP($A1098,'2. TEUs &amp; Activities - EF'!$A$9:$A$190,'2. TEUs &amp; Activities - EF'!$J$9:$J$190),_xlfn.XLOOKUP($B1098,'2. TEUs &amp; Activities - EF'!$B$9:$B$190,'2. TEUs &amp; Activities - EF'!$J$9:$J$190))*'3. Pollutant Emissions - EF'!$I1098*IF(OR(ISBLANK($E1098),$G1098="Yes"),1,$E1098)*IF($H1098="Yes",1,(1-$F1098))</f>
        <v>5.3564823529411764E-3</v>
      </c>
      <c r="N1098" s="5">
        <f>IF(ISBLANK($B1098),_xlfn.XLOOKUP($A1098,'2. TEUs &amp; Activities - EF'!$A$9:$A$190,'2. TEUs &amp; Activities - EF'!$M$9:$M$190),_xlfn.XLOOKUP($B1098,'2. TEUs &amp; Activities - EF'!$B$9:$B$190,'2. TEUs &amp; Activities - EF'!$M$9:$M$190))*'3. Pollutant Emissions - EF'!$J1098*IF(OR(ISBLANK($E1098),$G1098="Yes"),1,$E1098)*IF($H1098="Yes",1,(1-$F1098))</f>
        <v>1.4675294117647057E-5</v>
      </c>
      <c r="O1098" s="130"/>
    </row>
    <row r="1099" spans="1:15" ht="15" x14ac:dyDescent="0.25">
      <c r="A1099" s="5" t="s">
        <v>1568</v>
      </c>
      <c r="B1099" s="7"/>
      <c r="C1099" s="13" t="s">
        <v>66</v>
      </c>
      <c r="D1099" s="19" t="str">
        <f>IFERROR(IF(C1099="No CAS","",INDEX('DEQ Pollutant List'!$B$7:$B$611,MATCH('3. Pollutant Emissions - EF'!C1099,'DEQ Pollutant List'!$A$7:$A$611,0))),"")</f>
        <v>Nickel and compounds</v>
      </c>
      <c r="E1099" s="23">
        <v>0</v>
      </c>
      <c r="F1099" s="21">
        <v>0</v>
      </c>
      <c r="G1099" s="23" t="s">
        <v>1415</v>
      </c>
      <c r="H1099" s="21" t="s">
        <v>1415</v>
      </c>
      <c r="I1099" s="34">
        <v>2.0999999999999999E-3</v>
      </c>
      <c r="J1099" s="11">
        <f t="shared" si="39"/>
        <v>2.0999999999999999E-3</v>
      </c>
      <c r="K1099" s="6" t="s">
        <v>1416</v>
      </c>
      <c r="L1099" s="20" t="s">
        <v>1422</v>
      </c>
      <c r="M1099" s="7">
        <f>IF(ISBLANK($B1099),_xlfn.XLOOKUP($A1099,'2. TEUs &amp; Activities - EF'!$A$9:$A$190,'2. TEUs &amp; Activities - EF'!$J$9:$J$190),_xlfn.XLOOKUP($B1099,'2. TEUs &amp; Activities - EF'!$B$9:$B$190,'2. TEUs &amp; Activities - EF'!$J$9:$J$190))*'3. Pollutant Emissions - EF'!$I1099*IF(OR(ISBLANK($E1099),$G1099="Yes"),1,$E1099)*IF($H1099="Yes",1,(1-$F1099))</f>
        <v>3.7495376470588239E-2</v>
      </c>
      <c r="N1099" s="5">
        <f>IF(ISBLANK($B1099),_xlfn.XLOOKUP($A1099,'2. TEUs &amp; Activities - EF'!$A$9:$A$190,'2. TEUs &amp; Activities - EF'!$M$9:$M$190),_xlfn.XLOOKUP($B1099,'2. TEUs &amp; Activities - EF'!$B$9:$B$190,'2. TEUs &amp; Activities - EF'!$M$9:$M$190))*'3. Pollutant Emissions - EF'!$J1099*IF(OR(ISBLANK($E1099),$G1099="Yes"),1,$E1099)*IF($H1099="Yes",1,(1-$F1099))</f>
        <v>1.027270588235294E-4</v>
      </c>
      <c r="O1099" s="130"/>
    </row>
    <row r="1100" spans="1:15" ht="15" x14ac:dyDescent="0.25">
      <c r="A1100" s="5" t="s">
        <v>1568</v>
      </c>
      <c r="B1100" s="7"/>
      <c r="C1100" s="13">
        <v>401</v>
      </c>
      <c r="D1100" s="19" t="str">
        <f>IFERROR(IF(C1100="No CAS","",INDEX('DEQ Pollutant List'!$B$7:$B$611,MATCH('3. Pollutant Emissions - EF'!C1100,'DEQ Pollutant List'!$A$7:$A$611,0))),"")</f>
        <v>Polycyclic aromatic hydrocarbons (PAHs)</v>
      </c>
      <c r="E1100" s="23">
        <v>0</v>
      </c>
      <c r="F1100" s="21">
        <v>0</v>
      </c>
      <c r="G1100" s="23" t="s">
        <v>1415</v>
      </c>
      <c r="H1100" s="21" t="s">
        <v>1415</v>
      </c>
      <c r="I1100" s="34">
        <v>1E-4</v>
      </c>
      <c r="J1100" s="11">
        <f t="shared" si="39"/>
        <v>1E-4</v>
      </c>
      <c r="K1100" s="6" t="s">
        <v>1416</v>
      </c>
      <c r="L1100" s="20" t="s">
        <v>1422</v>
      </c>
      <c r="M1100" s="7">
        <f>IF(ISBLANK($B1100),_xlfn.XLOOKUP($A1100,'2. TEUs &amp; Activities - EF'!$A$9:$A$190,'2. TEUs &amp; Activities - EF'!$J$9:$J$190),_xlfn.XLOOKUP($B1100,'2. TEUs &amp; Activities - EF'!$B$9:$B$190,'2. TEUs &amp; Activities - EF'!$J$9:$J$190))*'3. Pollutant Emissions - EF'!$I1100*IF(OR(ISBLANK($E1100),$G1100="Yes"),1,$E1100)*IF($H1100="Yes",1,(1-$F1100))</f>
        <v>1.7854941176470591E-3</v>
      </c>
      <c r="N1100" s="5">
        <f>IF(ISBLANK($B1100),_xlfn.XLOOKUP($A1100,'2. TEUs &amp; Activities - EF'!$A$9:$A$190,'2. TEUs &amp; Activities - EF'!$M$9:$M$190),_xlfn.XLOOKUP($B1100,'2. TEUs &amp; Activities - EF'!$B$9:$B$190,'2. TEUs &amp; Activities - EF'!$M$9:$M$190))*'3. Pollutant Emissions - EF'!$J1100*IF(OR(ISBLANK($E1100),$G1100="Yes"),1,$E1100)*IF($H1100="Yes",1,(1-$F1100))</f>
        <v>4.891764705882353E-6</v>
      </c>
      <c r="O1100" s="130"/>
    </row>
    <row r="1101" spans="1:15" ht="15" x14ac:dyDescent="0.25">
      <c r="A1101" s="5" t="s">
        <v>1568</v>
      </c>
      <c r="B1101" s="7"/>
      <c r="C1101" s="13" t="s">
        <v>67</v>
      </c>
      <c r="D1101" s="19" t="str">
        <f>IFERROR(IF(C1101="No CAS","",INDEX('DEQ Pollutant List'!$B$7:$B$611,MATCH('3. Pollutant Emissions - EF'!C1101,'DEQ Pollutant List'!$A$7:$A$611,0))),"")</f>
        <v>Selenium and compounds</v>
      </c>
      <c r="E1101" s="23">
        <v>0</v>
      </c>
      <c r="F1101" s="21">
        <v>0</v>
      </c>
      <c r="G1101" s="23" t="s">
        <v>1415</v>
      </c>
      <c r="H1101" s="21" t="s">
        <v>1415</v>
      </c>
      <c r="I1101" s="34">
        <v>2.4000000000000001E-5</v>
      </c>
      <c r="J1101" s="11">
        <f t="shared" si="39"/>
        <v>2.4000000000000001E-5</v>
      </c>
      <c r="K1101" s="6" t="s">
        <v>1416</v>
      </c>
      <c r="L1101" s="20" t="s">
        <v>1422</v>
      </c>
      <c r="M1101" s="7">
        <f>IF(ISBLANK($B1101),_xlfn.XLOOKUP($A1101,'2. TEUs &amp; Activities - EF'!$A$9:$A$190,'2. TEUs &amp; Activities - EF'!$J$9:$J$190),_xlfn.XLOOKUP($B1101,'2. TEUs &amp; Activities - EF'!$B$9:$B$190,'2. TEUs &amp; Activities - EF'!$J$9:$J$190))*'3. Pollutant Emissions - EF'!$I1101*IF(OR(ISBLANK($E1101),$G1101="Yes"),1,$E1101)*IF($H1101="Yes",1,(1-$F1101))</f>
        <v>4.2851858823529415E-4</v>
      </c>
      <c r="N1101" s="5">
        <f>IF(ISBLANK($B1101),_xlfn.XLOOKUP($A1101,'2. TEUs &amp; Activities - EF'!$A$9:$A$190,'2. TEUs &amp; Activities - EF'!$M$9:$M$190),_xlfn.XLOOKUP($B1101,'2. TEUs &amp; Activities - EF'!$B$9:$B$190,'2. TEUs &amp; Activities - EF'!$M$9:$M$190))*'3. Pollutant Emissions - EF'!$J1101*IF(OR(ISBLANK($E1101),$G1101="Yes"),1,$E1101)*IF($H1101="Yes",1,(1-$F1101))</f>
        <v>1.1740235294117648E-6</v>
      </c>
      <c r="O1101" s="130"/>
    </row>
    <row r="1102" spans="1:15" ht="15" x14ac:dyDescent="0.25">
      <c r="A1102" s="5" t="s">
        <v>1568</v>
      </c>
      <c r="B1102" s="7"/>
      <c r="C1102" s="13" t="s">
        <v>68</v>
      </c>
      <c r="D1102" s="19" t="str">
        <f>IFERROR(IF(C1102="No CAS","",INDEX('DEQ Pollutant List'!$B$7:$B$611,MATCH('3. Pollutant Emissions - EF'!C1102,'DEQ Pollutant List'!$A$7:$A$611,0))),"")</f>
        <v>Toluene</v>
      </c>
      <c r="E1102" s="23">
        <v>0</v>
      </c>
      <c r="F1102" s="21">
        <v>0</v>
      </c>
      <c r="G1102" s="23" t="s">
        <v>1415</v>
      </c>
      <c r="H1102" s="21" t="s">
        <v>1415</v>
      </c>
      <c r="I1102" s="34">
        <v>3.6600000000000001E-2</v>
      </c>
      <c r="J1102" s="11">
        <f t="shared" si="39"/>
        <v>3.6600000000000001E-2</v>
      </c>
      <c r="K1102" s="6" t="s">
        <v>1416</v>
      </c>
      <c r="L1102" s="20" t="s">
        <v>1422</v>
      </c>
      <c r="M1102" s="7">
        <f>IF(ISBLANK($B1102),_xlfn.XLOOKUP($A1102,'2. TEUs &amp; Activities - EF'!$A$9:$A$190,'2. TEUs &amp; Activities - EF'!$J$9:$J$190),_xlfn.XLOOKUP($B1102,'2. TEUs &amp; Activities - EF'!$B$9:$B$190,'2. TEUs &amp; Activities - EF'!$J$9:$J$190))*'3. Pollutant Emissions - EF'!$I1102*IF(OR(ISBLANK($E1102),$G1102="Yes"),1,$E1102)*IF($H1102="Yes",1,(1-$F1102))</f>
        <v>0.65349084705882354</v>
      </c>
      <c r="N1102" s="5">
        <f>IF(ISBLANK($B1102),_xlfn.XLOOKUP($A1102,'2. TEUs &amp; Activities - EF'!$A$9:$A$190,'2. TEUs &amp; Activities - EF'!$M$9:$M$190),_xlfn.XLOOKUP($B1102,'2. TEUs &amp; Activities - EF'!$B$9:$B$190,'2. TEUs &amp; Activities - EF'!$M$9:$M$190))*'3. Pollutant Emissions - EF'!$J1102*IF(OR(ISBLANK($E1102),$G1102="Yes"),1,$E1102)*IF($H1102="Yes",1,(1-$F1102))</f>
        <v>1.7903858823529412E-3</v>
      </c>
      <c r="O1102" s="130"/>
    </row>
    <row r="1103" spans="1:15" ht="15" x14ac:dyDescent="0.25">
      <c r="A1103" s="5" t="s">
        <v>1568</v>
      </c>
      <c r="B1103" s="7"/>
      <c r="C1103" s="13" t="s">
        <v>69</v>
      </c>
      <c r="D1103" s="19" t="str">
        <f>IFERROR(IF(C1103="No CAS","",INDEX('DEQ Pollutant List'!$B$7:$B$611,MATCH('3. Pollutant Emissions - EF'!C1103,'DEQ Pollutant List'!$A$7:$A$611,0))),"")</f>
        <v>Vanadium (fume or dust)</v>
      </c>
      <c r="E1103" s="23">
        <v>0</v>
      </c>
      <c r="F1103" s="21">
        <v>0</v>
      </c>
      <c r="G1103" s="23" t="s">
        <v>1415</v>
      </c>
      <c r="H1103" s="21" t="s">
        <v>1415</v>
      </c>
      <c r="I1103" s="34">
        <v>2.3E-3</v>
      </c>
      <c r="J1103" s="11">
        <f t="shared" si="39"/>
        <v>2.3E-3</v>
      </c>
      <c r="K1103" s="6" t="s">
        <v>1416</v>
      </c>
      <c r="L1103" s="20" t="s">
        <v>1422</v>
      </c>
      <c r="M1103" s="7">
        <f>IF(ISBLANK($B1103),_xlfn.XLOOKUP($A1103,'2. TEUs &amp; Activities - EF'!$A$9:$A$190,'2. TEUs &amp; Activities - EF'!$J$9:$J$190),_xlfn.XLOOKUP($B1103,'2. TEUs &amp; Activities - EF'!$B$9:$B$190,'2. TEUs &amp; Activities - EF'!$J$9:$J$190))*'3. Pollutant Emissions - EF'!$I1103*IF(OR(ISBLANK($E1103),$G1103="Yes"),1,$E1103)*IF($H1103="Yes",1,(1-$F1103))</f>
        <v>4.1066364705882354E-2</v>
      </c>
      <c r="N1103" s="5">
        <f>IF(ISBLANK($B1103),_xlfn.XLOOKUP($A1103,'2. TEUs &amp; Activities - EF'!$A$9:$A$190,'2. TEUs &amp; Activities - EF'!$M$9:$M$190),_xlfn.XLOOKUP($B1103,'2. TEUs &amp; Activities - EF'!$B$9:$B$190,'2. TEUs &amp; Activities - EF'!$M$9:$M$190))*'3. Pollutant Emissions - EF'!$J1103*IF(OR(ISBLANK($E1103),$G1103="Yes"),1,$E1103)*IF($H1103="Yes",1,(1-$F1103))</f>
        <v>1.1251058823529413E-4</v>
      </c>
      <c r="O1103" s="130"/>
    </row>
    <row r="1104" spans="1:15" ht="15" x14ac:dyDescent="0.25">
      <c r="A1104" s="5" t="s">
        <v>1568</v>
      </c>
      <c r="B1104" s="7"/>
      <c r="C1104" s="13" t="s">
        <v>70</v>
      </c>
      <c r="D1104" s="19" t="str">
        <f>IFERROR(IF(C1104="No CAS","",INDEX('DEQ Pollutant List'!$B$7:$B$611,MATCH('3. Pollutant Emissions - EF'!C1104,'DEQ Pollutant List'!$A$7:$A$611,0))),"")</f>
        <v>Xylene (mixture), including m-xylene, o-xylene, p-xylene</v>
      </c>
      <c r="E1104" s="23">
        <v>0</v>
      </c>
      <c r="F1104" s="21">
        <v>0</v>
      </c>
      <c r="G1104" s="23" t="s">
        <v>1415</v>
      </c>
      <c r="H1104" s="21" t="s">
        <v>1415</v>
      </c>
      <c r="I1104" s="34">
        <v>2.7199999999999998E-2</v>
      </c>
      <c r="J1104" s="11">
        <f t="shared" si="39"/>
        <v>2.7199999999999998E-2</v>
      </c>
      <c r="K1104" s="6" t="s">
        <v>1416</v>
      </c>
      <c r="L1104" s="20" t="s">
        <v>1422</v>
      </c>
      <c r="M1104" s="7">
        <f>IF(ISBLANK($B1104),_xlfn.XLOOKUP($A1104,'2. TEUs &amp; Activities - EF'!$A$9:$A$190,'2. TEUs &amp; Activities - EF'!$J$9:$J$190),_xlfn.XLOOKUP($B1104,'2. TEUs &amp; Activities - EF'!$B$9:$B$190,'2. TEUs &amp; Activities - EF'!$J$9:$J$190))*'3. Pollutant Emissions - EF'!$I1104*IF(OR(ISBLANK($E1104),$G1104="Yes"),1,$E1104)*IF($H1104="Yes",1,(1-$F1104))</f>
        <v>0.48565439999999999</v>
      </c>
      <c r="N1104" s="5">
        <f>IF(ISBLANK($B1104),_xlfn.XLOOKUP($A1104,'2. TEUs &amp; Activities - EF'!$A$9:$A$190,'2. TEUs &amp; Activities - EF'!$M$9:$M$190),_xlfn.XLOOKUP($B1104,'2. TEUs &amp; Activities - EF'!$B$9:$B$190,'2. TEUs &amp; Activities - EF'!$M$9:$M$190))*'3. Pollutant Emissions - EF'!$J1104*IF(OR(ISBLANK($E1104),$G1104="Yes"),1,$E1104)*IF($H1104="Yes",1,(1-$F1104))</f>
        <v>1.3305599999999999E-3</v>
      </c>
      <c r="O1104" s="130"/>
    </row>
    <row r="1105" spans="1:15" ht="15" x14ac:dyDescent="0.25">
      <c r="A1105" s="5" t="s">
        <v>1568</v>
      </c>
      <c r="B1105" s="7"/>
      <c r="C1105" s="13" t="s">
        <v>71</v>
      </c>
      <c r="D1105" s="19" t="str">
        <f>IFERROR(IF(C1105="No CAS","",INDEX('DEQ Pollutant List'!$B$7:$B$611,MATCH('3. Pollutant Emissions - EF'!C1105,'DEQ Pollutant List'!$A$7:$A$611,0))),"")</f>
        <v>Zinc and compounds</v>
      </c>
      <c r="E1105" s="23">
        <v>0</v>
      </c>
      <c r="F1105" s="21">
        <v>0</v>
      </c>
      <c r="G1105" s="23" t="s">
        <v>1415</v>
      </c>
      <c r="H1105" s="21" t="s">
        <v>1415</v>
      </c>
      <c r="I1105" s="34">
        <v>2.9000000000000001E-2</v>
      </c>
      <c r="J1105" s="11">
        <f t="shared" si="39"/>
        <v>2.9000000000000001E-2</v>
      </c>
      <c r="K1105" s="6" t="s">
        <v>1416</v>
      </c>
      <c r="L1105" s="20" t="s">
        <v>1422</v>
      </c>
      <c r="M1105" s="7">
        <f>IF(ISBLANK($B1105),_xlfn.XLOOKUP($A1105,'2. TEUs &amp; Activities - EF'!$A$9:$A$190,'2. TEUs &amp; Activities - EF'!$J$9:$J$190),_xlfn.XLOOKUP($B1105,'2. TEUs &amp; Activities - EF'!$B$9:$B$190,'2. TEUs &amp; Activities - EF'!$J$9:$J$190))*'3. Pollutant Emissions - EF'!$I1105*IF(OR(ISBLANK($E1105),$G1105="Yes"),1,$E1105)*IF($H1105="Yes",1,(1-$F1105))</f>
        <v>0.51779329411764707</v>
      </c>
      <c r="N1105" s="5">
        <f>IF(ISBLANK($B1105),_xlfn.XLOOKUP($A1105,'2. TEUs &amp; Activities - EF'!$A$9:$A$190,'2. TEUs &amp; Activities - EF'!$M$9:$M$190),_xlfn.XLOOKUP($B1105,'2. TEUs &amp; Activities - EF'!$B$9:$B$190,'2. TEUs &amp; Activities - EF'!$M$9:$M$190))*'3. Pollutant Emissions - EF'!$J1105*IF(OR(ISBLANK($E1105),$G1105="Yes"),1,$E1105)*IF($H1105="Yes",1,(1-$F1105))</f>
        <v>1.4186117647058826E-3</v>
      </c>
      <c r="O1105" s="130"/>
    </row>
    <row r="1106" spans="1:15" ht="15" x14ac:dyDescent="0.25">
      <c r="A1106" s="5"/>
      <c r="B1106" s="7"/>
      <c r="C1106" s="13"/>
      <c r="D1106" s="19" t="str">
        <f>IFERROR(IF(C1106="No CAS","",INDEX('DEQ Pollutant List'!$B$7:$B$611,MATCH('3. Pollutant Emissions - EF'!C1106,'DEQ Pollutant List'!$A$7:$A$611,0))),"")</f>
        <v/>
      </c>
      <c r="E1106" s="23"/>
      <c r="F1106" s="21"/>
      <c r="G1106" s="23"/>
      <c r="H1106" s="21"/>
      <c r="I1106" s="34"/>
      <c r="J1106" s="11"/>
      <c r="K1106" s="6"/>
      <c r="L1106" s="20"/>
      <c r="M1106" s="7">
        <f>IF(ISBLANK($B1106),_xlfn.XLOOKUP($A1106,'2. TEUs &amp; Activities - EF'!$A$9:$A$190,'2. TEUs &amp; Activities - EF'!$J$9:$J$190),_xlfn.XLOOKUP($B1106,'2. TEUs &amp; Activities - EF'!$B$9:$B$190,'2. TEUs &amp; Activities - EF'!$J$9:$J$190))*'3. Pollutant Emissions - EF'!$I1106*IF(OR(ISBLANK($E1106),$G1106="Yes"),1,$E1106)*IF($H1106="Yes",1,(1-$F1106))</f>
        <v>0</v>
      </c>
      <c r="N1106" s="5">
        <f>IF(ISBLANK($B1106),_xlfn.XLOOKUP($A1106,'2. TEUs &amp; Activities - EF'!$A$9:$A$190,'2. TEUs &amp; Activities - EF'!$M$9:$M$190),_xlfn.XLOOKUP($B1106,'2. TEUs &amp; Activities - EF'!$B$9:$B$190,'2. TEUs &amp; Activities - EF'!$M$9:$M$190))*'3. Pollutant Emissions - EF'!$J1106*IF(OR(ISBLANK($E1106),$G1106="Yes"),1,$E1106)*IF($H1106="Yes",1,(1-$F1106))</f>
        <v>0</v>
      </c>
      <c r="O1106" s="130"/>
    </row>
    <row r="1107" spans="1:15" ht="15" x14ac:dyDescent="0.25">
      <c r="A1107" s="5" t="s">
        <v>1569</v>
      </c>
      <c r="B1107" s="7"/>
      <c r="C1107" s="13" t="s">
        <v>50</v>
      </c>
      <c r="D1107" s="19" t="str">
        <f>IFERROR(IF(C1107="No CAS","",INDEX('DEQ Pollutant List'!$B$7:$B$611,MATCH('3. Pollutant Emissions - EF'!C1107,'DEQ Pollutant List'!$A$7:$A$611,0))),"")</f>
        <v>Acetaldehyde</v>
      </c>
      <c r="E1107" s="23">
        <v>0</v>
      </c>
      <c r="F1107" s="21">
        <v>0</v>
      </c>
      <c r="G1107" s="23" t="s">
        <v>1415</v>
      </c>
      <c r="H1107" s="21" t="s">
        <v>1415</v>
      </c>
      <c r="I1107" s="34">
        <v>4.3E-3</v>
      </c>
      <c r="J1107" s="11">
        <f t="shared" ref="J1107:J1132" si="40">I1107</f>
        <v>4.3E-3</v>
      </c>
      <c r="K1107" s="6" t="s">
        <v>1416</v>
      </c>
      <c r="L1107" s="20" t="s">
        <v>1422</v>
      </c>
      <c r="M1107" s="7">
        <f>IF(ISBLANK($B1107),_xlfn.XLOOKUP($A1107,'2. TEUs &amp; Activities - EF'!$A$9:$A$190,'2. TEUs &amp; Activities - EF'!$J$9:$J$190),_xlfn.XLOOKUP($B1107,'2. TEUs &amp; Activities - EF'!$B$9:$B$190,'2. TEUs &amp; Activities - EF'!$J$9:$J$190))*'3. Pollutant Emissions - EF'!$I1107*IF(OR(ISBLANK($E1107),$G1107="Yes"),1,$E1107)*IF($H1107="Yes",1,(1-$F1107))</f>
        <v>0.17541470588235294</v>
      </c>
      <c r="N1107" s="5">
        <f>IF(ISBLANK($B1107),_xlfn.XLOOKUP($A1107,'2. TEUs &amp; Activities - EF'!$A$9:$A$190,'2. TEUs &amp; Activities - EF'!$M$9:$M$190),_xlfn.XLOOKUP($B1107,'2. TEUs &amp; Activities - EF'!$B$9:$B$190,'2. TEUs &amp; Activities - EF'!$M$9:$M$190))*'3. Pollutant Emissions - EF'!$J1107*IF(OR(ISBLANK($E1107),$G1107="Yes"),1,$E1107)*IF($H1107="Yes",1,(1-$F1107))</f>
        <v>4.8058823529411763E-4</v>
      </c>
      <c r="O1107" s="130"/>
    </row>
    <row r="1108" spans="1:15" ht="15" x14ac:dyDescent="0.25">
      <c r="A1108" s="5" t="s">
        <v>1569</v>
      </c>
      <c r="B1108" s="7"/>
      <c r="C1108" s="13" t="s">
        <v>51</v>
      </c>
      <c r="D1108" s="19" t="str">
        <f>IFERROR(IF(C1108="No CAS","",INDEX('DEQ Pollutant List'!$B$7:$B$611,MATCH('3. Pollutant Emissions - EF'!C1108,'DEQ Pollutant List'!$A$7:$A$611,0))),"")</f>
        <v>Acrolein</v>
      </c>
      <c r="E1108" s="23">
        <v>0</v>
      </c>
      <c r="F1108" s="21">
        <v>0</v>
      </c>
      <c r="G1108" s="23" t="s">
        <v>1415</v>
      </c>
      <c r="H1108" s="21" t="s">
        <v>1415</v>
      </c>
      <c r="I1108" s="34">
        <v>2.7000000000000001E-3</v>
      </c>
      <c r="J1108" s="11">
        <f t="shared" si="40"/>
        <v>2.7000000000000001E-3</v>
      </c>
      <c r="K1108" s="6" t="s">
        <v>1416</v>
      </c>
      <c r="L1108" s="20" t="s">
        <v>1422</v>
      </c>
      <c r="M1108" s="7">
        <f>IF(ISBLANK($B1108),_xlfn.XLOOKUP($A1108,'2. TEUs &amp; Activities - EF'!$A$9:$A$190,'2. TEUs &amp; Activities - EF'!$J$9:$J$190),_xlfn.XLOOKUP($B1108,'2. TEUs &amp; Activities - EF'!$B$9:$B$190,'2. TEUs &amp; Activities - EF'!$J$9:$J$190))*'3. Pollutant Emissions - EF'!$I1108*IF(OR(ISBLANK($E1108),$G1108="Yes"),1,$E1108)*IF($H1108="Yes",1,(1-$F1108))</f>
        <v>0.11014411764705884</v>
      </c>
      <c r="N1108" s="5">
        <f>IF(ISBLANK($B1108),_xlfn.XLOOKUP($A1108,'2. TEUs &amp; Activities - EF'!$A$9:$A$190,'2. TEUs &amp; Activities - EF'!$M$9:$M$190),_xlfn.XLOOKUP($B1108,'2. TEUs &amp; Activities - EF'!$B$9:$B$190,'2. TEUs &amp; Activities - EF'!$M$9:$M$190))*'3. Pollutant Emissions - EF'!$J1108*IF(OR(ISBLANK($E1108),$G1108="Yes"),1,$E1108)*IF($H1108="Yes",1,(1-$F1108))</f>
        <v>3.0176470588235294E-4</v>
      </c>
      <c r="O1108" s="130"/>
    </row>
    <row r="1109" spans="1:15" ht="15" x14ac:dyDescent="0.25">
      <c r="A1109" s="5" t="s">
        <v>1569</v>
      </c>
      <c r="B1109" s="7"/>
      <c r="C1109" s="13" t="s">
        <v>52</v>
      </c>
      <c r="D1109" s="19" t="str">
        <f>IFERROR(IF(C1109="No CAS","",INDEX('DEQ Pollutant List'!$B$7:$B$611,MATCH('3. Pollutant Emissions - EF'!C1109,'DEQ Pollutant List'!$A$7:$A$611,0))),"")</f>
        <v>Ammonia</v>
      </c>
      <c r="E1109" s="23">
        <v>0</v>
      </c>
      <c r="F1109" s="21">
        <v>0</v>
      </c>
      <c r="G1109" s="23" t="s">
        <v>1415</v>
      </c>
      <c r="H1109" s="21" t="s">
        <v>1415</v>
      </c>
      <c r="I1109" s="34">
        <v>3.2</v>
      </c>
      <c r="J1109" s="11">
        <f t="shared" si="40"/>
        <v>3.2</v>
      </c>
      <c r="K1109" s="6" t="s">
        <v>1416</v>
      </c>
      <c r="L1109" s="20" t="s">
        <v>1586</v>
      </c>
      <c r="M1109" s="7">
        <f>IF(ISBLANK($B1109),_xlfn.XLOOKUP($A1109,'2. TEUs &amp; Activities - EF'!$A$9:$A$190,'2. TEUs &amp; Activities - EF'!$J$9:$J$190),_xlfn.XLOOKUP($B1109,'2. TEUs &amp; Activities - EF'!$B$9:$B$190,'2. TEUs &amp; Activities - EF'!$J$9:$J$190))*'3. Pollutant Emissions - EF'!$I1109*IF(OR(ISBLANK($E1109),$G1109="Yes"),1,$E1109)*IF($H1109="Yes",1,(1-$F1109))</f>
        <v>130.54117647058825</v>
      </c>
      <c r="N1109" s="5">
        <f>IF(ISBLANK($B1109),_xlfn.XLOOKUP($A1109,'2. TEUs &amp; Activities - EF'!$A$9:$A$190,'2. TEUs &amp; Activities - EF'!$M$9:$M$190),_xlfn.XLOOKUP($B1109,'2. TEUs &amp; Activities - EF'!$B$9:$B$190,'2. TEUs &amp; Activities - EF'!$M$9:$M$190))*'3. Pollutant Emissions - EF'!$J1109*IF(OR(ISBLANK($E1109),$G1109="Yes"),1,$E1109)*IF($H1109="Yes",1,(1-$F1109))</f>
        <v>0.35764705882352943</v>
      </c>
      <c r="O1109" s="130"/>
    </row>
    <row r="1110" spans="1:15" ht="15" x14ac:dyDescent="0.25">
      <c r="A1110" s="5" t="s">
        <v>1569</v>
      </c>
      <c r="B1110" s="7"/>
      <c r="C1110" s="13" t="s">
        <v>53</v>
      </c>
      <c r="D1110" s="19" t="str">
        <f>IFERROR(IF(C1110="No CAS","",INDEX('DEQ Pollutant List'!$B$7:$B$611,MATCH('3. Pollutant Emissions - EF'!C1110,'DEQ Pollutant List'!$A$7:$A$611,0))),"")</f>
        <v>Arsenic and compounds</v>
      </c>
      <c r="E1110" s="23">
        <v>0</v>
      </c>
      <c r="F1110" s="21">
        <v>0</v>
      </c>
      <c r="G1110" s="23" t="s">
        <v>1415</v>
      </c>
      <c r="H1110" s="21" t="s">
        <v>1415</v>
      </c>
      <c r="I1110" s="34">
        <v>2.0000000000000001E-4</v>
      </c>
      <c r="J1110" s="11">
        <f t="shared" si="40"/>
        <v>2.0000000000000001E-4</v>
      </c>
      <c r="K1110" s="6" t="s">
        <v>1416</v>
      </c>
      <c r="L1110" s="20" t="s">
        <v>1422</v>
      </c>
      <c r="M1110" s="7">
        <f>IF(ISBLANK($B1110),_xlfn.XLOOKUP($A1110,'2. TEUs &amp; Activities - EF'!$A$9:$A$190,'2. TEUs &amp; Activities - EF'!$J$9:$J$190),_xlfn.XLOOKUP($B1110,'2. TEUs &amp; Activities - EF'!$B$9:$B$190,'2. TEUs &amp; Activities - EF'!$J$9:$J$190))*'3. Pollutant Emissions - EF'!$I1110*IF(OR(ISBLANK($E1110),$G1110="Yes"),1,$E1110)*IF($H1110="Yes",1,(1-$F1110))</f>
        <v>8.1588235294117652E-3</v>
      </c>
      <c r="N1110" s="5">
        <f>IF(ISBLANK($B1110),_xlfn.XLOOKUP($A1110,'2. TEUs &amp; Activities - EF'!$A$9:$A$190,'2. TEUs &amp; Activities - EF'!$M$9:$M$190),_xlfn.XLOOKUP($B1110,'2. TEUs &amp; Activities - EF'!$B$9:$B$190,'2. TEUs &amp; Activities - EF'!$M$9:$M$190))*'3. Pollutant Emissions - EF'!$J1110*IF(OR(ISBLANK($E1110),$G1110="Yes"),1,$E1110)*IF($H1110="Yes",1,(1-$F1110))</f>
        <v>2.2352941176470586E-5</v>
      </c>
      <c r="O1110" s="130"/>
    </row>
    <row r="1111" spans="1:15" ht="15" x14ac:dyDescent="0.25">
      <c r="A1111" s="5" t="s">
        <v>1569</v>
      </c>
      <c r="B1111" s="7"/>
      <c r="C1111" s="13" t="s">
        <v>54</v>
      </c>
      <c r="D1111" s="19" t="str">
        <f>IFERROR(IF(C1111="No CAS","",INDEX('DEQ Pollutant List'!$B$7:$B$611,MATCH('3. Pollutant Emissions - EF'!C1111,'DEQ Pollutant List'!$A$7:$A$611,0))),"")</f>
        <v>Barium and compounds</v>
      </c>
      <c r="E1111" s="23">
        <v>0</v>
      </c>
      <c r="F1111" s="21">
        <v>0</v>
      </c>
      <c r="G1111" s="23" t="s">
        <v>1415</v>
      </c>
      <c r="H1111" s="21" t="s">
        <v>1415</v>
      </c>
      <c r="I1111" s="34">
        <v>4.4000000000000003E-3</v>
      </c>
      <c r="J1111" s="11">
        <f t="shared" si="40"/>
        <v>4.4000000000000003E-3</v>
      </c>
      <c r="K1111" s="6" t="s">
        <v>1416</v>
      </c>
      <c r="L1111" s="20" t="s">
        <v>1422</v>
      </c>
      <c r="M1111" s="7">
        <f>IF(ISBLANK($B1111),_xlfn.XLOOKUP($A1111,'2. TEUs &amp; Activities - EF'!$A$9:$A$190,'2. TEUs &amp; Activities - EF'!$J$9:$J$190),_xlfn.XLOOKUP($B1111,'2. TEUs &amp; Activities - EF'!$B$9:$B$190,'2. TEUs &amp; Activities - EF'!$J$9:$J$190))*'3. Pollutant Emissions - EF'!$I1111*IF(OR(ISBLANK($E1111),$G1111="Yes"),1,$E1111)*IF($H1111="Yes",1,(1-$F1111))</f>
        <v>0.17949411764705883</v>
      </c>
      <c r="N1111" s="5">
        <f>IF(ISBLANK($B1111),_xlfn.XLOOKUP($A1111,'2. TEUs &amp; Activities - EF'!$A$9:$A$190,'2. TEUs &amp; Activities - EF'!$M$9:$M$190),_xlfn.XLOOKUP($B1111,'2. TEUs &amp; Activities - EF'!$B$9:$B$190,'2. TEUs &amp; Activities - EF'!$M$9:$M$190))*'3. Pollutant Emissions - EF'!$J1111*IF(OR(ISBLANK($E1111),$G1111="Yes"),1,$E1111)*IF($H1111="Yes",1,(1-$F1111))</f>
        <v>4.917647058823529E-4</v>
      </c>
      <c r="O1111" s="130"/>
    </row>
    <row r="1112" spans="1:15" ht="15" x14ac:dyDescent="0.25">
      <c r="A1112" s="5" t="s">
        <v>1569</v>
      </c>
      <c r="B1112" s="7"/>
      <c r="C1112" s="13" t="s">
        <v>46</v>
      </c>
      <c r="D1112" s="19" t="str">
        <f>IFERROR(IF(C1112="No CAS","",INDEX('DEQ Pollutant List'!$B$7:$B$611,MATCH('3. Pollutant Emissions - EF'!C1112,'DEQ Pollutant List'!$A$7:$A$611,0))),"")</f>
        <v>Benzene</v>
      </c>
      <c r="E1112" s="23">
        <v>0</v>
      </c>
      <c r="F1112" s="21">
        <v>0</v>
      </c>
      <c r="G1112" s="23" t="s">
        <v>1415</v>
      </c>
      <c r="H1112" s="21" t="s">
        <v>1415</v>
      </c>
      <c r="I1112" s="34">
        <v>8.0000000000000002E-3</v>
      </c>
      <c r="J1112" s="11">
        <f t="shared" si="40"/>
        <v>8.0000000000000002E-3</v>
      </c>
      <c r="K1112" s="6" t="s">
        <v>1416</v>
      </c>
      <c r="L1112" s="20" t="s">
        <v>1422</v>
      </c>
      <c r="M1112" s="7">
        <f>IF(ISBLANK($B1112),_xlfn.XLOOKUP($A1112,'2. TEUs &amp; Activities - EF'!$A$9:$A$190,'2. TEUs &amp; Activities - EF'!$J$9:$J$190),_xlfn.XLOOKUP($B1112,'2. TEUs &amp; Activities - EF'!$B$9:$B$190,'2. TEUs &amp; Activities - EF'!$J$9:$J$190))*'3. Pollutant Emissions - EF'!$I1112*IF(OR(ISBLANK($E1112),$G1112="Yes"),1,$E1112)*IF($H1112="Yes",1,(1-$F1112))</f>
        <v>0.32635294117647062</v>
      </c>
      <c r="N1112" s="5">
        <f>IF(ISBLANK($B1112),_xlfn.XLOOKUP($A1112,'2. TEUs &amp; Activities - EF'!$A$9:$A$190,'2. TEUs &amp; Activities - EF'!$M$9:$M$190),_xlfn.XLOOKUP($B1112,'2. TEUs &amp; Activities - EF'!$B$9:$B$190,'2. TEUs &amp; Activities - EF'!$M$9:$M$190))*'3. Pollutant Emissions - EF'!$J1112*IF(OR(ISBLANK($E1112),$G1112="Yes"),1,$E1112)*IF($H1112="Yes",1,(1-$F1112))</f>
        <v>8.9411764705882345E-4</v>
      </c>
      <c r="O1112" s="130"/>
    </row>
    <row r="1113" spans="1:15" ht="15" x14ac:dyDescent="0.25">
      <c r="A1113" s="5" t="s">
        <v>1569</v>
      </c>
      <c r="B1113" s="7"/>
      <c r="C1113" s="13" t="s">
        <v>55</v>
      </c>
      <c r="D1113" s="19" t="str">
        <f>IFERROR(IF(C1113="No CAS","",INDEX('DEQ Pollutant List'!$B$7:$B$611,MATCH('3. Pollutant Emissions - EF'!C1113,'DEQ Pollutant List'!$A$7:$A$611,0))),"")</f>
        <v>Beryllium and compounds</v>
      </c>
      <c r="E1113" s="23">
        <v>0</v>
      </c>
      <c r="F1113" s="21">
        <v>0</v>
      </c>
      <c r="G1113" s="23" t="s">
        <v>1415</v>
      </c>
      <c r="H1113" s="21" t="s">
        <v>1415</v>
      </c>
      <c r="I1113" s="34">
        <v>1.2E-5</v>
      </c>
      <c r="J1113" s="11">
        <f t="shared" si="40"/>
        <v>1.2E-5</v>
      </c>
      <c r="K1113" s="6" t="s">
        <v>1416</v>
      </c>
      <c r="L1113" s="20" t="s">
        <v>1422</v>
      </c>
      <c r="M1113" s="7">
        <f>IF(ISBLANK($B1113),_xlfn.XLOOKUP($A1113,'2. TEUs &amp; Activities - EF'!$A$9:$A$190,'2. TEUs &amp; Activities - EF'!$J$9:$J$190),_xlfn.XLOOKUP($B1113,'2. TEUs &amp; Activities - EF'!$B$9:$B$190,'2. TEUs &amp; Activities - EF'!$J$9:$J$190))*'3. Pollutant Emissions - EF'!$I1113*IF(OR(ISBLANK($E1113),$G1113="Yes"),1,$E1113)*IF($H1113="Yes",1,(1-$F1113))</f>
        <v>4.8952941176470593E-4</v>
      </c>
      <c r="N1113" s="5">
        <f>IF(ISBLANK($B1113),_xlfn.XLOOKUP($A1113,'2. TEUs &amp; Activities - EF'!$A$9:$A$190,'2. TEUs &amp; Activities - EF'!$M$9:$M$190),_xlfn.XLOOKUP($B1113,'2. TEUs &amp; Activities - EF'!$B$9:$B$190,'2. TEUs &amp; Activities - EF'!$M$9:$M$190))*'3. Pollutant Emissions - EF'!$J1113*IF(OR(ISBLANK($E1113),$G1113="Yes"),1,$E1113)*IF($H1113="Yes",1,(1-$F1113))</f>
        <v>1.3411764705882353E-6</v>
      </c>
      <c r="O1113" s="130"/>
    </row>
    <row r="1114" spans="1:15" ht="15" x14ac:dyDescent="0.25">
      <c r="A1114" s="5" t="s">
        <v>1569</v>
      </c>
      <c r="B1114" s="7"/>
      <c r="C1114" s="13" t="s">
        <v>56</v>
      </c>
      <c r="D1114" s="19" t="str">
        <f>IFERROR(IF(C1114="No CAS","",INDEX('DEQ Pollutant List'!$B$7:$B$611,MATCH('3. Pollutant Emissions - EF'!C1114,'DEQ Pollutant List'!$A$7:$A$611,0))),"")</f>
        <v>Cadmium and compounds</v>
      </c>
      <c r="E1114" s="23">
        <v>0</v>
      </c>
      <c r="F1114" s="21">
        <v>0</v>
      </c>
      <c r="G1114" s="23" t="s">
        <v>1415</v>
      </c>
      <c r="H1114" s="21" t="s">
        <v>1415</v>
      </c>
      <c r="I1114" s="34">
        <v>1.1000000000000001E-3</v>
      </c>
      <c r="J1114" s="11">
        <f t="shared" si="40"/>
        <v>1.1000000000000001E-3</v>
      </c>
      <c r="K1114" s="6" t="s">
        <v>1416</v>
      </c>
      <c r="L1114" s="20" t="s">
        <v>1422</v>
      </c>
      <c r="M1114" s="7">
        <f>IF(ISBLANK($B1114),_xlfn.XLOOKUP($A1114,'2. TEUs &amp; Activities - EF'!$A$9:$A$190,'2. TEUs &amp; Activities - EF'!$J$9:$J$190),_xlfn.XLOOKUP($B1114,'2. TEUs &amp; Activities - EF'!$B$9:$B$190,'2. TEUs &amp; Activities - EF'!$J$9:$J$190))*'3. Pollutant Emissions - EF'!$I1114*IF(OR(ISBLANK($E1114),$G1114="Yes"),1,$E1114)*IF($H1114="Yes",1,(1-$F1114))</f>
        <v>4.4873529411764708E-2</v>
      </c>
      <c r="N1114" s="5">
        <f>IF(ISBLANK($B1114),_xlfn.XLOOKUP($A1114,'2. TEUs &amp; Activities - EF'!$A$9:$A$190,'2. TEUs &amp; Activities - EF'!$M$9:$M$190),_xlfn.XLOOKUP($B1114,'2. TEUs &amp; Activities - EF'!$B$9:$B$190,'2. TEUs &amp; Activities - EF'!$M$9:$M$190))*'3. Pollutant Emissions - EF'!$J1114*IF(OR(ISBLANK($E1114),$G1114="Yes"),1,$E1114)*IF($H1114="Yes",1,(1-$F1114))</f>
        <v>1.2294117647058822E-4</v>
      </c>
      <c r="O1114" s="130"/>
    </row>
    <row r="1115" spans="1:15" ht="15" x14ac:dyDescent="0.25">
      <c r="A1115" s="5" t="s">
        <v>1569</v>
      </c>
      <c r="B1115" s="7"/>
      <c r="C1115" s="13" t="s">
        <v>57</v>
      </c>
      <c r="D1115" s="19" t="str">
        <f>IFERROR(IF(C1115="No CAS","",INDEX('DEQ Pollutant List'!$B$7:$B$611,MATCH('3. Pollutant Emissions - EF'!C1115,'DEQ Pollutant List'!$A$7:$A$611,0))),"")</f>
        <v>Chromium VI, chromate and dichromate particulate</v>
      </c>
      <c r="E1115" s="23">
        <v>0</v>
      </c>
      <c r="F1115" s="21">
        <v>0</v>
      </c>
      <c r="G1115" s="23" t="s">
        <v>1415</v>
      </c>
      <c r="H1115" s="21" t="s">
        <v>1415</v>
      </c>
      <c r="I1115" s="34">
        <v>1.4E-3</v>
      </c>
      <c r="J1115" s="11">
        <f t="shared" si="40"/>
        <v>1.4E-3</v>
      </c>
      <c r="K1115" s="6" t="s">
        <v>1416</v>
      </c>
      <c r="L1115" s="20" t="s">
        <v>1422</v>
      </c>
      <c r="M1115" s="7">
        <f>IF(ISBLANK($B1115),_xlfn.XLOOKUP($A1115,'2. TEUs &amp; Activities - EF'!$A$9:$A$190,'2. TEUs &amp; Activities - EF'!$J$9:$J$190),_xlfn.XLOOKUP($B1115,'2. TEUs &amp; Activities - EF'!$B$9:$B$190,'2. TEUs &amp; Activities - EF'!$J$9:$J$190))*'3. Pollutant Emissions - EF'!$I1115*IF(OR(ISBLANK($E1115),$G1115="Yes"),1,$E1115)*IF($H1115="Yes",1,(1-$F1115))</f>
        <v>5.7111764705882355E-2</v>
      </c>
      <c r="N1115" s="5">
        <f>IF(ISBLANK($B1115),_xlfn.XLOOKUP($A1115,'2. TEUs &amp; Activities - EF'!$A$9:$A$190,'2. TEUs &amp; Activities - EF'!$M$9:$M$190),_xlfn.XLOOKUP($B1115,'2. TEUs &amp; Activities - EF'!$B$9:$B$190,'2. TEUs &amp; Activities - EF'!$M$9:$M$190))*'3. Pollutant Emissions - EF'!$J1115*IF(OR(ISBLANK($E1115),$G1115="Yes"),1,$E1115)*IF($H1115="Yes",1,(1-$F1115))</f>
        <v>1.564705882352941E-4</v>
      </c>
      <c r="O1115" s="130"/>
    </row>
    <row r="1116" spans="1:15" ht="15" x14ac:dyDescent="0.25">
      <c r="A1116" s="5" t="s">
        <v>1569</v>
      </c>
      <c r="B1116" s="7"/>
      <c r="C1116" s="13" t="s">
        <v>58</v>
      </c>
      <c r="D1116" s="19" t="str">
        <f>IFERROR(IF(C1116="No CAS","",INDEX('DEQ Pollutant List'!$B$7:$B$611,MATCH('3. Pollutant Emissions - EF'!C1116,'DEQ Pollutant List'!$A$7:$A$611,0))),"")</f>
        <v>Cobalt and compounds</v>
      </c>
      <c r="E1116" s="23">
        <v>0</v>
      </c>
      <c r="F1116" s="21">
        <v>0</v>
      </c>
      <c r="G1116" s="23" t="s">
        <v>1415</v>
      </c>
      <c r="H1116" s="21" t="s">
        <v>1415</v>
      </c>
      <c r="I1116" s="34">
        <v>8.3999999999999995E-5</v>
      </c>
      <c r="J1116" s="11">
        <f t="shared" si="40"/>
        <v>8.3999999999999995E-5</v>
      </c>
      <c r="K1116" s="6" t="s">
        <v>1416</v>
      </c>
      <c r="L1116" s="20" t="s">
        <v>1422</v>
      </c>
      <c r="M1116" s="7">
        <f>IF(ISBLANK($B1116),_xlfn.XLOOKUP($A1116,'2. TEUs &amp; Activities - EF'!$A$9:$A$190,'2. TEUs &amp; Activities - EF'!$J$9:$J$190),_xlfn.XLOOKUP($B1116,'2. TEUs &amp; Activities - EF'!$B$9:$B$190,'2. TEUs &amp; Activities - EF'!$J$9:$J$190))*'3. Pollutant Emissions - EF'!$I1116*IF(OR(ISBLANK($E1116),$G1116="Yes"),1,$E1116)*IF($H1116="Yes",1,(1-$F1116))</f>
        <v>3.4267058823529411E-3</v>
      </c>
      <c r="N1116" s="5">
        <f>IF(ISBLANK($B1116),_xlfn.XLOOKUP($A1116,'2. TEUs &amp; Activities - EF'!$A$9:$A$190,'2. TEUs &amp; Activities - EF'!$M$9:$M$190),_xlfn.XLOOKUP($B1116,'2. TEUs &amp; Activities - EF'!$B$9:$B$190,'2. TEUs &amp; Activities - EF'!$M$9:$M$190))*'3. Pollutant Emissions - EF'!$J1116*IF(OR(ISBLANK($E1116),$G1116="Yes"),1,$E1116)*IF($H1116="Yes",1,(1-$F1116))</f>
        <v>9.3882352941176458E-6</v>
      </c>
      <c r="O1116" s="130"/>
    </row>
    <row r="1117" spans="1:15" ht="15" x14ac:dyDescent="0.25">
      <c r="A1117" s="5" t="s">
        <v>1569</v>
      </c>
      <c r="B1117" s="7"/>
      <c r="C1117" s="13" t="s">
        <v>59</v>
      </c>
      <c r="D1117" s="19" t="str">
        <f>IFERROR(IF(C1117="No CAS","",INDEX('DEQ Pollutant List'!$B$7:$B$611,MATCH('3. Pollutant Emissions - EF'!C1117,'DEQ Pollutant List'!$A$7:$A$611,0))),"")</f>
        <v>Copper and compounds</v>
      </c>
      <c r="E1117" s="23">
        <v>0</v>
      </c>
      <c r="F1117" s="21">
        <v>0</v>
      </c>
      <c r="G1117" s="23" t="s">
        <v>1415</v>
      </c>
      <c r="H1117" s="21" t="s">
        <v>1415</v>
      </c>
      <c r="I1117" s="34">
        <v>8.4999999999999995E-4</v>
      </c>
      <c r="J1117" s="11">
        <f t="shared" si="40"/>
        <v>8.4999999999999995E-4</v>
      </c>
      <c r="K1117" s="6" t="s">
        <v>1416</v>
      </c>
      <c r="L1117" s="20" t="s">
        <v>1422</v>
      </c>
      <c r="M1117" s="7">
        <f>IF(ISBLANK($B1117),_xlfn.XLOOKUP($A1117,'2. TEUs &amp; Activities - EF'!$A$9:$A$190,'2. TEUs &amp; Activities - EF'!$J$9:$J$190),_xlfn.XLOOKUP($B1117,'2. TEUs &amp; Activities - EF'!$B$9:$B$190,'2. TEUs &amp; Activities - EF'!$J$9:$J$190))*'3. Pollutant Emissions - EF'!$I1117*IF(OR(ISBLANK($E1117),$G1117="Yes"),1,$E1117)*IF($H1117="Yes",1,(1-$F1117))</f>
        <v>3.4674999999999997E-2</v>
      </c>
      <c r="N1117" s="5">
        <f>IF(ISBLANK($B1117),_xlfn.XLOOKUP($A1117,'2. TEUs &amp; Activities - EF'!$A$9:$A$190,'2. TEUs &amp; Activities - EF'!$M$9:$M$190),_xlfn.XLOOKUP($B1117,'2. TEUs &amp; Activities - EF'!$B$9:$B$190,'2. TEUs &amp; Activities - EF'!$M$9:$M$190))*'3. Pollutant Emissions - EF'!$J1117*IF(OR(ISBLANK($E1117),$G1117="Yes"),1,$E1117)*IF($H1117="Yes",1,(1-$F1117))</f>
        <v>9.4999999999999992E-5</v>
      </c>
      <c r="O1117" s="130"/>
    </row>
    <row r="1118" spans="1:15" ht="15" x14ac:dyDescent="0.25">
      <c r="A1118" s="5" t="s">
        <v>1569</v>
      </c>
      <c r="B1118" s="7"/>
      <c r="C1118" s="13" t="s">
        <v>60</v>
      </c>
      <c r="D1118" s="19" t="str">
        <f>IFERROR(IF(C1118="No CAS","",INDEX('DEQ Pollutant List'!$B$7:$B$611,MATCH('3. Pollutant Emissions - EF'!C1118,'DEQ Pollutant List'!$A$7:$A$611,0))),"")</f>
        <v>Ethyl benzene</v>
      </c>
      <c r="E1118" s="23">
        <v>0</v>
      </c>
      <c r="F1118" s="21">
        <v>0</v>
      </c>
      <c r="G1118" s="23" t="s">
        <v>1415</v>
      </c>
      <c r="H1118" s="21" t="s">
        <v>1415</v>
      </c>
      <c r="I1118" s="34">
        <v>9.4999999999999998E-3</v>
      </c>
      <c r="J1118" s="11">
        <f t="shared" si="40"/>
        <v>9.4999999999999998E-3</v>
      </c>
      <c r="K1118" s="6" t="s">
        <v>1416</v>
      </c>
      <c r="L1118" s="20" t="s">
        <v>1422</v>
      </c>
      <c r="M1118" s="7">
        <f>IF(ISBLANK($B1118),_xlfn.XLOOKUP($A1118,'2. TEUs &amp; Activities - EF'!$A$9:$A$190,'2. TEUs &amp; Activities - EF'!$J$9:$J$190),_xlfn.XLOOKUP($B1118,'2. TEUs &amp; Activities - EF'!$B$9:$B$190,'2. TEUs &amp; Activities - EF'!$J$9:$J$190))*'3. Pollutant Emissions - EF'!$I1118*IF(OR(ISBLANK($E1118),$G1118="Yes"),1,$E1118)*IF($H1118="Yes",1,(1-$F1118))</f>
        <v>0.38754411764705882</v>
      </c>
      <c r="N1118" s="5">
        <f>IF(ISBLANK($B1118),_xlfn.XLOOKUP($A1118,'2. TEUs &amp; Activities - EF'!$A$9:$A$190,'2. TEUs &amp; Activities - EF'!$M$9:$M$190),_xlfn.XLOOKUP($B1118,'2. TEUs &amp; Activities - EF'!$B$9:$B$190,'2. TEUs &amp; Activities - EF'!$M$9:$M$190))*'3. Pollutant Emissions - EF'!$J1118*IF(OR(ISBLANK($E1118),$G1118="Yes"),1,$E1118)*IF($H1118="Yes",1,(1-$F1118))</f>
        <v>1.0617647058823528E-3</v>
      </c>
      <c r="O1118" s="130"/>
    </row>
    <row r="1119" spans="1:15" ht="15" x14ac:dyDescent="0.25">
      <c r="A1119" s="5" t="s">
        <v>1569</v>
      </c>
      <c r="B1119" s="7"/>
      <c r="C1119" s="13" t="s">
        <v>47</v>
      </c>
      <c r="D1119" s="19" t="str">
        <f>IFERROR(IF(C1119="No CAS","",INDEX('DEQ Pollutant List'!$B$7:$B$611,MATCH('3. Pollutant Emissions - EF'!C1119,'DEQ Pollutant List'!$A$7:$A$611,0))),"")</f>
        <v>Formaldehyde</v>
      </c>
      <c r="E1119" s="23">
        <v>0</v>
      </c>
      <c r="F1119" s="21">
        <v>0</v>
      </c>
      <c r="G1119" s="23" t="s">
        <v>1415</v>
      </c>
      <c r="H1119" s="21" t="s">
        <v>1415</v>
      </c>
      <c r="I1119" s="34">
        <v>1.7000000000000001E-2</v>
      </c>
      <c r="J1119" s="11">
        <f t="shared" si="40"/>
        <v>1.7000000000000001E-2</v>
      </c>
      <c r="K1119" s="6" t="s">
        <v>1416</v>
      </c>
      <c r="L1119" s="20" t="s">
        <v>1422</v>
      </c>
      <c r="M1119" s="7">
        <f>IF(ISBLANK($B1119),_xlfn.XLOOKUP($A1119,'2. TEUs &amp; Activities - EF'!$A$9:$A$190,'2. TEUs &amp; Activities - EF'!$J$9:$J$190),_xlfn.XLOOKUP($B1119,'2. TEUs &amp; Activities - EF'!$B$9:$B$190,'2. TEUs &amp; Activities - EF'!$J$9:$J$190))*'3. Pollutant Emissions - EF'!$I1119*IF(OR(ISBLANK($E1119),$G1119="Yes"),1,$E1119)*IF($H1119="Yes",1,(1-$F1119))</f>
        <v>0.69350000000000012</v>
      </c>
      <c r="N1119" s="5">
        <f>IF(ISBLANK($B1119),_xlfn.XLOOKUP($A1119,'2. TEUs &amp; Activities - EF'!$A$9:$A$190,'2. TEUs &amp; Activities - EF'!$M$9:$M$190),_xlfn.XLOOKUP($B1119,'2. TEUs &amp; Activities - EF'!$B$9:$B$190,'2. TEUs &amp; Activities - EF'!$M$9:$M$190))*'3. Pollutant Emissions - EF'!$J1119*IF(OR(ISBLANK($E1119),$G1119="Yes"),1,$E1119)*IF($H1119="Yes",1,(1-$F1119))</f>
        <v>1.9E-3</v>
      </c>
      <c r="O1119" s="130"/>
    </row>
    <row r="1120" spans="1:15" ht="15" x14ac:dyDescent="0.25">
      <c r="A1120" s="5" t="s">
        <v>1569</v>
      </c>
      <c r="B1120" s="7"/>
      <c r="C1120" s="13" t="s">
        <v>61</v>
      </c>
      <c r="D1120" s="19" t="str">
        <f>IFERROR(IF(C1120="No CAS","",INDEX('DEQ Pollutant List'!$B$7:$B$611,MATCH('3. Pollutant Emissions - EF'!C1120,'DEQ Pollutant List'!$A$7:$A$611,0))),"")</f>
        <v>Hexane</v>
      </c>
      <c r="E1120" s="23">
        <v>0</v>
      </c>
      <c r="F1120" s="21">
        <v>0</v>
      </c>
      <c r="G1120" s="23" t="s">
        <v>1415</v>
      </c>
      <c r="H1120" s="21" t="s">
        <v>1415</v>
      </c>
      <c r="I1120" s="34">
        <v>6.3E-3</v>
      </c>
      <c r="J1120" s="11">
        <f t="shared" si="40"/>
        <v>6.3E-3</v>
      </c>
      <c r="K1120" s="6" t="s">
        <v>1416</v>
      </c>
      <c r="L1120" s="20" t="s">
        <v>1422</v>
      </c>
      <c r="M1120" s="7">
        <f>IF(ISBLANK($B1120),_xlfn.XLOOKUP($A1120,'2. TEUs &amp; Activities - EF'!$A$9:$A$190,'2. TEUs &amp; Activities - EF'!$J$9:$J$190),_xlfn.XLOOKUP($B1120,'2. TEUs &amp; Activities - EF'!$B$9:$B$190,'2. TEUs &amp; Activities - EF'!$J$9:$J$190))*'3. Pollutant Emissions - EF'!$I1120*IF(OR(ISBLANK($E1120),$G1120="Yes"),1,$E1120)*IF($H1120="Yes",1,(1-$F1120))</f>
        <v>0.2570029411764706</v>
      </c>
      <c r="N1120" s="5">
        <f>IF(ISBLANK($B1120),_xlfn.XLOOKUP($A1120,'2. TEUs &amp; Activities - EF'!$A$9:$A$190,'2. TEUs &amp; Activities - EF'!$M$9:$M$190),_xlfn.XLOOKUP($B1120,'2. TEUs &amp; Activities - EF'!$B$9:$B$190,'2. TEUs &amp; Activities - EF'!$M$9:$M$190))*'3. Pollutant Emissions - EF'!$J1120*IF(OR(ISBLANK($E1120),$G1120="Yes"),1,$E1120)*IF($H1120="Yes",1,(1-$F1120))</f>
        <v>7.0411764705882349E-4</v>
      </c>
      <c r="O1120" s="130"/>
    </row>
    <row r="1121" spans="1:15" ht="15" x14ac:dyDescent="0.25">
      <c r="A1121" s="5" t="s">
        <v>1569</v>
      </c>
      <c r="B1121" s="7"/>
      <c r="C1121" s="13" t="s">
        <v>62</v>
      </c>
      <c r="D1121" s="19" t="str">
        <f>IFERROR(IF(C1121="No CAS","",INDEX('DEQ Pollutant List'!$B$7:$B$611,MATCH('3. Pollutant Emissions - EF'!C1121,'DEQ Pollutant List'!$A$7:$A$611,0))),"")</f>
        <v>Lead and compounds</v>
      </c>
      <c r="E1121" s="23">
        <v>0</v>
      </c>
      <c r="F1121" s="21">
        <v>0</v>
      </c>
      <c r="G1121" s="23" t="s">
        <v>1415</v>
      </c>
      <c r="H1121" s="21" t="s">
        <v>1415</v>
      </c>
      <c r="I1121" s="34">
        <v>5.0000000000000001E-4</v>
      </c>
      <c r="J1121" s="11">
        <f t="shared" si="40"/>
        <v>5.0000000000000001E-4</v>
      </c>
      <c r="K1121" s="6" t="s">
        <v>1416</v>
      </c>
      <c r="L1121" s="20" t="s">
        <v>1422</v>
      </c>
      <c r="M1121" s="7">
        <f>IF(ISBLANK($B1121),_xlfn.XLOOKUP($A1121,'2. TEUs &amp; Activities - EF'!$A$9:$A$190,'2. TEUs &amp; Activities - EF'!$J$9:$J$190),_xlfn.XLOOKUP($B1121,'2. TEUs &amp; Activities - EF'!$B$9:$B$190,'2. TEUs &amp; Activities - EF'!$J$9:$J$190))*'3. Pollutant Emissions - EF'!$I1121*IF(OR(ISBLANK($E1121),$G1121="Yes"),1,$E1121)*IF($H1121="Yes",1,(1-$F1121))</f>
        <v>2.0397058823529414E-2</v>
      </c>
      <c r="N1121" s="5">
        <f>IF(ISBLANK($B1121),_xlfn.XLOOKUP($A1121,'2. TEUs &amp; Activities - EF'!$A$9:$A$190,'2. TEUs &amp; Activities - EF'!$M$9:$M$190),_xlfn.XLOOKUP($B1121,'2. TEUs &amp; Activities - EF'!$B$9:$B$190,'2. TEUs &amp; Activities - EF'!$M$9:$M$190))*'3. Pollutant Emissions - EF'!$J1121*IF(OR(ISBLANK($E1121),$G1121="Yes"),1,$E1121)*IF($H1121="Yes",1,(1-$F1121))</f>
        <v>5.5882352941176466E-5</v>
      </c>
      <c r="O1121" s="130"/>
    </row>
    <row r="1122" spans="1:15" ht="15" x14ac:dyDescent="0.25">
      <c r="A1122" s="5" t="s">
        <v>1569</v>
      </c>
      <c r="B1122" s="7"/>
      <c r="C1122" s="13" t="s">
        <v>63</v>
      </c>
      <c r="D1122" s="19" t="str">
        <f>IFERROR(IF(C1122="No CAS","",INDEX('DEQ Pollutant List'!$B$7:$B$611,MATCH('3. Pollutant Emissions - EF'!C1122,'DEQ Pollutant List'!$A$7:$A$611,0))),"")</f>
        <v>Manganese and compounds</v>
      </c>
      <c r="E1122" s="23">
        <v>0</v>
      </c>
      <c r="F1122" s="21">
        <v>0</v>
      </c>
      <c r="G1122" s="23" t="s">
        <v>1415</v>
      </c>
      <c r="H1122" s="21" t="s">
        <v>1415</v>
      </c>
      <c r="I1122" s="34">
        <v>3.8000000000000002E-4</v>
      </c>
      <c r="J1122" s="11">
        <f t="shared" si="40"/>
        <v>3.8000000000000002E-4</v>
      </c>
      <c r="K1122" s="6" t="s">
        <v>1416</v>
      </c>
      <c r="L1122" s="20" t="s">
        <v>1422</v>
      </c>
      <c r="M1122" s="7">
        <f>IF(ISBLANK($B1122),_xlfn.XLOOKUP($A1122,'2. TEUs &amp; Activities - EF'!$A$9:$A$190,'2. TEUs &amp; Activities - EF'!$J$9:$J$190),_xlfn.XLOOKUP($B1122,'2. TEUs &amp; Activities - EF'!$B$9:$B$190,'2. TEUs &amp; Activities - EF'!$J$9:$J$190))*'3. Pollutant Emissions - EF'!$I1122*IF(OR(ISBLANK($E1122),$G1122="Yes"),1,$E1122)*IF($H1122="Yes",1,(1-$F1122))</f>
        <v>1.5501764705882356E-2</v>
      </c>
      <c r="N1122" s="5">
        <f>IF(ISBLANK($B1122),_xlfn.XLOOKUP($A1122,'2. TEUs &amp; Activities - EF'!$A$9:$A$190,'2. TEUs &amp; Activities - EF'!$M$9:$M$190),_xlfn.XLOOKUP($B1122,'2. TEUs &amp; Activities - EF'!$B$9:$B$190,'2. TEUs &amp; Activities - EF'!$M$9:$M$190))*'3. Pollutant Emissions - EF'!$J1122*IF(OR(ISBLANK($E1122),$G1122="Yes"),1,$E1122)*IF($H1122="Yes",1,(1-$F1122))</f>
        <v>4.2470588235294118E-5</v>
      </c>
      <c r="O1122" s="130"/>
    </row>
    <row r="1123" spans="1:15" ht="15" x14ac:dyDescent="0.25">
      <c r="A1123" s="5" t="s">
        <v>1569</v>
      </c>
      <c r="B1123" s="7"/>
      <c r="C1123" s="13" t="s">
        <v>64</v>
      </c>
      <c r="D1123" s="19" t="str">
        <f>IFERROR(IF(C1123="No CAS","",INDEX('DEQ Pollutant List'!$B$7:$B$611,MATCH('3. Pollutant Emissions - EF'!C1123,'DEQ Pollutant List'!$A$7:$A$611,0))),"")</f>
        <v>Mercury and compounds</v>
      </c>
      <c r="E1123" s="23">
        <v>0</v>
      </c>
      <c r="F1123" s="21">
        <v>0</v>
      </c>
      <c r="G1123" s="23" t="s">
        <v>1415</v>
      </c>
      <c r="H1123" s="21" t="s">
        <v>1415</v>
      </c>
      <c r="I1123" s="34">
        <v>2.5999999999999998E-4</v>
      </c>
      <c r="J1123" s="11">
        <f t="shared" si="40"/>
        <v>2.5999999999999998E-4</v>
      </c>
      <c r="K1123" s="6" t="s">
        <v>1416</v>
      </c>
      <c r="L1123" s="20" t="s">
        <v>1422</v>
      </c>
      <c r="M1123" s="7">
        <f>IF(ISBLANK($B1123),_xlfn.XLOOKUP($A1123,'2. TEUs &amp; Activities - EF'!$A$9:$A$190,'2. TEUs &amp; Activities - EF'!$J$9:$J$190),_xlfn.XLOOKUP($B1123,'2. TEUs &amp; Activities - EF'!$B$9:$B$190,'2. TEUs &amp; Activities - EF'!$J$9:$J$190))*'3. Pollutant Emissions - EF'!$I1123*IF(OR(ISBLANK($E1123),$G1123="Yes"),1,$E1123)*IF($H1123="Yes",1,(1-$F1123))</f>
        <v>1.0606470588235294E-2</v>
      </c>
      <c r="N1123" s="5">
        <f>IF(ISBLANK($B1123),_xlfn.XLOOKUP($A1123,'2. TEUs &amp; Activities - EF'!$A$9:$A$190,'2. TEUs &amp; Activities - EF'!$M$9:$M$190),_xlfn.XLOOKUP($B1123,'2. TEUs &amp; Activities - EF'!$B$9:$B$190,'2. TEUs &amp; Activities - EF'!$M$9:$M$190))*'3. Pollutant Emissions - EF'!$J1123*IF(OR(ISBLANK($E1123),$G1123="Yes"),1,$E1123)*IF($H1123="Yes",1,(1-$F1123))</f>
        <v>2.905882352941176E-5</v>
      </c>
      <c r="O1123" s="130"/>
    </row>
    <row r="1124" spans="1:15" ht="15" x14ac:dyDescent="0.25">
      <c r="A1124" s="5" t="s">
        <v>1569</v>
      </c>
      <c r="B1124" s="7"/>
      <c r="C1124" s="13" t="s">
        <v>65</v>
      </c>
      <c r="D1124" s="19" t="str">
        <f>IFERROR(IF(C1124="No CAS","",INDEX('DEQ Pollutant List'!$B$7:$B$611,MATCH('3. Pollutant Emissions - EF'!C1124,'DEQ Pollutant List'!$A$7:$A$611,0))),"")</f>
        <v>Molybdenum trioxide</v>
      </c>
      <c r="E1124" s="23">
        <v>0</v>
      </c>
      <c r="F1124" s="21">
        <v>0</v>
      </c>
      <c r="G1124" s="23" t="s">
        <v>1415</v>
      </c>
      <c r="H1124" s="21" t="s">
        <v>1415</v>
      </c>
      <c r="I1124" s="34">
        <v>1.65E-3</v>
      </c>
      <c r="J1124" s="11">
        <f t="shared" si="40"/>
        <v>1.65E-3</v>
      </c>
      <c r="K1124" s="6" t="s">
        <v>1416</v>
      </c>
      <c r="L1124" s="20" t="s">
        <v>1422</v>
      </c>
      <c r="M1124" s="7">
        <f>IF(ISBLANK($B1124),_xlfn.XLOOKUP($A1124,'2. TEUs &amp; Activities - EF'!$A$9:$A$190,'2. TEUs &amp; Activities - EF'!$J$9:$J$190),_xlfn.XLOOKUP($B1124,'2. TEUs &amp; Activities - EF'!$B$9:$B$190,'2. TEUs &amp; Activities - EF'!$J$9:$J$190))*'3. Pollutant Emissions - EF'!$I1124*IF(OR(ISBLANK($E1124),$G1124="Yes"),1,$E1124)*IF($H1124="Yes",1,(1-$F1124))</f>
        <v>6.7310294117647065E-2</v>
      </c>
      <c r="N1124" s="5">
        <f>IF(ISBLANK($B1124),_xlfn.XLOOKUP($A1124,'2. TEUs &amp; Activities - EF'!$A$9:$A$190,'2. TEUs &amp; Activities - EF'!$M$9:$M$190),_xlfn.XLOOKUP($B1124,'2. TEUs &amp; Activities - EF'!$B$9:$B$190,'2. TEUs &amp; Activities - EF'!$M$9:$M$190))*'3. Pollutant Emissions - EF'!$J1124*IF(OR(ISBLANK($E1124),$G1124="Yes"),1,$E1124)*IF($H1124="Yes",1,(1-$F1124))</f>
        <v>1.8441176470588235E-4</v>
      </c>
      <c r="O1124" s="130"/>
    </row>
    <row r="1125" spans="1:15" ht="15" x14ac:dyDescent="0.25">
      <c r="A1125" s="5" t="s">
        <v>1569</v>
      </c>
      <c r="B1125" s="7"/>
      <c r="C1125" s="13" t="s">
        <v>49</v>
      </c>
      <c r="D1125" s="19" t="str">
        <f>IFERROR(IF(C1125="No CAS","",INDEX('DEQ Pollutant List'!$B$7:$B$611,MATCH('3. Pollutant Emissions - EF'!C1125,'DEQ Pollutant List'!$A$7:$A$611,0))),"")</f>
        <v>Naphthalene</v>
      </c>
      <c r="E1125" s="23">
        <v>0</v>
      </c>
      <c r="F1125" s="21">
        <v>0</v>
      </c>
      <c r="G1125" s="23" t="s">
        <v>1415</v>
      </c>
      <c r="H1125" s="21" t="s">
        <v>1415</v>
      </c>
      <c r="I1125" s="34">
        <v>2.9999999999999997E-4</v>
      </c>
      <c r="J1125" s="11">
        <f t="shared" si="40"/>
        <v>2.9999999999999997E-4</v>
      </c>
      <c r="K1125" s="6" t="s">
        <v>1416</v>
      </c>
      <c r="L1125" s="20" t="s">
        <v>1422</v>
      </c>
      <c r="M1125" s="7">
        <f>IF(ISBLANK($B1125),_xlfn.XLOOKUP($A1125,'2. TEUs &amp; Activities - EF'!$A$9:$A$190,'2. TEUs &amp; Activities - EF'!$J$9:$J$190),_xlfn.XLOOKUP($B1125,'2. TEUs &amp; Activities - EF'!$B$9:$B$190,'2. TEUs &amp; Activities - EF'!$J$9:$J$190))*'3. Pollutant Emissions - EF'!$I1125*IF(OR(ISBLANK($E1125),$G1125="Yes"),1,$E1125)*IF($H1125="Yes",1,(1-$F1125))</f>
        <v>1.2238235294117647E-2</v>
      </c>
      <c r="N1125" s="5">
        <f>IF(ISBLANK($B1125),_xlfn.XLOOKUP($A1125,'2. TEUs &amp; Activities - EF'!$A$9:$A$190,'2. TEUs &amp; Activities - EF'!$M$9:$M$190),_xlfn.XLOOKUP($B1125,'2. TEUs &amp; Activities - EF'!$B$9:$B$190,'2. TEUs &amp; Activities - EF'!$M$9:$M$190))*'3. Pollutant Emissions - EF'!$J1125*IF(OR(ISBLANK($E1125),$G1125="Yes"),1,$E1125)*IF($H1125="Yes",1,(1-$F1125))</f>
        <v>3.3529411764705879E-5</v>
      </c>
      <c r="O1125" s="130"/>
    </row>
    <row r="1126" spans="1:15" ht="15" x14ac:dyDescent="0.25">
      <c r="A1126" s="5" t="s">
        <v>1569</v>
      </c>
      <c r="B1126" s="7"/>
      <c r="C1126" s="13" t="s">
        <v>66</v>
      </c>
      <c r="D1126" s="19" t="str">
        <f>IFERROR(IF(C1126="No CAS","",INDEX('DEQ Pollutant List'!$B$7:$B$611,MATCH('3. Pollutant Emissions - EF'!C1126,'DEQ Pollutant List'!$A$7:$A$611,0))),"")</f>
        <v>Nickel and compounds</v>
      </c>
      <c r="E1126" s="23">
        <v>0</v>
      </c>
      <c r="F1126" s="21">
        <v>0</v>
      </c>
      <c r="G1126" s="23" t="s">
        <v>1415</v>
      </c>
      <c r="H1126" s="21" t="s">
        <v>1415</v>
      </c>
      <c r="I1126" s="34">
        <v>2.0999999999999999E-3</v>
      </c>
      <c r="J1126" s="11">
        <f t="shared" si="40"/>
        <v>2.0999999999999999E-3</v>
      </c>
      <c r="K1126" s="6" t="s">
        <v>1416</v>
      </c>
      <c r="L1126" s="20" t="s">
        <v>1422</v>
      </c>
      <c r="M1126" s="7">
        <f>IF(ISBLANK($B1126),_xlfn.XLOOKUP($A1126,'2. TEUs &amp; Activities - EF'!$A$9:$A$190,'2. TEUs &amp; Activities - EF'!$J$9:$J$190),_xlfn.XLOOKUP($B1126,'2. TEUs &amp; Activities - EF'!$B$9:$B$190,'2. TEUs &amp; Activities - EF'!$J$9:$J$190))*'3. Pollutant Emissions - EF'!$I1126*IF(OR(ISBLANK($E1126),$G1126="Yes"),1,$E1126)*IF($H1126="Yes",1,(1-$F1126))</f>
        <v>8.5667647058823529E-2</v>
      </c>
      <c r="N1126" s="5">
        <f>IF(ISBLANK($B1126),_xlfn.XLOOKUP($A1126,'2. TEUs &amp; Activities - EF'!$A$9:$A$190,'2. TEUs &amp; Activities - EF'!$M$9:$M$190),_xlfn.XLOOKUP($B1126,'2. TEUs &amp; Activities - EF'!$B$9:$B$190,'2. TEUs &amp; Activities - EF'!$M$9:$M$190))*'3. Pollutant Emissions - EF'!$J1126*IF(OR(ISBLANK($E1126),$G1126="Yes"),1,$E1126)*IF($H1126="Yes",1,(1-$F1126))</f>
        <v>2.3470588235294116E-4</v>
      </c>
      <c r="O1126" s="130"/>
    </row>
    <row r="1127" spans="1:15" ht="15" x14ac:dyDescent="0.25">
      <c r="A1127" s="5" t="s">
        <v>1569</v>
      </c>
      <c r="B1127" s="7"/>
      <c r="C1127" s="13">
        <v>401</v>
      </c>
      <c r="D1127" s="19" t="str">
        <f>IFERROR(IF(C1127="No CAS","",INDEX('DEQ Pollutant List'!$B$7:$B$611,MATCH('3. Pollutant Emissions - EF'!C1127,'DEQ Pollutant List'!$A$7:$A$611,0))),"")</f>
        <v>Polycyclic aromatic hydrocarbons (PAHs)</v>
      </c>
      <c r="E1127" s="23">
        <v>0</v>
      </c>
      <c r="F1127" s="21">
        <v>0</v>
      </c>
      <c r="G1127" s="23" t="s">
        <v>1415</v>
      </c>
      <c r="H1127" s="21" t="s">
        <v>1415</v>
      </c>
      <c r="I1127" s="34">
        <v>1E-4</v>
      </c>
      <c r="J1127" s="11">
        <f t="shared" si="40"/>
        <v>1E-4</v>
      </c>
      <c r="K1127" s="6" t="s">
        <v>1416</v>
      </c>
      <c r="L1127" s="20" t="s">
        <v>1422</v>
      </c>
      <c r="M1127" s="7">
        <f>IF(ISBLANK($B1127),_xlfn.XLOOKUP($A1127,'2. TEUs &amp; Activities - EF'!$A$9:$A$190,'2. TEUs &amp; Activities - EF'!$J$9:$J$190),_xlfn.XLOOKUP($B1127,'2. TEUs &amp; Activities - EF'!$B$9:$B$190,'2. TEUs &amp; Activities - EF'!$J$9:$J$190))*'3. Pollutant Emissions - EF'!$I1127*IF(OR(ISBLANK($E1127),$G1127="Yes"),1,$E1127)*IF($H1127="Yes",1,(1-$F1127))</f>
        <v>4.0794117647058826E-3</v>
      </c>
      <c r="N1127" s="5">
        <f>IF(ISBLANK($B1127),_xlfn.XLOOKUP($A1127,'2. TEUs &amp; Activities - EF'!$A$9:$A$190,'2. TEUs &amp; Activities - EF'!$M$9:$M$190),_xlfn.XLOOKUP($B1127,'2. TEUs &amp; Activities - EF'!$B$9:$B$190,'2. TEUs &amp; Activities - EF'!$M$9:$M$190))*'3. Pollutant Emissions - EF'!$J1127*IF(OR(ISBLANK($E1127),$G1127="Yes"),1,$E1127)*IF($H1127="Yes",1,(1-$F1127))</f>
        <v>1.1176470588235293E-5</v>
      </c>
      <c r="O1127" s="130"/>
    </row>
    <row r="1128" spans="1:15" ht="15" x14ac:dyDescent="0.25">
      <c r="A1128" s="5" t="s">
        <v>1569</v>
      </c>
      <c r="B1128" s="7"/>
      <c r="C1128" s="13" t="s">
        <v>67</v>
      </c>
      <c r="D1128" s="19" t="str">
        <f>IFERROR(IF(C1128="No CAS","",INDEX('DEQ Pollutant List'!$B$7:$B$611,MATCH('3. Pollutant Emissions - EF'!C1128,'DEQ Pollutant List'!$A$7:$A$611,0))),"")</f>
        <v>Selenium and compounds</v>
      </c>
      <c r="E1128" s="23">
        <v>0</v>
      </c>
      <c r="F1128" s="21">
        <v>0</v>
      </c>
      <c r="G1128" s="23" t="s">
        <v>1415</v>
      </c>
      <c r="H1128" s="21" t="s">
        <v>1415</v>
      </c>
      <c r="I1128" s="34">
        <v>2.4000000000000001E-5</v>
      </c>
      <c r="J1128" s="11">
        <f t="shared" si="40"/>
        <v>2.4000000000000001E-5</v>
      </c>
      <c r="K1128" s="6" t="s">
        <v>1416</v>
      </c>
      <c r="L1128" s="20" t="s">
        <v>1422</v>
      </c>
      <c r="M1128" s="7">
        <f>IF(ISBLANK($B1128),_xlfn.XLOOKUP($A1128,'2. TEUs &amp; Activities - EF'!$A$9:$A$190,'2. TEUs &amp; Activities - EF'!$J$9:$J$190),_xlfn.XLOOKUP($B1128,'2. TEUs &amp; Activities - EF'!$B$9:$B$190,'2. TEUs &amp; Activities - EF'!$J$9:$J$190))*'3. Pollutant Emissions - EF'!$I1128*IF(OR(ISBLANK($E1128),$G1128="Yes"),1,$E1128)*IF($H1128="Yes",1,(1-$F1128))</f>
        <v>9.7905882352941186E-4</v>
      </c>
      <c r="N1128" s="5">
        <f>IF(ISBLANK($B1128),_xlfn.XLOOKUP($A1128,'2. TEUs &amp; Activities - EF'!$A$9:$A$190,'2. TEUs &amp; Activities - EF'!$M$9:$M$190),_xlfn.XLOOKUP($B1128,'2. TEUs &amp; Activities - EF'!$B$9:$B$190,'2. TEUs &amp; Activities - EF'!$M$9:$M$190))*'3. Pollutant Emissions - EF'!$J1128*IF(OR(ISBLANK($E1128),$G1128="Yes"),1,$E1128)*IF($H1128="Yes",1,(1-$F1128))</f>
        <v>2.6823529411764706E-6</v>
      </c>
      <c r="O1128" s="130"/>
    </row>
    <row r="1129" spans="1:15" ht="15" x14ac:dyDescent="0.25">
      <c r="A1129" s="5" t="s">
        <v>1569</v>
      </c>
      <c r="B1129" s="7"/>
      <c r="C1129" s="13" t="s">
        <v>68</v>
      </c>
      <c r="D1129" s="19" t="str">
        <f>IFERROR(IF(C1129="No CAS","",INDEX('DEQ Pollutant List'!$B$7:$B$611,MATCH('3. Pollutant Emissions - EF'!C1129,'DEQ Pollutant List'!$A$7:$A$611,0))),"")</f>
        <v>Toluene</v>
      </c>
      <c r="E1129" s="23">
        <v>0</v>
      </c>
      <c r="F1129" s="21">
        <v>0</v>
      </c>
      <c r="G1129" s="23" t="s">
        <v>1415</v>
      </c>
      <c r="H1129" s="21" t="s">
        <v>1415</v>
      </c>
      <c r="I1129" s="34">
        <v>3.6600000000000001E-2</v>
      </c>
      <c r="J1129" s="11">
        <f t="shared" si="40"/>
        <v>3.6600000000000001E-2</v>
      </c>
      <c r="K1129" s="6" t="s">
        <v>1416</v>
      </c>
      <c r="L1129" s="20" t="s">
        <v>1422</v>
      </c>
      <c r="M1129" s="7">
        <f>IF(ISBLANK($B1129),_xlfn.XLOOKUP($A1129,'2. TEUs &amp; Activities - EF'!$A$9:$A$190,'2. TEUs &amp; Activities - EF'!$J$9:$J$190),_xlfn.XLOOKUP($B1129,'2. TEUs &amp; Activities - EF'!$B$9:$B$190,'2. TEUs &amp; Activities - EF'!$J$9:$J$190))*'3. Pollutant Emissions - EF'!$I1129*IF(OR(ISBLANK($E1129),$G1129="Yes"),1,$E1129)*IF($H1129="Yes",1,(1-$F1129))</f>
        <v>1.493064705882353</v>
      </c>
      <c r="N1129" s="5">
        <f>IF(ISBLANK($B1129),_xlfn.XLOOKUP($A1129,'2. TEUs &amp; Activities - EF'!$A$9:$A$190,'2. TEUs &amp; Activities - EF'!$M$9:$M$190),_xlfn.XLOOKUP($B1129,'2. TEUs &amp; Activities - EF'!$B$9:$B$190,'2. TEUs &amp; Activities - EF'!$M$9:$M$190))*'3. Pollutant Emissions - EF'!$J1129*IF(OR(ISBLANK($E1129),$G1129="Yes"),1,$E1129)*IF($H1129="Yes",1,(1-$F1129))</f>
        <v>4.0905882352941176E-3</v>
      </c>
      <c r="O1129" s="130"/>
    </row>
    <row r="1130" spans="1:15" ht="15" x14ac:dyDescent="0.25">
      <c r="A1130" s="5" t="s">
        <v>1569</v>
      </c>
      <c r="B1130" s="7"/>
      <c r="C1130" s="13" t="s">
        <v>69</v>
      </c>
      <c r="D1130" s="19" t="str">
        <f>IFERROR(IF(C1130="No CAS","",INDEX('DEQ Pollutant List'!$B$7:$B$611,MATCH('3. Pollutant Emissions - EF'!C1130,'DEQ Pollutant List'!$A$7:$A$611,0))),"")</f>
        <v>Vanadium (fume or dust)</v>
      </c>
      <c r="E1130" s="23">
        <v>0</v>
      </c>
      <c r="F1130" s="21">
        <v>0</v>
      </c>
      <c r="G1130" s="23" t="s">
        <v>1415</v>
      </c>
      <c r="H1130" s="21" t="s">
        <v>1415</v>
      </c>
      <c r="I1130" s="34">
        <v>2.3E-3</v>
      </c>
      <c r="J1130" s="11">
        <f t="shared" si="40"/>
        <v>2.3E-3</v>
      </c>
      <c r="K1130" s="6" t="s">
        <v>1416</v>
      </c>
      <c r="L1130" s="20" t="s">
        <v>1422</v>
      </c>
      <c r="M1130" s="7">
        <f>IF(ISBLANK($B1130),_xlfn.XLOOKUP($A1130,'2. TEUs &amp; Activities - EF'!$A$9:$A$190,'2. TEUs &amp; Activities - EF'!$J$9:$J$190),_xlfn.XLOOKUP($B1130,'2. TEUs &amp; Activities - EF'!$B$9:$B$190,'2. TEUs &amp; Activities - EF'!$J$9:$J$190))*'3. Pollutant Emissions - EF'!$I1130*IF(OR(ISBLANK($E1130),$G1130="Yes"),1,$E1130)*IF($H1130="Yes",1,(1-$F1130))</f>
        <v>9.3826470588235303E-2</v>
      </c>
      <c r="N1130" s="5">
        <f>IF(ISBLANK($B1130),_xlfn.XLOOKUP($A1130,'2. TEUs &amp; Activities - EF'!$A$9:$A$190,'2. TEUs &amp; Activities - EF'!$M$9:$M$190),_xlfn.XLOOKUP($B1130,'2. TEUs &amp; Activities - EF'!$B$9:$B$190,'2. TEUs &amp; Activities - EF'!$M$9:$M$190))*'3. Pollutant Emissions - EF'!$J1130*IF(OR(ISBLANK($E1130),$G1130="Yes"),1,$E1130)*IF($H1130="Yes",1,(1-$F1130))</f>
        <v>2.5705882352941172E-4</v>
      </c>
      <c r="O1130" s="130"/>
    </row>
    <row r="1131" spans="1:15" ht="15" x14ac:dyDescent="0.25">
      <c r="A1131" s="5" t="s">
        <v>1569</v>
      </c>
      <c r="B1131" s="7"/>
      <c r="C1131" s="13" t="s">
        <v>70</v>
      </c>
      <c r="D1131" s="19" t="str">
        <f>IFERROR(IF(C1131="No CAS","",INDEX('DEQ Pollutant List'!$B$7:$B$611,MATCH('3. Pollutant Emissions - EF'!C1131,'DEQ Pollutant List'!$A$7:$A$611,0))),"")</f>
        <v>Xylene (mixture), including m-xylene, o-xylene, p-xylene</v>
      </c>
      <c r="E1131" s="23">
        <v>0</v>
      </c>
      <c r="F1131" s="21">
        <v>0</v>
      </c>
      <c r="G1131" s="23" t="s">
        <v>1415</v>
      </c>
      <c r="H1131" s="21" t="s">
        <v>1415</v>
      </c>
      <c r="I1131" s="34">
        <v>2.7199999999999998E-2</v>
      </c>
      <c r="J1131" s="11">
        <f t="shared" si="40"/>
        <v>2.7199999999999998E-2</v>
      </c>
      <c r="K1131" s="6" t="s">
        <v>1416</v>
      </c>
      <c r="L1131" s="20" t="s">
        <v>1422</v>
      </c>
      <c r="M1131" s="7">
        <f>IF(ISBLANK($B1131),_xlfn.XLOOKUP($A1131,'2. TEUs &amp; Activities - EF'!$A$9:$A$190,'2. TEUs &amp; Activities - EF'!$J$9:$J$190),_xlfn.XLOOKUP($B1131,'2. TEUs &amp; Activities - EF'!$B$9:$B$190,'2. TEUs &amp; Activities - EF'!$J$9:$J$190))*'3. Pollutant Emissions - EF'!$I1131*IF(OR(ISBLANK($E1131),$G1131="Yes"),1,$E1131)*IF($H1131="Yes",1,(1-$F1131))</f>
        <v>1.1095999999999999</v>
      </c>
      <c r="N1131" s="5">
        <f>IF(ISBLANK($B1131),_xlfn.XLOOKUP($A1131,'2. TEUs &amp; Activities - EF'!$A$9:$A$190,'2. TEUs &amp; Activities - EF'!$M$9:$M$190),_xlfn.XLOOKUP($B1131,'2. TEUs &amp; Activities - EF'!$B$9:$B$190,'2. TEUs &amp; Activities - EF'!$M$9:$M$190))*'3. Pollutant Emissions - EF'!$J1131*IF(OR(ISBLANK($E1131),$G1131="Yes"),1,$E1131)*IF($H1131="Yes",1,(1-$F1131))</f>
        <v>3.0399999999999997E-3</v>
      </c>
      <c r="O1131" s="130"/>
    </row>
    <row r="1132" spans="1:15" ht="15" x14ac:dyDescent="0.25">
      <c r="A1132" s="5" t="s">
        <v>1569</v>
      </c>
      <c r="B1132" s="7"/>
      <c r="C1132" s="13" t="s">
        <v>71</v>
      </c>
      <c r="D1132" s="19" t="str">
        <f>IFERROR(IF(C1132="No CAS","",INDEX('DEQ Pollutant List'!$B$7:$B$611,MATCH('3. Pollutant Emissions - EF'!C1132,'DEQ Pollutant List'!$A$7:$A$611,0))),"")</f>
        <v>Zinc and compounds</v>
      </c>
      <c r="E1132" s="23">
        <v>0</v>
      </c>
      <c r="F1132" s="21">
        <v>0</v>
      </c>
      <c r="G1132" s="23" t="s">
        <v>1415</v>
      </c>
      <c r="H1132" s="21" t="s">
        <v>1415</v>
      </c>
      <c r="I1132" s="34">
        <v>2.9000000000000001E-2</v>
      </c>
      <c r="J1132" s="11">
        <f t="shared" si="40"/>
        <v>2.9000000000000001E-2</v>
      </c>
      <c r="K1132" s="6" t="s">
        <v>1416</v>
      </c>
      <c r="L1132" s="20" t="s">
        <v>1422</v>
      </c>
      <c r="M1132" s="7">
        <f>IF(ISBLANK($B1132),_xlfn.XLOOKUP($A1132,'2. TEUs &amp; Activities - EF'!$A$9:$A$190,'2. TEUs &amp; Activities - EF'!$J$9:$J$190),_xlfn.XLOOKUP($B1132,'2. TEUs &amp; Activities - EF'!$B$9:$B$190,'2. TEUs &amp; Activities - EF'!$J$9:$J$190))*'3. Pollutant Emissions - EF'!$I1132*IF(OR(ISBLANK($E1132),$G1132="Yes"),1,$E1132)*IF($H1132="Yes",1,(1-$F1132))</f>
        <v>1.183029411764706</v>
      </c>
      <c r="N1132" s="5">
        <f>IF(ISBLANK($B1132),_xlfn.XLOOKUP($A1132,'2. TEUs &amp; Activities - EF'!$A$9:$A$190,'2. TEUs &amp; Activities - EF'!$M$9:$M$190),_xlfn.XLOOKUP($B1132,'2. TEUs &amp; Activities - EF'!$B$9:$B$190,'2. TEUs &amp; Activities - EF'!$M$9:$M$190))*'3. Pollutant Emissions - EF'!$J1132*IF(OR(ISBLANK($E1132),$G1132="Yes"),1,$E1132)*IF($H1132="Yes",1,(1-$F1132))</f>
        <v>3.2411764705882352E-3</v>
      </c>
      <c r="O1132" s="130"/>
    </row>
    <row r="1133" spans="1:15" ht="15" x14ac:dyDescent="0.25">
      <c r="A1133" s="5"/>
      <c r="B1133" s="7"/>
      <c r="C1133" s="13"/>
      <c r="D1133" s="19" t="str">
        <f>IFERROR(IF(C1133="No CAS","",INDEX('DEQ Pollutant List'!$B$7:$B$611,MATCH('3. Pollutant Emissions - EF'!C1133,'DEQ Pollutant List'!$A$7:$A$611,0))),"")</f>
        <v/>
      </c>
      <c r="E1133" s="23"/>
      <c r="F1133" s="21"/>
      <c r="G1133" s="23"/>
      <c r="H1133" s="21"/>
      <c r="I1133" s="34"/>
      <c r="J1133" s="11"/>
      <c r="K1133" s="6"/>
      <c r="L1133" s="20"/>
      <c r="M1133" s="7">
        <f>IF(ISBLANK($B1133),_xlfn.XLOOKUP($A1133,'2. TEUs &amp; Activities - EF'!$A$9:$A$190,'2. TEUs &amp; Activities - EF'!$J$9:$J$190),_xlfn.XLOOKUP($B1133,'2. TEUs &amp; Activities - EF'!$B$9:$B$190,'2. TEUs &amp; Activities - EF'!$J$9:$J$190))*'3. Pollutant Emissions - EF'!$I1133*IF(OR(ISBLANK($E1133),$G1133="Yes"),1,$E1133)*IF($H1133="Yes",1,(1-$F1133))</f>
        <v>0</v>
      </c>
      <c r="N1133" s="5">
        <f>IF(ISBLANK($B1133),_xlfn.XLOOKUP($A1133,'2. TEUs &amp; Activities - EF'!$A$9:$A$190,'2. TEUs &amp; Activities - EF'!$M$9:$M$190),_xlfn.XLOOKUP($B1133,'2. TEUs &amp; Activities - EF'!$B$9:$B$190,'2. TEUs &amp; Activities - EF'!$M$9:$M$190))*'3. Pollutant Emissions - EF'!$J1133*IF(OR(ISBLANK($E1133),$G1133="Yes"),1,$E1133)*IF($H1133="Yes",1,(1-$F1133))</f>
        <v>0</v>
      </c>
      <c r="O1133" s="130"/>
    </row>
    <row r="1134" spans="1:15" ht="15" x14ac:dyDescent="0.25">
      <c r="A1134" s="5" t="s">
        <v>1550</v>
      </c>
      <c r="B1134" s="7"/>
      <c r="C1134" s="13" t="s">
        <v>48</v>
      </c>
      <c r="D1134" s="19" t="str">
        <f>IFERROR(IF(C1134="No CAS","",INDEX('DEQ Pollutant List'!$B$7:$B$611,MATCH('3. Pollutant Emissions - EF'!C1134,'DEQ Pollutant List'!$A$7:$A$611,0))),"")</f>
        <v>Benzo[a]pyrene</v>
      </c>
      <c r="E1134" s="23">
        <v>0</v>
      </c>
      <c r="F1134" s="21">
        <v>0</v>
      </c>
      <c r="G1134" s="23" t="s">
        <v>1415</v>
      </c>
      <c r="H1134" s="21" t="s">
        <v>1415</v>
      </c>
      <c r="I1134" s="34">
        <v>1.1999999999999999E-6</v>
      </c>
      <c r="J1134" s="11">
        <f t="shared" ref="J1134:J1145" si="41">I1134</f>
        <v>1.1999999999999999E-6</v>
      </c>
      <c r="K1134" s="6" t="s">
        <v>1416</v>
      </c>
      <c r="L1134" s="20" t="s">
        <v>1422</v>
      </c>
      <c r="M1134" s="7">
        <f>IF(ISBLANK($B1134),_xlfn.XLOOKUP($A1134,'2. TEUs &amp; Activities - EF'!$A$9:$A$190,'2. TEUs &amp; Activities - EF'!$J$9:$J$190),_xlfn.XLOOKUP($B1134,'2. TEUs &amp; Activities - EF'!$B$9:$B$190,'2. TEUs &amp; Activities - EF'!$J$9:$J$190))*'3. Pollutant Emissions - EF'!$I1134*IF(OR(ISBLANK($E1134),$G1134="Yes"),1,$E1134)*IF($H1134="Yes",1,(1-$F1134))</f>
        <v>2.5507058823529413E-5</v>
      </c>
      <c r="N1134" s="5">
        <f>IF(ISBLANK($B1134),_xlfn.XLOOKUP($A1134,'2. TEUs &amp; Activities - EF'!$A$9:$A$190,'2. TEUs &amp; Activities - EF'!$M$9:$M$190),_xlfn.XLOOKUP($B1134,'2. TEUs &amp; Activities - EF'!$B$9:$B$190,'2. TEUs &amp; Activities - EF'!$M$9:$M$190))*'3. Pollutant Emissions - EF'!$J1134*IF(OR(ISBLANK($E1134),$G1134="Yes"),1,$E1134)*IF($H1134="Yes",1,(1-$F1134))</f>
        <v>6.9882352941176474E-8</v>
      </c>
      <c r="O1134" s="130"/>
    </row>
    <row r="1135" spans="1:15" ht="15" x14ac:dyDescent="0.25">
      <c r="A1135" s="5" t="s">
        <v>1559</v>
      </c>
      <c r="B1135" s="7"/>
      <c r="C1135" s="13" t="s">
        <v>48</v>
      </c>
      <c r="D1135" s="19" t="str">
        <f>IFERROR(IF(C1135="No CAS","",INDEX('DEQ Pollutant List'!$B$7:$B$611,MATCH('3. Pollutant Emissions - EF'!C1135,'DEQ Pollutant List'!$A$7:$A$611,0))),"")</f>
        <v>Benzo[a]pyrene</v>
      </c>
      <c r="E1135" s="23">
        <v>0</v>
      </c>
      <c r="F1135" s="21">
        <v>0</v>
      </c>
      <c r="G1135" s="23" t="s">
        <v>1415</v>
      </c>
      <c r="H1135" s="21" t="s">
        <v>1415</v>
      </c>
      <c r="I1135" s="34">
        <v>1.1999999999999999E-6</v>
      </c>
      <c r="J1135" s="11">
        <f t="shared" si="41"/>
        <v>1.1999999999999999E-6</v>
      </c>
      <c r="K1135" s="6" t="s">
        <v>1416</v>
      </c>
      <c r="L1135" s="20" t="s">
        <v>1422</v>
      </c>
      <c r="M1135" s="7">
        <f>IF(ISBLANK($B1135),_xlfn.XLOOKUP($A1135,'2. TEUs &amp; Activities - EF'!$A$9:$A$190,'2. TEUs &amp; Activities - EF'!$J$9:$J$190),_xlfn.XLOOKUP($B1135,'2. TEUs &amp; Activities - EF'!$B$9:$B$190,'2. TEUs &amp; Activities - EF'!$J$9:$J$190))*'3. Pollutant Emissions - EF'!$I1135*IF(OR(ISBLANK($E1135),$G1135="Yes"),1,$E1135)*IF($H1135="Yes",1,(1-$F1135))</f>
        <v>2.5507058823529413E-5</v>
      </c>
      <c r="N1135" s="5">
        <f>IF(ISBLANK($B1135),_xlfn.XLOOKUP($A1135,'2. TEUs &amp; Activities - EF'!$A$9:$A$190,'2. TEUs &amp; Activities - EF'!$M$9:$M$190),_xlfn.XLOOKUP($B1135,'2. TEUs &amp; Activities - EF'!$B$9:$B$190,'2. TEUs &amp; Activities - EF'!$M$9:$M$190))*'3. Pollutant Emissions - EF'!$J1135*IF(OR(ISBLANK($E1135),$G1135="Yes"),1,$E1135)*IF($H1135="Yes",1,(1-$F1135))</f>
        <v>6.9882352941176474E-8</v>
      </c>
      <c r="O1135" s="130"/>
    </row>
    <row r="1136" spans="1:15" ht="15" x14ac:dyDescent="0.25">
      <c r="A1136" s="5" t="s">
        <v>1560</v>
      </c>
      <c r="B1136" s="7"/>
      <c r="C1136" s="13" t="s">
        <v>48</v>
      </c>
      <c r="D1136" s="19" t="str">
        <f>IFERROR(IF(C1136="No CAS","",INDEX('DEQ Pollutant List'!$B$7:$B$611,MATCH('3. Pollutant Emissions - EF'!C1136,'DEQ Pollutant List'!$A$7:$A$611,0))),"")</f>
        <v>Benzo[a]pyrene</v>
      </c>
      <c r="E1136" s="23">
        <v>0</v>
      </c>
      <c r="F1136" s="21">
        <v>0</v>
      </c>
      <c r="G1136" s="23" t="s">
        <v>1415</v>
      </c>
      <c r="H1136" s="21" t="s">
        <v>1415</v>
      </c>
      <c r="I1136" s="34">
        <v>1.1999999999999999E-6</v>
      </c>
      <c r="J1136" s="11">
        <f t="shared" si="41"/>
        <v>1.1999999999999999E-6</v>
      </c>
      <c r="K1136" s="6" t="s">
        <v>1416</v>
      </c>
      <c r="L1136" s="20" t="s">
        <v>1422</v>
      </c>
      <c r="M1136" s="7">
        <f>IF(ISBLANK($B1136),_xlfn.XLOOKUP($A1136,'2. TEUs &amp; Activities - EF'!$A$9:$A$190,'2. TEUs &amp; Activities - EF'!$J$9:$J$190),_xlfn.XLOOKUP($B1136,'2. TEUs &amp; Activities - EF'!$B$9:$B$190,'2. TEUs &amp; Activities - EF'!$J$9:$J$190))*'3. Pollutant Emissions - EF'!$I1136*IF(OR(ISBLANK($E1136),$G1136="Yes"),1,$E1136)*IF($H1136="Yes",1,(1-$F1136))</f>
        <v>2.5507058823529413E-5</v>
      </c>
      <c r="N1136" s="5">
        <f>IF(ISBLANK($B1136),_xlfn.XLOOKUP($A1136,'2. TEUs &amp; Activities - EF'!$A$9:$A$190,'2. TEUs &amp; Activities - EF'!$M$9:$M$190),_xlfn.XLOOKUP($B1136,'2. TEUs &amp; Activities - EF'!$B$9:$B$190,'2. TEUs &amp; Activities - EF'!$M$9:$M$190))*'3. Pollutant Emissions - EF'!$J1136*IF(OR(ISBLANK($E1136),$G1136="Yes"),1,$E1136)*IF($H1136="Yes",1,(1-$F1136))</f>
        <v>6.9882352941176474E-8</v>
      </c>
      <c r="O1136" s="130"/>
    </row>
    <row r="1137" spans="1:15" ht="15" x14ac:dyDescent="0.25">
      <c r="A1137" s="5" t="s">
        <v>1561</v>
      </c>
      <c r="B1137" s="7"/>
      <c r="C1137" s="13" t="s">
        <v>48</v>
      </c>
      <c r="D1137" s="19" t="str">
        <f>IFERROR(IF(C1137="No CAS","",INDEX('DEQ Pollutant List'!$B$7:$B$611,MATCH('3. Pollutant Emissions - EF'!C1137,'DEQ Pollutant List'!$A$7:$A$611,0))),"")</f>
        <v>Benzo[a]pyrene</v>
      </c>
      <c r="E1137" s="23">
        <v>0</v>
      </c>
      <c r="F1137" s="21">
        <v>0</v>
      </c>
      <c r="G1137" s="23" t="s">
        <v>1415</v>
      </c>
      <c r="H1137" s="21" t="s">
        <v>1415</v>
      </c>
      <c r="I1137" s="34">
        <v>1.1999999999999999E-6</v>
      </c>
      <c r="J1137" s="11">
        <f t="shared" si="41"/>
        <v>1.1999999999999999E-6</v>
      </c>
      <c r="K1137" s="6" t="s">
        <v>1416</v>
      </c>
      <c r="L1137" s="20" t="s">
        <v>1422</v>
      </c>
      <c r="M1137" s="7">
        <f>IF(ISBLANK($B1137),_xlfn.XLOOKUP($A1137,'2. TEUs &amp; Activities - EF'!$A$9:$A$190,'2. TEUs &amp; Activities - EF'!$J$9:$J$190),_xlfn.XLOOKUP($B1137,'2. TEUs &amp; Activities - EF'!$B$9:$B$190,'2. TEUs &amp; Activities - EF'!$J$9:$J$190))*'3. Pollutant Emissions - EF'!$I1137*IF(OR(ISBLANK($E1137),$G1137="Yes"),1,$E1137)*IF($H1137="Yes",1,(1-$F1137))</f>
        <v>2.5507058823529413E-5</v>
      </c>
      <c r="N1137" s="5">
        <f>IF(ISBLANK($B1137),_xlfn.XLOOKUP($A1137,'2. TEUs &amp; Activities - EF'!$A$9:$A$190,'2. TEUs &amp; Activities - EF'!$M$9:$M$190),_xlfn.XLOOKUP($B1137,'2. TEUs &amp; Activities - EF'!$B$9:$B$190,'2. TEUs &amp; Activities - EF'!$M$9:$M$190))*'3. Pollutant Emissions - EF'!$J1137*IF(OR(ISBLANK($E1137),$G1137="Yes"),1,$E1137)*IF($H1137="Yes",1,(1-$F1137))</f>
        <v>6.9882352941176474E-8</v>
      </c>
      <c r="O1137" s="130"/>
    </row>
    <row r="1138" spans="1:15" ht="15" x14ac:dyDescent="0.25">
      <c r="A1138" s="5" t="s">
        <v>1562</v>
      </c>
      <c r="B1138" s="7"/>
      <c r="C1138" s="13" t="s">
        <v>48</v>
      </c>
      <c r="D1138" s="19" t="str">
        <f>IFERROR(IF(C1138="No CAS","",INDEX('DEQ Pollutant List'!$B$7:$B$611,MATCH('3. Pollutant Emissions - EF'!C1138,'DEQ Pollutant List'!$A$7:$A$611,0))),"")</f>
        <v>Benzo[a]pyrene</v>
      </c>
      <c r="E1138" s="23">
        <v>0</v>
      </c>
      <c r="F1138" s="21">
        <v>0</v>
      </c>
      <c r="G1138" s="23" t="s">
        <v>1415</v>
      </c>
      <c r="H1138" s="21" t="s">
        <v>1415</v>
      </c>
      <c r="I1138" s="34">
        <v>1.1999999999999999E-6</v>
      </c>
      <c r="J1138" s="11">
        <f t="shared" si="41"/>
        <v>1.1999999999999999E-6</v>
      </c>
      <c r="K1138" s="6" t="s">
        <v>1416</v>
      </c>
      <c r="L1138" s="20" t="s">
        <v>1422</v>
      </c>
      <c r="M1138" s="7">
        <f>IF(ISBLANK($B1138),_xlfn.XLOOKUP($A1138,'2. TEUs &amp; Activities - EF'!$A$9:$A$190,'2. TEUs &amp; Activities - EF'!$J$9:$J$190),_xlfn.XLOOKUP($B1138,'2. TEUs &amp; Activities - EF'!$B$9:$B$190,'2. TEUs &amp; Activities - EF'!$J$9:$J$190))*'3. Pollutant Emissions - EF'!$I1138*IF(OR(ISBLANK($E1138),$G1138="Yes"),1,$E1138)*IF($H1138="Yes",1,(1-$F1138))</f>
        <v>2.5507058823529413E-5</v>
      </c>
      <c r="N1138" s="5">
        <f>IF(ISBLANK($B1138),_xlfn.XLOOKUP($A1138,'2. TEUs &amp; Activities - EF'!$A$9:$A$190,'2. TEUs &amp; Activities - EF'!$M$9:$M$190),_xlfn.XLOOKUP($B1138,'2. TEUs &amp; Activities - EF'!$B$9:$B$190,'2. TEUs &amp; Activities - EF'!$M$9:$M$190))*'3. Pollutant Emissions - EF'!$J1138*IF(OR(ISBLANK($E1138),$G1138="Yes"),1,$E1138)*IF($H1138="Yes",1,(1-$F1138))</f>
        <v>6.9882352941176474E-8</v>
      </c>
      <c r="O1138" s="130"/>
    </row>
    <row r="1139" spans="1:15" ht="15" x14ac:dyDescent="0.25">
      <c r="A1139" s="5" t="s">
        <v>1563</v>
      </c>
      <c r="B1139" s="7"/>
      <c r="C1139" s="13" t="s">
        <v>48</v>
      </c>
      <c r="D1139" s="19" t="str">
        <f>IFERROR(IF(C1139="No CAS","",INDEX('DEQ Pollutant List'!$B$7:$B$611,MATCH('3. Pollutant Emissions - EF'!C1139,'DEQ Pollutant List'!$A$7:$A$611,0))),"")</f>
        <v>Benzo[a]pyrene</v>
      </c>
      <c r="E1139" s="23">
        <v>0</v>
      </c>
      <c r="F1139" s="21">
        <v>0</v>
      </c>
      <c r="G1139" s="23" t="s">
        <v>1415</v>
      </c>
      <c r="H1139" s="21" t="s">
        <v>1415</v>
      </c>
      <c r="I1139" s="34">
        <v>1.1999999999999999E-6</v>
      </c>
      <c r="J1139" s="11">
        <f t="shared" si="41"/>
        <v>1.1999999999999999E-6</v>
      </c>
      <c r="K1139" s="6" t="s">
        <v>1416</v>
      </c>
      <c r="L1139" s="20" t="s">
        <v>1422</v>
      </c>
      <c r="M1139" s="7">
        <f>IF(ISBLANK($B1139),_xlfn.XLOOKUP($A1139,'2. TEUs &amp; Activities - EF'!$A$9:$A$190,'2. TEUs &amp; Activities - EF'!$J$9:$J$190),_xlfn.XLOOKUP($B1139,'2. TEUs &amp; Activities - EF'!$B$9:$B$190,'2. TEUs &amp; Activities - EF'!$J$9:$J$190))*'3. Pollutant Emissions - EF'!$I1139*IF(OR(ISBLANK($E1139),$G1139="Yes"),1,$E1139)*IF($H1139="Yes",1,(1-$F1139))</f>
        <v>2.5507058823529413E-5</v>
      </c>
      <c r="N1139" s="5">
        <f>IF(ISBLANK($B1139),_xlfn.XLOOKUP($A1139,'2. TEUs &amp; Activities - EF'!$A$9:$A$190,'2. TEUs &amp; Activities - EF'!$M$9:$M$190),_xlfn.XLOOKUP($B1139,'2. TEUs &amp; Activities - EF'!$B$9:$B$190,'2. TEUs &amp; Activities - EF'!$M$9:$M$190))*'3. Pollutant Emissions - EF'!$J1139*IF(OR(ISBLANK($E1139),$G1139="Yes"),1,$E1139)*IF($H1139="Yes",1,(1-$F1139))</f>
        <v>6.9882352941176474E-8</v>
      </c>
      <c r="O1139" s="130"/>
    </row>
    <row r="1140" spans="1:15" ht="15" x14ac:dyDescent="0.25">
      <c r="A1140" s="5" t="s">
        <v>1564</v>
      </c>
      <c r="B1140" s="7"/>
      <c r="C1140" s="13" t="s">
        <v>48</v>
      </c>
      <c r="D1140" s="19" t="str">
        <f>IFERROR(IF(C1140="No CAS","",INDEX('DEQ Pollutant List'!$B$7:$B$611,MATCH('3. Pollutant Emissions - EF'!C1140,'DEQ Pollutant List'!$A$7:$A$611,0))),"")</f>
        <v>Benzo[a]pyrene</v>
      </c>
      <c r="E1140" s="23">
        <v>0</v>
      </c>
      <c r="F1140" s="21">
        <v>0</v>
      </c>
      <c r="G1140" s="23" t="s">
        <v>1415</v>
      </c>
      <c r="H1140" s="21" t="s">
        <v>1415</v>
      </c>
      <c r="I1140" s="34">
        <v>1.1999999999999999E-6</v>
      </c>
      <c r="J1140" s="11">
        <f t="shared" si="41"/>
        <v>1.1999999999999999E-6</v>
      </c>
      <c r="K1140" s="6" t="s">
        <v>1416</v>
      </c>
      <c r="L1140" s="20" t="s">
        <v>1422</v>
      </c>
      <c r="M1140" s="7">
        <f>IF(ISBLANK($B1140),_xlfn.XLOOKUP($A1140,'2. TEUs &amp; Activities - EF'!$A$9:$A$190,'2. TEUs &amp; Activities - EF'!$J$9:$J$190),_xlfn.XLOOKUP($B1140,'2. TEUs &amp; Activities - EF'!$B$9:$B$190,'2. TEUs &amp; Activities - EF'!$J$9:$J$190))*'3. Pollutant Emissions - EF'!$I1140*IF(OR(ISBLANK($E1140),$G1140="Yes"),1,$E1140)*IF($H1140="Yes",1,(1-$F1140))</f>
        <v>2.5507058823529413E-5</v>
      </c>
      <c r="N1140" s="5">
        <f>IF(ISBLANK($B1140),_xlfn.XLOOKUP($A1140,'2. TEUs &amp; Activities - EF'!$A$9:$A$190,'2. TEUs &amp; Activities - EF'!$M$9:$M$190),_xlfn.XLOOKUP($B1140,'2. TEUs &amp; Activities - EF'!$B$9:$B$190,'2. TEUs &amp; Activities - EF'!$M$9:$M$190))*'3. Pollutant Emissions - EF'!$J1140*IF(OR(ISBLANK($E1140),$G1140="Yes"),1,$E1140)*IF($H1140="Yes",1,(1-$F1140))</f>
        <v>6.9882352941176474E-8</v>
      </c>
      <c r="O1140" s="130"/>
    </row>
    <row r="1141" spans="1:15" ht="15" x14ac:dyDescent="0.25">
      <c r="A1141" s="5" t="s">
        <v>1565</v>
      </c>
      <c r="B1141" s="7"/>
      <c r="C1141" s="13" t="s">
        <v>48</v>
      </c>
      <c r="D1141" s="19" t="str">
        <f>IFERROR(IF(C1141="No CAS","",INDEX('DEQ Pollutant List'!$B$7:$B$611,MATCH('3. Pollutant Emissions - EF'!C1141,'DEQ Pollutant List'!$A$7:$A$611,0))),"")</f>
        <v>Benzo[a]pyrene</v>
      </c>
      <c r="E1141" s="23">
        <v>0</v>
      </c>
      <c r="F1141" s="21">
        <v>0</v>
      </c>
      <c r="G1141" s="23" t="s">
        <v>1415</v>
      </c>
      <c r="H1141" s="21" t="s">
        <v>1415</v>
      </c>
      <c r="I1141" s="34">
        <v>1.1999999999999999E-6</v>
      </c>
      <c r="J1141" s="11">
        <f t="shared" si="41"/>
        <v>1.1999999999999999E-6</v>
      </c>
      <c r="K1141" s="6" t="s">
        <v>1416</v>
      </c>
      <c r="L1141" s="20" t="s">
        <v>1422</v>
      </c>
      <c r="M1141" s="7">
        <f>IF(ISBLANK($B1141),_xlfn.XLOOKUP($A1141,'2. TEUs &amp; Activities - EF'!$A$9:$A$190,'2. TEUs &amp; Activities - EF'!$J$9:$J$190),_xlfn.XLOOKUP($B1141,'2. TEUs &amp; Activities - EF'!$B$9:$B$190,'2. TEUs &amp; Activities - EF'!$J$9:$J$190))*'3. Pollutant Emissions - EF'!$I1141*IF(OR(ISBLANK($E1141),$G1141="Yes"),1,$E1141)*IF($H1141="Yes",1,(1-$F1141))</f>
        <v>2.5507058823529413E-5</v>
      </c>
      <c r="N1141" s="5">
        <f>IF(ISBLANK($B1141),_xlfn.XLOOKUP($A1141,'2. TEUs &amp; Activities - EF'!$A$9:$A$190,'2. TEUs &amp; Activities - EF'!$M$9:$M$190),_xlfn.XLOOKUP($B1141,'2. TEUs &amp; Activities - EF'!$B$9:$B$190,'2. TEUs &amp; Activities - EF'!$M$9:$M$190))*'3. Pollutant Emissions - EF'!$J1141*IF(OR(ISBLANK($E1141),$G1141="Yes"),1,$E1141)*IF($H1141="Yes",1,(1-$F1141))</f>
        <v>6.9882352941176474E-8</v>
      </c>
      <c r="O1141" s="130"/>
    </row>
    <row r="1142" spans="1:15" ht="15" x14ac:dyDescent="0.25">
      <c r="A1142" s="5" t="s">
        <v>1566</v>
      </c>
      <c r="B1142" s="7"/>
      <c r="C1142" s="13" t="s">
        <v>48</v>
      </c>
      <c r="D1142" s="19" t="str">
        <f>IFERROR(IF(C1142="No CAS","",INDEX('DEQ Pollutant List'!$B$7:$B$611,MATCH('3. Pollutant Emissions - EF'!C1142,'DEQ Pollutant List'!$A$7:$A$611,0))),"")</f>
        <v>Benzo[a]pyrene</v>
      </c>
      <c r="E1142" s="23">
        <v>0</v>
      </c>
      <c r="F1142" s="21">
        <v>0</v>
      </c>
      <c r="G1142" s="23" t="s">
        <v>1415</v>
      </c>
      <c r="H1142" s="21" t="s">
        <v>1415</v>
      </c>
      <c r="I1142" s="34">
        <v>1.1999999999999999E-6</v>
      </c>
      <c r="J1142" s="11">
        <f t="shared" si="41"/>
        <v>1.1999999999999999E-6</v>
      </c>
      <c r="K1142" s="6" t="s">
        <v>1416</v>
      </c>
      <c r="L1142" s="20" t="s">
        <v>1422</v>
      </c>
      <c r="M1142" s="7">
        <f>IF(ISBLANK($B1142),_xlfn.XLOOKUP($A1142,'2. TEUs &amp; Activities - EF'!$A$9:$A$190,'2. TEUs &amp; Activities - EF'!$J$9:$J$190),_xlfn.XLOOKUP($B1142,'2. TEUs &amp; Activities - EF'!$B$9:$B$190,'2. TEUs &amp; Activities - EF'!$J$9:$J$190))*'3. Pollutant Emissions - EF'!$I1142*IF(OR(ISBLANK($E1142),$G1142="Yes"),1,$E1142)*IF($H1142="Yes",1,(1-$F1142))</f>
        <v>3.1999764705882347E-5</v>
      </c>
      <c r="N1142" s="5">
        <f>IF(ISBLANK($B1142),_xlfn.XLOOKUP($A1142,'2. TEUs &amp; Activities - EF'!$A$9:$A$190,'2. TEUs &amp; Activities - EF'!$M$9:$M$190),_xlfn.XLOOKUP($B1142,'2. TEUs &amp; Activities - EF'!$B$9:$B$190,'2. TEUs &amp; Activities - EF'!$M$9:$M$190))*'3. Pollutant Emissions - EF'!$J1142*IF(OR(ISBLANK($E1142),$G1142="Yes"),1,$E1142)*IF($H1142="Yes",1,(1-$F1142))</f>
        <v>8.7670588235294112E-8</v>
      </c>
      <c r="O1142" s="130"/>
    </row>
    <row r="1143" spans="1:15" ht="15" x14ac:dyDescent="0.25">
      <c r="A1143" s="5" t="s">
        <v>1567</v>
      </c>
      <c r="B1143" s="7"/>
      <c r="C1143" s="13" t="s">
        <v>48</v>
      </c>
      <c r="D1143" s="19" t="str">
        <f>IFERROR(IF(C1143="No CAS","",INDEX('DEQ Pollutant List'!$B$7:$B$611,MATCH('3. Pollutant Emissions - EF'!C1143,'DEQ Pollutant List'!$A$7:$A$611,0))),"")</f>
        <v>Benzo[a]pyrene</v>
      </c>
      <c r="E1143" s="23">
        <v>0</v>
      </c>
      <c r="F1143" s="21">
        <v>0</v>
      </c>
      <c r="G1143" s="23" t="s">
        <v>1415</v>
      </c>
      <c r="H1143" s="21" t="s">
        <v>1415</v>
      </c>
      <c r="I1143" s="34">
        <v>1.1999999999999999E-6</v>
      </c>
      <c r="J1143" s="11">
        <f t="shared" si="41"/>
        <v>1.1999999999999999E-6</v>
      </c>
      <c r="K1143" s="6" t="s">
        <v>1416</v>
      </c>
      <c r="L1143" s="20" t="s">
        <v>1422</v>
      </c>
      <c r="M1143" s="7">
        <f>IF(ISBLANK($B1143),_xlfn.XLOOKUP($A1143,'2. TEUs &amp; Activities - EF'!$A$9:$A$190,'2. TEUs &amp; Activities - EF'!$J$9:$J$190),_xlfn.XLOOKUP($B1143,'2. TEUs &amp; Activities - EF'!$B$9:$B$190,'2. TEUs &amp; Activities - EF'!$J$9:$J$190))*'3. Pollutant Emissions - EF'!$I1143*IF(OR(ISBLANK($E1143),$G1143="Yes"),1,$E1143)*IF($H1143="Yes",1,(1-$F1143))</f>
        <v>3.2463529411764702E-5</v>
      </c>
      <c r="N1143" s="5">
        <f>IF(ISBLANK($B1143),_xlfn.XLOOKUP($A1143,'2. TEUs &amp; Activities - EF'!$A$9:$A$190,'2. TEUs &amp; Activities - EF'!$M$9:$M$190),_xlfn.XLOOKUP($B1143,'2. TEUs &amp; Activities - EF'!$B$9:$B$190,'2. TEUs &amp; Activities - EF'!$M$9:$M$190))*'3. Pollutant Emissions - EF'!$J1143*IF(OR(ISBLANK($E1143),$G1143="Yes"),1,$E1143)*IF($H1143="Yes",1,(1-$F1143))</f>
        <v>8.8941176470588231E-8</v>
      </c>
      <c r="O1143" s="130"/>
    </row>
    <row r="1144" spans="1:15" ht="15" x14ac:dyDescent="0.25">
      <c r="A1144" s="5" t="s">
        <v>1568</v>
      </c>
      <c r="B1144" s="7"/>
      <c r="C1144" s="13" t="s">
        <v>48</v>
      </c>
      <c r="D1144" s="19" t="str">
        <f>IFERROR(IF(C1144="No CAS","",INDEX('DEQ Pollutant List'!$B$7:$B$611,MATCH('3. Pollutant Emissions - EF'!C1144,'DEQ Pollutant List'!$A$7:$A$611,0))),"")</f>
        <v>Benzo[a]pyrene</v>
      </c>
      <c r="E1144" s="23">
        <v>0</v>
      </c>
      <c r="F1144" s="21">
        <v>0</v>
      </c>
      <c r="G1144" s="23" t="s">
        <v>1415</v>
      </c>
      <c r="H1144" s="21" t="s">
        <v>1415</v>
      </c>
      <c r="I1144" s="34">
        <v>1.1999999999999999E-6</v>
      </c>
      <c r="J1144" s="11">
        <f t="shared" si="41"/>
        <v>1.1999999999999999E-6</v>
      </c>
      <c r="K1144" s="6" t="s">
        <v>1416</v>
      </c>
      <c r="L1144" s="20" t="s">
        <v>1422</v>
      </c>
      <c r="M1144" s="7">
        <f>IF(ISBLANK($B1144),_xlfn.XLOOKUP($A1144,'2. TEUs &amp; Activities - EF'!$A$9:$A$190,'2. TEUs &amp; Activities - EF'!$J$9:$J$190),_xlfn.XLOOKUP($B1144,'2. TEUs &amp; Activities - EF'!$B$9:$B$190,'2. TEUs &amp; Activities - EF'!$J$9:$J$190))*'3. Pollutant Emissions - EF'!$I1144*IF(OR(ISBLANK($E1144),$G1144="Yes"),1,$E1144)*IF($H1144="Yes",1,(1-$F1144))</f>
        <v>2.1425929411764705E-5</v>
      </c>
      <c r="N1144" s="5">
        <f>IF(ISBLANK($B1144),_xlfn.XLOOKUP($A1144,'2. TEUs &amp; Activities - EF'!$A$9:$A$190,'2. TEUs &amp; Activities - EF'!$M$9:$M$190),_xlfn.XLOOKUP($B1144,'2. TEUs &amp; Activities - EF'!$B$9:$B$190,'2. TEUs &amp; Activities - EF'!$M$9:$M$190))*'3. Pollutant Emissions - EF'!$J1144*IF(OR(ISBLANK($E1144),$G1144="Yes"),1,$E1144)*IF($H1144="Yes",1,(1-$F1144))</f>
        <v>5.8701176470588232E-8</v>
      </c>
      <c r="O1144" s="130"/>
    </row>
    <row r="1145" spans="1:15" ht="15" x14ac:dyDescent="0.25">
      <c r="A1145" s="5" t="s">
        <v>1569</v>
      </c>
      <c r="B1145" s="7"/>
      <c r="C1145" s="13" t="s">
        <v>48</v>
      </c>
      <c r="D1145" s="19" t="str">
        <f>IFERROR(IF(C1145="No CAS","",INDEX('DEQ Pollutant List'!$B$7:$B$611,MATCH('3. Pollutant Emissions - EF'!C1145,'DEQ Pollutant List'!$A$7:$A$611,0))),"")</f>
        <v>Benzo[a]pyrene</v>
      </c>
      <c r="E1145" s="23">
        <v>0</v>
      </c>
      <c r="F1145" s="21">
        <v>0</v>
      </c>
      <c r="G1145" s="23" t="s">
        <v>1415</v>
      </c>
      <c r="H1145" s="21" t="s">
        <v>1415</v>
      </c>
      <c r="I1145" s="34">
        <v>1.1999999999999999E-6</v>
      </c>
      <c r="J1145" s="11">
        <f t="shared" si="41"/>
        <v>1.1999999999999999E-6</v>
      </c>
      <c r="K1145" s="6" t="s">
        <v>1416</v>
      </c>
      <c r="L1145" s="20" t="s">
        <v>1422</v>
      </c>
      <c r="M1145" s="7">
        <f>IF(ISBLANK($B1145),_xlfn.XLOOKUP($A1145,'2. TEUs &amp; Activities - EF'!$A$9:$A$190,'2. TEUs &amp; Activities - EF'!$J$9:$J$190),_xlfn.XLOOKUP($B1145,'2. TEUs &amp; Activities - EF'!$B$9:$B$190,'2. TEUs &amp; Activities - EF'!$J$9:$J$190))*'3. Pollutant Emissions - EF'!$I1145*IF(OR(ISBLANK($E1145),$G1145="Yes"),1,$E1145)*IF($H1145="Yes",1,(1-$F1145))</f>
        <v>4.8952941176470589E-5</v>
      </c>
      <c r="N1145" s="5">
        <f>IF(ISBLANK($B1145),_xlfn.XLOOKUP($A1145,'2. TEUs &amp; Activities - EF'!$A$9:$A$190,'2. TEUs &amp; Activities - EF'!$M$9:$M$190),_xlfn.XLOOKUP($B1145,'2. TEUs &amp; Activities - EF'!$B$9:$B$190,'2. TEUs &amp; Activities - EF'!$M$9:$M$190))*'3. Pollutant Emissions - EF'!$J1145*IF(OR(ISBLANK($E1145),$G1145="Yes"),1,$E1145)*IF($H1145="Yes",1,(1-$F1145))</f>
        <v>1.341176470588235E-7</v>
      </c>
      <c r="O1145" s="130"/>
    </row>
    <row r="1146" spans="1:15" ht="15" x14ac:dyDescent="0.25">
      <c r="A1146" s="5"/>
      <c r="B1146" s="7"/>
      <c r="C1146" s="13"/>
      <c r="D1146" s="19" t="str">
        <f>IFERROR(IF(C1146="No CAS","",INDEX('DEQ Pollutant List'!$B$7:$B$611,MATCH('3. Pollutant Emissions - EF'!C1146,'DEQ Pollutant List'!$A$7:$A$611,0))),"")</f>
        <v/>
      </c>
      <c r="E1146" s="23"/>
      <c r="F1146" s="21"/>
      <c r="G1146" s="23"/>
      <c r="H1146" s="21"/>
      <c r="I1146" s="34"/>
      <c r="J1146" s="11"/>
      <c r="K1146" s="6"/>
      <c r="L1146" s="20"/>
      <c r="M1146" s="7">
        <f>IF(ISBLANK($B1146),_xlfn.XLOOKUP($A1146,'2. TEUs &amp; Activities - EF'!$A$9:$A$190,'2. TEUs &amp; Activities - EF'!$J$9:$J$190),_xlfn.XLOOKUP($B1146,'2. TEUs &amp; Activities - EF'!$B$9:$B$190,'2. TEUs &amp; Activities - EF'!$J$9:$J$190))*'3. Pollutant Emissions - EF'!$I1146*IF(OR(ISBLANK($E1146),$G1146="Yes"),1,$E1146)*IF($H1146="Yes",1,(1-$F1146))</f>
        <v>0</v>
      </c>
      <c r="N1146" s="5">
        <f>IF(ISBLANK($B1146),_xlfn.XLOOKUP($A1146,'2. TEUs &amp; Activities - EF'!$A$9:$A$190,'2. TEUs &amp; Activities - EF'!$M$9:$M$190),_xlfn.XLOOKUP($B1146,'2. TEUs &amp; Activities - EF'!$B$9:$B$190,'2. TEUs &amp; Activities - EF'!$M$9:$M$190))*'3. Pollutant Emissions - EF'!$J1146*IF(OR(ISBLANK($E1146),$G1146="Yes"),1,$E1146)*IF($H1146="Yes",1,(1-$F1146))</f>
        <v>0</v>
      </c>
      <c r="O1146" s="130"/>
    </row>
    <row r="1147" spans="1:15" ht="15" x14ac:dyDescent="0.25">
      <c r="A1147" s="5" t="s">
        <v>1591</v>
      </c>
      <c r="B1147" s="7"/>
      <c r="C1147" s="13" t="s">
        <v>48</v>
      </c>
      <c r="D1147" s="19" t="str">
        <f>IFERROR(IF(C1147="No CAS","",INDEX('DEQ Pollutant List'!$B$7:$B$611,MATCH('3. Pollutant Emissions - EF'!C1147,'DEQ Pollutant List'!$A$7:$A$611,0))),"")</f>
        <v>Benzo[a]pyrene</v>
      </c>
      <c r="E1147" s="23">
        <v>0</v>
      </c>
      <c r="F1147" s="21">
        <v>0</v>
      </c>
      <c r="G1147" s="23" t="s">
        <v>1415</v>
      </c>
      <c r="H1147" s="21" t="s">
        <v>1415</v>
      </c>
      <c r="I1147" s="34">
        <v>1.1999999999999999E-6</v>
      </c>
      <c r="J1147" s="11">
        <f t="shared" ref="J1147:J1173" si="42">I1147</f>
        <v>1.1999999999999999E-6</v>
      </c>
      <c r="K1147" s="6" t="s">
        <v>1416</v>
      </c>
      <c r="L1147" s="20" t="s">
        <v>1422</v>
      </c>
      <c r="M1147" s="7">
        <f>IF(ISBLANK($B1147),_xlfn.XLOOKUP($A1147,'2. TEUs &amp; Activities - EF'!$A$9:$A$190,'2. TEUs &amp; Activities - EF'!$J$9:$J$190),_xlfn.XLOOKUP($B1147,'2. TEUs &amp; Activities - EF'!$B$9:$B$190,'2. TEUs &amp; Activities - EF'!$J$9:$J$190))*'3. Pollutant Emissions - EF'!$I1147*IF(OR(ISBLANK($E1147),$G1147="Yes"),1,$E1147)*IF($H1147="Yes",1,(1-$F1147))</f>
        <v>2.6135717647058824E-5</v>
      </c>
      <c r="N1147" s="5">
        <f>IF(ISBLANK($B1147),_xlfn.XLOOKUP($A1147,'2. TEUs &amp; Activities - EF'!$A$9:$A$190,'2. TEUs &amp; Activities - EF'!$M$9:$M$190),_xlfn.XLOOKUP($B1147,'2. TEUs &amp; Activities - EF'!$B$9:$B$190,'2. TEUs &amp; Activities - EF'!$M$9:$M$190))*'3. Pollutant Emissions - EF'!$J1147*IF(OR(ISBLANK($E1147),$G1147="Yes"),1,$E1147)*IF($H1147="Yes",1,(1-$F1147))</f>
        <v>7.1604705882352938E-8</v>
      </c>
      <c r="O1147" s="130"/>
    </row>
    <row r="1148" spans="1:15" ht="15" x14ac:dyDescent="0.25">
      <c r="A1148" s="5" t="s">
        <v>1591</v>
      </c>
      <c r="B1148" s="7"/>
      <c r="C1148" s="13" t="s">
        <v>50</v>
      </c>
      <c r="D1148" s="19" t="str">
        <f>IFERROR(IF(C1148="No CAS","",INDEX('DEQ Pollutant List'!$B$7:$B$611,MATCH('3. Pollutant Emissions - EF'!C1148,'DEQ Pollutant List'!$A$7:$A$611,0))),"")</f>
        <v>Acetaldehyde</v>
      </c>
      <c r="E1148" s="23">
        <v>0</v>
      </c>
      <c r="F1148" s="21">
        <v>0</v>
      </c>
      <c r="G1148" s="23" t="s">
        <v>1415</v>
      </c>
      <c r="H1148" s="21" t="s">
        <v>1415</v>
      </c>
      <c r="I1148" s="34">
        <v>4.3E-3</v>
      </c>
      <c r="J1148" s="11">
        <f t="shared" si="42"/>
        <v>4.3E-3</v>
      </c>
      <c r="K1148" s="6" t="s">
        <v>1416</v>
      </c>
      <c r="L1148" s="20" t="s">
        <v>1422</v>
      </c>
      <c r="M1148" s="7">
        <f>IF(ISBLANK($B1148),_xlfn.XLOOKUP($A1148,'2. TEUs &amp; Activities - EF'!$A$9:$A$190,'2. TEUs &amp; Activities - EF'!$J$9:$J$190),_xlfn.XLOOKUP($B1148,'2. TEUs &amp; Activities - EF'!$B$9:$B$190,'2. TEUs &amp; Activities - EF'!$J$9:$J$190))*'3. Pollutant Emissions - EF'!$I1148*IF(OR(ISBLANK($E1148),$G1148="Yes"),1,$E1148)*IF($H1148="Yes",1,(1-$F1148))</f>
        <v>9.3652988235294124E-2</v>
      </c>
      <c r="N1148" s="5">
        <f>IF(ISBLANK($B1148),_xlfn.XLOOKUP($A1148,'2. TEUs &amp; Activities - EF'!$A$9:$A$190,'2. TEUs &amp; Activities - EF'!$M$9:$M$190),_xlfn.XLOOKUP($B1148,'2. TEUs &amp; Activities - EF'!$B$9:$B$190,'2. TEUs &amp; Activities - EF'!$M$9:$M$190))*'3. Pollutant Emissions - EF'!$J1148*IF(OR(ISBLANK($E1148),$G1148="Yes"),1,$E1148)*IF($H1148="Yes",1,(1-$F1148))</f>
        <v>2.565835294117647E-4</v>
      </c>
      <c r="O1148" s="130"/>
    </row>
    <row r="1149" spans="1:15" ht="15" x14ac:dyDescent="0.25">
      <c r="A1149" s="5" t="s">
        <v>1591</v>
      </c>
      <c r="B1149" s="7"/>
      <c r="C1149" s="13" t="s">
        <v>51</v>
      </c>
      <c r="D1149" s="19" t="str">
        <f>IFERROR(IF(C1149="No CAS","",INDEX('DEQ Pollutant List'!$B$7:$B$611,MATCH('3. Pollutant Emissions - EF'!C1149,'DEQ Pollutant List'!$A$7:$A$611,0))),"")</f>
        <v>Acrolein</v>
      </c>
      <c r="E1149" s="23">
        <v>0</v>
      </c>
      <c r="F1149" s="21">
        <v>0</v>
      </c>
      <c r="G1149" s="23" t="s">
        <v>1415</v>
      </c>
      <c r="H1149" s="21" t="s">
        <v>1415</v>
      </c>
      <c r="I1149" s="34">
        <v>2.7000000000000001E-3</v>
      </c>
      <c r="J1149" s="11">
        <f t="shared" si="42"/>
        <v>2.7000000000000001E-3</v>
      </c>
      <c r="K1149" s="6" t="s">
        <v>1416</v>
      </c>
      <c r="L1149" s="20" t="s">
        <v>1422</v>
      </c>
      <c r="M1149" s="7">
        <f>IF(ISBLANK($B1149),_xlfn.XLOOKUP($A1149,'2. TEUs &amp; Activities - EF'!$A$9:$A$190,'2. TEUs &amp; Activities - EF'!$J$9:$J$190),_xlfn.XLOOKUP($B1149,'2. TEUs &amp; Activities - EF'!$B$9:$B$190,'2. TEUs &amp; Activities - EF'!$J$9:$J$190))*'3. Pollutant Emissions - EF'!$I1149*IF(OR(ISBLANK($E1149),$G1149="Yes"),1,$E1149)*IF($H1149="Yes",1,(1-$F1149))</f>
        <v>5.8805364705882358E-2</v>
      </c>
      <c r="N1149" s="5">
        <f>IF(ISBLANK($B1149),_xlfn.XLOOKUP($A1149,'2. TEUs &amp; Activities - EF'!$A$9:$A$190,'2. TEUs &amp; Activities - EF'!$M$9:$M$190),_xlfn.XLOOKUP($B1149,'2. TEUs &amp; Activities - EF'!$B$9:$B$190,'2. TEUs &amp; Activities - EF'!$M$9:$M$190))*'3. Pollutant Emissions - EF'!$J1149*IF(OR(ISBLANK($E1149),$G1149="Yes"),1,$E1149)*IF($H1149="Yes",1,(1-$F1149))</f>
        <v>1.6111058823529411E-4</v>
      </c>
      <c r="O1149" s="130"/>
    </row>
    <row r="1150" spans="1:15" ht="15" x14ac:dyDescent="0.25">
      <c r="A1150" s="5" t="s">
        <v>1591</v>
      </c>
      <c r="B1150" s="7"/>
      <c r="C1150" s="13" t="s">
        <v>52</v>
      </c>
      <c r="D1150" s="19" t="str">
        <f>IFERROR(IF(C1150="No CAS","",INDEX('DEQ Pollutant List'!$B$7:$B$611,MATCH('3. Pollutant Emissions - EF'!C1150,'DEQ Pollutant List'!$A$7:$A$611,0))),"")</f>
        <v>Ammonia</v>
      </c>
      <c r="E1150" s="23">
        <v>0</v>
      </c>
      <c r="F1150" s="21">
        <v>0</v>
      </c>
      <c r="G1150" s="23" t="s">
        <v>1415</v>
      </c>
      <c r="H1150" s="21" t="s">
        <v>1415</v>
      </c>
      <c r="I1150" s="34">
        <v>3.2</v>
      </c>
      <c r="J1150" s="11">
        <f t="shared" si="42"/>
        <v>3.2</v>
      </c>
      <c r="K1150" s="6" t="s">
        <v>1416</v>
      </c>
      <c r="L1150" s="20" t="s">
        <v>1586</v>
      </c>
      <c r="M1150" s="7">
        <f>IF(ISBLANK($B1150),_xlfn.XLOOKUP($A1150,'2. TEUs &amp; Activities - EF'!$A$9:$A$190,'2. TEUs &amp; Activities - EF'!$J$9:$J$190),_xlfn.XLOOKUP($B1150,'2. TEUs &amp; Activities - EF'!$B$9:$B$190,'2. TEUs &amp; Activities - EF'!$J$9:$J$190))*'3. Pollutant Emissions - EF'!$I1150*IF(OR(ISBLANK($E1150),$G1150="Yes"),1,$E1150)*IF($H1150="Yes",1,(1-$F1150))</f>
        <v>69.69524705882354</v>
      </c>
      <c r="N1150" s="5">
        <f>IF(ISBLANK($B1150),_xlfn.XLOOKUP($A1150,'2. TEUs &amp; Activities - EF'!$A$9:$A$190,'2. TEUs &amp; Activities - EF'!$M$9:$M$190),_xlfn.XLOOKUP($B1150,'2. TEUs &amp; Activities - EF'!$B$9:$B$190,'2. TEUs &amp; Activities - EF'!$M$9:$M$190))*'3. Pollutant Emissions - EF'!$J1150*IF(OR(ISBLANK($E1150),$G1150="Yes"),1,$E1150)*IF($H1150="Yes",1,(1-$F1150))</f>
        <v>0.19094588235294119</v>
      </c>
      <c r="O1150" s="130"/>
    </row>
    <row r="1151" spans="1:15" ht="15" x14ac:dyDescent="0.25">
      <c r="A1151" s="5" t="s">
        <v>1591</v>
      </c>
      <c r="B1151" s="7"/>
      <c r="C1151" s="13" t="s">
        <v>53</v>
      </c>
      <c r="D1151" s="19" t="str">
        <f>IFERROR(IF(C1151="No CAS","",INDEX('DEQ Pollutant List'!$B$7:$B$611,MATCH('3. Pollutant Emissions - EF'!C1151,'DEQ Pollutant List'!$A$7:$A$611,0))),"")</f>
        <v>Arsenic and compounds</v>
      </c>
      <c r="E1151" s="23">
        <v>0</v>
      </c>
      <c r="F1151" s="21">
        <v>0</v>
      </c>
      <c r="G1151" s="23" t="s">
        <v>1415</v>
      </c>
      <c r="H1151" s="21" t="s">
        <v>1415</v>
      </c>
      <c r="I1151" s="34">
        <v>2.0000000000000001E-4</v>
      </c>
      <c r="J1151" s="11">
        <f t="shared" si="42"/>
        <v>2.0000000000000001E-4</v>
      </c>
      <c r="K1151" s="6" t="s">
        <v>1416</v>
      </c>
      <c r="L1151" s="20" t="s">
        <v>1422</v>
      </c>
      <c r="M1151" s="7">
        <f>IF(ISBLANK($B1151),_xlfn.XLOOKUP($A1151,'2. TEUs &amp; Activities - EF'!$A$9:$A$190,'2. TEUs &amp; Activities - EF'!$J$9:$J$190),_xlfn.XLOOKUP($B1151,'2. TEUs &amp; Activities - EF'!$B$9:$B$190,'2. TEUs &amp; Activities - EF'!$J$9:$J$190))*'3. Pollutant Emissions - EF'!$I1151*IF(OR(ISBLANK($E1151),$G1151="Yes"),1,$E1151)*IF($H1151="Yes",1,(1-$F1151))</f>
        <v>4.3559529411764707E-3</v>
      </c>
      <c r="N1151" s="5">
        <f>IF(ISBLANK($B1151),_xlfn.XLOOKUP($A1151,'2. TEUs &amp; Activities - EF'!$A$9:$A$190,'2. TEUs &amp; Activities - EF'!$M$9:$M$190),_xlfn.XLOOKUP($B1151,'2. TEUs &amp; Activities - EF'!$B$9:$B$190,'2. TEUs &amp; Activities - EF'!$M$9:$M$190))*'3. Pollutant Emissions - EF'!$J1151*IF(OR(ISBLANK($E1151),$G1151="Yes"),1,$E1151)*IF($H1151="Yes",1,(1-$F1151))</f>
        <v>1.1934117647058824E-5</v>
      </c>
      <c r="O1151" s="130"/>
    </row>
    <row r="1152" spans="1:15" ht="15" x14ac:dyDescent="0.25">
      <c r="A1152" s="5" t="s">
        <v>1591</v>
      </c>
      <c r="B1152" s="7"/>
      <c r="C1152" s="13" t="s">
        <v>54</v>
      </c>
      <c r="D1152" s="19" t="str">
        <f>IFERROR(IF(C1152="No CAS","",INDEX('DEQ Pollutant List'!$B$7:$B$611,MATCH('3. Pollutant Emissions - EF'!C1152,'DEQ Pollutant List'!$A$7:$A$611,0))),"")</f>
        <v>Barium and compounds</v>
      </c>
      <c r="E1152" s="23">
        <v>0</v>
      </c>
      <c r="F1152" s="21">
        <v>0</v>
      </c>
      <c r="G1152" s="23" t="s">
        <v>1415</v>
      </c>
      <c r="H1152" s="21" t="s">
        <v>1415</v>
      </c>
      <c r="I1152" s="34">
        <v>4.4000000000000003E-3</v>
      </c>
      <c r="J1152" s="11">
        <f t="shared" si="42"/>
        <v>4.4000000000000003E-3</v>
      </c>
      <c r="K1152" s="6" t="s">
        <v>1416</v>
      </c>
      <c r="L1152" s="20" t="s">
        <v>1422</v>
      </c>
      <c r="M1152" s="7">
        <f>IF(ISBLANK($B1152),_xlfn.XLOOKUP($A1152,'2. TEUs &amp; Activities - EF'!$A$9:$A$190,'2. TEUs &amp; Activities - EF'!$J$9:$J$190),_xlfn.XLOOKUP($B1152,'2. TEUs &amp; Activities - EF'!$B$9:$B$190,'2. TEUs &amp; Activities - EF'!$J$9:$J$190))*'3. Pollutant Emissions - EF'!$I1152*IF(OR(ISBLANK($E1152),$G1152="Yes"),1,$E1152)*IF($H1152="Yes",1,(1-$F1152))</f>
        <v>9.5830964705882357E-2</v>
      </c>
      <c r="N1152" s="5">
        <f>IF(ISBLANK($B1152),_xlfn.XLOOKUP($A1152,'2. TEUs &amp; Activities - EF'!$A$9:$A$190,'2. TEUs &amp; Activities - EF'!$M$9:$M$190),_xlfn.XLOOKUP($B1152,'2. TEUs &amp; Activities - EF'!$B$9:$B$190,'2. TEUs &amp; Activities - EF'!$M$9:$M$190))*'3. Pollutant Emissions - EF'!$J1152*IF(OR(ISBLANK($E1152),$G1152="Yes"),1,$E1152)*IF($H1152="Yes",1,(1-$F1152))</f>
        <v>2.6255058823529409E-4</v>
      </c>
      <c r="O1152" s="130"/>
    </row>
    <row r="1153" spans="1:15" ht="15" x14ac:dyDescent="0.25">
      <c r="A1153" s="5" t="s">
        <v>1591</v>
      </c>
      <c r="B1153" s="7"/>
      <c r="C1153" s="13" t="s">
        <v>46</v>
      </c>
      <c r="D1153" s="19" t="str">
        <f>IFERROR(IF(C1153="No CAS","",INDEX('DEQ Pollutant List'!$B$7:$B$611,MATCH('3. Pollutant Emissions - EF'!C1153,'DEQ Pollutant List'!$A$7:$A$611,0))),"")</f>
        <v>Benzene</v>
      </c>
      <c r="E1153" s="23">
        <v>0</v>
      </c>
      <c r="F1153" s="21">
        <v>0</v>
      </c>
      <c r="G1153" s="23" t="s">
        <v>1415</v>
      </c>
      <c r="H1153" s="21" t="s">
        <v>1415</v>
      </c>
      <c r="I1153" s="34">
        <v>8.0000000000000002E-3</v>
      </c>
      <c r="J1153" s="11">
        <f t="shared" si="42"/>
        <v>8.0000000000000002E-3</v>
      </c>
      <c r="K1153" s="6" t="s">
        <v>1416</v>
      </c>
      <c r="L1153" s="20" t="s">
        <v>1422</v>
      </c>
      <c r="M1153" s="7">
        <f>IF(ISBLANK($B1153),_xlfn.XLOOKUP($A1153,'2. TEUs &amp; Activities - EF'!$A$9:$A$190,'2. TEUs &amp; Activities - EF'!$J$9:$J$190),_xlfn.XLOOKUP($B1153,'2. TEUs &amp; Activities - EF'!$B$9:$B$190,'2. TEUs &amp; Activities - EF'!$J$9:$J$190))*'3. Pollutant Emissions - EF'!$I1153*IF(OR(ISBLANK($E1153),$G1153="Yes"),1,$E1153)*IF($H1153="Yes",1,(1-$F1153))</f>
        <v>0.17423811764705882</v>
      </c>
      <c r="N1153" s="5">
        <f>IF(ISBLANK($B1153),_xlfn.XLOOKUP($A1153,'2. TEUs &amp; Activities - EF'!$A$9:$A$190,'2. TEUs &amp; Activities - EF'!$M$9:$M$190),_xlfn.XLOOKUP($B1153,'2. TEUs &amp; Activities - EF'!$B$9:$B$190,'2. TEUs &amp; Activities - EF'!$M$9:$M$190))*'3. Pollutant Emissions - EF'!$J1153*IF(OR(ISBLANK($E1153),$G1153="Yes"),1,$E1153)*IF($H1153="Yes",1,(1-$F1153))</f>
        <v>4.7736470588235293E-4</v>
      </c>
      <c r="O1153" s="130"/>
    </row>
    <row r="1154" spans="1:15" ht="15" x14ac:dyDescent="0.25">
      <c r="A1154" s="5" t="s">
        <v>1591</v>
      </c>
      <c r="B1154" s="7"/>
      <c r="C1154" s="13" t="s">
        <v>55</v>
      </c>
      <c r="D1154" s="19" t="str">
        <f>IFERROR(IF(C1154="No CAS","",INDEX('DEQ Pollutant List'!$B$7:$B$611,MATCH('3. Pollutant Emissions - EF'!C1154,'DEQ Pollutant List'!$A$7:$A$611,0))),"")</f>
        <v>Beryllium and compounds</v>
      </c>
      <c r="E1154" s="23">
        <v>0</v>
      </c>
      <c r="F1154" s="21">
        <v>0</v>
      </c>
      <c r="G1154" s="23" t="s">
        <v>1415</v>
      </c>
      <c r="H1154" s="21" t="s">
        <v>1415</v>
      </c>
      <c r="I1154" s="34">
        <v>1.2E-5</v>
      </c>
      <c r="J1154" s="11">
        <f t="shared" si="42"/>
        <v>1.2E-5</v>
      </c>
      <c r="K1154" s="6" t="s">
        <v>1416</v>
      </c>
      <c r="L1154" s="20" t="s">
        <v>1422</v>
      </c>
      <c r="M1154" s="7">
        <f>IF(ISBLANK($B1154),_xlfn.XLOOKUP($A1154,'2. TEUs &amp; Activities - EF'!$A$9:$A$190,'2. TEUs &amp; Activities - EF'!$J$9:$J$190),_xlfn.XLOOKUP($B1154,'2. TEUs &amp; Activities - EF'!$B$9:$B$190,'2. TEUs &amp; Activities - EF'!$J$9:$J$190))*'3. Pollutant Emissions - EF'!$I1154*IF(OR(ISBLANK($E1154),$G1154="Yes"),1,$E1154)*IF($H1154="Yes",1,(1-$F1154))</f>
        <v>2.6135717647058824E-4</v>
      </c>
      <c r="N1154" s="5">
        <f>IF(ISBLANK($B1154),_xlfn.XLOOKUP($A1154,'2. TEUs &amp; Activities - EF'!$A$9:$A$190,'2. TEUs &amp; Activities - EF'!$M$9:$M$190),_xlfn.XLOOKUP($B1154,'2. TEUs &amp; Activities - EF'!$B$9:$B$190,'2. TEUs &amp; Activities - EF'!$M$9:$M$190))*'3. Pollutant Emissions - EF'!$J1154*IF(OR(ISBLANK($E1154),$G1154="Yes"),1,$E1154)*IF($H1154="Yes",1,(1-$F1154))</f>
        <v>7.160470588235294E-7</v>
      </c>
      <c r="O1154" s="130"/>
    </row>
    <row r="1155" spans="1:15" ht="15" x14ac:dyDescent="0.25">
      <c r="A1155" s="5" t="s">
        <v>1591</v>
      </c>
      <c r="B1155" s="7"/>
      <c r="C1155" s="13" t="s">
        <v>56</v>
      </c>
      <c r="D1155" s="19" t="str">
        <f>IFERROR(IF(C1155="No CAS","",INDEX('DEQ Pollutant List'!$B$7:$B$611,MATCH('3. Pollutant Emissions - EF'!C1155,'DEQ Pollutant List'!$A$7:$A$611,0))),"")</f>
        <v>Cadmium and compounds</v>
      </c>
      <c r="E1155" s="23">
        <v>0</v>
      </c>
      <c r="F1155" s="21">
        <v>0</v>
      </c>
      <c r="G1155" s="23" t="s">
        <v>1415</v>
      </c>
      <c r="H1155" s="21" t="s">
        <v>1415</v>
      </c>
      <c r="I1155" s="34">
        <v>1.1000000000000001E-3</v>
      </c>
      <c r="J1155" s="11">
        <f t="shared" si="42"/>
        <v>1.1000000000000001E-3</v>
      </c>
      <c r="K1155" s="6" t="s">
        <v>1416</v>
      </c>
      <c r="L1155" s="20" t="s">
        <v>1422</v>
      </c>
      <c r="M1155" s="7">
        <f>IF(ISBLANK($B1155),_xlfn.XLOOKUP($A1155,'2. TEUs &amp; Activities - EF'!$A$9:$A$190,'2. TEUs &amp; Activities - EF'!$J$9:$J$190),_xlfn.XLOOKUP($B1155,'2. TEUs &amp; Activities - EF'!$B$9:$B$190,'2. TEUs &amp; Activities - EF'!$J$9:$J$190))*'3. Pollutant Emissions - EF'!$I1155*IF(OR(ISBLANK($E1155),$G1155="Yes"),1,$E1155)*IF($H1155="Yes",1,(1-$F1155))</f>
        <v>2.3957741176470589E-2</v>
      </c>
      <c r="N1155" s="5">
        <f>IF(ISBLANK($B1155),_xlfn.XLOOKUP($A1155,'2. TEUs &amp; Activities - EF'!$A$9:$A$190,'2. TEUs &amp; Activities - EF'!$M$9:$M$190),_xlfn.XLOOKUP($B1155,'2. TEUs &amp; Activities - EF'!$B$9:$B$190,'2. TEUs &amp; Activities - EF'!$M$9:$M$190))*'3. Pollutant Emissions - EF'!$J1155*IF(OR(ISBLANK($E1155),$G1155="Yes"),1,$E1155)*IF($H1155="Yes",1,(1-$F1155))</f>
        <v>6.5637647058823523E-5</v>
      </c>
      <c r="O1155" s="130"/>
    </row>
    <row r="1156" spans="1:15" ht="15" x14ac:dyDescent="0.25">
      <c r="A1156" s="5" t="s">
        <v>1591</v>
      </c>
      <c r="B1156" s="7"/>
      <c r="C1156" s="13" t="s">
        <v>57</v>
      </c>
      <c r="D1156" s="19" t="str">
        <f>IFERROR(IF(C1156="No CAS","",INDEX('DEQ Pollutant List'!$B$7:$B$611,MATCH('3. Pollutant Emissions - EF'!C1156,'DEQ Pollutant List'!$A$7:$A$611,0))),"")</f>
        <v>Chromium VI, chromate and dichromate particulate</v>
      </c>
      <c r="E1156" s="23">
        <v>0</v>
      </c>
      <c r="F1156" s="21">
        <v>0</v>
      </c>
      <c r="G1156" s="23" t="s">
        <v>1415</v>
      </c>
      <c r="H1156" s="21" t="s">
        <v>1415</v>
      </c>
      <c r="I1156" s="34">
        <v>1.4E-3</v>
      </c>
      <c r="J1156" s="11">
        <f t="shared" si="42"/>
        <v>1.4E-3</v>
      </c>
      <c r="K1156" s="6" t="s">
        <v>1416</v>
      </c>
      <c r="L1156" s="20" t="s">
        <v>1422</v>
      </c>
      <c r="M1156" s="7">
        <f>IF(ISBLANK($B1156),_xlfn.XLOOKUP($A1156,'2. TEUs &amp; Activities - EF'!$A$9:$A$190,'2. TEUs &amp; Activities - EF'!$J$9:$J$190),_xlfn.XLOOKUP($B1156,'2. TEUs &amp; Activities - EF'!$B$9:$B$190,'2. TEUs &amp; Activities - EF'!$J$9:$J$190))*'3. Pollutant Emissions - EF'!$I1156*IF(OR(ISBLANK($E1156),$G1156="Yes"),1,$E1156)*IF($H1156="Yes",1,(1-$F1156))</f>
        <v>3.0491670588235296E-2</v>
      </c>
      <c r="N1156" s="5">
        <f>IF(ISBLANK($B1156),_xlfn.XLOOKUP($A1156,'2. TEUs &amp; Activities - EF'!$A$9:$A$190,'2. TEUs &amp; Activities - EF'!$M$9:$M$190),_xlfn.XLOOKUP($B1156,'2. TEUs &amp; Activities - EF'!$B$9:$B$190,'2. TEUs &amp; Activities - EF'!$M$9:$M$190))*'3. Pollutant Emissions - EF'!$J1156*IF(OR(ISBLANK($E1156),$G1156="Yes"),1,$E1156)*IF($H1156="Yes",1,(1-$F1156))</f>
        <v>8.3538823529411764E-5</v>
      </c>
      <c r="O1156" s="130"/>
    </row>
    <row r="1157" spans="1:15" ht="15" x14ac:dyDescent="0.25">
      <c r="A1157" s="5" t="s">
        <v>1591</v>
      </c>
      <c r="B1157" s="7"/>
      <c r="C1157" s="13" t="s">
        <v>58</v>
      </c>
      <c r="D1157" s="19" t="str">
        <f>IFERROR(IF(C1157="No CAS","",INDEX('DEQ Pollutant List'!$B$7:$B$611,MATCH('3. Pollutant Emissions - EF'!C1157,'DEQ Pollutant List'!$A$7:$A$611,0))),"")</f>
        <v>Cobalt and compounds</v>
      </c>
      <c r="E1157" s="23">
        <v>0</v>
      </c>
      <c r="F1157" s="21">
        <v>0</v>
      </c>
      <c r="G1157" s="23" t="s">
        <v>1415</v>
      </c>
      <c r="H1157" s="21" t="s">
        <v>1415</v>
      </c>
      <c r="I1157" s="34">
        <v>8.3999999999999995E-5</v>
      </c>
      <c r="J1157" s="11">
        <f t="shared" si="42"/>
        <v>8.3999999999999995E-5</v>
      </c>
      <c r="K1157" s="6" t="s">
        <v>1416</v>
      </c>
      <c r="L1157" s="20" t="s">
        <v>1422</v>
      </c>
      <c r="M1157" s="7">
        <f>IF(ISBLANK($B1157),_xlfn.XLOOKUP($A1157,'2. TEUs &amp; Activities - EF'!$A$9:$A$190,'2. TEUs &amp; Activities - EF'!$J$9:$J$190),_xlfn.XLOOKUP($B1157,'2. TEUs &amp; Activities - EF'!$B$9:$B$190,'2. TEUs &amp; Activities - EF'!$J$9:$J$190))*'3. Pollutant Emissions - EF'!$I1157*IF(OR(ISBLANK($E1157),$G1157="Yes"),1,$E1157)*IF($H1157="Yes",1,(1-$F1157))</f>
        <v>1.8295002352941177E-3</v>
      </c>
      <c r="N1157" s="5">
        <f>IF(ISBLANK($B1157),_xlfn.XLOOKUP($A1157,'2. TEUs &amp; Activities - EF'!$A$9:$A$190,'2. TEUs &amp; Activities - EF'!$M$9:$M$190),_xlfn.XLOOKUP($B1157,'2. TEUs &amp; Activities - EF'!$B$9:$B$190,'2. TEUs &amp; Activities - EF'!$M$9:$M$190))*'3. Pollutant Emissions - EF'!$J1157*IF(OR(ISBLANK($E1157),$G1157="Yes"),1,$E1157)*IF($H1157="Yes",1,(1-$F1157))</f>
        <v>5.0123294117647051E-6</v>
      </c>
      <c r="O1157" s="130"/>
    </row>
    <row r="1158" spans="1:15" ht="15" x14ac:dyDescent="0.25">
      <c r="A1158" s="5" t="s">
        <v>1591</v>
      </c>
      <c r="B1158" s="7"/>
      <c r="C1158" s="13" t="s">
        <v>59</v>
      </c>
      <c r="D1158" s="19" t="str">
        <f>IFERROR(IF(C1158="No CAS","",INDEX('DEQ Pollutant List'!$B$7:$B$611,MATCH('3. Pollutant Emissions - EF'!C1158,'DEQ Pollutant List'!$A$7:$A$611,0))),"")</f>
        <v>Copper and compounds</v>
      </c>
      <c r="E1158" s="23">
        <v>0</v>
      </c>
      <c r="F1158" s="21">
        <v>0</v>
      </c>
      <c r="G1158" s="23" t="s">
        <v>1415</v>
      </c>
      <c r="H1158" s="21" t="s">
        <v>1415</v>
      </c>
      <c r="I1158" s="34">
        <v>8.4999999999999995E-4</v>
      </c>
      <c r="J1158" s="11">
        <f t="shared" si="42"/>
        <v>8.4999999999999995E-4</v>
      </c>
      <c r="K1158" s="6" t="s">
        <v>1416</v>
      </c>
      <c r="L1158" s="20" t="s">
        <v>1422</v>
      </c>
      <c r="M1158" s="7">
        <f>IF(ISBLANK($B1158),_xlfn.XLOOKUP($A1158,'2. TEUs &amp; Activities - EF'!$A$9:$A$190,'2. TEUs &amp; Activities - EF'!$J$9:$J$190),_xlfn.XLOOKUP($B1158,'2. TEUs &amp; Activities - EF'!$B$9:$B$190,'2. TEUs &amp; Activities - EF'!$J$9:$J$190))*'3. Pollutant Emissions - EF'!$I1158*IF(OR(ISBLANK($E1158),$G1158="Yes"),1,$E1158)*IF($H1158="Yes",1,(1-$F1158))</f>
        <v>1.8512799999999999E-2</v>
      </c>
      <c r="N1158" s="5">
        <f>IF(ISBLANK($B1158),_xlfn.XLOOKUP($A1158,'2. TEUs &amp; Activities - EF'!$A$9:$A$190,'2. TEUs &amp; Activities - EF'!$M$9:$M$190),_xlfn.XLOOKUP($B1158,'2. TEUs &amp; Activities - EF'!$B$9:$B$190,'2. TEUs &amp; Activities - EF'!$M$9:$M$190))*'3. Pollutant Emissions - EF'!$J1158*IF(OR(ISBLANK($E1158),$G1158="Yes"),1,$E1158)*IF($H1158="Yes",1,(1-$F1158))</f>
        <v>5.0719999999999996E-5</v>
      </c>
      <c r="O1158" s="130"/>
    </row>
    <row r="1159" spans="1:15" ht="15" x14ac:dyDescent="0.25">
      <c r="A1159" s="5" t="s">
        <v>1591</v>
      </c>
      <c r="B1159" s="7"/>
      <c r="C1159" s="13" t="s">
        <v>60</v>
      </c>
      <c r="D1159" s="19" t="str">
        <f>IFERROR(IF(C1159="No CAS","",INDEX('DEQ Pollutant List'!$B$7:$B$611,MATCH('3. Pollutant Emissions - EF'!C1159,'DEQ Pollutant List'!$A$7:$A$611,0))),"")</f>
        <v>Ethyl benzene</v>
      </c>
      <c r="E1159" s="23">
        <v>0</v>
      </c>
      <c r="F1159" s="21">
        <v>0</v>
      </c>
      <c r="G1159" s="23" t="s">
        <v>1415</v>
      </c>
      <c r="H1159" s="21" t="s">
        <v>1415</v>
      </c>
      <c r="I1159" s="34">
        <v>9.4999999999999998E-3</v>
      </c>
      <c r="J1159" s="11">
        <f t="shared" si="42"/>
        <v>9.4999999999999998E-3</v>
      </c>
      <c r="K1159" s="6" t="s">
        <v>1416</v>
      </c>
      <c r="L1159" s="20" t="s">
        <v>1422</v>
      </c>
      <c r="M1159" s="7">
        <f>IF(ISBLANK($B1159),_xlfn.XLOOKUP($A1159,'2. TEUs &amp; Activities - EF'!$A$9:$A$190,'2. TEUs &amp; Activities - EF'!$J$9:$J$190),_xlfn.XLOOKUP($B1159,'2. TEUs &amp; Activities - EF'!$B$9:$B$190,'2. TEUs &amp; Activities - EF'!$J$9:$J$190))*'3. Pollutant Emissions - EF'!$I1159*IF(OR(ISBLANK($E1159),$G1159="Yes"),1,$E1159)*IF($H1159="Yes",1,(1-$F1159))</f>
        <v>0.20690776470588235</v>
      </c>
      <c r="N1159" s="5">
        <f>IF(ISBLANK($B1159),_xlfn.XLOOKUP($A1159,'2. TEUs &amp; Activities - EF'!$A$9:$A$190,'2. TEUs &amp; Activities - EF'!$M$9:$M$190),_xlfn.XLOOKUP($B1159,'2. TEUs &amp; Activities - EF'!$B$9:$B$190,'2. TEUs &amp; Activities - EF'!$M$9:$M$190))*'3. Pollutant Emissions - EF'!$J1159*IF(OR(ISBLANK($E1159),$G1159="Yes"),1,$E1159)*IF($H1159="Yes",1,(1-$F1159))</f>
        <v>5.6687058823529405E-4</v>
      </c>
      <c r="O1159" s="130"/>
    </row>
    <row r="1160" spans="1:15" ht="15" x14ac:dyDescent="0.25">
      <c r="A1160" s="5" t="s">
        <v>1591</v>
      </c>
      <c r="B1160" s="7"/>
      <c r="C1160" s="13" t="s">
        <v>47</v>
      </c>
      <c r="D1160" s="19" t="str">
        <f>IFERROR(IF(C1160="No CAS","",INDEX('DEQ Pollutant List'!$B$7:$B$611,MATCH('3. Pollutant Emissions - EF'!C1160,'DEQ Pollutant List'!$A$7:$A$611,0))),"")</f>
        <v>Formaldehyde</v>
      </c>
      <c r="E1160" s="23">
        <v>0</v>
      </c>
      <c r="F1160" s="21">
        <v>0</v>
      </c>
      <c r="G1160" s="23" t="s">
        <v>1415</v>
      </c>
      <c r="H1160" s="21" t="s">
        <v>1415</v>
      </c>
      <c r="I1160" s="34">
        <v>1.7000000000000001E-2</v>
      </c>
      <c r="J1160" s="11">
        <f t="shared" si="42"/>
        <v>1.7000000000000001E-2</v>
      </c>
      <c r="K1160" s="6" t="s">
        <v>1416</v>
      </c>
      <c r="L1160" s="20" t="s">
        <v>1422</v>
      </c>
      <c r="M1160" s="7">
        <f>IF(ISBLANK($B1160),_xlfn.XLOOKUP($A1160,'2. TEUs &amp; Activities - EF'!$A$9:$A$190,'2. TEUs &amp; Activities - EF'!$J$9:$J$190),_xlfn.XLOOKUP($B1160,'2. TEUs &amp; Activities - EF'!$B$9:$B$190,'2. TEUs &amp; Activities - EF'!$J$9:$J$190))*'3. Pollutant Emissions - EF'!$I1160*IF(OR(ISBLANK($E1160),$G1160="Yes"),1,$E1160)*IF($H1160="Yes",1,(1-$F1160))</f>
        <v>0.37025600000000003</v>
      </c>
      <c r="N1160" s="5">
        <f>IF(ISBLANK($B1160),_xlfn.XLOOKUP($A1160,'2. TEUs &amp; Activities - EF'!$A$9:$A$190,'2. TEUs &amp; Activities - EF'!$M$9:$M$190),_xlfn.XLOOKUP($B1160,'2. TEUs &amp; Activities - EF'!$B$9:$B$190,'2. TEUs &amp; Activities - EF'!$M$9:$M$190))*'3. Pollutant Emissions - EF'!$J1160*IF(OR(ISBLANK($E1160),$G1160="Yes"),1,$E1160)*IF($H1160="Yes",1,(1-$F1160))</f>
        <v>1.0143999999999999E-3</v>
      </c>
      <c r="O1160" s="130"/>
    </row>
    <row r="1161" spans="1:15" ht="15" x14ac:dyDescent="0.25">
      <c r="A1161" s="5" t="s">
        <v>1591</v>
      </c>
      <c r="B1161" s="7"/>
      <c r="C1161" s="13" t="s">
        <v>61</v>
      </c>
      <c r="D1161" s="19" t="str">
        <f>IFERROR(IF(C1161="No CAS","",INDEX('DEQ Pollutant List'!$B$7:$B$611,MATCH('3. Pollutant Emissions - EF'!C1161,'DEQ Pollutant List'!$A$7:$A$611,0))),"")</f>
        <v>Hexane</v>
      </c>
      <c r="E1161" s="23">
        <v>0</v>
      </c>
      <c r="F1161" s="21">
        <v>0</v>
      </c>
      <c r="G1161" s="23" t="s">
        <v>1415</v>
      </c>
      <c r="H1161" s="21" t="s">
        <v>1415</v>
      </c>
      <c r="I1161" s="34">
        <v>6.3E-3</v>
      </c>
      <c r="J1161" s="11">
        <f t="shared" si="42"/>
        <v>6.3E-3</v>
      </c>
      <c r="K1161" s="6" t="s">
        <v>1416</v>
      </c>
      <c r="L1161" s="20" t="s">
        <v>1422</v>
      </c>
      <c r="M1161" s="7">
        <f>IF(ISBLANK($B1161),_xlfn.XLOOKUP($A1161,'2. TEUs &amp; Activities - EF'!$A$9:$A$190,'2. TEUs &amp; Activities - EF'!$J$9:$J$190),_xlfn.XLOOKUP($B1161,'2. TEUs &amp; Activities - EF'!$B$9:$B$190,'2. TEUs &amp; Activities - EF'!$J$9:$J$190))*'3. Pollutant Emissions - EF'!$I1161*IF(OR(ISBLANK($E1161),$G1161="Yes"),1,$E1161)*IF($H1161="Yes",1,(1-$F1161))</f>
        <v>0.13721251764705883</v>
      </c>
      <c r="N1161" s="5">
        <f>IF(ISBLANK($B1161),_xlfn.XLOOKUP($A1161,'2. TEUs &amp; Activities - EF'!$A$9:$A$190,'2. TEUs &amp; Activities - EF'!$M$9:$M$190),_xlfn.XLOOKUP($B1161,'2. TEUs &amp; Activities - EF'!$B$9:$B$190,'2. TEUs &amp; Activities - EF'!$M$9:$M$190))*'3. Pollutant Emissions - EF'!$J1161*IF(OR(ISBLANK($E1161),$G1161="Yes"),1,$E1161)*IF($H1161="Yes",1,(1-$F1161))</f>
        <v>3.7592470588235292E-4</v>
      </c>
      <c r="O1161" s="130"/>
    </row>
    <row r="1162" spans="1:15" ht="15" x14ac:dyDescent="0.25">
      <c r="A1162" s="5" t="s">
        <v>1591</v>
      </c>
      <c r="B1162" s="7"/>
      <c r="C1162" s="13" t="s">
        <v>62</v>
      </c>
      <c r="D1162" s="19" t="str">
        <f>IFERROR(IF(C1162="No CAS","",INDEX('DEQ Pollutant List'!$B$7:$B$611,MATCH('3. Pollutant Emissions - EF'!C1162,'DEQ Pollutant List'!$A$7:$A$611,0))),"")</f>
        <v>Lead and compounds</v>
      </c>
      <c r="E1162" s="23">
        <v>0</v>
      </c>
      <c r="F1162" s="21">
        <v>0</v>
      </c>
      <c r="G1162" s="23" t="s">
        <v>1415</v>
      </c>
      <c r="H1162" s="21" t="s">
        <v>1415</v>
      </c>
      <c r="I1162" s="34">
        <v>5.0000000000000001E-4</v>
      </c>
      <c r="J1162" s="11">
        <f t="shared" si="42"/>
        <v>5.0000000000000001E-4</v>
      </c>
      <c r="K1162" s="6" t="s">
        <v>1416</v>
      </c>
      <c r="L1162" s="20" t="s">
        <v>1422</v>
      </c>
      <c r="M1162" s="7">
        <f>IF(ISBLANK($B1162),_xlfn.XLOOKUP($A1162,'2. TEUs &amp; Activities - EF'!$A$9:$A$190,'2. TEUs &amp; Activities - EF'!$J$9:$J$190),_xlfn.XLOOKUP($B1162,'2. TEUs &amp; Activities - EF'!$B$9:$B$190,'2. TEUs &amp; Activities - EF'!$J$9:$J$190))*'3. Pollutant Emissions - EF'!$I1162*IF(OR(ISBLANK($E1162),$G1162="Yes"),1,$E1162)*IF($H1162="Yes",1,(1-$F1162))</f>
        <v>1.0889882352941176E-2</v>
      </c>
      <c r="N1162" s="5">
        <f>IF(ISBLANK($B1162),_xlfn.XLOOKUP($A1162,'2. TEUs &amp; Activities - EF'!$A$9:$A$190,'2. TEUs &amp; Activities - EF'!$M$9:$M$190),_xlfn.XLOOKUP($B1162,'2. TEUs &amp; Activities - EF'!$B$9:$B$190,'2. TEUs &amp; Activities - EF'!$M$9:$M$190))*'3. Pollutant Emissions - EF'!$J1162*IF(OR(ISBLANK($E1162),$G1162="Yes"),1,$E1162)*IF($H1162="Yes",1,(1-$F1162))</f>
        <v>2.9835294117647058E-5</v>
      </c>
      <c r="O1162" s="130"/>
    </row>
    <row r="1163" spans="1:15" ht="15" x14ac:dyDescent="0.25">
      <c r="A1163" s="5" t="s">
        <v>1591</v>
      </c>
      <c r="B1163" s="7"/>
      <c r="C1163" s="13" t="s">
        <v>63</v>
      </c>
      <c r="D1163" s="19" t="str">
        <f>IFERROR(IF(C1163="No CAS","",INDEX('DEQ Pollutant List'!$B$7:$B$611,MATCH('3. Pollutant Emissions - EF'!C1163,'DEQ Pollutant List'!$A$7:$A$611,0))),"")</f>
        <v>Manganese and compounds</v>
      </c>
      <c r="E1163" s="23">
        <v>0</v>
      </c>
      <c r="F1163" s="21">
        <v>0</v>
      </c>
      <c r="G1163" s="23" t="s">
        <v>1415</v>
      </c>
      <c r="H1163" s="21" t="s">
        <v>1415</v>
      </c>
      <c r="I1163" s="34">
        <v>3.8000000000000002E-4</v>
      </c>
      <c r="J1163" s="11">
        <f t="shared" si="42"/>
        <v>3.8000000000000002E-4</v>
      </c>
      <c r="K1163" s="6" t="s">
        <v>1416</v>
      </c>
      <c r="L1163" s="20" t="s">
        <v>1422</v>
      </c>
      <c r="M1163" s="7">
        <f>IF(ISBLANK($B1163),_xlfn.XLOOKUP($A1163,'2. TEUs &amp; Activities - EF'!$A$9:$A$190,'2. TEUs &amp; Activities - EF'!$J$9:$J$190),_xlfn.XLOOKUP($B1163,'2. TEUs &amp; Activities - EF'!$B$9:$B$190,'2. TEUs &amp; Activities - EF'!$J$9:$J$190))*'3. Pollutant Emissions - EF'!$I1163*IF(OR(ISBLANK($E1163),$G1163="Yes"),1,$E1163)*IF($H1163="Yes",1,(1-$F1163))</f>
        <v>8.2763105882352941E-3</v>
      </c>
      <c r="N1163" s="5">
        <f>IF(ISBLANK($B1163),_xlfn.XLOOKUP($A1163,'2. TEUs &amp; Activities - EF'!$A$9:$A$190,'2. TEUs &amp; Activities - EF'!$M$9:$M$190),_xlfn.XLOOKUP($B1163,'2. TEUs &amp; Activities - EF'!$B$9:$B$190,'2. TEUs &amp; Activities - EF'!$M$9:$M$190))*'3. Pollutant Emissions - EF'!$J1163*IF(OR(ISBLANK($E1163),$G1163="Yes"),1,$E1163)*IF($H1163="Yes",1,(1-$F1163))</f>
        <v>2.2674823529411765E-5</v>
      </c>
      <c r="O1163" s="130"/>
    </row>
    <row r="1164" spans="1:15" ht="15" x14ac:dyDescent="0.25">
      <c r="A1164" s="5" t="s">
        <v>1591</v>
      </c>
      <c r="B1164" s="7"/>
      <c r="C1164" s="13" t="s">
        <v>64</v>
      </c>
      <c r="D1164" s="19" t="str">
        <f>IFERROR(IF(C1164="No CAS","",INDEX('DEQ Pollutant List'!$B$7:$B$611,MATCH('3. Pollutant Emissions - EF'!C1164,'DEQ Pollutant List'!$A$7:$A$611,0))),"")</f>
        <v>Mercury and compounds</v>
      </c>
      <c r="E1164" s="23">
        <v>0</v>
      </c>
      <c r="F1164" s="21">
        <v>0</v>
      </c>
      <c r="G1164" s="23" t="s">
        <v>1415</v>
      </c>
      <c r="H1164" s="21" t="s">
        <v>1415</v>
      </c>
      <c r="I1164" s="34">
        <v>2.5999999999999998E-4</v>
      </c>
      <c r="J1164" s="11">
        <f t="shared" si="42"/>
        <v>2.5999999999999998E-4</v>
      </c>
      <c r="K1164" s="6" t="s">
        <v>1416</v>
      </c>
      <c r="L1164" s="20" t="s">
        <v>1422</v>
      </c>
      <c r="M1164" s="7">
        <f>IF(ISBLANK($B1164),_xlfn.XLOOKUP($A1164,'2. TEUs &amp; Activities - EF'!$A$9:$A$190,'2. TEUs &amp; Activities - EF'!$J$9:$J$190),_xlfn.XLOOKUP($B1164,'2. TEUs &amp; Activities - EF'!$B$9:$B$190,'2. TEUs &amp; Activities - EF'!$J$9:$J$190))*'3. Pollutant Emissions - EF'!$I1164*IF(OR(ISBLANK($E1164),$G1164="Yes"),1,$E1164)*IF($H1164="Yes",1,(1-$F1164))</f>
        <v>5.6627388235294118E-3</v>
      </c>
      <c r="N1164" s="5">
        <f>IF(ISBLANK($B1164),_xlfn.XLOOKUP($A1164,'2. TEUs &amp; Activities - EF'!$A$9:$A$190,'2. TEUs &amp; Activities - EF'!$M$9:$M$190),_xlfn.XLOOKUP($B1164,'2. TEUs &amp; Activities - EF'!$B$9:$B$190,'2. TEUs &amp; Activities - EF'!$M$9:$M$190))*'3. Pollutant Emissions - EF'!$J1164*IF(OR(ISBLANK($E1164),$G1164="Yes"),1,$E1164)*IF($H1164="Yes",1,(1-$F1164))</f>
        <v>1.5514352941176469E-5</v>
      </c>
      <c r="O1164" s="130"/>
    </row>
    <row r="1165" spans="1:15" ht="15" x14ac:dyDescent="0.25">
      <c r="A1165" s="5" t="s">
        <v>1591</v>
      </c>
      <c r="B1165" s="7"/>
      <c r="C1165" s="13" t="s">
        <v>65</v>
      </c>
      <c r="D1165" s="19" t="str">
        <f>IFERROR(IF(C1165="No CAS","",INDEX('DEQ Pollutant List'!$B$7:$B$611,MATCH('3. Pollutant Emissions - EF'!C1165,'DEQ Pollutant List'!$A$7:$A$611,0))),"")</f>
        <v>Molybdenum trioxide</v>
      </c>
      <c r="E1165" s="23">
        <v>0</v>
      </c>
      <c r="F1165" s="21">
        <v>0</v>
      </c>
      <c r="G1165" s="23" t="s">
        <v>1415</v>
      </c>
      <c r="H1165" s="21" t="s">
        <v>1415</v>
      </c>
      <c r="I1165" s="34">
        <v>1.65E-3</v>
      </c>
      <c r="J1165" s="11">
        <f t="shared" si="42"/>
        <v>1.65E-3</v>
      </c>
      <c r="K1165" s="6" t="s">
        <v>1416</v>
      </c>
      <c r="L1165" s="20" t="s">
        <v>1422</v>
      </c>
      <c r="M1165" s="7">
        <f>IF(ISBLANK($B1165),_xlfn.XLOOKUP($A1165,'2. TEUs &amp; Activities - EF'!$A$9:$A$190,'2. TEUs &amp; Activities - EF'!$J$9:$J$190),_xlfn.XLOOKUP($B1165,'2. TEUs &amp; Activities - EF'!$B$9:$B$190,'2. TEUs &amp; Activities - EF'!$J$9:$J$190))*'3. Pollutant Emissions - EF'!$I1165*IF(OR(ISBLANK($E1165),$G1165="Yes"),1,$E1165)*IF($H1165="Yes",1,(1-$F1165))</f>
        <v>3.5936611764705882E-2</v>
      </c>
      <c r="N1165" s="5">
        <f>IF(ISBLANK($B1165),_xlfn.XLOOKUP($A1165,'2. TEUs &amp; Activities - EF'!$A$9:$A$190,'2. TEUs &amp; Activities - EF'!$M$9:$M$190),_xlfn.XLOOKUP($B1165,'2. TEUs &amp; Activities - EF'!$B$9:$B$190,'2. TEUs &amp; Activities - EF'!$M$9:$M$190))*'3. Pollutant Emissions - EF'!$J1165*IF(OR(ISBLANK($E1165),$G1165="Yes"),1,$E1165)*IF($H1165="Yes",1,(1-$F1165))</f>
        <v>9.8456470588235284E-5</v>
      </c>
      <c r="O1165" s="130"/>
    </row>
    <row r="1166" spans="1:15" ht="15" x14ac:dyDescent="0.25">
      <c r="A1166" s="5" t="s">
        <v>1591</v>
      </c>
      <c r="B1166" s="7"/>
      <c r="C1166" s="13" t="s">
        <v>49</v>
      </c>
      <c r="D1166" s="19" t="str">
        <f>IFERROR(IF(C1166="No CAS","",INDEX('DEQ Pollutant List'!$B$7:$B$611,MATCH('3. Pollutant Emissions - EF'!C1166,'DEQ Pollutant List'!$A$7:$A$611,0))),"")</f>
        <v>Naphthalene</v>
      </c>
      <c r="E1166" s="23">
        <v>0</v>
      </c>
      <c r="F1166" s="21">
        <v>0</v>
      </c>
      <c r="G1166" s="23" t="s">
        <v>1415</v>
      </c>
      <c r="H1166" s="21" t="s">
        <v>1415</v>
      </c>
      <c r="I1166" s="34">
        <v>2.9999999999999997E-4</v>
      </c>
      <c r="J1166" s="11">
        <f t="shared" si="42"/>
        <v>2.9999999999999997E-4</v>
      </c>
      <c r="K1166" s="6" t="s">
        <v>1416</v>
      </c>
      <c r="L1166" s="20" t="s">
        <v>1422</v>
      </c>
      <c r="M1166" s="7">
        <f>IF(ISBLANK($B1166),_xlfn.XLOOKUP($A1166,'2. TEUs &amp; Activities - EF'!$A$9:$A$190,'2. TEUs &amp; Activities - EF'!$J$9:$J$190),_xlfn.XLOOKUP($B1166,'2. TEUs &amp; Activities - EF'!$B$9:$B$190,'2. TEUs &amp; Activities - EF'!$J$9:$J$190))*'3. Pollutant Emissions - EF'!$I1166*IF(OR(ISBLANK($E1166),$G1166="Yes"),1,$E1166)*IF($H1166="Yes",1,(1-$F1166))</f>
        <v>6.5339294117647056E-3</v>
      </c>
      <c r="N1166" s="5">
        <f>IF(ISBLANK($B1166),_xlfn.XLOOKUP($A1166,'2. TEUs &amp; Activities - EF'!$A$9:$A$190,'2. TEUs &amp; Activities - EF'!$M$9:$M$190),_xlfn.XLOOKUP($B1166,'2. TEUs &amp; Activities - EF'!$B$9:$B$190,'2. TEUs &amp; Activities - EF'!$M$9:$M$190))*'3. Pollutant Emissions - EF'!$J1166*IF(OR(ISBLANK($E1166),$G1166="Yes"),1,$E1166)*IF($H1166="Yes",1,(1-$F1166))</f>
        <v>1.7901176470588234E-5</v>
      </c>
      <c r="O1166" s="130"/>
    </row>
    <row r="1167" spans="1:15" ht="15" x14ac:dyDescent="0.25">
      <c r="A1167" s="5" t="s">
        <v>1591</v>
      </c>
      <c r="B1167" s="7"/>
      <c r="C1167" s="13" t="s">
        <v>66</v>
      </c>
      <c r="D1167" s="19" t="str">
        <f>IFERROR(IF(C1167="No CAS","",INDEX('DEQ Pollutant List'!$B$7:$B$611,MATCH('3. Pollutant Emissions - EF'!C1167,'DEQ Pollutant List'!$A$7:$A$611,0))),"")</f>
        <v>Nickel and compounds</v>
      </c>
      <c r="E1167" s="23">
        <v>0</v>
      </c>
      <c r="F1167" s="21">
        <v>0</v>
      </c>
      <c r="G1167" s="23" t="s">
        <v>1415</v>
      </c>
      <c r="H1167" s="21" t="s">
        <v>1415</v>
      </c>
      <c r="I1167" s="34">
        <v>2.0999999999999999E-3</v>
      </c>
      <c r="J1167" s="11">
        <f t="shared" si="42"/>
        <v>2.0999999999999999E-3</v>
      </c>
      <c r="K1167" s="6" t="s">
        <v>1416</v>
      </c>
      <c r="L1167" s="20" t="s">
        <v>1422</v>
      </c>
      <c r="M1167" s="7">
        <f>IF(ISBLANK($B1167),_xlfn.XLOOKUP($A1167,'2. TEUs &amp; Activities - EF'!$A$9:$A$190,'2. TEUs &amp; Activities - EF'!$J$9:$J$190),_xlfn.XLOOKUP($B1167,'2. TEUs &amp; Activities - EF'!$B$9:$B$190,'2. TEUs &amp; Activities - EF'!$J$9:$J$190))*'3. Pollutant Emissions - EF'!$I1167*IF(OR(ISBLANK($E1167),$G1167="Yes"),1,$E1167)*IF($H1167="Yes",1,(1-$F1167))</f>
        <v>4.5737505882352938E-2</v>
      </c>
      <c r="N1167" s="5">
        <f>IF(ISBLANK($B1167),_xlfn.XLOOKUP($A1167,'2. TEUs &amp; Activities - EF'!$A$9:$A$190,'2. TEUs &amp; Activities - EF'!$M$9:$M$190),_xlfn.XLOOKUP($B1167,'2. TEUs &amp; Activities - EF'!$B$9:$B$190,'2. TEUs &amp; Activities - EF'!$M$9:$M$190))*'3. Pollutant Emissions - EF'!$J1167*IF(OR(ISBLANK($E1167),$G1167="Yes"),1,$E1167)*IF($H1167="Yes",1,(1-$F1167))</f>
        <v>1.2530823529411763E-4</v>
      </c>
      <c r="O1167" s="130"/>
    </row>
    <row r="1168" spans="1:15" ht="15" x14ac:dyDescent="0.25">
      <c r="A1168" s="5" t="s">
        <v>1591</v>
      </c>
      <c r="B1168" s="7"/>
      <c r="C1168" s="13">
        <v>401</v>
      </c>
      <c r="D1168" s="19" t="str">
        <f>IFERROR(IF(C1168="No CAS","",INDEX('DEQ Pollutant List'!$B$7:$B$611,MATCH('3. Pollutant Emissions - EF'!C1168,'DEQ Pollutant List'!$A$7:$A$611,0))),"")</f>
        <v>Polycyclic aromatic hydrocarbons (PAHs)</v>
      </c>
      <c r="E1168" s="23">
        <v>0</v>
      </c>
      <c r="F1168" s="21">
        <v>0</v>
      </c>
      <c r="G1168" s="23" t="s">
        <v>1415</v>
      </c>
      <c r="H1168" s="21" t="s">
        <v>1415</v>
      </c>
      <c r="I1168" s="34">
        <v>1E-4</v>
      </c>
      <c r="J1168" s="11">
        <f t="shared" si="42"/>
        <v>1E-4</v>
      </c>
      <c r="K1168" s="6" t="s">
        <v>1416</v>
      </c>
      <c r="L1168" s="20" t="s">
        <v>1422</v>
      </c>
      <c r="M1168" s="7">
        <f>IF(ISBLANK($B1168),_xlfn.XLOOKUP($A1168,'2. TEUs &amp; Activities - EF'!$A$9:$A$190,'2. TEUs &amp; Activities - EF'!$J$9:$J$190),_xlfn.XLOOKUP($B1168,'2. TEUs &amp; Activities - EF'!$B$9:$B$190,'2. TEUs &amp; Activities - EF'!$J$9:$J$190))*'3. Pollutant Emissions - EF'!$I1168*IF(OR(ISBLANK($E1168),$G1168="Yes"),1,$E1168)*IF($H1168="Yes",1,(1-$F1168))</f>
        <v>2.1779764705882354E-3</v>
      </c>
      <c r="N1168" s="5">
        <f>IF(ISBLANK($B1168),_xlfn.XLOOKUP($A1168,'2. TEUs &amp; Activities - EF'!$A$9:$A$190,'2. TEUs &amp; Activities - EF'!$M$9:$M$190),_xlfn.XLOOKUP($B1168,'2. TEUs &amp; Activities - EF'!$B$9:$B$190,'2. TEUs &amp; Activities - EF'!$M$9:$M$190))*'3. Pollutant Emissions - EF'!$J1168*IF(OR(ISBLANK($E1168),$G1168="Yes"),1,$E1168)*IF($H1168="Yes",1,(1-$F1168))</f>
        <v>5.9670588235294119E-6</v>
      </c>
      <c r="O1168" s="130"/>
    </row>
    <row r="1169" spans="1:15" ht="15" x14ac:dyDescent="0.25">
      <c r="A1169" s="5" t="s">
        <v>1591</v>
      </c>
      <c r="B1169" s="7"/>
      <c r="C1169" s="13" t="s">
        <v>67</v>
      </c>
      <c r="D1169" s="19" t="str">
        <f>IFERROR(IF(C1169="No CAS","",INDEX('DEQ Pollutant List'!$B$7:$B$611,MATCH('3. Pollutant Emissions - EF'!C1169,'DEQ Pollutant List'!$A$7:$A$611,0))),"")</f>
        <v>Selenium and compounds</v>
      </c>
      <c r="E1169" s="23">
        <v>0</v>
      </c>
      <c r="F1169" s="21">
        <v>0</v>
      </c>
      <c r="G1169" s="23" t="s">
        <v>1415</v>
      </c>
      <c r="H1169" s="21" t="s">
        <v>1415</v>
      </c>
      <c r="I1169" s="34">
        <v>2.4000000000000001E-5</v>
      </c>
      <c r="J1169" s="11">
        <f t="shared" si="42"/>
        <v>2.4000000000000001E-5</v>
      </c>
      <c r="K1169" s="6" t="s">
        <v>1416</v>
      </c>
      <c r="L1169" s="20" t="s">
        <v>1422</v>
      </c>
      <c r="M1169" s="7">
        <f>IF(ISBLANK($B1169),_xlfn.XLOOKUP($A1169,'2. TEUs &amp; Activities - EF'!$A$9:$A$190,'2. TEUs &amp; Activities - EF'!$J$9:$J$190),_xlfn.XLOOKUP($B1169,'2. TEUs &amp; Activities - EF'!$B$9:$B$190,'2. TEUs &amp; Activities - EF'!$J$9:$J$190))*'3. Pollutant Emissions - EF'!$I1169*IF(OR(ISBLANK($E1169),$G1169="Yes"),1,$E1169)*IF($H1169="Yes",1,(1-$F1169))</f>
        <v>5.2271435294117647E-4</v>
      </c>
      <c r="N1169" s="5">
        <f>IF(ISBLANK($B1169),_xlfn.XLOOKUP($A1169,'2. TEUs &amp; Activities - EF'!$A$9:$A$190,'2. TEUs &amp; Activities - EF'!$M$9:$M$190),_xlfn.XLOOKUP($B1169,'2. TEUs &amp; Activities - EF'!$B$9:$B$190,'2. TEUs &amp; Activities - EF'!$M$9:$M$190))*'3. Pollutant Emissions - EF'!$J1169*IF(OR(ISBLANK($E1169),$G1169="Yes"),1,$E1169)*IF($H1169="Yes",1,(1-$F1169))</f>
        <v>1.4320941176470588E-6</v>
      </c>
      <c r="O1169" s="130"/>
    </row>
    <row r="1170" spans="1:15" ht="15" x14ac:dyDescent="0.25">
      <c r="A1170" s="5" t="s">
        <v>1591</v>
      </c>
      <c r="B1170" s="7"/>
      <c r="C1170" s="13" t="s">
        <v>68</v>
      </c>
      <c r="D1170" s="19" t="str">
        <f>IFERROR(IF(C1170="No CAS","",INDEX('DEQ Pollutant List'!$B$7:$B$611,MATCH('3. Pollutant Emissions - EF'!C1170,'DEQ Pollutant List'!$A$7:$A$611,0))),"")</f>
        <v>Toluene</v>
      </c>
      <c r="E1170" s="23">
        <v>0</v>
      </c>
      <c r="F1170" s="21">
        <v>0</v>
      </c>
      <c r="G1170" s="23" t="s">
        <v>1415</v>
      </c>
      <c r="H1170" s="21" t="s">
        <v>1415</v>
      </c>
      <c r="I1170" s="34">
        <v>3.6600000000000001E-2</v>
      </c>
      <c r="J1170" s="11">
        <f t="shared" si="42"/>
        <v>3.6600000000000001E-2</v>
      </c>
      <c r="K1170" s="6" t="s">
        <v>1416</v>
      </c>
      <c r="L1170" s="20" t="s">
        <v>1422</v>
      </c>
      <c r="M1170" s="7">
        <f>IF(ISBLANK($B1170),_xlfn.XLOOKUP($A1170,'2. TEUs &amp; Activities - EF'!$A$9:$A$190,'2. TEUs &amp; Activities - EF'!$J$9:$J$190),_xlfn.XLOOKUP($B1170,'2. TEUs &amp; Activities - EF'!$B$9:$B$190,'2. TEUs &amp; Activities - EF'!$J$9:$J$190))*'3. Pollutant Emissions - EF'!$I1170*IF(OR(ISBLANK($E1170),$G1170="Yes"),1,$E1170)*IF($H1170="Yes",1,(1-$F1170))</f>
        <v>0.79713938823529418</v>
      </c>
      <c r="N1170" s="5">
        <f>IF(ISBLANK($B1170),_xlfn.XLOOKUP($A1170,'2. TEUs &amp; Activities - EF'!$A$9:$A$190,'2. TEUs &amp; Activities - EF'!$M$9:$M$190),_xlfn.XLOOKUP($B1170,'2. TEUs &amp; Activities - EF'!$B$9:$B$190,'2. TEUs &amp; Activities - EF'!$M$9:$M$190))*'3. Pollutant Emissions - EF'!$J1170*IF(OR(ISBLANK($E1170),$G1170="Yes"),1,$E1170)*IF($H1170="Yes",1,(1-$F1170))</f>
        <v>2.1839435294117647E-3</v>
      </c>
      <c r="O1170" s="130"/>
    </row>
    <row r="1171" spans="1:15" ht="15" x14ac:dyDescent="0.25">
      <c r="A1171" s="5" t="s">
        <v>1591</v>
      </c>
      <c r="B1171" s="7"/>
      <c r="C1171" s="13" t="s">
        <v>69</v>
      </c>
      <c r="D1171" s="19" t="str">
        <f>IFERROR(IF(C1171="No CAS","",INDEX('DEQ Pollutant List'!$B$7:$B$611,MATCH('3. Pollutant Emissions - EF'!C1171,'DEQ Pollutant List'!$A$7:$A$611,0))),"")</f>
        <v>Vanadium (fume or dust)</v>
      </c>
      <c r="E1171" s="23">
        <v>0</v>
      </c>
      <c r="F1171" s="21">
        <v>0</v>
      </c>
      <c r="G1171" s="23" t="s">
        <v>1415</v>
      </c>
      <c r="H1171" s="21" t="s">
        <v>1415</v>
      </c>
      <c r="I1171" s="34">
        <v>2.3E-3</v>
      </c>
      <c r="J1171" s="11">
        <f t="shared" si="42"/>
        <v>2.3E-3</v>
      </c>
      <c r="K1171" s="6" t="s">
        <v>1416</v>
      </c>
      <c r="L1171" s="20" t="s">
        <v>1422</v>
      </c>
      <c r="M1171" s="7">
        <f>IF(ISBLANK($B1171),_xlfn.XLOOKUP($A1171,'2. TEUs &amp; Activities - EF'!$A$9:$A$190,'2. TEUs &amp; Activities - EF'!$J$9:$J$190),_xlfn.XLOOKUP($B1171,'2. TEUs &amp; Activities - EF'!$B$9:$B$190,'2. TEUs &amp; Activities - EF'!$J$9:$J$190))*'3. Pollutant Emissions - EF'!$I1171*IF(OR(ISBLANK($E1171),$G1171="Yes"),1,$E1171)*IF($H1171="Yes",1,(1-$F1171))</f>
        <v>5.0093458823529412E-2</v>
      </c>
      <c r="N1171" s="5">
        <f>IF(ISBLANK($B1171),_xlfn.XLOOKUP($A1171,'2. TEUs &amp; Activities - EF'!$A$9:$A$190,'2. TEUs &amp; Activities - EF'!$M$9:$M$190),_xlfn.XLOOKUP($B1171,'2. TEUs &amp; Activities - EF'!$B$9:$B$190,'2. TEUs &amp; Activities - EF'!$M$9:$M$190))*'3. Pollutant Emissions - EF'!$J1171*IF(OR(ISBLANK($E1171),$G1171="Yes"),1,$E1171)*IF($H1171="Yes",1,(1-$F1171))</f>
        <v>1.3724235294117646E-4</v>
      </c>
      <c r="O1171" s="130"/>
    </row>
    <row r="1172" spans="1:15" ht="15" x14ac:dyDescent="0.25">
      <c r="A1172" s="5" t="s">
        <v>1591</v>
      </c>
      <c r="B1172" s="7"/>
      <c r="C1172" s="13" t="s">
        <v>70</v>
      </c>
      <c r="D1172" s="19" t="str">
        <f>IFERROR(IF(C1172="No CAS","",INDEX('DEQ Pollutant List'!$B$7:$B$611,MATCH('3. Pollutant Emissions - EF'!C1172,'DEQ Pollutant List'!$A$7:$A$611,0))),"")</f>
        <v>Xylene (mixture), including m-xylene, o-xylene, p-xylene</v>
      </c>
      <c r="E1172" s="23">
        <v>0</v>
      </c>
      <c r="F1172" s="21">
        <v>0</v>
      </c>
      <c r="G1172" s="23" t="s">
        <v>1415</v>
      </c>
      <c r="H1172" s="21" t="s">
        <v>1415</v>
      </c>
      <c r="I1172" s="34">
        <v>2.7199999999999998E-2</v>
      </c>
      <c r="J1172" s="11">
        <f t="shared" si="42"/>
        <v>2.7199999999999998E-2</v>
      </c>
      <c r="K1172" s="6" t="s">
        <v>1416</v>
      </c>
      <c r="L1172" s="20" t="s">
        <v>1422</v>
      </c>
      <c r="M1172" s="7">
        <f>IF(ISBLANK($B1172),_xlfn.XLOOKUP($A1172,'2. TEUs &amp; Activities - EF'!$A$9:$A$190,'2. TEUs &amp; Activities - EF'!$J$9:$J$190),_xlfn.XLOOKUP($B1172,'2. TEUs &amp; Activities - EF'!$B$9:$B$190,'2. TEUs &amp; Activities - EF'!$J$9:$J$190))*'3. Pollutant Emissions - EF'!$I1172*IF(OR(ISBLANK($E1172),$G1172="Yes"),1,$E1172)*IF($H1172="Yes",1,(1-$F1172))</f>
        <v>0.59240959999999998</v>
      </c>
      <c r="N1172" s="5">
        <f>IF(ISBLANK($B1172),_xlfn.XLOOKUP($A1172,'2. TEUs &amp; Activities - EF'!$A$9:$A$190,'2. TEUs &amp; Activities - EF'!$M$9:$M$190),_xlfn.XLOOKUP($B1172,'2. TEUs &amp; Activities - EF'!$B$9:$B$190,'2. TEUs &amp; Activities - EF'!$M$9:$M$190))*'3. Pollutant Emissions - EF'!$J1172*IF(OR(ISBLANK($E1172),$G1172="Yes"),1,$E1172)*IF($H1172="Yes",1,(1-$F1172))</f>
        <v>1.6230399999999999E-3</v>
      </c>
      <c r="O1172" s="130"/>
    </row>
    <row r="1173" spans="1:15" ht="15" x14ac:dyDescent="0.25">
      <c r="A1173" s="5" t="s">
        <v>1591</v>
      </c>
      <c r="B1173" s="7"/>
      <c r="C1173" s="13" t="s">
        <v>71</v>
      </c>
      <c r="D1173" s="19" t="str">
        <f>IFERROR(IF(C1173="No CAS","",INDEX('DEQ Pollutant List'!$B$7:$B$611,MATCH('3. Pollutant Emissions - EF'!C1173,'DEQ Pollutant List'!$A$7:$A$611,0))),"")</f>
        <v>Zinc and compounds</v>
      </c>
      <c r="E1173" s="23">
        <v>0</v>
      </c>
      <c r="F1173" s="21">
        <v>0</v>
      </c>
      <c r="G1173" s="23" t="s">
        <v>1415</v>
      </c>
      <c r="H1173" s="21" t="s">
        <v>1415</v>
      </c>
      <c r="I1173" s="34">
        <v>2.9000000000000001E-2</v>
      </c>
      <c r="J1173" s="11">
        <f t="shared" si="42"/>
        <v>2.9000000000000001E-2</v>
      </c>
      <c r="K1173" s="6" t="s">
        <v>1416</v>
      </c>
      <c r="L1173" s="20" t="s">
        <v>1422</v>
      </c>
      <c r="M1173" s="7">
        <f>IF(ISBLANK($B1173),_xlfn.XLOOKUP($A1173,'2. TEUs &amp; Activities - EF'!$A$9:$A$190,'2. TEUs &amp; Activities - EF'!$J$9:$J$190),_xlfn.XLOOKUP($B1173,'2. TEUs &amp; Activities - EF'!$B$9:$B$190,'2. TEUs &amp; Activities - EF'!$J$9:$J$190))*'3. Pollutant Emissions - EF'!$I1173*IF(OR(ISBLANK($E1173),$G1173="Yes"),1,$E1173)*IF($H1173="Yes",1,(1-$F1173))</f>
        <v>0.63161317647058823</v>
      </c>
      <c r="N1173" s="5">
        <f>IF(ISBLANK($B1173),_xlfn.XLOOKUP($A1173,'2. TEUs &amp; Activities - EF'!$A$9:$A$190,'2. TEUs &amp; Activities - EF'!$M$9:$M$190),_xlfn.XLOOKUP($B1173,'2. TEUs &amp; Activities - EF'!$B$9:$B$190,'2. TEUs &amp; Activities - EF'!$M$9:$M$190))*'3. Pollutant Emissions - EF'!$J1173*IF(OR(ISBLANK($E1173),$G1173="Yes"),1,$E1173)*IF($H1173="Yes",1,(1-$F1173))</f>
        <v>1.7304470588235294E-3</v>
      </c>
      <c r="O1173" s="130"/>
    </row>
    <row r="1174" spans="1:15" ht="15" x14ac:dyDescent="0.25">
      <c r="A1174" s="5"/>
      <c r="B1174" s="7"/>
      <c r="C1174" s="13"/>
      <c r="D1174" s="19" t="str">
        <f>IFERROR(IF(C1174="No CAS","",INDEX('DEQ Pollutant List'!$B$7:$B$611,MATCH('3. Pollutant Emissions - EF'!C1174,'DEQ Pollutant List'!$A$7:$A$611,0))),"")</f>
        <v/>
      </c>
      <c r="E1174" s="23"/>
      <c r="F1174" s="21"/>
      <c r="G1174" s="23"/>
      <c r="H1174" s="21"/>
      <c r="I1174" s="34"/>
      <c r="J1174" s="11"/>
      <c r="K1174" s="6"/>
      <c r="L1174" s="20"/>
      <c r="M1174" s="7">
        <f>IF(ISBLANK($B1174),_xlfn.XLOOKUP($A1174,'2. TEUs &amp; Activities - EF'!$A$9:$A$190,'2. TEUs &amp; Activities - EF'!$J$9:$J$190),_xlfn.XLOOKUP($B1174,'2. TEUs &amp; Activities - EF'!$B$9:$B$190,'2. TEUs &amp; Activities - EF'!$J$9:$J$190))*'3. Pollutant Emissions - EF'!$I1174*IF(OR(ISBLANK($E1174),$G1174="Yes"),1,$E1174)*IF($H1174="Yes",1,(1-$F1174))</f>
        <v>0</v>
      </c>
      <c r="N1174" s="5">
        <f>IF(ISBLANK($B1174),_xlfn.XLOOKUP($A1174,'2. TEUs &amp; Activities - EF'!$A$9:$A$190,'2. TEUs &amp; Activities - EF'!$M$9:$M$190),_xlfn.XLOOKUP($B1174,'2. TEUs &amp; Activities - EF'!$B$9:$B$190,'2. TEUs &amp; Activities - EF'!$M$9:$M$190))*'3. Pollutant Emissions - EF'!$J1174*IF(OR(ISBLANK($E1174),$G1174="Yes"),1,$E1174)*IF($H1174="Yes",1,(1-$F1174))</f>
        <v>0</v>
      </c>
      <c r="O1174" s="130"/>
    </row>
    <row r="1175" spans="1:15" ht="15" x14ac:dyDescent="0.25">
      <c r="A1175" s="5" t="s">
        <v>1614</v>
      </c>
      <c r="B1175" s="7"/>
      <c r="C1175" s="13" t="s">
        <v>48</v>
      </c>
      <c r="D1175" s="19" t="str">
        <f>IFERROR(IF(C1175="No CAS","",INDEX('DEQ Pollutant List'!$B$7:$B$611,MATCH('3. Pollutant Emissions - EF'!C1175,'DEQ Pollutant List'!$A$7:$A$611,0))),"")</f>
        <v>Benzo[a]pyrene</v>
      </c>
      <c r="E1175" s="23">
        <v>0</v>
      </c>
      <c r="F1175" s="21">
        <v>0</v>
      </c>
      <c r="G1175" s="23" t="s">
        <v>1415</v>
      </c>
      <c r="H1175" s="21" t="s">
        <v>1415</v>
      </c>
      <c r="I1175" s="34">
        <v>1.1999999999999999E-6</v>
      </c>
      <c r="J1175" s="11">
        <f t="shared" ref="J1175:J1201" si="43">I1175</f>
        <v>1.1999999999999999E-6</v>
      </c>
      <c r="K1175" s="6" t="s">
        <v>1416</v>
      </c>
      <c r="L1175" s="20" t="s">
        <v>1422</v>
      </c>
      <c r="M1175" s="7">
        <f>IF(ISBLANK($B1175),_xlfn.XLOOKUP($A1175,'2. TEUs &amp; Activities - EF'!$A$9:$A$190,'2. TEUs &amp; Activities - EF'!$J$9:$J$190),_xlfn.XLOOKUP($B1175,'2. TEUs &amp; Activities - EF'!$B$9:$B$190,'2. TEUs &amp; Activities - EF'!$J$9:$J$190))*'3. Pollutant Emissions - EF'!$I1175*IF(OR(ISBLANK($E1175),$G1175="Yes"),1,$E1175)*IF($H1175="Yes",1,(1-$F1175))</f>
        <v>2.6135717647058824E-5</v>
      </c>
      <c r="N1175" s="5">
        <f>IF(ISBLANK($B1175),_xlfn.XLOOKUP($A1175,'2. TEUs &amp; Activities - EF'!$A$9:$A$190,'2. TEUs &amp; Activities - EF'!$M$9:$M$190),_xlfn.XLOOKUP($B1175,'2. TEUs &amp; Activities - EF'!$B$9:$B$190,'2. TEUs &amp; Activities - EF'!$M$9:$M$190))*'3. Pollutant Emissions - EF'!$J1175*IF(OR(ISBLANK($E1175),$G1175="Yes"),1,$E1175)*IF($H1175="Yes",1,(1-$F1175))</f>
        <v>7.1604705882352938E-8</v>
      </c>
      <c r="O1175" s="130"/>
    </row>
    <row r="1176" spans="1:15" ht="15" x14ac:dyDescent="0.25">
      <c r="A1176" s="5" t="s">
        <v>1614</v>
      </c>
      <c r="B1176" s="7"/>
      <c r="C1176" s="13" t="s">
        <v>50</v>
      </c>
      <c r="D1176" s="19" t="str">
        <f>IFERROR(IF(C1176="No CAS","",INDEX('DEQ Pollutant List'!$B$7:$B$611,MATCH('3. Pollutant Emissions - EF'!C1176,'DEQ Pollutant List'!$A$7:$A$611,0))),"")</f>
        <v>Acetaldehyde</v>
      </c>
      <c r="E1176" s="23">
        <v>0</v>
      </c>
      <c r="F1176" s="21">
        <v>0</v>
      </c>
      <c r="G1176" s="23" t="s">
        <v>1415</v>
      </c>
      <c r="H1176" s="21" t="s">
        <v>1415</v>
      </c>
      <c r="I1176" s="34">
        <v>4.3E-3</v>
      </c>
      <c r="J1176" s="11">
        <f t="shared" si="43"/>
        <v>4.3E-3</v>
      </c>
      <c r="K1176" s="6" t="s">
        <v>1416</v>
      </c>
      <c r="L1176" s="20" t="s">
        <v>1422</v>
      </c>
      <c r="M1176" s="7">
        <f>IF(ISBLANK($B1176),_xlfn.XLOOKUP($A1176,'2. TEUs &amp; Activities - EF'!$A$9:$A$190,'2. TEUs &amp; Activities - EF'!$J$9:$J$190),_xlfn.XLOOKUP($B1176,'2. TEUs &amp; Activities - EF'!$B$9:$B$190,'2. TEUs &amp; Activities - EF'!$J$9:$J$190))*'3. Pollutant Emissions - EF'!$I1176*IF(OR(ISBLANK($E1176),$G1176="Yes"),1,$E1176)*IF($H1176="Yes",1,(1-$F1176))</f>
        <v>9.3652988235294124E-2</v>
      </c>
      <c r="N1176" s="5">
        <f>IF(ISBLANK($B1176),_xlfn.XLOOKUP($A1176,'2. TEUs &amp; Activities - EF'!$A$9:$A$190,'2. TEUs &amp; Activities - EF'!$M$9:$M$190),_xlfn.XLOOKUP($B1176,'2. TEUs &amp; Activities - EF'!$B$9:$B$190,'2. TEUs &amp; Activities - EF'!$M$9:$M$190))*'3. Pollutant Emissions - EF'!$J1176*IF(OR(ISBLANK($E1176),$G1176="Yes"),1,$E1176)*IF($H1176="Yes",1,(1-$F1176))</f>
        <v>2.565835294117647E-4</v>
      </c>
      <c r="O1176" s="130"/>
    </row>
    <row r="1177" spans="1:15" ht="15" x14ac:dyDescent="0.25">
      <c r="A1177" s="5" t="s">
        <v>1614</v>
      </c>
      <c r="B1177" s="7"/>
      <c r="C1177" s="13" t="s">
        <v>51</v>
      </c>
      <c r="D1177" s="19" t="str">
        <f>IFERROR(IF(C1177="No CAS","",INDEX('DEQ Pollutant List'!$B$7:$B$611,MATCH('3. Pollutant Emissions - EF'!C1177,'DEQ Pollutant List'!$A$7:$A$611,0))),"")</f>
        <v>Acrolein</v>
      </c>
      <c r="E1177" s="23">
        <v>0</v>
      </c>
      <c r="F1177" s="21">
        <v>0</v>
      </c>
      <c r="G1177" s="23" t="s">
        <v>1415</v>
      </c>
      <c r="H1177" s="21" t="s">
        <v>1415</v>
      </c>
      <c r="I1177" s="34">
        <v>2.7000000000000001E-3</v>
      </c>
      <c r="J1177" s="11">
        <f t="shared" si="43"/>
        <v>2.7000000000000001E-3</v>
      </c>
      <c r="K1177" s="6" t="s">
        <v>1416</v>
      </c>
      <c r="L1177" s="20" t="s">
        <v>1422</v>
      </c>
      <c r="M1177" s="7">
        <f>IF(ISBLANK($B1177),_xlfn.XLOOKUP($A1177,'2. TEUs &amp; Activities - EF'!$A$9:$A$190,'2. TEUs &amp; Activities - EF'!$J$9:$J$190),_xlfn.XLOOKUP($B1177,'2. TEUs &amp; Activities - EF'!$B$9:$B$190,'2. TEUs &amp; Activities - EF'!$J$9:$J$190))*'3. Pollutant Emissions - EF'!$I1177*IF(OR(ISBLANK($E1177),$G1177="Yes"),1,$E1177)*IF($H1177="Yes",1,(1-$F1177))</f>
        <v>5.8805364705882358E-2</v>
      </c>
      <c r="N1177" s="5">
        <f>IF(ISBLANK($B1177),_xlfn.XLOOKUP($A1177,'2. TEUs &amp; Activities - EF'!$A$9:$A$190,'2. TEUs &amp; Activities - EF'!$M$9:$M$190),_xlfn.XLOOKUP($B1177,'2. TEUs &amp; Activities - EF'!$B$9:$B$190,'2. TEUs &amp; Activities - EF'!$M$9:$M$190))*'3. Pollutant Emissions - EF'!$J1177*IF(OR(ISBLANK($E1177),$G1177="Yes"),1,$E1177)*IF($H1177="Yes",1,(1-$F1177))</f>
        <v>1.6111058823529411E-4</v>
      </c>
      <c r="O1177" s="130"/>
    </row>
    <row r="1178" spans="1:15" ht="15" x14ac:dyDescent="0.25">
      <c r="A1178" s="5" t="s">
        <v>1614</v>
      </c>
      <c r="B1178" s="7"/>
      <c r="C1178" s="13" t="s">
        <v>52</v>
      </c>
      <c r="D1178" s="19" t="str">
        <f>IFERROR(IF(C1178="No CAS","",INDEX('DEQ Pollutant List'!$B$7:$B$611,MATCH('3. Pollutant Emissions - EF'!C1178,'DEQ Pollutant List'!$A$7:$A$611,0))),"")</f>
        <v>Ammonia</v>
      </c>
      <c r="E1178" s="23">
        <v>0</v>
      </c>
      <c r="F1178" s="21">
        <v>0</v>
      </c>
      <c r="G1178" s="23" t="s">
        <v>1415</v>
      </c>
      <c r="H1178" s="21" t="s">
        <v>1415</v>
      </c>
      <c r="I1178" s="34">
        <v>3.2</v>
      </c>
      <c r="J1178" s="11">
        <f t="shared" si="43"/>
        <v>3.2</v>
      </c>
      <c r="K1178" s="6" t="s">
        <v>1416</v>
      </c>
      <c r="L1178" s="20" t="s">
        <v>1586</v>
      </c>
      <c r="M1178" s="7">
        <f>IF(ISBLANK($B1178),_xlfn.XLOOKUP($A1178,'2. TEUs &amp; Activities - EF'!$A$9:$A$190,'2. TEUs &amp; Activities - EF'!$J$9:$J$190),_xlfn.XLOOKUP($B1178,'2. TEUs &amp; Activities - EF'!$B$9:$B$190,'2. TEUs &amp; Activities - EF'!$J$9:$J$190))*'3. Pollutant Emissions - EF'!$I1178*IF(OR(ISBLANK($E1178),$G1178="Yes"),1,$E1178)*IF($H1178="Yes",1,(1-$F1178))</f>
        <v>69.69524705882354</v>
      </c>
      <c r="N1178" s="5">
        <f>IF(ISBLANK($B1178),_xlfn.XLOOKUP($A1178,'2. TEUs &amp; Activities - EF'!$A$9:$A$190,'2. TEUs &amp; Activities - EF'!$M$9:$M$190),_xlfn.XLOOKUP($B1178,'2. TEUs &amp; Activities - EF'!$B$9:$B$190,'2. TEUs &amp; Activities - EF'!$M$9:$M$190))*'3. Pollutant Emissions - EF'!$J1178*IF(OR(ISBLANK($E1178),$G1178="Yes"),1,$E1178)*IF($H1178="Yes",1,(1-$F1178))</f>
        <v>0.19094588235294119</v>
      </c>
      <c r="O1178" s="130"/>
    </row>
    <row r="1179" spans="1:15" ht="15" x14ac:dyDescent="0.25">
      <c r="A1179" s="5" t="s">
        <v>1614</v>
      </c>
      <c r="B1179" s="7"/>
      <c r="C1179" s="13" t="s">
        <v>53</v>
      </c>
      <c r="D1179" s="19" t="str">
        <f>IFERROR(IF(C1179="No CAS","",INDEX('DEQ Pollutant List'!$B$7:$B$611,MATCH('3. Pollutant Emissions - EF'!C1179,'DEQ Pollutant List'!$A$7:$A$611,0))),"")</f>
        <v>Arsenic and compounds</v>
      </c>
      <c r="E1179" s="23">
        <v>0</v>
      </c>
      <c r="F1179" s="21">
        <v>0</v>
      </c>
      <c r="G1179" s="23" t="s">
        <v>1415</v>
      </c>
      <c r="H1179" s="21" t="s">
        <v>1415</v>
      </c>
      <c r="I1179" s="34">
        <v>2.0000000000000001E-4</v>
      </c>
      <c r="J1179" s="11">
        <f t="shared" si="43"/>
        <v>2.0000000000000001E-4</v>
      </c>
      <c r="K1179" s="6" t="s">
        <v>1416</v>
      </c>
      <c r="L1179" s="20" t="s">
        <v>1422</v>
      </c>
      <c r="M1179" s="7">
        <f>IF(ISBLANK($B1179),_xlfn.XLOOKUP($A1179,'2. TEUs &amp; Activities - EF'!$A$9:$A$190,'2. TEUs &amp; Activities - EF'!$J$9:$J$190),_xlfn.XLOOKUP($B1179,'2. TEUs &amp; Activities - EF'!$B$9:$B$190,'2. TEUs &amp; Activities - EF'!$J$9:$J$190))*'3. Pollutant Emissions - EF'!$I1179*IF(OR(ISBLANK($E1179),$G1179="Yes"),1,$E1179)*IF($H1179="Yes",1,(1-$F1179))</f>
        <v>4.3559529411764707E-3</v>
      </c>
      <c r="N1179" s="5">
        <f>IF(ISBLANK($B1179),_xlfn.XLOOKUP($A1179,'2. TEUs &amp; Activities - EF'!$A$9:$A$190,'2. TEUs &amp; Activities - EF'!$M$9:$M$190),_xlfn.XLOOKUP($B1179,'2. TEUs &amp; Activities - EF'!$B$9:$B$190,'2. TEUs &amp; Activities - EF'!$M$9:$M$190))*'3. Pollutant Emissions - EF'!$J1179*IF(OR(ISBLANK($E1179),$G1179="Yes"),1,$E1179)*IF($H1179="Yes",1,(1-$F1179))</f>
        <v>1.1934117647058824E-5</v>
      </c>
      <c r="O1179" s="130"/>
    </row>
    <row r="1180" spans="1:15" ht="15" x14ac:dyDescent="0.25">
      <c r="A1180" s="5" t="s">
        <v>1614</v>
      </c>
      <c r="B1180" s="7"/>
      <c r="C1180" s="13" t="s">
        <v>54</v>
      </c>
      <c r="D1180" s="19" t="str">
        <f>IFERROR(IF(C1180="No CAS","",INDEX('DEQ Pollutant List'!$B$7:$B$611,MATCH('3. Pollutant Emissions - EF'!C1180,'DEQ Pollutant List'!$A$7:$A$611,0))),"")</f>
        <v>Barium and compounds</v>
      </c>
      <c r="E1180" s="23">
        <v>0</v>
      </c>
      <c r="F1180" s="21">
        <v>0</v>
      </c>
      <c r="G1180" s="23" t="s">
        <v>1415</v>
      </c>
      <c r="H1180" s="21" t="s">
        <v>1415</v>
      </c>
      <c r="I1180" s="34">
        <v>4.4000000000000003E-3</v>
      </c>
      <c r="J1180" s="11">
        <f t="shared" si="43"/>
        <v>4.4000000000000003E-3</v>
      </c>
      <c r="K1180" s="6" t="s">
        <v>1416</v>
      </c>
      <c r="L1180" s="20" t="s">
        <v>1422</v>
      </c>
      <c r="M1180" s="7">
        <f>IF(ISBLANK($B1180),_xlfn.XLOOKUP($A1180,'2. TEUs &amp; Activities - EF'!$A$9:$A$190,'2. TEUs &amp; Activities - EF'!$J$9:$J$190),_xlfn.XLOOKUP($B1180,'2. TEUs &amp; Activities - EF'!$B$9:$B$190,'2. TEUs &amp; Activities - EF'!$J$9:$J$190))*'3. Pollutant Emissions - EF'!$I1180*IF(OR(ISBLANK($E1180),$G1180="Yes"),1,$E1180)*IF($H1180="Yes",1,(1-$F1180))</f>
        <v>9.5830964705882357E-2</v>
      </c>
      <c r="N1180" s="5">
        <f>IF(ISBLANK($B1180),_xlfn.XLOOKUP($A1180,'2. TEUs &amp; Activities - EF'!$A$9:$A$190,'2. TEUs &amp; Activities - EF'!$M$9:$M$190),_xlfn.XLOOKUP($B1180,'2. TEUs &amp; Activities - EF'!$B$9:$B$190,'2. TEUs &amp; Activities - EF'!$M$9:$M$190))*'3. Pollutant Emissions - EF'!$J1180*IF(OR(ISBLANK($E1180),$G1180="Yes"),1,$E1180)*IF($H1180="Yes",1,(1-$F1180))</f>
        <v>2.6255058823529409E-4</v>
      </c>
      <c r="O1180" s="130"/>
    </row>
    <row r="1181" spans="1:15" ht="15" x14ac:dyDescent="0.25">
      <c r="A1181" s="5" t="s">
        <v>1614</v>
      </c>
      <c r="B1181" s="7"/>
      <c r="C1181" s="13" t="s">
        <v>46</v>
      </c>
      <c r="D1181" s="19" t="str">
        <f>IFERROR(IF(C1181="No CAS","",INDEX('DEQ Pollutant List'!$B$7:$B$611,MATCH('3. Pollutant Emissions - EF'!C1181,'DEQ Pollutant List'!$A$7:$A$611,0))),"")</f>
        <v>Benzene</v>
      </c>
      <c r="E1181" s="23">
        <v>0</v>
      </c>
      <c r="F1181" s="21">
        <v>0</v>
      </c>
      <c r="G1181" s="23" t="s">
        <v>1415</v>
      </c>
      <c r="H1181" s="21" t="s">
        <v>1415</v>
      </c>
      <c r="I1181" s="34">
        <v>8.0000000000000002E-3</v>
      </c>
      <c r="J1181" s="11">
        <f t="shared" si="43"/>
        <v>8.0000000000000002E-3</v>
      </c>
      <c r="K1181" s="6" t="s">
        <v>1416</v>
      </c>
      <c r="L1181" s="20" t="s">
        <v>1422</v>
      </c>
      <c r="M1181" s="7">
        <f>IF(ISBLANK($B1181),_xlfn.XLOOKUP($A1181,'2. TEUs &amp; Activities - EF'!$A$9:$A$190,'2. TEUs &amp; Activities - EF'!$J$9:$J$190),_xlfn.XLOOKUP($B1181,'2. TEUs &amp; Activities - EF'!$B$9:$B$190,'2. TEUs &amp; Activities - EF'!$J$9:$J$190))*'3. Pollutant Emissions - EF'!$I1181*IF(OR(ISBLANK($E1181),$G1181="Yes"),1,$E1181)*IF($H1181="Yes",1,(1-$F1181))</f>
        <v>0.17423811764705882</v>
      </c>
      <c r="N1181" s="5">
        <f>IF(ISBLANK($B1181),_xlfn.XLOOKUP($A1181,'2. TEUs &amp; Activities - EF'!$A$9:$A$190,'2. TEUs &amp; Activities - EF'!$M$9:$M$190),_xlfn.XLOOKUP($B1181,'2. TEUs &amp; Activities - EF'!$B$9:$B$190,'2. TEUs &amp; Activities - EF'!$M$9:$M$190))*'3. Pollutant Emissions - EF'!$J1181*IF(OR(ISBLANK($E1181),$G1181="Yes"),1,$E1181)*IF($H1181="Yes",1,(1-$F1181))</f>
        <v>4.7736470588235293E-4</v>
      </c>
      <c r="O1181" s="130"/>
    </row>
    <row r="1182" spans="1:15" ht="15" x14ac:dyDescent="0.25">
      <c r="A1182" s="5" t="s">
        <v>1614</v>
      </c>
      <c r="B1182" s="7"/>
      <c r="C1182" s="13" t="s">
        <v>55</v>
      </c>
      <c r="D1182" s="19" t="str">
        <f>IFERROR(IF(C1182="No CAS","",INDEX('DEQ Pollutant List'!$B$7:$B$611,MATCH('3. Pollutant Emissions - EF'!C1182,'DEQ Pollutant List'!$A$7:$A$611,0))),"")</f>
        <v>Beryllium and compounds</v>
      </c>
      <c r="E1182" s="23">
        <v>0</v>
      </c>
      <c r="F1182" s="21">
        <v>0</v>
      </c>
      <c r="G1182" s="23" t="s">
        <v>1415</v>
      </c>
      <c r="H1182" s="21" t="s">
        <v>1415</v>
      </c>
      <c r="I1182" s="34">
        <v>1.2E-5</v>
      </c>
      <c r="J1182" s="11">
        <f t="shared" si="43"/>
        <v>1.2E-5</v>
      </c>
      <c r="K1182" s="6" t="s">
        <v>1416</v>
      </c>
      <c r="L1182" s="20" t="s">
        <v>1422</v>
      </c>
      <c r="M1182" s="7">
        <f>IF(ISBLANK($B1182),_xlfn.XLOOKUP($A1182,'2. TEUs &amp; Activities - EF'!$A$9:$A$190,'2. TEUs &amp; Activities - EF'!$J$9:$J$190),_xlfn.XLOOKUP($B1182,'2. TEUs &amp; Activities - EF'!$B$9:$B$190,'2. TEUs &amp; Activities - EF'!$J$9:$J$190))*'3. Pollutant Emissions - EF'!$I1182*IF(OR(ISBLANK($E1182),$G1182="Yes"),1,$E1182)*IF($H1182="Yes",1,(1-$F1182))</f>
        <v>2.6135717647058824E-4</v>
      </c>
      <c r="N1182" s="5">
        <f>IF(ISBLANK($B1182),_xlfn.XLOOKUP($A1182,'2. TEUs &amp; Activities - EF'!$A$9:$A$190,'2. TEUs &amp; Activities - EF'!$M$9:$M$190),_xlfn.XLOOKUP($B1182,'2. TEUs &amp; Activities - EF'!$B$9:$B$190,'2. TEUs &amp; Activities - EF'!$M$9:$M$190))*'3. Pollutant Emissions - EF'!$J1182*IF(OR(ISBLANK($E1182),$G1182="Yes"),1,$E1182)*IF($H1182="Yes",1,(1-$F1182))</f>
        <v>7.160470588235294E-7</v>
      </c>
      <c r="O1182" s="130"/>
    </row>
    <row r="1183" spans="1:15" ht="15" x14ac:dyDescent="0.25">
      <c r="A1183" s="5" t="s">
        <v>1614</v>
      </c>
      <c r="B1183" s="7"/>
      <c r="C1183" s="13" t="s">
        <v>56</v>
      </c>
      <c r="D1183" s="19" t="str">
        <f>IFERROR(IF(C1183="No CAS","",INDEX('DEQ Pollutant List'!$B$7:$B$611,MATCH('3. Pollutant Emissions - EF'!C1183,'DEQ Pollutant List'!$A$7:$A$611,0))),"")</f>
        <v>Cadmium and compounds</v>
      </c>
      <c r="E1183" s="23">
        <v>0</v>
      </c>
      <c r="F1183" s="21">
        <v>0</v>
      </c>
      <c r="G1183" s="23" t="s">
        <v>1415</v>
      </c>
      <c r="H1183" s="21" t="s">
        <v>1415</v>
      </c>
      <c r="I1183" s="34">
        <v>1.1000000000000001E-3</v>
      </c>
      <c r="J1183" s="11">
        <f t="shared" si="43"/>
        <v>1.1000000000000001E-3</v>
      </c>
      <c r="K1183" s="6" t="s">
        <v>1416</v>
      </c>
      <c r="L1183" s="20" t="s">
        <v>1422</v>
      </c>
      <c r="M1183" s="7">
        <f>IF(ISBLANK($B1183),_xlfn.XLOOKUP($A1183,'2. TEUs &amp; Activities - EF'!$A$9:$A$190,'2. TEUs &amp; Activities - EF'!$J$9:$J$190),_xlfn.XLOOKUP($B1183,'2. TEUs &amp; Activities - EF'!$B$9:$B$190,'2. TEUs &amp; Activities - EF'!$J$9:$J$190))*'3. Pollutant Emissions - EF'!$I1183*IF(OR(ISBLANK($E1183),$G1183="Yes"),1,$E1183)*IF($H1183="Yes",1,(1-$F1183))</f>
        <v>2.3957741176470589E-2</v>
      </c>
      <c r="N1183" s="5">
        <f>IF(ISBLANK($B1183),_xlfn.XLOOKUP($A1183,'2. TEUs &amp; Activities - EF'!$A$9:$A$190,'2. TEUs &amp; Activities - EF'!$M$9:$M$190),_xlfn.XLOOKUP($B1183,'2. TEUs &amp; Activities - EF'!$B$9:$B$190,'2. TEUs &amp; Activities - EF'!$M$9:$M$190))*'3. Pollutant Emissions - EF'!$J1183*IF(OR(ISBLANK($E1183),$G1183="Yes"),1,$E1183)*IF($H1183="Yes",1,(1-$F1183))</f>
        <v>6.5637647058823523E-5</v>
      </c>
      <c r="O1183" s="130"/>
    </row>
    <row r="1184" spans="1:15" ht="15" x14ac:dyDescent="0.25">
      <c r="A1184" s="5" t="s">
        <v>1614</v>
      </c>
      <c r="B1184" s="7"/>
      <c r="C1184" s="13" t="s">
        <v>57</v>
      </c>
      <c r="D1184" s="19" t="str">
        <f>IFERROR(IF(C1184="No CAS","",INDEX('DEQ Pollutant List'!$B$7:$B$611,MATCH('3. Pollutant Emissions - EF'!C1184,'DEQ Pollutant List'!$A$7:$A$611,0))),"")</f>
        <v>Chromium VI, chromate and dichromate particulate</v>
      </c>
      <c r="E1184" s="23">
        <v>0</v>
      </c>
      <c r="F1184" s="21">
        <v>0</v>
      </c>
      <c r="G1184" s="23" t="s">
        <v>1415</v>
      </c>
      <c r="H1184" s="21" t="s">
        <v>1415</v>
      </c>
      <c r="I1184" s="34">
        <v>1.4E-3</v>
      </c>
      <c r="J1184" s="11">
        <f t="shared" si="43"/>
        <v>1.4E-3</v>
      </c>
      <c r="K1184" s="6" t="s">
        <v>1416</v>
      </c>
      <c r="L1184" s="20" t="s">
        <v>1422</v>
      </c>
      <c r="M1184" s="7">
        <f>IF(ISBLANK($B1184),_xlfn.XLOOKUP($A1184,'2. TEUs &amp; Activities - EF'!$A$9:$A$190,'2. TEUs &amp; Activities - EF'!$J$9:$J$190),_xlfn.XLOOKUP($B1184,'2. TEUs &amp; Activities - EF'!$B$9:$B$190,'2. TEUs &amp; Activities - EF'!$J$9:$J$190))*'3. Pollutant Emissions - EF'!$I1184*IF(OR(ISBLANK($E1184),$G1184="Yes"),1,$E1184)*IF($H1184="Yes",1,(1-$F1184))</f>
        <v>3.0491670588235296E-2</v>
      </c>
      <c r="N1184" s="5">
        <f>IF(ISBLANK($B1184),_xlfn.XLOOKUP($A1184,'2. TEUs &amp; Activities - EF'!$A$9:$A$190,'2. TEUs &amp; Activities - EF'!$M$9:$M$190),_xlfn.XLOOKUP($B1184,'2. TEUs &amp; Activities - EF'!$B$9:$B$190,'2. TEUs &amp; Activities - EF'!$M$9:$M$190))*'3. Pollutant Emissions - EF'!$J1184*IF(OR(ISBLANK($E1184),$G1184="Yes"),1,$E1184)*IF($H1184="Yes",1,(1-$F1184))</f>
        <v>8.3538823529411764E-5</v>
      </c>
      <c r="O1184" s="130"/>
    </row>
    <row r="1185" spans="1:15" ht="15" x14ac:dyDescent="0.25">
      <c r="A1185" s="5" t="s">
        <v>1614</v>
      </c>
      <c r="B1185" s="7"/>
      <c r="C1185" s="13" t="s">
        <v>58</v>
      </c>
      <c r="D1185" s="19" t="str">
        <f>IFERROR(IF(C1185="No CAS","",INDEX('DEQ Pollutant List'!$B$7:$B$611,MATCH('3. Pollutant Emissions - EF'!C1185,'DEQ Pollutant List'!$A$7:$A$611,0))),"")</f>
        <v>Cobalt and compounds</v>
      </c>
      <c r="E1185" s="23">
        <v>0</v>
      </c>
      <c r="F1185" s="21">
        <v>0</v>
      </c>
      <c r="G1185" s="23" t="s">
        <v>1415</v>
      </c>
      <c r="H1185" s="21" t="s">
        <v>1415</v>
      </c>
      <c r="I1185" s="34">
        <v>8.3999999999999995E-5</v>
      </c>
      <c r="J1185" s="11">
        <f t="shared" si="43"/>
        <v>8.3999999999999995E-5</v>
      </c>
      <c r="K1185" s="6" t="s">
        <v>1416</v>
      </c>
      <c r="L1185" s="20" t="s">
        <v>1422</v>
      </c>
      <c r="M1185" s="7">
        <f>IF(ISBLANK($B1185),_xlfn.XLOOKUP($A1185,'2. TEUs &amp; Activities - EF'!$A$9:$A$190,'2. TEUs &amp; Activities - EF'!$J$9:$J$190),_xlfn.XLOOKUP($B1185,'2. TEUs &amp; Activities - EF'!$B$9:$B$190,'2. TEUs &amp; Activities - EF'!$J$9:$J$190))*'3. Pollutant Emissions - EF'!$I1185*IF(OR(ISBLANK($E1185),$G1185="Yes"),1,$E1185)*IF($H1185="Yes",1,(1-$F1185))</f>
        <v>1.8295002352941177E-3</v>
      </c>
      <c r="N1185" s="5">
        <f>IF(ISBLANK($B1185),_xlfn.XLOOKUP($A1185,'2. TEUs &amp; Activities - EF'!$A$9:$A$190,'2. TEUs &amp; Activities - EF'!$M$9:$M$190),_xlfn.XLOOKUP($B1185,'2. TEUs &amp; Activities - EF'!$B$9:$B$190,'2. TEUs &amp; Activities - EF'!$M$9:$M$190))*'3. Pollutant Emissions - EF'!$J1185*IF(OR(ISBLANK($E1185),$G1185="Yes"),1,$E1185)*IF($H1185="Yes",1,(1-$F1185))</f>
        <v>5.0123294117647051E-6</v>
      </c>
      <c r="O1185" s="130"/>
    </row>
    <row r="1186" spans="1:15" ht="15" x14ac:dyDescent="0.25">
      <c r="A1186" s="5" t="s">
        <v>1614</v>
      </c>
      <c r="B1186" s="7"/>
      <c r="C1186" s="13" t="s">
        <v>59</v>
      </c>
      <c r="D1186" s="19" t="str">
        <f>IFERROR(IF(C1186="No CAS","",INDEX('DEQ Pollutant List'!$B$7:$B$611,MATCH('3. Pollutant Emissions - EF'!C1186,'DEQ Pollutant List'!$A$7:$A$611,0))),"")</f>
        <v>Copper and compounds</v>
      </c>
      <c r="E1186" s="23">
        <v>0</v>
      </c>
      <c r="F1186" s="21">
        <v>0</v>
      </c>
      <c r="G1186" s="23" t="s">
        <v>1415</v>
      </c>
      <c r="H1186" s="21" t="s">
        <v>1415</v>
      </c>
      <c r="I1186" s="34">
        <v>8.4999999999999995E-4</v>
      </c>
      <c r="J1186" s="11">
        <f t="shared" si="43"/>
        <v>8.4999999999999995E-4</v>
      </c>
      <c r="K1186" s="6" t="s">
        <v>1416</v>
      </c>
      <c r="L1186" s="20" t="s">
        <v>1422</v>
      </c>
      <c r="M1186" s="7">
        <f>IF(ISBLANK($B1186),_xlfn.XLOOKUP($A1186,'2. TEUs &amp; Activities - EF'!$A$9:$A$190,'2. TEUs &amp; Activities - EF'!$J$9:$J$190),_xlfn.XLOOKUP($B1186,'2. TEUs &amp; Activities - EF'!$B$9:$B$190,'2. TEUs &amp; Activities - EF'!$J$9:$J$190))*'3. Pollutant Emissions - EF'!$I1186*IF(OR(ISBLANK($E1186),$G1186="Yes"),1,$E1186)*IF($H1186="Yes",1,(1-$F1186))</f>
        <v>1.8512799999999999E-2</v>
      </c>
      <c r="N1186" s="5">
        <f>IF(ISBLANK($B1186),_xlfn.XLOOKUP($A1186,'2. TEUs &amp; Activities - EF'!$A$9:$A$190,'2. TEUs &amp; Activities - EF'!$M$9:$M$190),_xlfn.XLOOKUP($B1186,'2. TEUs &amp; Activities - EF'!$B$9:$B$190,'2. TEUs &amp; Activities - EF'!$M$9:$M$190))*'3. Pollutant Emissions - EF'!$J1186*IF(OR(ISBLANK($E1186),$G1186="Yes"),1,$E1186)*IF($H1186="Yes",1,(1-$F1186))</f>
        <v>5.0719999999999996E-5</v>
      </c>
      <c r="O1186" s="130"/>
    </row>
    <row r="1187" spans="1:15" ht="15" x14ac:dyDescent="0.25">
      <c r="A1187" s="5" t="s">
        <v>1614</v>
      </c>
      <c r="B1187" s="7"/>
      <c r="C1187" s="13" t="s">
        <v>60</v>
      </c>
      <c r="D1187" s="19" t="str">
        <f>IFERROR(IF(C1187="No CAS","",INDEX('DEQ Pollutant List'!$B$7:$B$611,MATCH('3. Pollutant Emissions - EF'!C1187,'DEQ Pollutant List'!$A$7:$A$611,0))),"")</f>
        <v>Ethyl benzene</v>
      </c>
      <c r="E1187" s="23">
        <v>0</v>
      </c>
      <c r="F1187" s="21">
        <v>0</v>
      </c>
      <c r="G1187" s="23" t="s">
        <v>1415</v>
      </c>
      <c r="H1187" s="21" t="s">
        <v>1415</v>
      </c>
      <c r="I1187" s="34">
        <v>9.4999999999999998E-3</v>
      </c>
      <c r="J1187" s="11">
        <f t="shared" si="43"/>
        <v>9.4999999999999998E-3</v>
      </c>
      <c r="K1187" s="6" t="s">
        <v>1416</v>
      </c>
      <c r="L1187" s="20" t="s">
        <v>1422</v>
      </c>
      <c r="M1187" s="7">
        <f>IF(ISBLANK($B1187),_xlfn.XLOOKUP($A1187,'2. TEUs &amp; Activities - EF'!$A$9:$A$190,'2. TEUs &amp; Activities - EF'!$J$9:$J$190),_xlfn.XLOOKUP($B1187,'2. TEUs &amp; Activities - EF'!$B$9:$B$190,'2. TEUs &amp; Activities - EF'!$J$9:$J$190))*'3. Pollutant Emissions - EF'!$I1187*IF(OR(ISBLANK($E1187),$G1187="Yes"),1,$E1187)*IF($H1187="Yes",1,(1-$F1187))</f>
        <v>0.20690776470588235</v>
      </c>
      <c r="N1187" s="5">
        <f>IF(ISBLANK($B1187),_xlfn.XLOOKUP($A1187,'2. TEUs &amp; Activities - EF'!$A$9:$A$190,'2. TEUs &amp; Activities - EF'!$M$9:$M$190),_xlfn.XLOOKUP($B1187,'2. TEUs &amp; Activities - EF'!$B$9:$B$190,'2. TEUs &amp; Activities - EF'!$M$9:$M$190))*'3. Pollutant Emissions - EF'!$J1187*IF(OR(ISBLANK($E1187),$G1187="Yes"),1,$E1187)*IF($H1187="Yes",1,(1-$F1187))</f>
        <v>5.6687058823529405E-4</v>
      </c>
      <c r="O1187" s="130"/>
    </row>
    <row r="1188" spans="1:15" ht="15" x14ac:dyDescent="0.25">
      <c r="A1188" s="5" t="s">
        <v>1614</v>
      </c>
      <c r="B1188" s="7"/>
      <c r="C1188" s="13" t="s">
        <v>47</v>
      </c>
      <c r="D1188" s="19" t="str">
        <f>IFERROR(IF(C1188="No CAS","",INDEX('DEQ Pollutant List'!$B$7:$B$611,MATCH('3. Pollutant Emissions - EF'!C1188,'DEQ Pollutant List'!$A$7:$A$611,0))),"")</f>
        <v>Formaldehyde</v>
      </c>
      <c r="E1188" s="23">
        <v>0</v>
      </c>
      <c r="F1188" s="21">
        <v>0</v>
      </c>
      <c r="G1188" s="23" t="s">
        <v>1415</v>
      </c>
      <c r="H1188" s="21" t="s">
        <v>1415</v>
      </c>
      <c r="I1188" s="34">
        <v>1.7000000000000001E-2</v>
      </c>
      <c r="J1188" s="11">
        <f t="shared" si="43"/>
        <v>1.7000000000000001E-2</v>
      </c>
      <c r="K1188" s="6" t="s">
        <v>1416</v>
      </c>
      <c r="L1188" s="20" t="s">
        <v>1422</v>
      </c>
      <c r="M1188" s="7">
        <f>IF(ISBLANK($B1188),_xlfn.XLOOKUP($A1188,'2. TEUs &amp; Activities - EF'!$A$9:$A$190,'2. TEUs &amp; Activities - EF'!$J$9:$J$190),_xlfn.XLOOKUP($B1188,'2. TEUs &amp; Activities - EF'!$B$9:$B$190,'2. TEUs &amp; Activities - EF'!$J$9:$J$190))*'3. Pollutant Emissions - EF'!$I1188*IF(OR(ISBLANK($E1188),$G1188="Yes"),1,$E1188)*IF($H1188="Yes",1,(1-$F1188))</f>
        <v>0.37025600000000003</v>
      </c>
      <c r="N1188" s="5">
        <f>IF(ISBLANK($B1188),_xlfn.XLOOKUP($A1188,'2. TEUs &amp; Activities - EF'!$A$9:$A$190,'2. TEUs &amp; Activities - EF'!$M$9:$M$190),_xlfn.XLOOKUP($B1188,'2. TEUs &amp; Activities - EF'!$B$9:$B$190,'2. TEUs &amp; Activities - EF'!$M$9:$M$190))*'3. Pollutant Emissions - EF'!$J1188*IF(OR(ISBLANK($E1188),$G1188="Yes"),1,$E1188)*IF($H1188="Yes",1,(1-$F1188))</f>
        <v>1.0143999999999999E-3</v>
      </c>
      <c r="O1188" s="130"/>
    </row>
    <row r="1189" spans="1:15" ht="15" x14ac:dyDescent="0.25">
      <c r="A1189" s="5" t="s">
        <v>1614</v>
      </c>
      <c r="B1189" s="7"/>
      <c r="C1189" s="13" t="s">
        <v>61</v>
      </c>
      <c r="D1189" s="19" t="str">
        <f>IFERROR(IF(C1189="No CAS","",INDEX('DEQ Pollutant List'!$B$7:$B$611,MATCH('3. Pollutant Emissions - EF'!C1189,'DEQ Pollutant List'!$A$7:$A$611,0))),"")</f>
        <v>Hexane</v>
      </c>
      <c r="E1189" s="23">
        <v>0</v>
      </c>
      <c r="F1189" s="21">
        <v>0</v>
      </c>
      <c r="G1189" s="23" t="s">
        <v>1415</v>
      </c>
      <c r="H1189" s="21" t="s">
        <v>1415</v>
      </c>
      <c r="I1189" s="34">
        <v>6.3E-3</v>
      </c>
      <c r="J1189" s="11">
        <f t="shared" si="43"/>
        <v>6.3E-3</v>
      </c>
      <c r="K1189" s="6" t="s">
        <v>1416</v>
      </c>
      <c r="L1189" s="20" t="s">
        <v>1422</v>
      </c>
      <c r="M1189" s="7">
        <f>IF(ISBLANK($B1189),_xlfn.XLOOKUP($A1189,'2. TEUs &amp; Activities - EF'!$A$9:$A$190,'2. TEUs &amp; Activities - EF'!$J$9:$J$190),_xlfn.XLOOKUP($B1189,'2. TEUs &amp; Activities - EF'!$B$9:$B$190,'2. TEUs &amp; Activities - EF'!$J$9:$J$190))*'3. Pollutant Emissions - EF'!$I1189*IF(OR(ISBLANK($E1189),$G1189="Yes"),1,$E1189)*IF($H1189="Yes",1,(1-$F1189))</f>
        <v>0.13721251764705883</v>
      </c>
      <c r="N1189" s="5">
        <f>IF(ISBLANK($B1189),_xlfn.XLOOKUP($A1189,'2. TEUs &amp; Activities - EF'!$A$9:$A$190,'2. TEUs &amp; Activities - EF'!$M$9:$M$190),_xlfn.XLOOKUP($B1189,'2. TEUs &amp; Activities - EF'!$B$9:$B$190,'2. TEUs &amp; Activities - EF'!$M$9:$M$190))*'3. Pollutant Emissions - EF'!$J1189*IF(OR(ISBLANK($E1189),$G1189="Yes"),1,$E1189)*IF($H1189="Yes",1,(1-$F1189))</f>
        <v>3.7592470588235292E-4</v>
      </c>
      <c r="O1189" s="130"/>
    </row>
    <row r="1190" spans="1:15" ht="15" x14ac:dyDescent="0.25">
      <c r="A1190" s="5" t="s">
        <v>1614</v>
      </c>
      <c r="B1190" s="7"/>
      <c r="C1190" s="13" t="s">
        <v>62</v>
      </c>
      <c r="D1190" s="19" t="str">
        <f>IFERROR(IF(C1190="No CAS","",INDEX('DEQ Pollutant List'!$B$7:$B$611,MATCH('3. Pollutant Emissions - EF'!C1190,'DEQ Pollutant List'!$A$7:$A$611,0))),"")</f>
        <v>Lead and compounds</v>
      </c>
      <c r="E1190" s="23">
        <v>0</v>
      </c>
      <c r="F1190" s="21">
        <v>0</v>
      </c>
      <c r="G1190" s="23" t="s">
        <v>1415</v>
      </c>
      <c r="H1190" s="21" t="s">
        <v>1415</v>
      </c>
      <c r="I1190" s="34">
        <v>5.0000000000000001E-4</v>
      </c>
      <c r="J1190" s="11">
        <f t="shared" si="43"/>
        <v>5.0000000000000001E-4</v>
      </c>
      <c r="K1190" s="6" t="s">
        <v>1416</v>
      </c>
      <c r="L1190" s="20" t="s">
        <v>1422</v>
      </c>
      <c r="M1190" s="7">
        <f>IF(ISBLANK($B1190),_xlfn.XLOOKUP($A1190,'2. TEUs &amp; Activities - EF'!$A$9:$A$190,'2. TEUs &amp; Activities - EF'!$J$9:$J$190),_xlfn.XLOOKUP($B1190,'2. TEUs &amp; Activities - EF'!$B$9:$B$190,'2. TEUs &amp; Activities - EF'!$J$9:$J$190))*'3. Pollutant Emissions - EF'!$I1190*IF(OR(ISBLANK($E1190),$G1190="Yes"),1,$E1190)*IF($H1190="Yes",1,(1-$F1190))</f>
        <v>1.0889882352941176E-2</v>
      </c>
      <c r="N1190" s="5">
        <f>IF(ISBLANK($B1190),_xlfn.XLOOKUP($A1190,'2. TEUs &amp; Activities - EF'!$A$9:$A$190,'2. TEUs &amp; Activities - EF'!$M$9:$M$190),_xlfn.XLOOKUP($B1190,'2. TEUs &amp; Activities - EF'!$B$9:$B$190,'2. TEUs &amp; Activities - EF'!$M$9:$M$190))*'3. Pollutant Emissions - EF'!$J1190*IF(OR(ISBLANK($E1190),$G1190="Yes"),1,$E1190)*IF($H1190="Yes",1,(1-$F1190))</f>
        <v>2.9835294117647058E-5</v>
      </c>
      <c r="O1190" s="130"/>
    </row>
    <row r="1191" spans="1:15" ht="15" x14ac:dyDescent="0.25">
      <c r="A1191" s="5" t="s">
        <v>1614</v>
      </c>
      <c r="B1191" s="7"/>
      <c r="C1191" s="13" t="s">
        <v>63</v>
      </c>
      <c r="D1191" s="19" t="str">
        <f>IFERROR(IF(C1191="No CAS","",INDEX('DEQ Pollutant List'!$B$7:$B$611,MATCH('3. Pollutant Emissions - EF'!C1191,'DEQ Pollutant List'!$A$7:$A$611,0))),"")</f>
        <v>Manganese and compounds</v>
      </c>
      <c r="E1191" s="23">
        <v>0</v>
      </c>
      <c r="F1191" s="21">
        <v>0</v>
      </c>
      <c r="G1191" s="23" t="s">
        <v>1415</v>
      </c>
      <c r="H1191" s="21" t="s">
        <v>1415</v>
      </c>
      <c r="I1191" s="34">
        <v>3.8000000000000002E-4</v>
      </c>
      <c r="J1191" s="11">
        <f t="shared" si="43"/>
        <v>3.8000000000000002E-4</v>
      </c>
      <c r="K1191" s="6" t="s">
        <v>1416</v>
      </c>
      <c r="L1191" s="20" t="s">
        <v>1422</v>
      </c>
      <c r="M1191" s="7">
        <f>IF(ISBLANK($B1191),_xlfn.XLOOKUP($A1191,'2. TEUs &amp; Activities - EF'!$A$9:$A$190,'2. TEUs &amp; Activities - EF'!$J$9:$J$190),_xlfn.XLOOKUP($B1191,'2. TEUs &amp; Activities - EF'!$B$9:$B$190,'2. TEUs &amp; Activities - EF'!$J$9:$J$190))*'3. Pollutant Emissions - EF'!$I1191*IF(OR(ISBLANK($E1191),$G1191="Yes"),1,$E1191)*IF($H1191="Yes",1,(1-$F1191))</f>
        <v>8.2763105882352941E-3</v>
      </c>
      <c r="N1191" s="5">
        <f>IF(ISBLANK($B1191),_xlfn.XLOOKUP($A1191,'2. TEUs &amp; Activities - EF'!$A$9:$A$190,'2. TEUs &amp; Activities - EF'!$M$9:$M$190),_xlfn.XLOOKUP($B1191,'2. TEUs &amp; Activities - EF'!$B$9:$B$190,'2. TEUs &amp; Activities - EF'!$M$9:$M$190))*'3. Pollutant Emissions - EF'!$J1191*IF(OR(ISBLANK($E1191),$G1191="Yes"),1,$E1191)*IF($H1191="Yes",1,(1-$F1191))</f>
        <v>2.2674823529411765E-5</v>
      </c>
      <c r="O1191" s="130"/>
    </row>
    <row r="1192" spans="1:15" ht="15" x14ac:dyDescent="0.25">
      <c r="A1192" s="5" t="s">
        <v>1614</v>
      </c>
      <c r="B1192" s="7"/>
      <c r="C1192" s="13" t="s">
        <v>64</v>
      </c>
      <c r="D1192" s="19" t="str">
        <f>IFERROR(IF(C1192="No CAS","",INDEX('DEQ Pollutant List'!$B$7:$B$611,MATCH('3. Pollutant Emissions - EF'!C1192,'DEQ Pollutant List'!$A$7:$A$611,0))),"")</f>
        <v>Mercury and compounds</v>
      </c>
      <c r="E1192" s="23">
        <v>0</v>
      </c>
      <c r="F1192" s="21">
        <v>0</v>
      </c>
      <c r="G1192" s="23" t="s">
        <v>1415</v>
      </c>
      <c r="H1192" s="21" t="s">
        <v>1415</v>
      </c>
      <c r="I1192" s="34">
        <v>2.5999999999999998E-4</v>
      </c>
      <c r="J1192" s="11">
        <f t="shared" si="43"/>
        <v>2.5999999999999998E-4</v>
      </c>
      <c r="K1192" s="6" t="s">
        <v>1416</v>
      </c>
      <c r="L1192" s="20" t="s">
        <v>1422</v>
      </c>
      <c r="M1192" s="7">
        <f>IF(ISBLANK($B1192),_xlfn.XLOOKUP($A1192,'2. TEUs &amp; Activities - EF'!$A$9:$A$190,'2. TEUs &amp; Activities - EF'!$J$9:$J$190),_xlfn.XLOOKUP($B1192,'2. TEUs &amp; Activities - EF'!$B$9:$B$190,'2. TEUs &amp; Activities - EF'!$J$9:$J$190))*'3. Pollutant Emissions - EF'!$I1192*IF(OR(ISBLANK($E1192),$G1192="Yes"),1,$E1192)*IF($H1192="Yes",1,(1-$F1192))</f>
        <v>5.6627388235294118E-3</v>
      </c>
      <c r="N1192" s="5">
        <f>IF(ISBLANK($B1192),_xlfn.XLOOKUP($A1192,'2. TEUs &amp; Activities - EF'!$A$9:$A$190,'2. TEUs &amp; Activities - EF'!$M$9:$M$190),_xlfn.XLOOKUP($B1192,'2. TEUs &amp; Activities - EF'!$B$9:$B$190,'2. TEUs &amp; Activities - EF'!$M$9:$M$190))*'3. Pollutant Emissions - EF'!$J1192*IF(OR(ISBLANK($E1192),$G1192="Yes"),1,$E1192)*IF($H1192="Yes",1,(1-$F1192))</f>
        <v>1.5514352941176469E-5</v>
      </c>
      <c r="O1192" s="130"/>
    </row>
    <row r="1193" spans="1:15" ht="15" x14ac:dyDescent="0.25">
      <c r="A1193" s="5" t="s">
        <v>1614</v>
      </c>
      <c r="B1193" s="7"/>
      <c r="C1193" s="13" t="s">
        <v>65</v>
      </c>
      <c r="D1193" s="19" t="str">
        <f>IFERROR(IF(C1193="No CAS","",INDEX('DEQ Pollutant List'!$B$7:$B$611,MATCH('3. Pollutant Emissions - EF'!C1193,'DEQ Pollutant List'!$A$7:$A$611,0))),"")</f>
        <v>Molybdenum trioxide</v>
      </c>
      <c r="E1193" s="23">
        <v>0</v>
      </c>
      <c r="F1193" s="21">
        <v>0</v>
      </c>
      <c r="G1193" s="23" t="s">
        <v>1415</v>
      </c>
      <c r="H1193" s="21" t="s">
        <v>1415</v>
      </c>
      <c r="I1193" s="34">
        <v>1.65E-3</v>
      </c>
      <c r="J1193" s="11">
        <f t="shared" si="43"/>
        <v>1.65E-3</v>
      </c>
      <c r="K1193" s="6" t="s">
        <v>1416</v>
      </c>
      <c r="L1193" s="20" t="s">
        <v>1422</v>
      </c>
      <c r="M1193" s="7">
        <f>IF(ISBLANK($B1193),_xlfn.XLOOKUP($A1193,'2. TEUs &amp; Activities - EF'!$A$9:$A$190,'2. TEUs &amp; Activities - EF'!$J$9:$J$190),_xlfn.XLOOKUP($B1193,'2. TEUs &amp; Activities - EF'!$B$9:$B$190,'2. TEUs &amp; Activities - EF'!$J$9:$J$190))*'3. Pollutant Emissions - EF'!$I1193*IF(OR(ISBLANK($E1193),$G1193="Yes"),1,$E1193)*IF($H1193="Yes",1,(1-$F1193))</f>
        <v>3.5936611764705882E-2</v>
      </c>
      <c r="N1193" s="5">
        <f>IF(ISBLANK($B1193),_xlfn.XLOOKUP($A1193,'2. TEUs &amp; Activities - EF'!$A$9:$A$190,'2. TEUs &amp; Activities - EF'!$M$9:$M$190),_xlfn.XLOOKUP($B1193,'2. TEUs &amp; Activities - EF'!$B$9:$B$190,'2. TEUs &amp; Activities - EF'!$M$9:$M$190))*'3. Pollutant Emissions - EF'!$J1193*IF(OR(ISBLANK($E1193),$G1193="Yes"),1,$E1193)*IF($H1193="Yes",1,(1-$F1193))</f>
        <v>9.8456470588235284E-5</v>
      </c>
      <c r="O1193" s="130"/>
    </row>
    <row r="1194" spans="1:15" ht="15" x14ac:dyDescent="0.25">
      <c r="A1194" s="5" t="s">
        <v>1614</v>
      </c>
      <c r="B1194" s="7"/>
      <c r="C1194" s="13" t="s">
        <v>49</v>
      </c>
      <c r="D1194" s="19" t="str">
        <f>IFERROR(IF(C1194="No CAS","",INDEX('DEQ Pollutant List'!$B$7:$B$611,MATCH('3. Pollutant Emissions - EF'!C1194,'DEQ Pollutant List'!$A$7:$A$611,0))),"")</f>
        <v>Naphthalene</v>
      </c>
      <c r="E1194" s="23">
        <v>0</v>
      </c>
      <c r="F1194" s="21">
        <v>0</v>
      </c>
      <c r="G1194" s="23" t="s">
        <v>1415</v>
      </c>
      <c r="H1194" s="21" t="s">
        <v>1415</v>
      </c>
      <c r="I1194" s="34">
        <v>2.9999999999999997E-4</v>
      </c>
      <c r="J1194" s="11">
        <f t="shared" si="43"/>
        <v>2.9999999999999997E-4</v>
      </c>
      <c r="K1194" s="6" t="s">
        <v>1416</v>
      </c>
      <c r="L1194" s="20" t="s">
        <v>1422</v>
      </c>
      <c r="M1194" s="7">
        <f>IF(ISBLANK($B1194),_xlfn.XLOOKUP($A1194,'2. TEUs &amp; Activities - EF'!$A$9:$A$190,'2. TEUs &amp; Activities - EF'!$J$9:$J$190),_xlfn.XLOOKUP($B1194,'2. TEUs &amp; Activities - EF'!$B$9:$B$190,'2. TEUs &amp; Activities - EF'!$J$9:$J$190))*'3. Pollutant Emissions - EF'!$I1194*IF(OR(ISBLANK($E1194),$G1194="Yes"),1,$E1194)*IF($H1194="Yes",1,(1-$F1194))</f>
        <v>6.5339294117647056E-3</v>
      </c>
      <c r="N1194" s="5">
        <f>IF(ISBLANK($B1194),_xlfn.XLOOKUP($A1194,'2. TEUs &amp; Activities - EF'!$A$9:$A$190,'2. TEUs &amp; Activities - EF'!$M$9:$M$190),_xlfn.XLOOKUP($B1194,'2. TEUs &amp; Activities - EF'!$B$9:$B$190,'2. TEUs &amp; Activities - EF'!$M$9:$M$190))*'3. Pollutant Emissions - EF'!$J1194*IF(OR(ISBLANK($E1194),$G1194="Yes"),1,$E1194)*IF($H1194="Yes",1,(1-$F1194))</f>
        <v>1.7901176470588234E-5</v>
      </c>
      <c r="O1194" s="130"/>
    </row>
    <row r="1195" spans="1:15" ht="15" x14ac:dyDescent="0.25">
      <c r="A1195" s="5" t="s">
        <v>1614</v>
      </c>
      <c r="B1195" s="7"/>
      <c r="C1195" s="13" t="s">
        <v>66</v>
      </c>
      <c r="D1195" s="19" t="str">
        <f>IFERROR(IF(C1195="No CAS","",INDEX('DEQ Pollutant List'!$B$7:$B$611,MATCH('3. Pollutant Emissions - EF'!C1195,'DEQ Pollutant List'!$A$7:$A$611,0))),"")</f>
        <v>Nickel and compounds</v>
      </c>
      <c r="E1195" s="23">
        <v>0</v>
      </c>
      <c r="F1195" s="21">
        <v>0</v>
      </c>
      <c r="G1195" s="23" t="s">
        <v>1415</v>
      </c>
      <c r="H1195" s="21" t="s">
        <v>1415</v>
      </c>
      <c r="I1195" s="34">
        <v>2.0999999999999999E-3</v>
      </c>
      <c r="J1195" s="11">
        <f t="shared" si="43"/>
        <v>2.0999999999999999E-3</v>
      </c>
      <c r="K1195" s="6" t="s">
        <v>1416</v>
      </c>
      <c r="L1195" s="20" t="s">
        <v>1422</v>
      </c>
      <c r="M1195" s="7">
        <f>IF(ISBLANK($B1195),_xlfn.XLOOKUP($A1195,'2. TEUs &amp; Activities - EF'!$A$9:$A$190,'2. TEUs &amp; Activities - EF'!$J$9:$J$190),_xlfn.XLOOKUP($B1195,'2. TEUs &amp; Activities - EF'!$B$9:$B$190,'2. TEUs &amp; Activities - EF'!$J$9:$J$190))*'3. Pollutant Emissions - EF'!$I1195*IF(OR(ISBLANK($E1195),$G1195="Yes"),1,$E1195)*IF($H1195="Yes",1,(1-$F1195))</f>
        <v>4.5737505882352938E-2</v>
      </c>
      <c r="N1195" s="5">
        <f>IF(ISBLANK($B1195),_xlfn.XLOOKUP($A1195,'2. TEUs &amp; Activities - EF'!$A$9:$A$190,'2. TEUs &amp; Activities - EF'!$M$9:$M$190),_xlfn.XLOOKUP($B1195,'2. TEUs &amp; Activities - EF'!$B$9:$B$190,'2. TEUs &amp; Activities - EF'!$M$9:$M$190))*'3. Pollutant Emissions - EF'!$J1195*IF(OR(ISBLANK($E1195),$G1195="Yes"),1,$E1195)*IF($H1195="Yes",1,(1-$F1195))</f>
        <v>1.2530823529411763E-4</v>
      </c>
      <c r="O1195" s="130"/>
    </row>
    <row r="1196" spans="1:15" ht="15" x14ac:dyDescent="0.25">
      <c r="A1196" s="5" t="s">
        <v>1614</v>
      </c>
      <c r="B1196" s="7"/>
      <c r="C1196" s="13">
        <v>401</v>
      </c>
      <c r="D1196" s="19" t="str">
        <f>IFERROR(IF(C1196="No CAS","",INDEX('DEQ Pollutant List'!$B$7:$B$611,MATCH('3. Pollutant Emissions - EF'!C1196,'DEQ Pollutant List'!$A$7:$A$611,0))),"")</f>
        <v>Polycyclic aromatic hydrocarbons (PAHs)</v>
      </c>
      <c r="E1196" s="23">
        <v>0</v>
      </c>
      <c r="F1196" s="21">
        <v>0</v>
      </c>
      <c r="G1196" s="23" t="s">
        <v>1415</v>
      </c>
      <c r="H1196" s="21" t="s">
        <v>1415</v>
      </c>
      <c r="I1196" s="34">
        <v>1E-4</v>
      </c>
      <c r="J1196" s="11">
        <f t="shared" si="43"/>
        <v>1E-4</v>
      </c>
      <c r="K1196" s="6" t="s">
        <v>1416</v>
      </c>
      <c r="L1196" s="20" t="s">
        <v>1422</v>
      </c>
      <c r="M1196" s="7">
        <f>IF(ISBLANK($B1196),_xlfn.XLOOKUP($A1196,'2. TEUs &amp; Activities - EF'!$A$9:$A$190,'2. TEUs &amp; Activities - EF'!$J$9:$J$190),_xlfn.XLOOKUP($B1196,'2. TEUs &amp; Activities - EF'!$B$9:$B$190,'2. TEUs &amp; Activities - EF'!$J$9:$J$190))*'3. Pollutant Emissions - EF'!$I1196*IF(OR(ISBLANK($E1196),$G1196="Yes"),1,$E1196)*IF($H1196="Yes",1,(1-$F1196))</f>
        <v>2.1779764705882354E-3</v>
      </c>
      <c r="N1196" s="5">
        <f>IF(ISBLANK($B1196),_xlfn.XLOOKUP($A1196,'2. TEUs &amp; Activities - EF'!$A$9:$A$190,'2. TEUs &amp; Activities - EF'!$M$9:$M$190),_xlfn.XLOOKUP($B1196,'2. TEUs &amp; Activities - EF'!$B$9:$B$190,'2. TEUs &amp; Activities - EF'!$M$9:$M$190))*'3. Pollutant Emissions - EF'!$J1196*IF(OR(ISBLANK($E1196),$G1196="Yes"),1,$E1196)*IF($H1196="Yes",1,(1-$F1196))</f>
        <v>5.9670588235294119E-6</v>
      </c>
      <c r="O1196" s="130"/>
    </row>
    <row r="1197" spans="1:15" ht="15" x14ac:dyDescent="0.25">
      <c r="A1197" s="5" t="s">
        <v>1614</v>
      </c>
      <c r="B1197" s="7"/>
      <c r="C1197" s="13" t="s">
        <v>67</v>
      </c>
      <c r="D1197" s="19" t="str">
        <f>IFERROR(IF(C1197="No CAS","",INDEX('DEQ Pollutant List'!$B$7:$B$611,MATCH('3. Pollutant Emissions - EF'!C1197,'DEQ Pollutant List'!$A$7:$A$611,0))),"")</f>
        <v>Selenium and compounds</v>
      </c>
      <c r="E1197" s="23">
        <v>0</v>
      </c>
      <c r="F1197" s="21">
        <v>0</v>
      </c>
      <c r="G1197" s="23" t="s">
        <v>1415</v>
      </c>
      <c r="H1197" s="21" t="s">
        <v>1415</v>
      </c>
      <c r="I1197" s="34">
        <v>2.4000000000000001E-5</v>
      </c>
      <c r="J1197" s="11">
        <f t="shared" si="43"/>
        <v>2.4000000000000001E-5</v>
      </c>
      <c r="K1197" s="6" t="s">
        <v>1416</v>
      </c>
      <c r="L1197" s="20" t="s">
        <v>1422</v>
      </c>
      <c r="M1197" s="7">
        <f>IF(ISBLANK($B1197),_xlfn.XLOOKUP($A1197,'2. TEUs &amp; Activities - EF'!$A$9:$A$190,'2. TEUs &amp; Activities - EF'!$J$9:$J$190),_xlfn.XLOOKUP($B1197,'2. TEUs &amp; Activities - EF'!$B$9:$B$190,'2. TEUs &amp; Activities - EF'!$J$9:$J$190))*'3. Pollutant Emissions - EF'!$I1197*IF(OR(ISBLANK($E1197),$G1197="Yes"),1,$E1197)*IF($H1197="Yes",1,(1-$F1197))</f>
        <v>5.2271435294117647E-4</v>
      </c>
      <c r="N1197" s="5">
        <f>IF(ISBLANK($B1197),_xlfn.XLOOKUP($A1197,'2. TEUs &amp; Activities - EF'!$A$9:$A$190,'2. TEUs &amp; Activities - EF'!$M$9:$M$190),_xlfn.XLOOKUP($B1197,'2. TEUs &amp; Activities - EF'!$B$9:$B$190,'2. TEUs &amp; Activities - EF'!$M$9:$M$190))*'3. Pollutant Emissions - EF'!$J1197*IF(OR(ISBLANK($E1197),$G1197="Yes"),1,$E1197)*IF($H1197="Yes",1,(1-$F1197))</f>
        <v>1.4320941176470588E-6</v>
      </c>
      <c r="O1197" s="130"/>
    </row>
    <row r="1198" spans="1:15" ht="15" x14ac:dyDescent="0.25">
      <c r="A1198" s="5" t="s">
        <v>1614</v>
      </c>
      <c r="B1198" s="7"/>
      <c r="C1198" s="13" t="s">
        <v>68</v>
      </c>
      <c r="D1198" s="19" t="str">
        <f>IFERROR(IF(C1198="No CAS","",INDEX('DEQ Pollutant List'!$B$7:$B$611,MATCH('3. Pollutant Emissions - EF'!C1198,'DEQ Pollutant List'!$A$7:$A$611,0))),"")</f>
        <v>Toluene</v>
      </c>
      <c r="E1198" s="23">
        <v>0</v>
      </c>
      <c r="F1198" s="21">
        <v>0</v>
      </c>
      <c r="G1198" s="23" t="s">
        <v>1415</v>
      </c>
      <c r="H1198" s="21" t="s">
        <v>1415</v>
      </c>
      <c r="I1198" s="34">
        <v>3.6600000000000001E-2</v>
      </c>
      <c r="J1198" s="11">
        <f t="shared" si="43"/>
        <v>3.6600000000000001E-2</v>
      </c>
      <c r="K1198" s="6" t="s">
        <v>1416</v>
      </c>
      <c r="L1198" s="20" t="s">
        <v>1422</v>
      </c>
      <c r="M1198" s="7">
        <f>IF(ISBLANK($B1198),_xlfn.XLOOKUP($A1198,'2. TEUs &amp; Activities - EF'!$A$9:$A$190,'2. TEUs &amp; Activities - EF'!$J$9:$J$190),_xlfn.XLOOKUP($B1198,'2. TEUs &amp; Activities - EF'!$B$9:$B$190,'2. TEUs &amp; Activities - EF'!$J$9:$J$190))*'3. Pollutant Emissions - EF'!$I1198*IF(OR(ISBLANK($E1198),$G1198="Yes"),1,$E1198)*IF($H1198="Yes",1,(1-$F1198))</f>
        <v>0.79713938823529418</v>
      </c>
      <c r="N1198" s="5">
        <f>IF(ISBLANK($B1198),_xlfn.XLOOKUP($A1198,'2. TEUs &amp; Activities - EF'!$A$9:$A$190,'2. TEUs &amp; Activities - EF'!$M$9:$M$190),_xlfn.XLOOKUP($B1198,'2. TEUs &amp; Activities - EF'!$B$9:$B$190,'2. TEUs &amp; Activities - EF'!$M$9:$M$190))*'3. Pollutant Emissions - EF'!$J1198*IF(OR(ISBLANK($E1198),$G1198="Yes"),1,$E1198)*IF($H1198="Yes",1,(1-$F1198))</f>
        <v>2.1839435294117647E-3</v>
      </c>
      <c r="O1198" s="130"/>
    </row>
    <row r="1199" spans="1:15" ht="15" x14ac:dyDescent="0.25">
      <c r="A1199" s="5" t="s">
        <v>1614</v>
      </c>
      <c r="B1199" s="7"/>
      <c r="C1199" s="13" t="s">
        <v>69</v>
      </c>
      <c r="D1199" s="19" t="str">
        <f>IFERROR(IF(C1199="No CAS","",INDEX('DEQ Pollutant List'!$B$7:$B$611,MATCH('3. Pollutant Emissions - EF'!C1199,'DEQ Pollutant List'!$A$7:$A$611,0))),"")</f>
        <v>Vanadium (fume or dust)</v>
      </c>
      <c r="E1199" s="23">
        <v>0</v>
      </c>
      <c r="F1199" s="21">
        <v>0</v>
      </c>
      <c r="G1199" s="23" t="s">
        <v>1415</v>
      </c>
      <c r="H1199" s="21" t="s">
        <v>1415</v>
      </c>
      <c r="I1199" s="34">
        <v>2.3E-3</v>
      </c>
      <c r="J1199" s="11">
        <f t="shared" si="43"/>
        <v>2.3E-3</v>
      </c>
      <c r="K1199" s="6" t="s">
        <v>1416</v>
      </c>
      <c r="L1199" s="20" t="s">
        <v>1422</v>
      </c>
      <c r="M1199" s="7">
        <f>IF(ISBLANK($B1199),_xlfn.XLOOKUP($A1199,'2. TEUs &amp; Activities - EF'!$A$9:$A$190,'2. TEUs &amp; Activities - EF'!$J$9:$J$190),_xlfn.XLOOKUP($B1199,'2. TEUs &amp; Activities - EF'!$B$9:$B$190,'2. TEUs &amp; Activities - EF'!$J$9:$J$190))*'3. Pollutant Emissions - EF'!$I1199*IF(OR(ISBLANK($E1199),$G1199="Yes"),1,$E1199)*IF($H1199="Yes",1,(1-$F1199))</f>
        <v>5.0093458823529412E-2</v>
      </c>
      <c r="N1199" s="5">
        <f>IF(ISBLANK($B1199),_xlfn.XLOOKUP($A1199,'2. TEUs &amp; Activities - EF'!$A$9:$A$190,'2. TEUs &amp; Activities - EF'!$M$9:$M$190),_xlfn.XLOOKUP($B1199,'2. TEUs &amp; Activities - EF'!$B$9:$B$190,'2. TEUs &amp; Activities - EF'!$M$9:$M$190))*'3. Pollutant Emissions - EF'!$J1199*IF(OR(ISBLANK($E1199),$G1199="Yes"),1,$E1199)*IF($H1199="Yes",1,(1-$F1199))</f>
        <v>1.3724235294117646E-4</v>
      </c>
      <c r="O1199" s="130"/>
    </row>
    <row r="1200" spans="1:15" ht="15" x14ac:dyDescent="0.25">
      <c r="A1200" s="5" t="s">
        <v>1614</v>
      </c>
      <c r="B1200" s="7"/>
      <c r="C1200" s="13" t="s">
        <v>70</v>
      </c>
      <c r="D1200" s="19" t="str">
        <f>IFERROR(IF(C1200="No CAS","",INDEX('DEQ Pollutant List'!$B$7:$B$611,MATCH('3. Pollutant Emissions - EF'!C1200,'DEQ Pollutant List'!$A$7:$A$611,0))),"")</f>
        <v>Xylene (mixture), including m-xylene, o-xylene, p-xylene</v>
      </c>
      <c r="E1200" s="23">
        <v>0</v>
      </c>
      <c r="F1200" s="21">
        <v>0</v>
      </c>
      <c r="G1200" s="23" t="s">
        <v>1415</v>
      </c>
      <c r="H1200" s="21" t="s">
        <v>1415</v>
      </c>
      <c r="I1200" s="34">
        <v>2.7199999999999998E-2</v>
      </c>
      <c r="J1200" s="11">
        <f t="shared" si="43"/>
        <v>2.7199999999999998E-2</v>
      </c>
      <c r="K1200" s="6" t="s">
        <v>1416</v>
      </c>
      <c r="L1200" s="20" t="s">
        <v>1422</v>
      </c>
      <c r="M1200" s="7">
        <f>IF(ISBLANK($B1200),_xlfn.XLOOKUP($A1200,'2. TEUs &amp; Activities - EF'!$A$9:$A$190,'2. TEUs &amp; Activities - EF'!$J$9:$J$190),_xlfn.XLOOKUP($B1200,'2. TEUs &amp; Activities - EF'!$B$9:$B$190,'2. TEUs &amp; Activities - EF'!$J$9:$J$190))*'3. Pollutant Emissions - EF'!$I1200*IF(OR(ISBLANK($E1200),$G1200="Yes"),1,$E1200)*IF($H1200="Yes",1,(1-$F1200))</f>
        <v>0.59240959999999998</v>
      </c>
      <c r="N1200" s="5">
        <f>IF(ISBLANK($B1200),_xlfn.XLOOKUP($A1200,'2. TEUs &amp; Activities - EF'!$A$9:$A$190,'2. TEUs &amp; Activities - EF'!$M$9:$M$190),_xlfn.XLOOKUP($B1200,'2. TEUs &amp; Activities - EF'!$B$9:$B$190,'2. TEUs &amp; Activities - EF'!$M$9:$M$190))*'3. Pollutant Emissions - EF'!$J1200*IF(OR(ISBLANK($E1200),$G1200="Yes"),1,$E1200)*IF($H1200="Yes",1,(1-$F1200))</f>
        <v>1.6230399999999999E-3</v>
      </c>
      <c r="O1200" s="130"/>
    </row>
    <row r="1201" spans="1:15" ht="15" x14ac:dyDescent="0.25">
      <c r="A1201" s="5" t="s">
        <v>1614</v>
      </c>
      <c r="B1201" s="7"/>
      <c r="C1201" s="13" t="s">
        <v>71</v>
      </c>
      <c r="D1201" s="19" t="str">
        <f>IFERROR(IF(C1201="No CAS","",INDEX('DEQ Pollutant List'!$B$7:$B$611,MATCH('3. Pollutant Emissions - EF'!C1201,'DEQ Pollutant List'!$A$7:$A$611,0))),"")</f>
        <v>Zinc and compounds</v>
      </c>
      <c r="E1201" s="23">
        <v>0</v>
      </c>
      <c r="F1201" s="21">
        <v>0</v>
      </c>
      <c r="G1201" s="23" t="s">
        <v>1415</v>
      </c>
      <c r="H1201" s="21" t="s">
        <v>1415</v>
      </c>
      <c r="I1201" s="34">
        <v>2.9000000000000001E-2</v>
      </c>
      <c r="J1201" s="11">
        <f t="shared" si="43"/>
        <v>2.9000000000000001E-2</v>
      </c>
      <c r="K1201" s="6" t="s">
        <v>1416</v>
      </c>
      <c r="L1201" s="20" t="s">
        <v>1422</v>
      </c>
      <c r="M1201" s="7">
        <f>IF(ISBLANK($B1201),_xlfn.XLOOKUP($A1201,'2. TEUs &amp; Activities - EF'!$A$9:$A$190,'2. TEUs &amp; Activities - EF'!$J$9:$J$190),_xlfn.XLOOKUP($B1201,'2. TEUs &amp; Activities - EF'!$B$9:$B$190,'2. TEUs &amp; Activities - EF'!$J$9:$J$190))*'3. Pollutant Emissions - EF'!$I1201*IF(OR(ISBLANK($E1201),$G1201="Yes"),1,$E1201)*IF($H1201="Yes",1,(1-$F1201))</f>
        <v>0.63161317647058823</v>
      </c>
      <c r="N1201" s="5">
        <f>IF(ISBLANK($B1201),_xlfn.XLOOKUP($A1201,'2. TEUs &amp; Activities - EF'!$A$9:$A$190,'2. TEUs &amp; Activities - EF'!$M$9:$M$190),_xlfn.XLOOKUP($B1201,'2. TEUs &amp; Activities - EF'!$B$9:$B$190,'2. TEUs &amp; Activities - EF'!$M$9:$M$190))*'3. Pollutant Emissions - EF'!$J1201*IF(OR(ISBLANK($E1201),$G1201="Yes"),1,$E1201)*IF($H1201="Yes",1,(1-$F1201))</f>
        <v>1.7304470588235294E-3</v>
      </c>
      <c r="O1201" s="130"/>
    </row>
    <row r="1202" spans="1:15" ht="15" x14ac:dyDescent="0.25">
      <c r="A1202" s="5"/>
      <c r="B1202" s="7"/>
      <c r="C1202" s="13"/>
      <c r="D1202" s="19" t="str">
        <f>IFERROR(IF(C1202="No CAS","",INDEX('DEQ Pollutant List'!$B$7:$B$611,MATCH('3. Pollutant Emissions - EF'!C1202,'DEQ Pollutant List'!$A$7:$A$611,0))),"")</f>
        <v/>
      </c>
      <c r="E1202" s="23"/>
      <c r="F1202" s="21"/>
      <c r="G1202" s="23"/>
      <c r="H1202" s="21"/>
      <c r="I1202" s="34"/>
      <c r="J1202" s="11"/>
      <c r="K1202" s="6"/>
      <c r="L1202" s="20"/>
      <c r="M1202" s="7">
        <f>IF(ISBLANK($B1202),_xlfn.XLOOKUP($A1202,'2. TEUs &amp; Activities - EF'!$A$9:$A$190,'2. TEUs &amp; Activities - EF'!$J$9:$J$190),_xlfn.XLOOKUP($B1202,'2. TEUs &amp; Activities - EF'!$B$9:$B$190,'2. TEUs &amp; Activities - EF'!$J$9:$J$190))*'3. Pollutant Emissions - EF'!$I1202*IF(OR(ISBLANK($E1202),$G1202="Yes"),1,$E1202)*IF($H1202="Yes",1,(1-$F1202))</f>
        <v>0</v>
      </c>
      <c r="N1202" s="5">
        <f>IF(ISBLANK($B1202),_xlfn.XLOOKUP($A1202,'2. TEUs &amp; Activities - EF'!$A$9:$A$190,'2. TEUs &amp; Activities - EF'!$M$9:$M$190),_xlfn.XLOOKUP($B1202,'2. TEUs &amp; Activities - EF'!$B$9:$B$190,'2. TEUs &amp; Activities - EF'!$M$9:$M$190))*'3. Pollutant Emissions - EF'!$J1202*IF(OR(ISBLANK($E1202),$G1202="Yes"),1,$E1202)*IF($H1202="Yes",1,(1-$F1202))</f>
        <v>0</v>
      </c>
      <c r="O1202" s="130"/>
    </row>
    <row r="1203" spans="1:15" ht="15" x14ac:dyDescent="0.25">
      <c r="A1203" s="5" t="s">
        <v>1615</v>
      </c>
      <c r="B1203" s="7"/>
      <c r="C1203" s="13" t="s">
        <v>48</v>
      </c>
      <c r="D1203" s="19" t="str">
        <f>IFERROR(IF(C1203="No CAS","",INDEX('DEQ Pollutant List'!$B$7:$B$611,MATCH('3. Pollutant Emissions - EF'!C1203,'DEQ Pollutant List'!$A$7:$A$611,0))),"")</f>
        <v>Benzo[a]pyrene</v>
      </c>
      <c r="E1203" s="23">
        <v>0</v>
      </c>
      <c r="F1203" s="21">
        <v>0</v>
      </c>
      <c r="G1203" s="23" t="s">
        <v>1415</v>
      </c>
      <c r="H1203" s="21" t="s">
        <v>1415</v>
      </c>
      <c r="I1203" s="34">
        <v>1.1999999999999999E-6</v>
      </c>
      <c r="J1203" s="11">
        <f t="shared" ref="J1203:J1229" si="44">I1203</f>
        <v>1.1999999999999999E-6</v>
      </c>
      <c r="K1203" s="6" t="s">
        <v>1416</v>
      </c>
      <c r="L1203" s="20" t="s">
        <v>1422</v>
      </c>
      <c r="M1203" s="7">
        <f>IF(ISBLANK($B1203),_xlfn.XLOOKUP($A1203,'2. TEUs &amp; Activities - EF'!$A$9:$A$190,'2. TEUs &amp; Activities - EF'!$J$9:$J$190),_xlfn.XLOOKUP($B1203,'2. TEUs &amp; Activities - EF'!$B$9:$B$190,'2. TEUs &amp; Activities - EF'!$J$9:$J$190))*'3. Pollutant Emissions - EF'!$I1203*IF(OR(ISBLANK($E1203),$G1203="Yes"),1,$E1203)*IF($H1203="Yes",1,(1-$F1203))</f>
        <v>2.1425929411764705E-5</v>
      </c>
      <c r="N1203" s="5">
        <f>IF(ISBLANK($B1203),_xlfn.XLOOKUP($A1203,'2. TEUs &amp; Activities - EF'!$A$9:$A$190,'2. TEUs &amp; Activities - EF'!$M$9:$M$190),_xlfn.XLOOKUP($B1203,'2. TEUs &amp; Activities - EF'!$B$9:$B$190,'2. TEUs &amp; Activities - EF'!$M$9:$M$190))*'3. Pollutant Emissions - EF'!$J1203*IF(OR(ISBLANK($E1203),$G1203="Yes"),1,$E1203)*IF($H1203="Yes",1,(1-$F1203))</f>
        <v>5.8701176470588232E-8</v>
      </c>
      <c r="O1203" s="130"/>
    </row>
    <row r="1204" spans="1:15" ht="15" x14ac:dyDescent="0.25">
      <c r="A1204" s="5" t="s">
        <v>1615</v>
      </c>
      <c r="B1204" s="7"/>
      <c r="C1204" s="13" t="s">
        <v>50</v>
      </c>
      <c r="D1204" s="19" t="str">
        <f>IFERROR(IF(C1204="No CAS","",INDEX('DEQ Pollutant List'!$B$7:$B$611,MATCH('3. Pollutant Emissions - EF'!C1204,'DEQ Pollutant List'!$A$7:$A$611,0))),"")</f>
        <v>Acetaldehyde</v>
      </c>
      <c r="E1204" s="23">
        <v>0</v>
      </c>
      <c r="F1204" s="21">
        <v>0</v>
      </c>
      <c r="G1204" s="23" t="s">
        <v>1415</v>
      </c>
      <c r="H1204" s="21" t="s">
        <v>1415</v>
      </c>
      <c r="I1204" s="34">
        <v>4.3E-3</v>
      </c>
      <c r="J1204" s="11">
        <f t="shared" si="44"/>
        <v>4.3E-3</v>
      </c>
      <c r="K1204" s="6" t="s">
        <v>1416</v>
      </c>
      <c r="L1204" s="20" t="s">
        <v>1422</v>
      </c>
      <c r="M1204" s="7">
        <f>IF(ISBLANK($B1204),_xlfn.XLOOKUP($A1204,'2. TEUs &amp; Activities - EF'!$A$9:$A$190,'2. TEUs &amp; Activities - EF'!$J$9:$J$190),_xlfn.XLOOKUP($B1204,'2. TEUs &amp; Activities - EF'!$B$9:$B$190,'2. TEUs &amp; Activities - EF'!$J$9:$J$190))*'3. Pollutant Emissions - EF'!$I1204*IF(OR(ISBLANK($E1204),$G1204="Yes"),1,$E1204)*IF($H1204="Yes",1,(1-$F1204))</f>
        <v>7.6776247058823535E-2</v>
      </c>
      <c r="N1204" s="5">
        <f>IF(ISBLANK($B1204),_xlfn.XLOOKUP($A1204,'2. TEUs &amp; Activities - EF'!$A$9:$A$190,'2. TEUs &amp; Activities - EF'!$M$9:$M$190),_xlfn.XLOOKUP($B1204,'2. TEUs &amp; Activities - EF'!$B$9:$B$190,'2. TEUs &amp; Activities - EF'!$M$9:$M$190))*'3. Pollutant Emissions - EF'!$J1204*IF(OR(ISBLANK($E1204),$G1204="Yes"),1,$E1204)*IF($H1204="Yes",1,(1-$F1204))</f>
        <v>2.1034588235294119E-4</v>
      </c>
      <c r="O1204" s="130"/>
    </row>
    <row r="1205" spans="1:15" ht="15" x14ac:dyDescent="0.25">
      <c r="A1205" s="5" t="s">
        <v>1615</v>
      </c>
      <c r="B1205" s="7"/>
      <c r="C1205" s="13" t="s">
        <v>51</v>
      </c>
      <c r="D1205" s="19" t="str">
        <f>IFERROR(IF(C1205="No CAS","",INDEX('DEQ Pollutant List'!$B$7:$B$611,MATCH('3. Pollutant Emissions - EF'!C1205,'DEQ Pollutant List'!$A$7:$A$611,0))),"")</f>
        <v>Acrolein</v>
      </c>
      <c r="E1205" s="23">
        <v>0</v>
      </c>
      <c r="F1205" s="21">
        <v>0</v>
      </c>
      <c r="G1205" s="23" t="s">
        <v>1415</v>
      </c>
      <c r="H1205" s="21" t="s">
        <v>1415</v>
      </c>
      <c r="I1205" s="34">
        <v>2.7000000000000001E-3</v>
      </c>
      <c r="J1205" s="11">
        <f t="shared" si="44"/>
        <v>2.7000000000000001E-3</v>
      </c>
      <c r="K1205" s="6" t="s">
        <v>1416</v>
      </c>
      <c r="L1205" s="20" t="s">
        <v>1422</v>
      </c>
      <c r="M1205" s="7">
        <f>IF(ISBLANK($B1205),_xlfn.XLOOKUP($A1205,'2. TEUs &amp; Activities - EF'!$A$9:$A$190,'2. TEUs &amp; Activities - EF'!$J$9:$J$190),_xlfn.XLOOKUP($B1205,'2. TEUs &amp; Activities - EF'!$B$9:$B$190,'2. TEUs &amp; Activities - EF'!$J$9:$J$190))*'3. Pollutant Emissions - EF'!$I1205*IF(OR(ISBLANK($E1205),$G1205="Yes"),1,$E1205)*IF($H1205="Yes",1,(1-$F1205))</f>
        <v>4.8208341176470597E-2</v>
      </c>
      <c r="N1205" s="5">
        <f>IF(ISBLANK($B1205),_xlfn.XLOOKUP($A1205,'2. TEUs &amp; Activities - EF'!$A$9:$A$190,'2. TEUs &amp; Activities - EF'!$M$9:$M$190),_xlfn.XLOOKUP($B1205,'2. TEUs &amp; Activities - EF'!$B$9:$B$190,'2. TEUs &amp; Activities - EF'!$M$9:$M$190))*'3. Pollutant Emissions - EF'!$J1205*IF(OR(ISBLANK($E1205),$G1205="Yes"),1,$E1205)*IF($H1205="Yes",1,(1-$F1205))</f>
        <v>1.3207764705882354E-4</v>
      </c>
      <c r="O1205" s="130"/>
    </row>
    <row r="1206" spans="1:15" ht="15" x14ac:dyDescent="0.25">
      <c r="A1206" s="5" t="s">
        <v>1615</v>
      </c>
      <c r="B1206" s="7"/>
      <c r="C1206" s="13" t="s">
        <v>52</v>
      </c>
      <c r="D1206" s="19" t="str">
        <f>IFERROR(IF(C1206="No CAS","",INDEX('DEQ Pollutant List'!$B$7:$B$611,MATCH('3. Pollutant Emissions - EF'!C1206,'DEQ Pollutant List'!$A$7:$A$611,0))),"")</f>
        <v>Ammonia</v>
      </c>
      <c r="E1206" s="23">
        <v>0</v>
      </c>
      <c r="F1206" s="21">
        <v>0</v>
      </c>
      <c r="G1206" s="23" t="s">
        <v>1415</v>
      </c>
      <c r="H1206" s="21" t="s">
        <v>1415</v>
      </c>
      <c r="I1206" s="34">
        <v>3.2</v>
      </c>
      <c r="J1206" s="11">
        <f t="shared" si="44"/>
        <v>3.2</v>
      </c>
      <c r="K1206" s="6" t="s">
        <v>1416</v>
      </c>
      <c r="L1206" s="20" t="s">
        <v>1586</v>
      </c>
      <c r="M1206" s="7">
        <f>IF(ISBLANK($B1206),_xlfn.XLOOKUP($A1206,'2. TEUs &amp; Activities - EF'!$A$9:$A$190,'2. TEUs &amp; Activities - EF'!$J$9:$J$190),_xlfn.XLOOKUP($B1206,'2. TEUs &amp; Activities - EF'!$B$9:$B$190,'2. TEUs &amp; Activities - EF'!$J$9:$J$190))*'3. Pollutant Emissions - EF'!$I1206*IF(OR(ISBLANK($E1206),$G1206="Yes"),1,$E1206)*IF($H1206="Yes",1,(1-$F1206))</f>
        <v>57.135811764705892</v>
      </c>
      <c r="N1206" s="5">
        <f>IF(ISBLANK($B1206),_xlfn.XLOOKUP($A1206,'2. TEUs &amp; Activities - EF'!$A$9:$A$190,'2. TEUs &amp; Activities - EF'!$M$9:$M$190),_xlfn.XLOOKUP($B1206,'2. TEUs &amp; Activities - EF'!$B$9:$B$190,'2. TEUs &amp; Activities - EF'!$M$9:$M$190))*'3. Pollutant Emissions - EF'!$J1206*IF(OR(ISBLANK($E1206),$G1206="Yes"),1,$E1206)*IF($H1206="Yes",1,(1-$F1206))</f>
        <v>0.1565364705882353</v>
      </c>
      <c r="O1206" s="130"/>
    </row>
    <row r="1207" spans="1:15" ht="15" x14ac:dyDescent="0.25">
      <c r="A1207" s="5" t="s">
        <v>1615</v>
      </c>
      <c r="B1207" s="7"/>
      <c r="C1207" s="13" t="s">
        <v>53</v>
      </c>
      <c r="D1207" s="19" t="str">
        <f>IFERROR(IF(C1207="No CAS","",INDEX('DEQ Pollutant List'!$B$7:$B$611,MATCH('3. Pollutant Emissions - EF'!C1207,'DEQ Pollutant List'!$A$7:$A$611,0))),"")</f>
        <v>Arsenic and compounds</v>
      </c>
      <c r="E1207" s="23">
        <v>0</v>
      </c>
      <c r="F1207" s="21">
        <v>0</v>
      </c>
      <c r="G1207" s="23" t="s">
        <v>1415</v>
      </c>
      <c r="H1207" s="21" t="s">
        <v>1415</v>
      </c>
      <c r="I1207" s="34">
        <v>2.0000000000000001E-4</v>
      </c>
      <c r="J1207" s="11">
        <f t="shared" si="44"/>
        <v>2.0000000000000001E-4</v>
      </c>
      <c r="K1207" s="6" t="s">
        <v>1416</v>
      </c>
      <c r="L1207" s="20" t="s">
        <v>1422</v>
      </c>
      <c r="M1207" s="7">
        <f>IF(ISBLANK($B1207),_xlfn.XLOOKUP($A1207,'2. TEUs &amp; Activities - EF'!$A$9:$A$190,'2. TEUs &amp; Activities - EF'!$J$9:$J$190),_xlfn.XLOOKUP($B1207,'2. TEUs &amp; Activities - EF'!$B$9:$B$190,'2. TEUs &amp; Activities - EF'!$J$9:$J$190))*'3. Pollutant Emissions - EF'!$I1207*IF(OR(ISBLANK($E1207),$G1207="Yes"),1,$E1207)*IF($H1207="Yes",1,(1-$F1207))</f>
        <v>3.5709882352941182E-3</v>
      </c>
      <c r="N1207" s="5">
        <f>IF(ISBLANK($B1207),_xlfn.XLOOKUP($A1207,'2. TEUs &amp; Activities - EF'!$A$9:$A$190,'2. TEUs &amp; Activities - EF'!$M$9:$M$190),_xlfn.XLOOKUP($B1207,'2. TEUs &amp; Activities - EF'!$B$9:$B$190,'2. TEUs &amp; Activities - EF'!$M$9:$M$190))*'3. Pollutant Emissions - EF'!$J1207*IF(OR(ISBLANK($E1207),$G1207="Yes"),1,$E1207)*IF($H1207="Yes",1,(1-$F1207))</f>
        <v>9.7835294117647061E-6</v>
      </c>
      <c r="O1207" s="130"/>
    </row>
    <row r="1208" spans="1:15" ht="15" x14ac:dyDescent="0.25">
      <c r="A1208" s="5" t="s">
        <v>1615</v>
      </c>
      <c r="B1208" s="7"/>
      <c r="C1208" s="13" t="s">
        <v>54</v>
      </c>
      <c r="D1208" s="19" t="str">
        <f>IFERROR(IF(C1208="No CAS","",INDEX('DEQ Pollutant List'!$B$7:$B$611,MATCH('3. Pollutant Emissions - EF'!C1208,'DEQ Pollutant List'!$A$7:$A$611,0))),"")</f>
        <v>Barium and compounds</v>
      </c>
      <c r="E1208" s="23">
        <v>0</v>
      </c>
      <c r="F1208" s="21">
        <v>0</v>
      </c>
      <c r="G1208" s="23" t="s">
        <v>1415</v>
      </c>
      <c r="H1208" s="21" t="s">
        <v>1415</v>
      </c>
      <c r="I1208" s="34">
        <v>4.4000000000000003E-3</v>
      </c>
      <c r="J1208" s="11">
        <f t="shared" si="44"/>
        <v>4.4000000000000003E-3</v>
      </c>
      <c r="K1208" s="6" t="s">
        <v>1416</v>
      </c>
      <c r="L1208" s="20" t="s">
        <v>1422</v>
      </c>
      <c r="M1208" s="7">
        <f>IF(ISBLANK($B1208),_xlfn.XLOOKUP($A1208,'2. TEUs &amp; Activities - EF'!$A$9:$A$190,'2. TEUs &amp; Activities - EF'!$J$9:$J$190),_xlfn.XLOOKUP($B1208,'2. TEUs &amp; Activities - EF'!$B$9:$B$190,'2. TEUs &amp; Activities - EF'!$J$9:$J$190))*'3. Pollutant Emissions - EF'!$I1208*IF(OR(ISBLANK($E1208),$G1208="Yes"),1,$E1208)*IF($H1208="Yes",1,(1-$F1208))</f>
        <v>7.8561741176470593E-2</v>
      </c>
      <c r="N1208" s="5">
        <f>IF(ISBLANK($B1208),_xlfn.XLOOKUP($A1208,'2. TEUs &amp; Activities - EF'!$A$9:$A$190,'2. TEUs &amp; Activities - EF'!$M$9:$M$190),_xlfn.XLOOKUP($B1208,'2. TEUs &amp; Activities - EF'!$B$9:$B$190,'2. TEUs &amp; Activities - EF'!$M$9:$M$190))*'3. Pollutant Emissions - EF'!$J1208*IF(OR(ISBLANK($E1208),$G1208="Yes"),1,$E1208)*IF($H1208="Yes",1,(1-$F1208))</f>
        <v>2.1523764705882355E-4</v>
      </c>
      <c r="O1208" s="130"/>
    </row>
    <row r="1209" spans="1:15" ht="15" x14ac:dyDescent="0.25">
      <c r="A1209" s="5" t="s">
        <v>1615</v>
      </c>
      <c r="B1209" s="7"/>
      <c r="C1209" s="13" t="s">
        <v>46</v>
      </c>
      <c r="D1209" s="19" t="str">
        <f>IFERROR(IF(C1209="No CAS","",INDEX('DEQ Pollutant List'!$B$7:$B$611,MATCH('3. Pollutant Emissions - EF'!C1209,'DEQ Pollutant List'!$A$7:$A$611,0))),"")</f>
        <v>Benzene</v>
      </c>
      <c r="E1209" s="23">
        <v>0</v>
      </c>
      <c r="F1209" s="21">
        <v>0</v>
      </c>
      <c r="G1209" s="23" t="s">
        <v>1415</v>
      </c>
      <c r="H1209" s="21" t="s">
        <v>1415</v>
      </c>
      <c r="I1209" s="34">
        <v>8.0000000000000002E-3</v>
      </c>
      <c r="J1209" s="11">
        <f t="shared" si="44"/>
        <v>8.0000000000000002E-3</v>
      </c>
      <c r="K1209" s="6" t="s">
        <v>1416</v>
      </c>
      <c r="L1209" s="20" t="s">
        <v>1422</v>
      </c>
      <c r="M1209" s="7">
        <f>IF(ISBLANK($B1209),_xlfn.XLOOKUP($A1209,'2. TEUs &amp; Activities - EF'!$A$9:$A$190,'2. TEUs &amp; Activities - EF'!$J$9:$J$190),_xlfn.XLOOKUP($B1209,'2. TEUs &amp; Activities - EF'!$B$9:$B$190,'2. TEUs &amp; Activities - EF'!$J$9:$J$190))*'3. Pollutant Emissions - EF'!$I1209*IF(OR(ISBLANK($E1209),$G1209="Yes"),1,$E1209)*IF($H1209="Yes",1,(1-$F1209))</f>
        <v>0.14283952941176473</v>
      </c>
      <c r="N1209" s="5">
        <f>IF(ISBLANK($B1209),_xlfn.XLOOKUP($A1209,'2. TEUs &amp; Activities - EF'!$A$9:$A$190,'2. TEUs &amp; Activities - EF'!$M$9:$M$190),_xlfn.XLOOKUP($B1209,'2. TEUs &amp; Activities - EF'!$B$9:$B$190,'2. TEUs &amp; Activities - EF'!$M$9:$M$190))*'3. Pollutant Emissions - EF'!$J1209*IF(OR(ISBLANK($E1209),$G1209="Yes"),1,$E1209)*IF($H1209="Yes",1,(1-$F1209))</f>
        <v>3.9134117647058827E-4</v>
      </c>
      <c r="O1209" s="130"/>
    </row>
    <row r="1210" spans="1:15" ht="15" x14ac:dyDescent="0.25">
      <c r="A1210" s="5" t="s">
        <v>1615</v>
      </c>
      <c r="B1210" s="7"/>
      <c r="C1210" s="13" t="s">
        <v>55</v>
      </c>
      <c r="D1210" s="19" t="str">
        <f>IFERROR(IF(C1210="No CAS","",INDEX('DEQ Pollutant List'!$B$7:$B$611,MATCH('3. Pollutant Emissions - EF'!C1210,'DEQ Pollutant List'!$A$7:$A$611,0))),"")</f>
        <v>Beryllium and compounds</v>
      </c>
      <c r="E1210" s="23">
        <v>0</v>
      </c>
      <c r="F1210" s="21">
        <v>0</v>
      </c>
      <c r="G1210" s="23" t="s">
        <v>1415</v>
      </c>
      <c r="H1210" s="21" t="s">
        <v>1415</v>
      </c>
      <c r="I1210" s="34">
        <v>1.2E-5</v>
      </c>
      <c r="J1210" s="11">
        <f t="shared" si="44"/>
        <v>1.2E-5</v>
      </c>
      <c r="K1210" s="6" t="s">
        <v>1416</v>
      </c>
      <c r="L1210" s="20" t="s">
        <v>1422</v>
      </c>
      <c r="M1210" s="7">
        <f>IF(ISBLANK($B1210),_xlfn.XLOOKUP($A1210,'2. TEUs &amp; Activities - EF'!$A$9:$A$190,'2. TEUs &amp; Activities - EF'!$J$9:$J$190),_xlfn.XLOOKUP($B1210,'2. TEUs &amp; Activities - EF'!$B$9:$B$190,'2. TEUs &amp; Activities - EF'!$J$9:$J$190))*'3. Pollutant Emissions - EF'!$I1210*IF(OR(ISBLANK($E1210),$G1210="Yes"),1,$E1210)*IF($H1210="Yes",1,(1-$F1210))</f>
        <v>2.1425929411764708E-4</v>
      </c>
      <c r="N1210" s="5">
        <f>IF(ISBLANK($B1210),_xlfn.XLOOKUP($A1210,'2. TEUs &amp; Activities - EF'!$A$9:$A$190,'2. TEUs &amp; Activities - EF'!$M$9:$M$190),_xlfn.XLOOKUP($B1210,'2. TEUs &amp; Activities - EF'!$B$9:$B$190,'2. TEUs &amp; Activities - EF'!$M$9:$M$190))*'3. Pollutant Emissions - EF'!$J1210*IF(OR(ISBLANK($E1210),$G1210="Yes"),1,$E1210)*IF($H1210="Yes",1,(1-$F1210))</f>
        <v>5.8701176470588238E-7</v>
      </c>
      <c r="O1210" s="130"/>
    </row>
    <row r="1211" spans="1:15" ht="15" x14ac:dyDescent="0.25">
      <c r="A1211" s="5" t="s">
        <v>1615</v>
      </c>
      <c r="B1211" s="7"/>
      <c r="C1211" s="13" t="s">
        <v>56</v>
      </c>
      <c r="D1211" s="19" t="str">
        <f>IFERROR(IF(C1211="No CAS","",INDEX('DEQ Pollutant List'!$B$7:$B$611,MATCH('3. Pollutant Emissions - EF'!C1211,'DEQ Pollutant List'!$A$7:$A$611,0))),"")</f>
        <v>Cadmium and compounds</v>
      </c>
      <c r="E1211" s="23">
        <v>0</v>
      </c>
      <c r="F1211" s="21">
        <v>0</v>
      </c>
      <c r="G1211" s="23" t="s">
        <v>1415</v>
      </c>
      <c r="H1211" s="21" t="s">
        <v>1415</v>
      </c>
      <c r="I1211" s="34">
        <v>1.1000000000000001E-3</v>
      </c>
      <c r="J1211" s="11">
        <f t="shared" si="44"/>
        <v>1.1000000000000001E-3</v>
      </c>
      <c r="K1211" s="6" t="s">
        <v>1416</v>
      </c>
      <c r="L1211" s="20" t="s">
        <v>1422</v>
      </c>
      <c r="M1211" s="7">
        <f>IF(ISBLANK($B1211),_xlfn.XLOOKUP($A1211,'2. TEUs &amp; Activities - EF'!$A$9:$A$190,'2. TEUs &amp; Activities - EF'!$J$9:$J$190),_xlfn.XLOOKUP($B1211,'2. TEUs &amp; Activities - EF'!$B$9:$B$190,'2. TEUs &amp; Activities - EF'!$J$9:$J$190))*'3. Pollutant Emissions - EF'!$I1211*IF(OR(ISBLANK($E1211),$G1211="Yes"),1,$E1211)*IF($H1211="Yes",1,(1-$F1211))</f>
        <v>1.9640435294117648E-2</v>
      </c>
      <c r="N1211" s="5">
        <f>IF(ISBLANK($B1211),_xlfn.XLOOKUP($A1211,'2. TEUs &amp; Activities - EF'!$A$9:$A$190,'2. TEUs &amp; Activities - EF'!$M$9:$M$190),_xlfn.XLOOKUP($B1211,'2. TEUs &amp; Activities - EF'!$B$9:$B$190,'2. TEUs &amp; Activities - EF'!$M$9:$M$190))*'3. Pollutant Emissions - EF'!$J1211*IF(OR(ISBLANK($E1211),$G1211="Yes"),1,$E1211)*IF($H1211="Yes",1,(1-$F1211))</f>
        <v>5.3809411764705889E-5</v>
      </c>
      <c r="O1211" s="130"/>
    </row>
    <row r="1212" spans="1:15" ht="15" x14ac:dyDescent="0.25">
      <c r="A1212" s="5" t="s">
        <v>1615</v>
      </c>
      <c r="B1212" s="7"/>
      <c r="C1212" s="13" t="s">
        <v>57</v>
      </c>
      <c r="D1212" s="19" t="str">
        <f>IFERROR(IF(C1212="No CAS","",INDEX('DEQ Pollutant List'!$B$7:$B$611,MATCH('3. Pollutant Emissions - EF'!C1212,'DEQ Pollutant List'!$A$7:$A$611,0))),"")</f>
        <v>Chromium VI, chromate and dichromate particulate</v>
      </c>
      <c r="E1212" s="23">
        <v>0</v>
      </c>
      <c r="F1212" s="21">
        <v>0</v>
      </c>
      <c r="G1212" s="23" t="s">
        <v>1415</v>
      </c>
      <c r="H1212" s="21" t="s">
        <v>1415</v>
      </c>
      <c r="I1212" s="34">
        <v>1.4E-3</v>
      </c>
      <c r="J1212" s="11">
        <f t="shared" si="44"/>
        <v>1.4E-3</v>
      </c>
      <c r="K1212" s="6" t="s">
        <v>1416</v>
      </c>
      <c r="L1212" s="20" t="s">
        <v>1422</v>
      </c>
      <c r="M1212" s="7">
        <f>IF(ISBLANK($B1212),_xlfn.XLOOKUP($A1212,'2. TEUs &amp; Activities - EF'!$A$9:$A$190,'2. TEUs &amp; Activities - EF'!$J$9:$J$190),_xlfn.XLOOKUP($B1212,'2. TEUs &amp; Activities - EF'!$B$9:$B$190,'2. TEUs &amp; Activities - EF'!$J$9:$J$190))*'3. Pollutant Emissions - EF'!$I1212*IF(OR(ISBLANK($E1212),$G1212="Yes"),1,$E1212)*IF($H1212="Yes",1,(1-$F1212))</f>
        <v>2.4996917647058824E-2</v>
      </c>
      <c r="N1212" s="5">
        <f>IF(ISBLANK($B1212),_xlfn.XLOOKUP($A1212,'2. TEUs &amp; Activities - EF'!$A$9:$A$190,'2. TEUs &amp; Activities - EF'!$M$9:$M$190),_xlfn.XLOOKUP($B1212,'2. TEUs &amp; Activities - EF'!$B$9:$B$190,'2. TEUs &amp; Activities - EF'!$M$9:$M$190))*'3. Pollutant Emissions - EF'!$J1212*IF(OR(ISBLANK($E1212),$G1212="Yes"),1,$E1212)*IF($H1212="Yes",1,(1-$F1212))</f>
        <v>6.8484705882352939E-5</v>
      </c>
      <c r="O1212" s="130"/>
    </row>
    <row r="1213" spans="1:15" ht="15" x14ac:dyDescent="0.25">
      <c r="A1213" s="5" t="s">
        <v>1615</v>
      </c>
      <c r="B1213" s="7"/>
      <c r="C1213" s="13" t="s">
        <v>58</v>
      </c>
      <c r="D1213" s="19" t="str">
        <f>IFERROR(IF(C1213="No CAS","",INDEX('DEQ Pollutant List'!$B$7:$B$611,MATCH('3. Pollutant Emissions - EF'!C1213,'DEQ Pollutant List'!$A$7:$A$611,0))),"")</f>
        <v>Cobalt and compounds</v>
      </c>
      <c r="E1213" s="23">
        <v>0</v>
      </c>
      <c r="F1213" s="21">
        <v>0</v>
      </c>
      <c r="G1213" s="23" t="s">
        <v>1415</v>
      </c>
      <c r="H1213" s="21" t="s">
        <v>1415</v>
      </c>
      <c r="I1213" s="34">
        <v>8.3999999999999995E-5</v>
      </c>
      <c r="J1213" s="11">
        <f t="shared" si="44"/>
        <v>8.3999999999999995E-5</v>
      </c>
      <c r="K1213" s="6" t="s">
        <v>1416</v>
      </c>
      <c r="L1213" s="20" t="s">
        <v>1422</v>
      </c>
      <c r="M1213" s="7">
        <f>IF(ISBLANK($B1213),_xlfn.XLOOKUP($A1213,'2. TEUs &amp; Activities - EF'!$A$9:$A$190,'2. TEUs &amp; Activities - EF'!$J$9:$J$190),_xlfn.XLOOKUP($B1213,'2. TEUs &amp; Activities - EF'!$B$9:$B$190,'2. TEUs &amp; Activities - EF'!$J$9:$J$190))*'3. Pollutant Emissions - EF'!$I1213*IF(OR(ISBLANK($E1213),$G1213="Yes"),1,$E1213)*IF($H1213="Yes",1,(1-$F1213))</f>
        <v>1.4998150588235294E-3</v>
      </c>
      <c r="N1213" s="5">
        <f>IF(ISBLANK($B1213),_xlfn.XLOOKUP($A1213,'2. TEUs &amp; Activities - EF'!$A$9:$A$190,'2. TEUs &amp; Activities - EF'!$M$9:$M$190),_xlfn.XLOOKUP($B1213,'2. TEUs &amp; Activities - EF'!$B$9:$B$190,'2. TEUs &amp; Activities - EF'!$M$9:$M$190))*'3. Pollutant Emissions - EF'!$J1213*IF(OR(ISBLANK($E1213),$G1213="Yes"),1,$E1213)*IF($H1213="Yes",1,(1-$F1213))</f>
        <v>4.1090823529411761E-6</v>
      </c>
      <c r="O1213" s="130"/>
    </row>
    <row r="1214" spans="1:15" ht="15" x14ac:dyDescent="0.25">
      <c r="A1214" s="5" t="s">
        <v>1615</v>
      </c>
      <c r="B1214" s="7"/>
      <c r="C1214" s="13" t="s">
        <v>59</v>
      </c>
      <c r="D1214" s="19" t="str">
        <f>IFERROR(IF(C1214="No CAS","",INDEX('DEQ Pollutant List'!$B$7:$B$611,MATCH('3. Pollutant Emissions - EF'!C1214,'DEQ Pollutant List'!$A$7:$A$611,0))),"")</f>
        <v>Copper and compounds</v>
      </c>
      <c r="E1214" s="23">
        <v>0</v>
      </c>
      <c r="F1214" s="21">
        <v>0</v>
      </c>
      <c r="G1214" s="23" t="s">
        <v>1415</v>
      </c>
      <c r="H1214" s="21" t="s">
        <v>1415</v>
      </c>
      <c r="I1214" s="34">
        <v>8.4999999999999995E-4</v>
      </c>
      <c r="J1214" s="11">
        <f t="shared" si="44"/>
        <v>8.4999999999999995E-4</v>
      </c>
      <c r="K1214" s="6" t="s">
        <v>1416</v>
      </c>
      <c r="L1214" s="20" t="s">
        <v>1422</v>
      </c>
      <c r="M1214" s="7">
        <f>IF(ISBLANK($B1214),_xlfn.XLOOKUP($A1214,'2. TEUs &amp; Activities - EF'!$A$9:$A$190,'2. TEUs &amp; Activities - EF'!$J$9:$J$190),_xlfn.XLOOKUP($B1214,'2. TEUs &amp; Activities - EF'!$B$9:$B$190,'2. TEUs &amp; Activities - EF'!$J$9:$J$190))*'3. Pollutant Emissions - EF'!$I1214*IF(OR(ISBLANK($E1214),$G1214="Yes"),1,$E1214)*IF($H1214="Yes",1,(1-$F1214))</f>
        <v>1.51767E-2</v>
      </c>
      <c r="N1214" s="5">
        <f>IF(ISBLANK($B1214),_xlfn.XLOOKUP($A1214,'2. TEUs &amp; Activities - EF'!$A$9:$A$190,'2. TEUs &amp; Activities - EF'!$M$9:$M$190),_xlfn.XLOOKUP($B1214,'2. TEUs &amp; Activities - EF'!$B$9:$B$190,'2. TEUs &amp; Activities - EF'!$M$9:$M$190))*'3. Pollutant Emissions - EF'!$J1214*IF(OR(ISBLANK($E1214),$G1214="Yes"),1,$E1214)*IF($H1214="Yes",1,(1-$F1214))</f>
        <v>4.1579999999999998E-5</v>
      </c>
      <c r="O1214" s="130"/>
    </row>
    <row r="1215" spans="1:15" ht="15" x14ac:dyDescent="0.25">
      <c r="A1215" s="5" t="s">
        <v>1615</v>
      </c>
      <c r="B1215" s="7"/>
      <c r="C1215" s="13" t="s">
        <v>60</v>
      </c>
      <c r="D1215" s="19" t="str">
        <f>IFERROR(IF(C1215="No CAS","",INDEX('DEQ Pollutant List'!$B$7:$B$611,MATCH('3. Pollutant Emissions - EF'!C1215,'DEQ Pollutant List'!$A$7:$A$611,0))),"")</f>
        <v>Ethyl benzene</v>
      </c>
      <c r="E1215" s="23">
        <v>0</v>
      </c>
      <c r="F1215" s="21">
        <v>0</v>
      </c>
      <c r="G1215" s="23" t="s">
        <v>1415</v>
      </c>
      <c r="H1215" s="21" t="s">
        <v>1415</v>
      </c>
      <c r="I1215" s="34">
        <v>9.4999999999999998E-3</v>
      </c>
      <c r="J1215" s="11">
        <f t="shared" si="44"/>
        <v>9.4999999999999998E-3</v>
      </c>
      <c r="K1215" s="6" t="s">
        <v>1416</v>
      </c>
      <c r="L1215" s="20" t="s">
        <v>1422</v>
      </c>
      <c r="M1215" s="7">
        <f>IF(ISBLANK($B1215),_xlfn.XLOOKUP($A1215,'2. TEUs &amp; Activities - EF'!$A$9:$A$190,'2. TEUs &amp; Activities - EF'!$J$9:$J$190),_xlfn.XLOOKUP($B1215,'2. TEUs &amp; Activities - EF'!$B$9:$B$190,'2. TEUs &amp; Activities - EF'!$J$9:$J$190))*'3. Pollutant Emissions - EF'!$I1215*IF(OR(ISBLANK($E1215),$G1215="Yes"),1,$E1215)*IF($H1215="Yes",1,(1-$F1215))</f>
        <v>0.16962194117647059</v>
      </c>
      <c r="N1215" s="5">
        <f>IF(ISBLANK($B1215),_xlfn.XLOOKUP($A1215,'2. TEUs &amp; Activities - EF'!$A$9:$A$190,'2. TEUs &amp; Activities - EF'!$M$9:$M$190),_xlfn.XLOOKUP($B1215,'2. TEUs &amp; Activities - EF'!$B$9:$B$190,'2. TEUs &amp; Activities - EF'!$M$9:$M$190))*'3. Pollutant Emissions - EF'!$J1215*IF(OR(ISBLANK($E1215),$G1215="Yes"),1,$E1215)*IF($H1215="Yes",1,(1-$F1215))</f>
        <v>4.6471764705882353E-4</v>
      </c>
      <c r="O1215" s="130"/>
    </row>
    <row r="1216" spans="1:15" ht="15" x14ac:dyDescent="0.25">
      <c r="A1216" s="5" t="s">
        <v>1615</v>
      </c>
      <c r="B1216" s="7"/>
      <c r="C1216" s="13" t="s">
        <v>47</v>
      </c>
      <c r="D1216" s="19" t="str">
        <f>IFERROR(IF(C1216="No CAS","",INDEX('DEQ Pollutant List'!$B$7:$B$611,MATCH('3. Pollutant Emissions - EF'!C1216,'DEQ Pollutant List'!$A$7:$A$611,0))),"")</f>
        <v>Formaldehyde</v>
      </c>
      <c r="E1216" s="23">
        <v>0</v>
      </c>
      <c r="F1216" s="21">
        <v>0</v>
      </c>
      <c r="G1216" s="23" t="s">
        <v>1415</v>
      </c>
      <c r="H1216" s="21" t="s">
        <v>1415</v>
      </c>
      <c r="I1216" s="34">
        <v>1.7000000000000001E-2</v>
      </c>
      <c r="J1216" s="11">
        <f t="shared" si="44"/>
        <v>1.7000000000000001E-2</v>
      </c>
      <c r="K1216" s="6" t="s">
        <v>1416</v>
      </c>
      <c r="L1216" s="20" t="s">
        <v>1422</v>
      </c>
      <c r="M1216" s="7">
        <f>IF(ISBLANK($B1216),_xlfn.XLOOKUP($A1216,'2. TEUs &amp; Activities - EF'!$A$9:$A$190,'2. TEUs &amp; Activities - EF'!$J$9:$J$190),_xlfn.XLOOKUP($B1216,'2. TEUs &amp; Activities - EF'!$B$9:$B$190,'2. TEUs &amp; Activities - EF'!$J$9:$J$190))*'3. Pollutant Emissions - EF'!$I1216*IF(OR(ISBLANK($E1216),$G1216="Yes"),1,$E1216)*IF($H1216="Yes",1,(1-$F1216))</f>
        <v>0.30353400000000003</v>
      </c>
      <c r="N1216" s="5">
        <f>IF(ISBLANK($B1216),_xlfn.XLOOKUP($A1216,'2. TEUs &amp; Activities - EF'!$A$9:$A$190,'2. TEUs &amp; Activities - EF'!$M$9:$M$190),_xlfn.XLOOKUP($B1216,'2. TEUs &amp; Activities - EF'!$B$9:$B$190,'2. TEUs &amp; Activities - EF'!$M$9:$M$190))*'3. Pollutant Emissions - EF'!$J1216*IF(OR(ISBLANK($E1216),$G1216="Yes"),1,$E1216)*IF($H1216="Yes",1,(1-$F1216))</f>
        <v>8.3160000000000005E-4</v>
      </c>
      <c r="O1216" s="130"/>
    </row>
    <row r="1217" spans="1:15" ht="15" x14ac:dyDescent="0.25">
      <c r="A1217" s="5" t="s">
        <v>1615</v>
      </c>
      <c r="B1217" s="7"/>
      <c r="C1217" s="13" t="s">
        <v>61</v>
      </c>
      <c r="D1217" s="19" t="str">
        <f>IFERROR(IF(C1217="No CAS","",INDEX('DEQ Pollutant List'!$B$7:$B$611,MATCH('3. Pollutant Emissions - EF'!C1217,'DEQ Pollutant List'!$A$7:$A$611,0))),"")</f>
        <v>Hexane</v>
      </c>
      <c r="E1217" s="23">
        <v>0</v>
      </c>
      <c r="F1217" s="21">
        <v>0</v>
      </c>
      <c r="G1217" s="23" t="s">
        <v>1415</v>
      </c>
      <c r="H1217" s="21" t="s">
        <v>1415</v>
      </c>
      <c r="I1217" s="34">
        <v>6.3E-3</v>
      </c>
      <c r="J1217" s="11">
        <f t="shared" si="44"/>
        <v>6.3E-3</v>
      </c>
      <c r="K1217" s="6" t="s">
        <v>1416</v>
      </c>
      <c r="L1217" s="20" t="s">
        <v>1422</v>
      </c>
      <c r="M1217" s="7">
        <f>IF(ISBLANK($B1217),_xlfn.XLOOKUP($A1217,'2. TEUs &amp; Activities - EF'!$A$9:$A$190,'2. TEUs &amp; Activities - EF'!$J$9:$J$190),_xlfn.XLOOKUP($B1217,'2. TEUs &amp; Activities - EF'!$B$9:$B$190,'2. TEUs &amp; Activities - EF'!$J$9:$J$190))*'3. Pollutant Emissions - EF'!$I1217*IF(OR(ISBLANK($E1217),$G1217="Yes"),1,$E1217)*IF($H1217="Yes",1,(1-$F1217))</f>
        <v>0.11248612941176471</v>
      </c>
      <c r="N1217" s="5">
        <f>IF(ISBLANK($B1217),_xlfn.XLOOKUP($A1217,'2. TEUs &amp; Activities - EF'!$A$9:$A$190,'2. TEUs &amp; Activities - EF'!$M$9:$M$190),_xlfn.XLOOKUP($B1217,'2. TEUs &amp; Activities - EF'!$B$9:$B$190,'2. TEUs &amp; Activities - EF'!$M$9:$M$190))*'3. Pollutant Emissions - EF'!$J1217*IF(OR(ISBLANK($E1217),$G1217="Yes"),1,$E1217)*IF($H1217="Yes",1,(1-$F1217))</f>
        <v>3.0818117647058823E-4</v>
      </c>
      <c r="O1217" s="130"/>
    </row>
    <row r="1218" spans="1:15" ht="15" x14ac:dyDescent="0.25">
      <c r="A1218" s="5" t="s">
        <v>1615</v>
      </c>
      <c r="B1218" s="7"/>
      <c r="C1218" s="13" t="s">
        <v>62</v>
      </c>
      <c r="D1218" s="19" t="str">
        <f>IFERROR(IF(C1218="No CAS","",INDEX('DEQ Pollutant List'!$B$7:$B$611,MATCH('3. Pollutant Emissions - EF'!C1218,'DEQ Pollutant List'!$A$7:$A$611,0))),"")</f>
        <v>Lead and compounds</v>
      </c>
      <c r="E1218" s="23">
        <v>0</v>
      </c>
      <c r="F1218" s="21">
        <v>0</v>
      </c>
      <c r="G1218" s="23" t="s">
        <v>1415</v>
      </c>
      <c r="H1218" s="21" t="s">
        <v>1415</v>
      </c>
      <c r="I1218" s="34">
        <v>5.0000000000000001E-4</v>
      </c>
      <c r="J1218" s="11">
        <f t="shared" si="44"/>
        <v>5.0000000000000001E-4</v>
      </c>
      <c r="K1218" s="6" t="s">
        <v>1416</v>
      </c>
      <c r="L1218" s="20" t="s">
        <v>1422</v>
      </c>
      <c r="M1218" s="7">
        <f>IF(ISBLANK($B1218),_xlfn.XLOOKUP($A1218,'2. TEUs &amp; Activities - EF'!$A$9:$A$190,'2. TEUs &amp; Activities - EF'!$J$9:$J$190),_xlfn.XLOOKUP($B1218,'2. TEUs &amp; Activities - EF'!$B$9:$B$190,'2. TEUs &amp; Activities - EF'!$J$9:$J$190))*'3. Pollutant Emissions - EF'!$I1218*IF(OR(ISBLANK($E1218),$G1218="Yes"),1,$E1218)*IF($H1218="Yes",1,(1-$F1218))</f>
        <v>8.9274705882352954E-3</v>
      </c>
      <c r="N1218" s="5">
        <f>IF(ISBLANK($B1218),_xlfn.XLOOKUP($A1218,'2. TEUs &amp; Activities - EF'!$A$9:$A$190,'2. TEUs &amp; Activities - EF'!$M$9:$M$190),_xlfn.XLOOKUP($B1218,'2. TEUs &amp; Activities - EF'!$B$9:$B$190,'2. TEUs &amp; Activities - EF'!$M$9:$M$190))*'3. Pollutant Emissions - EF'!$J1218*IF(OR(ISBLANK($E1218),$G1218="Yes"),1,$E1218)*IF($H1218="Yes",1,(1-$F1218))</f>
        <v>2.4458823529411767E-5</v>
      </c>
      <c r="O1218" s="130"/>
    </row>
    <row r="1219" spans="1:15" ht="15" x14ac:dyDescent="0.25">
      <c r="A1219" s="5" t="s">
        <v>1615</v>
      </c>
      <c r="B1219" s="7"/>
      <c r="C1219" s="13" t="s">
        <v>63</v>
      </c>
      <c r="D1219" s="19" t="str">
        <f>IFERROR(IF(C1219="No CAS","",INDEX('DEQ Pollutant List'!$B$7:$B$611,MATCH('3. Pollutant Emissions - EF'!C1219,'DEQ Pollutant List'!$A$7:$A$611,0))),"")</f>
        <v>Manganese and compounds</v>
      </c>
      <c r="E1219" s="23">
        <v>0</v>
      </c>
      <c r="F1219" s="21">
        <v>0</v>
      </c>
      <c r="G1219" s="23" t="s">
        <v>1415</v>
      </c>
      <c r="H1219" s="21" t="s">
        <v>1415</v>
      </c>
      <c r="I1219" s="34">
        <v>3.8000000000000002E-4</v>
      </c>
      <c r="J1219" s="11">
        <f t="shared" si="44"/>
        <v>3.8000000000000002E-4</v>
      </c>
      <c r="K1219" s="6" t="s">
        <v>1416</v>
      </c>
      <c r="L1219" s="20" t="s">
        <v>1422</v>
      </c>
      <c r="M1219" s="7">
        <f>IF(ISBLANK($B1219),_xlfn.XLOOKUP($A1219,'2. TEUs &amp; Activities - EF'!$A$9:$A$190,'2. TEUs &amp; Activities - EF'!$J$9:$J$190),_xlfn.XLOOKUP($B1219,'2. TEUs &amp; Activities - EF'!$B$9:$B$190,'2. TEUs &amp; Activities - EF'!$J$9:$J$190))*'3. Pollutant Emissions - EF'!$I1219*IF(OR(ISBLANK($E1219),$G1219="Yes"),1,$E1219)*IF($H1219="Yes",1,(1-$F1219))</f>
        <v>6.784877647058824E-3</v>
      </c>
      <c r="N1219" s="5">
        <f>IF(ISBLANK($B1219),_xlfn.XLOOKUP($A1219,'2. TEUs &amp; Activities - EF'!$A$9:$A$190,'2. TEUs &amp; Activities - EF'!$M$9:$M$190),_xlfn.XLOOKUP($B1219,'2. TEUs &amp; Activities - EF'!$B$9:$B$190,'2. TEUs &amp; Activities - EF'!$M$9:$M$190))*'3. Pollutant Emissions - EF'!$J1219*IF(OR(ISBLANK($E1219),$G1219="Yes"),1,$E1219)*IF($H1219="Yes",1,(1-$F1219))</f>
        <v>1.8588705882352941E-5</v>
      </c>
      <c r="O1219" s="130"/>
    </row>
    <row r="1220" spans="1:15" ht="15" x14ac:dyDescent="0.25">
      <c r="A1220" s="5" t="s">
        <v>1615</v>
      </c>
      <c r="B1220" s="7"/>
      <c r="C1220" s="13" t="s">
        <v>64</v>
      </c>
      <c r="D1220" s="19" t="str">
        <f>IFERROR(IF(C1220="No CAS","",INDEX('DEQ Pollutant List'!$B$7:$B$611,MATCH('3. Pollutant Emissions - EF'!C1220,'DEQ Pollutant List'!$A$7:$A$611,0))),"")</f>
        <v>Mercury and compounds</v>
      </c>
      <c r="E1220" s="23">
        <v>0</v>
      </c>
      <c r="F1220" s="21">
        <v>0</v>
      </c>
      <c r="G1220" s="23" t="s">
        <v>1415</v>
      </c>
      <c r="H1220" s="21" t="s">
        <v>1415</v>
      </c>
      <c r="I1220" s="34">
        <v>2.5999999999999998E-4</v>
      </c>
      <c r="J1220" s="11">
        <f t="shared" si="44"/>
        <v>2.5999999999999998E-4</v>
      </c>
      <c r="K1220" s="6" t="s">
        <v>1416</v>
      </c>
      <c r="L1220" s="20" t="s">
        <v>1422</v>
      </c>
      <c r="M1220" s="7">
        <f>IF(ISBLANK($B1220),_xlfn.XLOOKUP($A1220,'2. TEUs &amp; Activities - EF'!$A$9:$A$190,'2. TEUs &amp; Activities - EF'!$J$9:$J$190),_xlfn.XLOOKUP($B1220,'2. TEUs &amp; Activities - EF'!$B$9:$B$190,'2. TEUs &amp; Activities - EF'!$J$9:$J$190))*'3. Pollutant Emissions - EF'!$I1220*IF(OR(ISBLANK($E1220),$G1220="Yes"),1,$E1220)*IF($H1220="Yes",1,(1-$F1220))</f>
        <v>4.6422847058823526E-3</v>
      </c>
      <c r="N1220" s="5">
        <f>IF(ISBLANK($B1220),_xlfn.XLOOKUP($A1220,'2. TEUs &amp; Activities - EF'!$A$9:$A$190,'2. TEUs &amp; Activities - EF'!$M$9:$M$190),_xlfn.XLOOKUP($B1220,'2. TEUs &amp; Activities - EF'!$B$9:$B$190,'2. TEUs &amp; Activities - EF'!$M$9:$M$190))*'3. Pollutant Emissions - EF'!$J1220*IF(OR(ISBLANK($E1220),$G1220="Yes"),1,$E1220)*IF($H1220="Yes",1,(1-$F1220))</f>
        <v>1.2718588235294117E-5</v>
      </c>
      <c r="O1220" s="130"/>
    </row>
    <row r="1221" spans="1:15" ht="15" x14ac:dyDescent="0.25">
      <c r="A1221" s="5" t="s">
        <v>1615</v>
      </c>
      <c r="B1221" s="7"/>
      <c r="C1221" s="13" t="s">
        <v>65</v>
      </c>
      <c r="D1221" s="19" t="str">
        <f>IFERROR(IF(C1221="No CAS","",INDEX('DEQ Pollutant List'!$B$7:$B$611,MATCH('3. Pollutant Emissions - EF'!C1221,'DEQ Pollutant List'!$A$7:$A$611,0))),"")</f>
        <v>Molybdenum trioxide</v>
      </c>
      <c r="E1221" s="23">
        <v>0</v>
      </c>
      <c r="F1221" s="21">
        <v>0</v>
      </c>
      <c r="G1221" s="23" t="s">
        <v>1415</v>
      </c>
      <c r="H1221" s="21" t="s">
        <v>1415</v>
      </c>
      <c r="I1221" s="34">
        <v>1.65E-3</v>
      </c>
      <c r="J1221" s="11">
        <f t="shared" si="44"/>
        <v>1.65E-3</v>
      </c>
      <c r="K1221" s="6" t="s">
        <v>1416</v>
      </c>
      <c r="L1221" s="20" t="s">
        <v>1422</v>
      </c>
      <c r="M1221" s="7">
        <f>IF(ISBLANK($B1221),_xlfn.XLOOKUP($A1221,'2. TEUs &amp; Activities - EF'!$A$9:$A$190,'2. TEUs &amp; Activities - EF'!$J$9:$J$190),_xlfn.XLOOKUP($B1221,'2. TEUs &amp; Activities - EF'!$B$9:$B$190,'2. TEUs &amp; Activities - EF'!$J$9:$J$190))*'3. Pollutant Emissions - EF'!$I1221*IF(OR(ISBLANK($E1221),$G1221="Yes"),1,$E1221)*IF($H1221="Yes",1,(1-$F1221))</f>
        <v>2.9460652941176474E-2</v>
      </c>
      <c r="N1221" s="5">
        <f>IF(ISBLANK($B1221),_xlfn.XLOOKUP($A1221,'2. TEUs &amp; Activities - EF'!$A$9:$A$190,'2. TEUs &amp; Activities - EF'!$M$9:$M$190),_xlfn.XLOOKUP($B1221,'2. TEUs &amp; Activities - EF'!$B$9:$B$190,'2. TEUs &amp; Activities - EF'!$M$9:$M$190))*'3. Pollutant Emissions - EF'!$J1221*IF(OR(ISBLANK($E1221),$G1221="Yes"),1,$E1221)*IF($H1221="Yes",1,(1-$F1221))</f>
        <v>8.0714117647058829E-5</v>
      </c>
      <c r="O1221" s="130"/>
    </row>
    <row r="1222" spans="1:15" ht="15" x14ac:dyDescent="0.25">
      <c r="A1222" s="5" t="s">
        <v>1615</v>
      </c>
      <c r="B1222" s="7"/>
      <c r="C1222" s="13" t="s">
        <v>49</v>
      </c>
      <c r="D1222" s="19" t="str">
        <f>IFERROR(IF(C1222="No CAS","",INDEX('DEQ Pollutant List'!$B$7:$B$611,MATCH('3. Pollutant Emissions - EF'!C1222,'DEQ Pollutant List'!$A$7:$A$611,0))),"")</f>
        <v>Naphthalene</v>
      </c>
      <c r="E1222" s="23">
        <v>0</v>
      </c>
      <c r="F1222" s="21">
        <v>0</v>
      </c>
      <c r="G1222" s="23" t="s">
        <v>1415</v>
      </c>
      <c r="H1222" s="21" t="s">
        <v>1415</v>
      </c>
      <c r="I1222" s="34">
        <v>2.9999999999999997E-4</v>
      </c>
      <c r="J1222" s="11">
        <f t="shared" si="44"/>
        <v>2.9999999999999997E-4</v>
      </c>
      <c r="K1222" s="6" t="s">
        <v>1416</v>
      </c>
      <c r="L1222" s="20" t="s">
        <v>1422</v>
      </c>
      <c r="M1222" s="7">
        <f>IF(ISBLANK($B1222),_xlfn.XLOOKUP($A1222,'2. TEUs &amp; Activities - EF'!$A$9:$A$190,'2. TEUs &amp; Activities - EF'!$J$9:$J$190),_xlfn.XLOOKUP($B1222,'2. TEUs &amp; Activities - EF'!$B$9:$B$190,'2. TEUs &amp; Activities - EF'!$J$9:$J$190))*'3. Pollutant Emissions - EF'!$I1222*IF(OR(ISBLANK($E1222),$G1222="Yes"),1,$E1222)*IF($H1222="Yes",1,(1-$F1222))</f>
        <v>5.3564823529411764E-3</v>
      </c>
      <c r="N1222" s="5">
        <f>IF(ISBLANK($B1222),_xlfn.XLOOKUP($A1222,'2. TEUs &amp; Activities - EF'!$A$9:$A$190,'2. TEUs &amp; Activities - EF'!$M$9:$M$190),_xlfn.XLOOKUP($B1222,'2. TEUs &amp; Activities - EF'!$B$9:$B$190,'2. TEUs &amp; Activities - EF'!$M$9:$M$190))*'3. Pollutant Emissions - EF'!$J1222*IF(OR(ISBLANK($E1222),$G1222="Yes"),1,$E1222)*IF($H1222="Yes",1,(1-$F1222))</f>
        <v>1.4675294117647057E-5</v>
      </c>
      <c r="O1222" s="130"/>
    </row>
    <row r="1223" spans="1:15" ht="15" x14ac:dyDescent="0.25">
      <c r="A1223" s="5" t="s">
        <v>1615</v>
      </c>
      <c r="B1223" s="7"/>
      <c r="C1223" s="13" t="s">
        <v>66</v>
      </c>
      <c r="D1223" s="19" t="str">
        <f>IFERROR(IF(C1223="No CAS","",INDEX('DEQ Pollutant List'!$B$7:$B$611,MATCH('3. Pollutant Emissions - EF'!C1223,'DEQ Pollutant List'!$A$7:$A$611,0))),"")</f>
        <v>Nickel and compounds</v>
      </c>
      <c r="E1223" s="23">
        <v>0</v>
      </c>
      <c r="F1223" s="21">
        <v>0</v>
      </c>
      <c r="G1223" s="23" t="s">
        <v>1415</v>
      </c>
      <c r="H1223" s="21" t="s">
        <v>1415</v>
      </c>
      <c r="I1223" s="34">
        <v>2.0999999999999999E-3</v>
      </c>
      <c r="J1223" s="11">
        <f t="shared" si="44"/>
        <v>2.0999999999999999E-3</v>
      </c>
      <c r="K1223" s="6" t="s">
        <v>1416</v>
      </c>
      <c r="L1223" s="20" t="s">
        <v>1422</v>
      </c>
      <c r="M1223" s="7">
        <f>IF(ISBLANK($B1223),_xlfn.XLOOKUP($A1223,'2. TEUs &amp; Activities - EF'!$A$9:$A$190,'2. TEUs &amp; Activities - EF'!$J$9:$J$190),_xlfn.XLOOKUP($B1223,'2. TEUs &amp; Activities - EF'!$B$9:$B$190,'2. TEUs &amp; Activities - EF'!$J$9:$J$190))*'3. Pollutant Emissions - EF'!$I1223*IF(OR(ISBLANK($E1223),$G1223="Yes"),1,$E1223)*IF($H1223="Yes",1,(1-$F1223))</f>
        <v>3.7495376470588239E-2</v>
      </c>
      <c r="N1223" s="5">
        <f>IF(ISBLANK($B1223),_xlfn.XLOOKUP($A1223,'2. TEUs &amp; Activities - EF'!$A$9:$A$190,'2. TEUs &amp; Activities - EF'!$M$9:$M$190),_xlfn.XLOOKUP($B1223,'2. TEUs &amp; Activities - EF'!$B$9:$B$190,'2. TEUs &amp; Activities - EF'!$M$9:$M$190))*'3. Pollutant Emissions - EF'!$J1223*IF(OR(ISBLANK($E1223),$G1223="Yes"),1,$E1223)*IF($H1223="Yes",1,(1-$F1223))</f>
        <v>1.027270588235294E-4</v>
      </c>
      <c r="O1223" s="130"/>
    </row>
    <row r="1224" spans="1:15" ht="15" x14ac:dyDescent="0.25">
      <c r="A1224" s="5" t="s">
        <v>1615</v>
      </c>
      <c r="B1224" s="7"/>
      <c r="C1224" s="13">
        <v>401</v>
      </c>
      <c r="D1224" s="19" t="str">
        <f>IFERROR(IF(C1224="No CAS","",INDEX('DEQ Pollutant List'!$B$7:$B$611,MATCH('3. Pollutant Emissions - EF'!C1224,'DEQ Pollutant List'!$A$7:$A$611,0))),"")</f>
        <v>Polycyclic aromatic hydrocarbons (PAHs)</v>
      </c>
      <c r="E1224" s="23">
        <v>0</v>
      </c>
      <c r="F1224" s="21">
        <v>0</v>
      </c>
      <c r="G1224" s="23" t="s">
        <v>1415</v>
      </c>
      <c r="H1224" s="21" t="s">
        <v>1415</v>
      </c>
      <c r="I1224" s="34">
        <v>1E-4</v>
      </c>
      <c r="J1224" s="11">
        <f t="shared" si="44"/>
        <v>1E-4</v>
      </c>
      <c r="K1224" s="6" t="s">
        <v>1416</v>
      </c>
      <c r="L1224" s="20" t="s">
        <v>1422</v>
      </c>
      <c r="M1224" s="7">
        <f>IF(ISBLANK($B1224),_xlfn.XLOOKUP($A1224,'2. TEUs &amp; Activities - EF'!$A$9:$A$190,'2. TEUs &amp; Activities - EF'!$J$9:$J$190),_xlfn.XLOOKUP($B1224,'2. TEUs &amp; Activities - EF'!$B$9:$B$190,'2. TEUs &amp; Activities - EF'!$J$9:$J$190))*'3. Pollutant Emissions - EF'!$I1224*IF(OR(ISBLANK($E1224),$G1224="Yes"),1,$E1224)*IF($H1224="Yes",1,(1-$F1224))</f>
        <v>1.7854941176470591E-3</v>
      </c>
      <c r="N1224" s="5">
        <f>IF(ISBLANK($B1224),_xlfn.XLOOKUP($A1224,'2. TEUs &amp; Activities - EF'!$A$9:$A$190,'2. TEUs &amp; Activities - EF'!$M$9:$M$190),_xlfn.XLOOKUP($B1224,'2. TEUs &amp; Activities - EF'!$B$9:$B$190,'2. TEUs &amp; Activities - EF'!$M$9:$M$190))*'3. Pollutant Emissions - EF'!$J1224*IF(OR(ISBLANK($E1224),$G1224="Yes"),1,$E1224)*IF($H1224="Yes",1,(1-$F1224))</f>
        <v>4.891764705882353E-6</v>
      </c>
      <c r="O1224" s="130"/>
    </row>
    <row r="1225" spans="1:15" ht="15" x14ac:dyDescent="0.25">
      <c r="A1225" s="5" t="s">
        <v>1615</v>
      </c>
      <c r="B1225" s="7"/>
      <c r="C1225" s="13" t="s">
        <v>67</v>
      </c>
      <c r="D1225" s="19" t="str">
        <f>IFERROR(IF(C1225="No CAS","",INDEX('DEQ Pollutant List'!$B$7:$B$611,MATCH('3. Pollutant Emissions - EF'!C1225,'DEQ Pollutant List'!$A$7:$A$611,0))),"")</f>
        <v>Selenium and compounds</v>
      </c>
      <c r="E1225" s="23">
        <v>0</v>
      </c>
      <c r="F1225" s="21">
        <v>0</v>
      </c>
      <c r="G1225" s="23" t="s">
        <v>1415</v>
      </c>
      <c r="H1225" s="21" t="s">
        <v>1415</v>
      </c>
      <c r="I1225" s="34">
        <v>2.4000000000000001E-5</v>
      </c>
      <c r="J1225" s="11">
        <f t="shared" si="44"/>
        <v>2.4000000000000001E-5</v>
      </c>
      <c r="K1225" s="6" t="s">
        <v>1416</v>
      </c>
      <c r="L1225" s="20" t="s">
        <v>1422</v>
      </c>
      <c r="M1225" s="7">
        <f>IF(ISBLANK($B1225),_xlfn.XLOOKUP($A1225,'2. TEUs &amp; Activities - EF'!$A$9:$A$190,'2. TEUs &amp; Activities - EF'!$J$9:$J$190),_xlfn.XLOOKUP($B1225,'2. TEUs &amp; Activities - EF'!$B$9:$B$190,'2. TEUs &amp; Activities - EF'!$J$9:$J$190))*'3. Pollutant Emissions - EF'!$I1225*IF(OR(ISBLANK($E1225),$G1225="Yes"),1,$E1225)*IF($H1225="Yes",1,(1-$F1225))</f>
        <v>4.2851858823529415E-4</v>
      </c>
      <c r="N1225" s="5">
        <f>IF(ISBLANK($B1225),_xlfn.XLOOKUP($A1225,'2. TEUs &amp; Activities - EF'!$A$9:$A$190,'2. TEUs &amp; Activities - EF'!$M$9:$M$190),_xlfn.XLOOKUP($B1225,'2. TEUs &amp; Activities - EF'!$B$9:$B$190,'2. TEUs &amp; Activities - EF'!$M$9:$M$190))*'3. Pollutant Emissions - EF'!$J1225*IF(OR(ISBLANK($E1225),$G1225="Yes"),1,$E1225)*IF($H1225="Yes",1,(1-$F1225))</f>
        <v>1.1740235294117648E-6</v>
      </c>
      <c r="O1225" s="130"/>
    </row>
    <row r="1226" spans="1:15" ht="15" x14ac:dyDescent="0.25">
      <c r="A1226" s="5" t="s">
        <v>1615</v>
      </c>
      <c r="B1226" s="7"/>
      <c r="C1226" s="13" t="s">
        <v>68</v>
      </c>
      <c r="D1226" s="19" t="str">
        <f>IFERROR(IF(C1226="No CAS","",INDEX('DEQ Pollutant List'!$B$7:$B$611,MATCH('3. Pollutant Emissions - EF'!C1226,'DEQ Pollutant List'!$A$7:$A$611,0))),"")</f>
        <v>Toluene</v>
      </c>
      <c r="E1226" s="23">
        <v>0</v>
      </c>
      <c r="F1226" s="21">
        <v>0</v>
      </c>
      <c r="G1226" s="23" t="s">
        <v>1415</v>
      </c>
      <c r="H1226" s="21" t="s">
        <v>1415</v>
      </c>
      <c r="I1226" s="34">
        <v>3.6600000000000001E-2</v>
      </c>
      <c r="J1226" s="11">
        <f t="shared" si="44"/>
        <v>3.6600000000000001E-2</v>
      </c>
      <c r="K1226" s="6" t="s">
        <v>1416</v>
      </c>
      <c r="L1226" s="20" t="s">
        <v>1422</v>
      </c>
      <c r="M1226" s="7">
        <f>IF(ISBLANK($B1226),_xlfn.XLOOKUP($A1226,'2. TEUs &amp; Activities - EF'!$A$9:$A$190,'2. TEUs &amp; Activities - EF'!$J$9:$J$190),_xlfn.XLOOKUP($B1226,'2. TEUs &amp; Activities - EF'!$B$9:$B$190,'2. TEUs &amp; Activities - EF'!$J$9:$J$190))*'3. Pollutant Emissions - EF'!$I1226*IF(OR(ISBLANK($E1226),$G1226="Yes"),1,$E1226)*IF($H1226="Yes",1,(1-$F1226))</f>
        <v>0.65349084705882354</v>
      </c>
      <c r="N1226" s="5">
        <f>IF(ISBLANK($B1226),_xlfn.XLOOKUP($A1226,'2. TEUs &amp; Activities - EF'!$A$9:$A$190,'2. TEUs &amp; Activities - EF'!$M$9:$M$190),_xlfn.XLOOKUP($B1226,'2. TEUs &amp; Activities - EF'!$B$9:$B$190,'2. TEUs &amp; Activities - EF'!$M$9:$M$190))*'3. Pollutant Emissions - EF'!$J1226*IF(OR(ISBLANK($E1226),$G1226="Yes"),1,$E1226)*IF($H1226="Yes",1,(1-$F1226))</f>
        <v>1.7903858823529412E-3</v>
      </c>
      <c r="O1226" s="130"/>
    </row>
    <row r="1227" spans="1:15" ht="15" x14ac:dyDescent="0.25">
      <c r="A1227" s="5" t="s">
        <v>1615</v>
      </c>
      <c r="B1227" s="7"/>
      <c r="C1227" s="13" t="s">
        <v>69</v>
      </c>
      <c r="D1227" s="19" t="str">
        <f>IFERROR(IF(C1227="No CAS","",INDEX('DEQ Pollutant List'!$B$7:$B$611,MATCH('3. Pollutant Emissions - EF'!C1227,'DEQ Pollutant List'!$A$7:$A$611,0))),"")</f>
        <v>Vanadium (fume or dust)</v>
      </c>
      <c r="E1227" s="23">
        <v>0</v>
      </c>
      <c r="F1227" s="21">
        <v>0</v>
      </c>
      <c r="G1227" s="23" t="s">
        <v>1415</v>
      </c>
      <c r="H1227" s="21" t="s">
        <v>1415</v>
      </c>
      <c r="I1227" s="34">
        <v>2.3E-3</v>
      </c>
      <c r="J1227" s="11">
        <f t="shared" si="44"/>
        <v>2.3E-3</v>
      </c>
      <c r="K1227" s="6" t="s">
        <v>1416</v>
      </c>
      <c r="L1227" s="20" t="s">
        <v>1422</v>
      </c>
      <c r="M1227" s="7">
        <f>IF(ISBLANK($B1227),_xlfn.XLOOKUP($A1227,'2. TEUs &amp; Activities - EF'!$A$9:$A$190,'2. TEUs &amp; Activities - EF'!$J$9:$J$190),_xlfn.XLOOKUP($B1227,'2. TEUs &amp; Activities - EF'!$B$9:$B$190,'2. TEUs &amp; Activities - EF'!$J$9:$J$190))*'3. Pollutant Emissions - EF'!$I1227*IF(OR(ISBLANK($E1227),$G1227="Yes"),1,$E1227)*IF($H1227="Yes",1,(1-$F1227))</f>
        <v>4.1066364705882354E-2</v>
      </c>
      <c r="N1227" s="5">
        <f>IF(ISBLANK($B1227),_xlfn.XLOOKUP($A1227,'2. TEUs &amp; Activities - EF'!$A$9:$A$190,'2. TEUs &amp; Activities - EF'!$M$9:$M$190),_xlfn.XLOOKUP($B1227,'2. TEUs &amp; Activities - EF'!$B$9:$B$190,'2. TEUs &amp; Activities - EF'!$M$9:$M$190))*'3. Pollutant Emissions - EF'!$J1227*IF(OR(ISBLANK($E1227),$G1227="Yes"),1,$E1227)*IF($H1227="Yes",1,(1-$F1227))</f>
        <v>1.1251058823529413E-4</v>
      </c>
      <c r="O1227" s="130"/>
    </row>
    <row r="1228" spans="1:15" ht="15" x14ac:dyDescent="0.25">
      <c r="A1228" s="5" t="s">
        <v>1615</v>
      </c>
      <c r="B1228" s="7"/>
      <c r="C1228" s="13" t="s">
        <v>70</v>
      </c>
      <c r="D1228" s="19" t="str">
        <f>IFERROR(IF(C1228="No CAS","",INDEX('DEQ Pollutant List'!$B$7:$B$611,MATCH('3. Pollutant Emissions - EF'!C1228,'DEQ Pollutant List'!$A$7:$A$611,0))),"")</f>
        <v>Xylene (mixture), including m-xylene, o-xylene, p-xylene</v>
      </c>
      <c r="E1228" s="23">
        <v>0</v>
      </c>
      <c r="F1228" s="21">
        <v>0</v>
      </c>
      <c r="G1228" s="23" t="s">
        <v>1415</v>
      </c>
      <c r="H1228" s="21" t="s">
        <v>1415</v>
      </c>
      <c r="I1228" s="34">
        <v>2.7199999999999998E-2</v>
      </c>
      <c r="J1228" s="11">
        <f t="shared" si="44"/>
        <v>2.7199999999999998E-2</v>
      </c>
      <c r="K1228" s="6" t="s">
        <v>1416</v>
      </c>
      <c r="L1228" s="20" t="s">
        <v>1422</v>
      </c>
      <c r="M1228" s="7">
        <f>IF(ISBLANK($B1228),_xlfn.XLOOKUP($A1228,'2. TEUs &amp; Activities - EF'!$A$9:$A$190,'2. TEUs &amp; Activities - EF'!$J$9:$J$190),_xlfn.XLOOKUP($B1228,'2. TEUs &amp; Activities - EF'!$B$9:$B$190,'2. TEUs &amp; Activities - EF'!$J$9:$J$190))*'3. Pollutant Emissions - EF'!$I1228*IF(OR(ISBLANK($E1228),$G1228="Yes"),1,$E1228)*IF($H1228="Yes",1,(1-$F1228))</f>
        <v>0.48565439999999999</v>
      </c>
      <c r="N1228" s="5">
        <f>IF(ISBLANK($B1228),_xlfn.XLOOKUP($A1228,'2. TEUs &amp; Activities - EF'!$A$9:$A$190,'2. TEUs &amp; Activities - EF'!$M$9:$M$190),_xlfn.XLOOKUP($B1228,'2. TEUs &amp; Activities - EF'!$B$9:$B$190,'2. TEUs &amp; Activities - EF'!$M$9:$M$190))*'3. Pollutant Emissions - EF'!$J1228*IF(OR(ISBLANK($E1228),$G1228="Yes"),1,$E1228)*IF($H1228="Yes",1,(1-$F1228))</f>
        <v>1.3305599999999999E-3</v>
      </c>
      <c r="O1228" s="130"/>
    </row>
    <row r="1229" spans="1:15" ht="15" x14ac:dyDescent="0.25">
      <c r="A1229" s="5" t="s">
        <v>1615</v>
      </c>
      <c r="B1229" s="7"/>
      <c r="C1229" s="13" t="s">
        <v>71</v>
      </c>
      <c r="D1229" s="19" t="str">
        <f>IFERROR(IF(C1229="No CAS","",INDEX('DEQ Pollutant List'!$B$7:$B$611,MATCH('3. Pollutant Emissions - EF'!C1229,'DEQ Pollutant List'!$A$7:$A$611,0))),"")</f>
        <v>Zinc and compounds</v>
      </c>
      <c r="E1229" s="23">
        <v>0</v>
      </c>
      <c r="F1229" s="21">
        <v>0</v>
      </c>
      <c r="G1229" s="23" t="s">
        <v>1415</v>
      </c>
      <c r="H1229" s="21" t="s">
        <v>1415</v>
      </c>
      <c r="I1229" s="34">
        <v>2.9000000000000001E-2</v>
      </c>
      <c r="J1229" s="11">
        <f t="shared" si="44"/>
        <v>2.9000000000000001E-2</v>
      </c>
      <c r="K1229" s="6" t="s">
        <v>1416</v>
      </c>
      <c r="L1229" s="20" t="s">
        <v>1422</v>
      </c>
      <c r="M1229" s="7">
        <f>IF(ISBLANK($B1229),_xlfn.XLOOKUP($A1229,'2. TEUs &amp; Activities - EF'!$A$9:$A$190,'2. TEUs &amp; Activities - EF'!$J$9:$J$190),_xlfn.XLOOKUP($B1229,'2. TEUs &amp; Activities - EF'!$B$9:$B$190,'2. TEUs &amp; Activities - EF'!$J$9:$J$190))*'3. Pollutant Emissions - EF'!$I1229*IF(OR(ISBLANK($E1229),$G1229="Yes"),1,$E1229)*IF($H1229="Yes",1,(1-$F1229))</f>
        <v>0.51779329411764707</v>
      </c>
      <c r="N1229" s="5">
        <f>IF(ISBLANK($B1229),_xlfn.XLOOKUP($A1229,'2. TEUs &amp; Activities - EF'!$A$9:$A$190,'2. TEUs &amp; Activities - EF'!$M$9:$M$190),_xlfn.XLOOKUP($B1229,'2. TEUs &amp; Activities - EF'!$B$9:$B$190,'2. TEUs &amp; Activities - EF'!$M$9:$M$190))*'3. Pollutant Emissions - EF'!$J1229*IF(OR(ISBLANK($E1229),$G1229="Yes"),1,$E1229)*IF($H1229="Yes",1,(1-$F1229))</f>
        <v>1.4186117647058826E-3</v>
      </c>
      <c r="O1229" s="130"/>
    </row>
    <row r="1230" spans="1:15" ht="15" x14ac:dyDescent="0.25">
      <c r="A1230" s="5"/>
      <c r="B1230" s="7"/>
      <c r="C1230" s="13"/>
      <c r="D1230" s="19" t="str">
        <f>IFERROR(IF(C1230="No CAS","",INDEX('DEQ Pollutant List'!$B$7:$B$611,MATCH('3. Pollutant Emissions - EF'!C1230,'DEQ Pollutant List'!$A$7:$A$611,0))),"")</f>
        <v/>
      </c>
      <c r="E1230" s="23"/>
      <c r="F1230" s="21"/>
      <c r="G1230" s="23"/>
      <c r="H1230" s="21"/>
      <c r="I1230" s="34"/>
      <c r="J1230" s="11"/>
      <c r="K1230" s="6"/>
      <c r="L1230" s="20"/>
      <c r="M1230" s="7">
        <f>IF(ISBLANK($B1230),_xlfn.XLOOKUP($A1230,'2. TEUs &amp; Activities - EF'!$A$9:$A$190,'2. TEUs &amp; Activities - EF'!$J$9:$J$190),_xlfn.XLOOKUP($B1230,'2. TEUs &amp; Activities - EF'!$B$9:$B$190,'2. TEUs &amp; Activities - EF'!$J$9:$J$190))*'3. Pollutant Emissions - EF'!$I1230*IF(OR(ISBLANK($E1230),$G1230="Yes"),1,$E1230)*IF($H1230="Yes",1,(1-$F1230))</f>
        <v>0</v>
      </c>
      <c r="N1230" s="5">
        <f>IF(ISBLANK($B1230),_xlfn.XLOOKUP($A1230,'2. TEUs &amp; Activities - EF'!$A$9:$A$190,'2. TEUs &amp; Activities - EF'!$M$9:$M$190),_xlfn.XLOOKUP($B1230,'2. TEUs &amp; Activities - EF'!$B$9:$B$190,'2. TEUs &amp; Activities - EF'!$M$9:$M$190))*'3. Pollutant Emissions - EF'!$J1230*IF(OR(ISBLANK($E1230),$G1230="Yes"),1,$E1230)*IF($H1230="Yes",1,(1-$F1230))</f>
        <v>0</v>
      </c>
      <c r="O1230" s="130"/>
    </row>
    <row r="1231" spans="1:15" ht="15" x14ac:dyDescent="0.25">
      <c r="A1231" s="5" t="s">
        <v>1616</v>
      </c>
      <c r="B1231" s="7"/>
      <c r="C1231" s="13" t="s">
        <v>48</v>
      </c>
      <c r="D1231" s="19" t="str">
        <f>IFERROR(IF(C1231="No CAS","",INDEX('DEQ Pollutant List'!$B$7:$B$611,MATCH('3. Pollutant Emissions - EF'!C1231,'DEQ Pollutant List'!$A$7:$A$611,0))),"")</f>
        <v>Benzo[a]pyrene</v>
      </c>
      <c r="E1231" s="23">
        <v>0</v>
      </c>
      <c r="F1231" s="21">
        <v>0</v>
      </c>
      <c r="G1231" s="23" t="s">
        <v>1415</v>
      </c>
      <c r="H1231" s="21" t="s">
        <v>1415</v>
      </c>
      <c r="I1231" s="34">
        <v>1.1999999999999999E-6</v>
      </c>
      <c r="J1231" s="11">
        <f t="shared" ref="J1231:J1257" si="45">I1231</f>
        <v>1.1999999999999999E-6</v>
      </c>
      <c r="K1231" s="6" t="s">
        <v>1416</v>
      </c>
      <c r="L1231" s="20" t="s">
        <v>1422</v>
      </c>
      <c r="M1231" s="7">
        <f>IF(ISBLANK($B1231),_xlfn.XLOOKUP($A1231,'2. TEUs &amp; Activities - EF'!$A$9:$A$190,'2. TEUs &amp; Activities - EF'!$J$9:$J$190),_xlfn.XLOOKUP($B1231,'2. TEUs &amp; Activities - EF'!$B$9:$B$190,'2. TEUs &amp; Activities - EF'!$J$9:$J$190))*'3. Pollutant Emissions - EF'!$I1231*IF(OR(ISBLANK($E1231),$G1231="Yes"),1,$E1231)*IF($H1231="Yes",1,(1-$F1231))</f>
        <v>2.885647058823529E-5</v>
      </c>
      <c r="N1231" s="5">
        <f>IF(ISBLANK($B1231),_xlfn.XLOOKUP($A1231,'2. TEUs &amp; Activities - EF'!$A$9:$A$190,'2. TEUs &amp; Activities - EF'!$M$9:$M$190),_xlfn.XLOOKUP($B1231,'2. TEUs &amp; Activities - EF'!$B$9:$B$190,'2. TEUs &amp; Activities - EF'!$M$9:$M$190))*'3. Pollutant Emissions - EF'!$J1231*IF(OR(ISBLANK($E1231),$G1231="Yes"),1,$E1231)*IF($H1231="Yes",1,(1-$F1231))</f>
        <v>7.9058823529411752E-8</v>
      </c>
      <c r="O1231" s="130"/>
    </row>
    <row r="1232" spans="1:15" ht="15" x14ac:dyDescent="0.25">
      <c r="A1232" s="5" t="s">
        <v>1616</v>
      </c>
      <c r="B1232" s="7"/>
      <c r="C1232" s="13" t="s">
        <v>50</v>
      </c>
      <c r="D1232" s="19" t="str">
        <f>IFERROR(IF(C1232="No CAS","",INDEX('DEQ Pollutant List'!$B$7:$B$611,MATCH('3. Pollutant Emissions - EF'!C1232,'DEQ Pollutant List'!$A$7:$A$611,0))),"")</f>
        <v>Acetaldehyde</v>
      </c>
      <c r="E1232" s="23">
        <v>0</v>
      </c>
      <c r="F1232" s="21">
        <v>0</v>
      </c>
      <c r="G1232" s="23" t="s">
        <v>1415</v>
      </c>
      <c r="H1232" s="21" t="s">
        <v>1415</v>
      </c>
      <c r="I1232" s="34">
        <v>4.3E-3</v>
      </c>
      <c r="J1232" s="11">
        <f t="shared" si="45"/>
        <v>4.3E-3</v>
      </c>
      <c r="K1232" s="6" t="s">
        <v>1416</v>
      </c>
      <c r="L1232" s="20" t="s">
        <v>1422</v>
      </c>
      <c r="M1232" s="7">
        <f>IF(ISBLANK($B1232),_xlfn.XLOOKUP($A1232,'2. TEUs &amp; Activities - EF'!$A$9:$A$190,'2. TEUs &amp; Activities - EF'!$J$9:$J$190),_xlfn.XLOOKUP($B1232,'2. TEUs &amp; Activities - EF'!$B$9:$B$190,'2. TEUs &amp; Activities - EF'!$J$9:$J$190))*'3. Pollutant Emissions - EF'!$I1232*IF(OR(ISBLANK($E1232),$G1232="Yes"),1,$E1232)*IF($H1232="Yes",1,(1-$F1232))</f>
        <v>0.10340235294117646</v>
      </c>
      <c r="N1232" s="5">
        <f>IF(ISBLANK($B1232),_xlfn.XLOOKUP($A1232,'2. TEUs &amp; Activities - EF'!$A$9:$A$190,'2. TEUs &amp; Activities - EF'!$M$9:$M$190),_xlfn.XLOOKUP($B1232,'2. TEUs &amp; Activities - EF'!$B$9:$B$190,'2. TEUs &amp; Activities - EF'!$M$9:$M$190))*'3. Pollutant Emissions - EF'!$J1232*IF(OR(ISBLANK($E1232),$G1232="Yes"),1,$E1232)*IF($H1232="Yes",1,(1-$F1232))</f>
        <v>2.8329411764705878E-4</v>
      </c>
      <c r="O1232" s="130"/>
    </row>
    <row r="1233" spans="1:15" ht="15" x14ac:dyDescent="0.25">
      <c r="A1233" s="5" t="s">
        <v>1616</v>
      </c>
      <c r="B1233" s="7"/>
      <c r="C1233" s="13" t="s">
        <v>51</v>
      </c>
      <c r="D1233" s="19" t="str">
        <f>IFERROR(IF(C1233="No CAS","",INDEX('DEQ Pollutant List'!$B$7:$B$611,MATCH('3. Pollutant Emissions - EF'!C1233,'DEQ Pollutant List'!$A$7:$A$611,0))),"")</f>
        <v>Acrolein</v>
      </c>
      <c r="E1233" s="23">
        <v>0</v>
      </c>
      <c r="F1233" s="21">
        <v>0</v>
      </c>
      <c r="G1233" s="23" t="s">
        <v>1415</v>
      </c>
      <c r="H1233" s="21" t="s">
        <v>1415</v>
      </c>
      <c r="I1233" s="34">
        <v>2.7000000000000001E-3</v>
      </c>
      <c r="J1233" s="11">
        <f t="shared" si="45"/>
        <v>2.7000000000000001E-3</v>
      </c>
      <c r="K1233" s="6" t="s">
        <v>1416</v>
      </c>
      <c r="L1233" s="20" t="s">
        <v>1422</v>
      </c>
      <c r="M1233" s="7">
        <f>IF(ISBLANK($B1233),_xlfn.XLOOKUP($A1233,'2. TEUs &amp; Activities - EF'!$A$9:$A$190,'2. TEUs &amp; Activities - EF'!$J$9:$J$190),_xlfn.XLOOKUP($B1233,'2. TEUs &amp; Activities - EF'!$B$9:$B$190,'2. TEUs &amp; Activities - EF'!$J$9:$J$190))*'3. Pollutant Emissions - EF'!$I1233*IF(OR(ISBLANK($E1233),$G1233="Yes"),1,$E1233)*IF($H1233="Yes",1,(1-$F1233))</f>
        <v>6.4927058823529407E-2</v>
      </c>
      <c r="N1233" s="5">
        <f>IF(ISBLANK($B1233),_xlfn.XLOOKUP($A1233,'2. TEUs &amp; Activities - EF'!$A$9:$A$190,'2. TEUs &amp; Activities - EF'!$M$9:$M$190),_xlfn.XLOOKUP($B1233,'2. TEUs &amp; Activities - EF'!$B$9:$B$190,'2. TEUs &amp; Activities - EF'!$M$9:$M$190))*'3. Pollutant Emissions - EF'!$J1233*IF(OR(ISBLANK($E1233),$G1233="Yes"),1,$E1233)*IF($H1233="Yes",1,(1-$F1233))</f>
        <v>1.7788235294117645E-4</v>
      </c>
      <c r="O1233" s="130"/>
    </row>
    <row r="1234" spans="1:15" ht="15" x14ac:dyDescent="0.25">
      <c r="A1234" s="5" t="s">
        <v>1616</v>
      </c>
      <c r="B1234" s="7"/>
      <c r="C1234" s="13" t="s">
        <v>52</v>
      </c>
      <c r="D1234" s="19" t="str">
        <f>IFERROR(IF(C1234="No CAS","",INDEX('DEQ Pollutant List'!$B$7:$B$611,MATCH('3. Pollutant Emissions - EF'!C1234,'DEQ Pollutant List'!$A$7:$A$611,0))),"")</f>
        <v>Ammonia</v>
      </c>
      <c r="E1234" s="23">
        <v>0</v>
      </c>
      <c r="F1234" s="21">
        <v>0</v>
      </c>
      <c r="G1234" s="23" t="s">
        <v>1415</v>
      </c>
      <c r="H1234" s="21" t="s">
        <v>1415</v>
      </c>
      <c r="I1234" s="34">
        <v>3.2</v>
      </c>
      <c r="J1234" s="11">
        <f t="shared" si="45"/>
        <v>3.2</v>
      </c>
      <c r="K1234" s="6" t="s">
        <v>1416</v>
      </c>
      <c r="L1234" s="20" t="s">
        <v>1586</v>
      </c>
      <c r="M1234" s="7">
        <f>IF(ISBLANK($B1234),_xlfn.XLOOKUP($A1234,'2. TEUs &amp; Activities - EF'!$A$9:$A$190,'2. TEUs &amp; Activities - EF'!$J$9:$J$190),_xlfn.XLOOKUP($B1234,'2. TEUs &amp; Activities - EF'!$B$9:$B$190,'2. TEUs &amp; Activities - EF'!$J$9:$J$190))*'3. Pollutant Emissions - EF'!$I1234*IF(OR(ISBLANK($E1234),$G1234="Yes"),1,$E1234)*IF($H1234="Yes",1,(1-$F1234))</f>
        <v>76.950588235294106</v>
      </c>
      <c r="N1234" s="5">
        <f>IF(ISBLANK($B1234),_xlfn.XLOOKUP($A1234,'2. TEUs &amp; Activities - EF'!$A$9:$A$190,'2. TEUs &amp; Activities - EF'!$M$9:$M$190),_xlfn.XLOOKUP($B1234,'2. TEUs &amp; Activities - EF'!$B$9:$B$190,'2. TEUs &amp; Activities - EF'!$M$9:$M$190))*'3. Pollutant Emissions - EF'!$J1234*IF(OR(ISBLANK($E1234),$G1234="Yes"),1,$E1234)*IF($H1234="Yes",1,(1-$F1234))</f>
        <v>0.21082352941176469</v>
      </c>
      <c r="O1234" s="130"/>
    </row>
    <row r="1235" spans="1:15" ht="15" x14ac:dyDescent="0.25">
      <c r="A1235" s="5" t="s">
        <v>1616</v>
      </c>
      <c r="B1235" s="7"/>
      <c r="C1235" s="13" t="s">
        <v>53</v>
      </c>
      <c r="D1235" s="19" t="str">
        <f>IFERROR(IF(C1235="No CAS","",INDEX('DEQ Pollutant List'!$B$7:$B$611,MATCH('3. Pollutant Emissions - EF'!C1235,'DEQ Pollutant List'!$A$7:$A$611,0))),"")</f>
        <v>Arsenic and compounds</v>
      </c>
      <c r="E1235" s="23">
        <v>0</v>
      </c>
      <c r="F1235" s="21">
        <v>0</v>
      </c>
      <c r="G1235" s="23" t="s">
        <v>1415</v>
      </c>
      <c r="H1235" s="21" t="s">
        <v>1415</v>
      </c>
      <c r="I1235" s="34">
        <v>2.0000000000000001E-4</v>
      </c>
      <c r="J1235" s="11">
        <f t="shared" si="45"/>
        <v>2.0000000000000001E-4</v>
      </c>
      <c r="K1235" s="6" t="s">
        <v>1416</v>
      </c>
      <c r="L1235" s="20" t="s">
        <v>1422</v>
      </c>
      <c r="M1235" s="7">
        <f>IF(ISBLANK($B1235),_xlfn.XLOOKUP($A1235,'2. TEUs &amp; Activities - EF'!$A$9:$A$190,'2. TEUs &amp; Activities - EF'!$J$9:$J$190),_xlfn.XLOOKUP($B1235,'2. TEUs &amp; Activities - EF'!$B$9:$B$190,'2. TEUs &amp; Activities - EF'!$J$9:$J$190))*'3. Pollutant Emissions - EF'!$I1235*IF(OR(ISBLANK($E1235),$G1235="Yes"),1,$E1235)*IF($H1235="Yes",1,(1-$F1235))</f>
        <v>4.8094117647058815E-3</v>
      </c>
      <c r="N1235" s="5">
        <f>IF(ISBLANK($B1235),_xlfn.XLOOKUP($A1235,'2. TEUs &amp; Activities - EF'!$A$9:$A$190,'2. TEUs &amp; Activities - EF'!$M$9:$M$190),_xlfn.XLOOKUP($B1235,'2. TEUs &amp; Activities - EF'!$B$9:$B$190,'2. TEUs &amp; Activities - EF'!$M$9:$M$190))*'3. Pollutant Emissions - EF'!$J1235*IF(OR(ISBLANK($E1235),$G1235="Yes"),1,$E1235)*IF($H1235="Yes",1,(1-$F1235))</f>
        <v>1.3176470588235293E-5</v>
      </c>
      <c r="O1235" s="130"/>
    </row>
    <row r="1236" spans="1:15" ht="15" x14ac:dyDescent="0.25">
      <c r="A1236" s="5" t="s">
        <v>1616</v>
      </c>
      <c r="B1236" s="7"/>
      <c r="C1236" s="13" t="s">
        <v>54</v>
      </c>
      <c r="D1236" s="19" t="str">
        <f>IFERROR(IF(C1236="No CAS","",INDEX('DEQ Pollutant List'!$B$7:$B$611,MATCH('3. Pollutant Emissions - EF'!C1236,'DEQ Pollutant List'!$A$7:$A$611,0))),"")</f>
        <v>Barium and compounds</v>
      </c>
      <c r="E1236" s="23">
        <v>0</v>
      </c>
      <c r="F1236" s="21">
        <v>0</v>
      </c>
      <c r="G1236" s="23" t="s">
        <v>1415</v>
      </c>
      <c r="H1236" s="21" t="s">
        <v>1415</v>
      </c>
      <c r="I1236" s="34">
        <v>4.4000000000000003E-3</v>
      </c>
      <c r="J1236" s="11">
        <f t="shared" si="45"/>
        <v>4.4000000000000003E-3</v>
      </c>
      <c r="K1236" s="6" t="s">
        <v>1416</v>
      </c>
      <c r="L1236" s="20" t="s">
        <v>1422</v>
      </c>
      <c r="M1236" s="7">
        <f>IF(ISBLANK($B1236),_xlfn.XLOOKUP($A1236,'2. TEUs &amp; Activities - EF'!$A$9:$A$190,'2. TEUs &amp; Activities - EF'!$J$9:$J$190),_xlfn.XLOOKUP($B1236,'2. TEUs &amp; Activities - EF'!$B$9:$B$190,'2. TEUs &amp; Activities - EF'!$J$9:$J$190))*'3. Pollutant Emissions - EF'!$I1236*IF(OR(ISBLANK($E1236),$G1236="Yes"),1,$E1236)*IF($H1236="Yes",1,(1-$F1236))</f>
        <v>0.10580705882352941</v>
      </c>
      <c r="N1236" s="5">
        <f>IF(ISBLANK($B1236),_xlfn.XLOOKUP($A1236,'2. TEUs &amp; Activities - EF'!$A$9:$A$190,'2. TEUs &amp; Activities - EF'!$M$9:$M$190),_xlfn.XLOOKUP($B1236,'2. TEUs &amp; Activities - EF'!$B$9:$B$190,'2. TEUs &amp; Activities - EF'!$M$9:$M$190))*'3. Pollutant Emissions - EF'!$J1236*IF(OR(ISBLANK($E1236),$G1236="Yes"),1,$E1236)*IF($H1236="Yes",1,(1-$F1236))</f>
        <v>2.8988235294117643E-4</v>
      </c>
      <c r="O1236" s="130"/>
    </row>
    <row r="1237" spans="1:15" ht="15" x14ac:dyDescent="0.25">
      <c r="A1237" s="5" t="s">
        <v>1616</v>
      </c>
      <c r="B1237" s="7"/>
      <c r="C1237" s="13" t="s">
        <v>46</v>
      </c>
      <c r="D1237" s="19" t="str">
        <f>IFERROR(IF(C1237="No CAS","",INDEX('DEQ Pollutant List'!$B$7:$B$611,MATCH('3. Pollutant Emissions - EF'!C1237,'DEQ Pollutant List'!$A$7:$A$611,0))),"")</f>
        <v>Benzene</v>
      </c>
      <c r="E1237" s="23">
        <v>0</v>
      </c>
      <c r="F1237" s="21">
        <v>0</v>
      </c>
      <c r="G1237" s="23" t="s">
        <v>1415</v>
      </c>
      <c r="H1237" s="21" t="s">
        <v>1415</v>
      </c>
      <c r="I1237" s="34">
        <v>8.0000000000000002E-3</v>
      </c>
      <c r="J1237" s="11">
        <f t="shared" si="45"/>
        <v>8.0000000000000002E-3</v>
      </c>
      <c r="K1237" s="6" t="s">
        <v>1416</v>
      </c>
      <c r="L1237" s="20" t="s">
        <v>1422</v>
      </c>
      <c r="M1237" s="7">
        <f>IF(ISBLANK($B1237),_xlfn.XLOOKUP($A1237,'2. TEUs &amp; Activities - EF'!$A$9:$A$190,'2. TEUs &amp; Activities - EF'!$J$9:$J$190),_xlfn.XLOOKUP($B1237,'2. TEUs &amp; Activities - EF'!$B$9:$B$190,'2. TEUs &amp; Activities - EF'!$J$9:$J$190))*'3. Pollutant Emissions - EF'!$I1237*IF(OR(ISBLANK($E1237),$G1237="Yes"),1,$E1237)*IF($H1237="Yes",1,(1-$F1237))</f>
        <v>0.19237647058823526</v>
      </c>
      <c r="N1237" s="5">
        <f>IF(ISBLANK($B1237),_xlfn.XLOOKUP($A1237,'2. TEUs &amp; Activities - EF'!$A$9:$A$190,'2. TEUs &amp; Activities - EF'!$M$9:$M$190),_xlfn.XLOOKUP($B1237,'2. TEUs &amp; Activities - EF'!$B$9:$B$190,'2. TEUs &amp; Activities - EF'!$M$9:$M$190))*'3. Pollutant Emissions - EF'!$J1237*IF(OR(ISBLANK($E1237),$G1237="Yes"),1,$E1237)*IF($H1237="Yes",1,(1-$F1237))</f>
        <v>5.2705882352941172E-4</v>
      </c>
      <c r="O1237" s="130"/>
    </row>
    <row r="1238" spans="1:15" ht="15" x14ac:dyDescent="0.25">
      <c r="A1238" s="5" t="s">
        <v>1616</v>
      </c>
      <c r="B1238" s="7"/>
      <c r="C1238" s="13" t="s">
        <v>55</v>
      </c>
      <c r="D1238" s="19" t="str">
        <f>IFERROR(IF(C1238="No CAS","",INDEX('DEQ Pollutant List'!$B$7:$B$611,MATCH('3. Pollutant Emissions - EF'!C1238,'DEQ Pollutant List'!$A$7:$A$611,0))),"")</f>
        <v>Beryllium and compounds</v>
      </c>
      <c r="E1238" s="23">
        <v>0</v>
      </c>
      <c r="F1238" s="21">
        <v>0</v>
      </c>
      <c r="G1238" s="23" t="s">
        <v>1415</v>
      </c>
      <c r="H1238" s="21" t="s">
        <v>1415</v>
      </c>
      <c r="I1238" s="34">
        <v>1.2E-5</v>
      </c>
      <c r="J1238" s="11">
        <f t="shared" si="45"/>
        <v>1.2E-5</v>
      </c>
      <c r="K1238" s="6" t="s">
        <v>1416</v>
      </c>
      <c r="L1238" s="20" t="s">
        <v>1422</v>
      </c>
      <c r="M1238" s="7">
        <f>IF(ISBLANK($B1238),_xlfn.XLOOKUP($A1238,'2. TEUs &amp; Activities - EF'!$A$9:$A$190,'2. TEUs &amp; Activities - EF'!$J$9:$J$190),_xlfn.XLOOKUP($B1238,'2. TEUs &amp; Activities - EF'!$B$9:$B$190,'2. TEUs &amp; Activities - EF'!$J$9:$J$190))*'3. Pollutant Emissions - EF'!$I1238*IF(OR(ISBLANK($E1238),$G1238="Yes"),1,$E1238)*IF($H1238="Yes",1,(1-$F1238))</f>
        <v>2.8856470588235289E-4</v>
      </c>
      <c r="N1238" s="5">
        <f>IF(ISBLANK($B1238),_xlfn.XLOOKUP($A1238,'2. TEUs &amp; Activities - EF'!$A$9:$A$190,'2. TEUs &amp; Activities - EF'!$M$9:$M$190),_xlfn.XLOOKUP($B1238,'2. TEUs &amp; Activities - EF'!$B$9:$B$190,'2. TEUs &amp; Activities - EF'!$M$9:$M$190))*'3. Pollutant Emissions - EF'!$J1238*IF(OR(ISBLANK($E1238),$G1238="Yes"),1,$E1238)*IF($H1238="Yes",1,(1-$F1238))</f>
        <v>7.9058823529411757E-7</v>
      </c>
      <c r="O1238" s="130"/>
    </row>
    <row r="1239" spans="1:15" ht="15" x14ac:dyDescent="0.25">
      <c r="A1239" s="5" t="s">
        <v>1616</v>
      </c>
      <c r="B1239" s="7"/>
      <c r="C1239" s="13" t="s">
        <v>56</v>
      </c>
      <c r="D1239" s="19" t="str">
        <f>IFERROR(IF(C1239="No CAS","",INDEX('DEQ Pollutant List'!$B$7:$B$611,MATCH('3. Pollutant Emissions - EF'!C1239,'DEQ Pollutant List'!$A$7:$A$611,0))),"")</f>
        <v>Cadmium and compounds</v>
      </c>
      <c r="E1239" s="23">
        <v>0</v>
      </c>
      <c r="F1239" s="21">
        <v>0</v>
      </c>
      <c r="G1239" s="23" t="s">
        <v>1415</v>
      </c>
      <c r="H1239" s="21" t="s">
        <v>1415</v>
      </c>
      <c r="I1239" s="34">
        <v>1.1000000000000001E-3</v>
      </c>
      <c r="J1239" s="11">
        <f t="shared" si="45"/>
        <v>1.1000000000000001E-3</v>
      </c>
      <c r="K1239" s="6" t="s">
        <v>1416</v>
      </c>
      <c r="L1239" s="20" t="s">
        <v>1422</v>
      </c>
      <c r="M1239" s="7">
        <f>IF(ISBLANK($B1239),_xlfn.XLOOKUP($A1239,'2. TEUs &amp; Activities - EF'!$A$9:$A$190,'2. TEUs &amp; Activities - EF'!$J$9:$J$190),_xlfn.XLOOKUP($B1239,'2. TEUs &amp; Activities - EF'!$B$9:$B$190,'2. TEUs &amp; Activities - EF'!$J$9:$J$190))*'3. Pollutant Emissions - EF'!$I1239*IF(OR(ISBLANK($E1239),$G1239="Yes"),1,$E1239)*IF($H1239="Yes",1,(1-$F1239))</f>
        <v>2.6451764705882352E-2</v>
      </c>
      <c r="N1239" s="5">
        <f>IF(ISBLANK($B1239),_xlfn.XLOOKUP($A1239,'2. TEUs &amp; Activities - EF'!$A$9:$A$190,'2. TEUs &amp; Activities - EF'!$M$9:$M$190),_xlfn.XLOOKUP($B1239,'2. TEUs &amp; Activities - EF'!$B$9:$B$190,'2. TEUs &amp; Activities - EF'!$M$9:$M$190))*'3. Pollutant Emissions - EF'!$J1239*IF(OR(ISBLANK($E1239),$G1239="Yes"),1,$E1239)*IF($H1239="Yes",1,(1-$F1239))</f>
        <v>7.2470588235294109E-5</v>
      </c>
      <c r="O1239" s="130"/>
    </row>
    <row r="1240" spans="1:15" ht="15" x14ac:dyDescent="0.25">
      <c r="A1240" s="5" t="s">
        <v>1616</v>
      </c>
      <c r="B1240" s="7"/>
      <c r="C1240" s="13" t="s">
        <v>57</v>
      </c>
      <c r="D1240" s="19" t="str">
        <f>IFERROR(IF(C1240="No CAS","",INDEX('DEQ Pollutant List'!$B$7:$B$611,MATCH('3. Pollutant Emissions - EF'!C1240,'DEQ Pollutant List'!$A$7:$A$611,0))),"")</f>
        <v>Chromium VI, chromate and dichromate particulate</v>
      </c>
      <c r="E1240" s="23">
        <v>0</v>
      </c>
      <c r="F1240" s="21">
        <v>0</v>
      </c>
      <c r="G1240" s="23" t="s">
        <v>1415</v>
      </c>
      <c r="H1240" s="21" t="s">
        <v>1415</v>
      </c>
      <c r="I1240" s="34">
        <v>1.4E-3</v>
      </c>
      <c r="J1240" s="11">
        <f t="shared" si="45"/>
        <v>1.4E-3</v>
      </c>
      <c r="K1240" s="6" t="s">
        <v>1416</v>
      </c>
      <c r="L1240" s="20" t="s">
        <v>1422</v>
      </c>
      <c r="M1240" s="7">
        <f>IF(ISBLANK($B1240),_xlfn.XLOOKUP($A1240,'2. TEUs &amp; Activities - EF'!$A$9:$A$190,'2. TEUs &amp; Activities - EF'!$J$9:$J$190),_xlfn.XLOOKUP($B1240,'2. TEUs &amp; Activities - EF'!$B$9:$B$190,'2. TEUs &amp; Activities - EF'!$J$9:$J$190))*'3. Pollutant Emissions - EF'!$I1240*IF(OR(ISBLANK($E1240),$G1240="Yes"),1,$E1240)*IF($H1240="Yes",1,(1-$F1240))</f>
        <v>3.366588235294117E-2</v>
      </c>
      <c r="N1240" s="5">
        <f>IF(ISBLANK($B1240),_xlfn.XLOOKUP($A1240,'2. TEUs &amp; Activities - EF'!$A$9:$A$190,'2. TEUs &amp; Activities - EF'!$M$9:$M$190),_xlfn.XLOOKUP($B1240,'2. TEUs &amp; Activities - EF'!$B$9:$B$190,'2. TEUs &amp; Activities - EF'!$M$9:$M$190))*'3. Pollutant Emissions - EF'!$J1240*IF(OR(ISBLANK($E1240),$G1240="Yes"),1,$E1240)*IF($H1240="Yes",1,(1-$F1240))</f>
        <v>9.223529411764704E-5</v>
      </c>
      <c r="O1240" s="130"/>
    </row>
    <row r="1241" spans="1:15" ht="15" x14ac:dyDescent="0.25">
      <c r="A1241" s="5" t="s">
        <v>1616</v>
      </c>
      <c r="B1241" s="7"/>
      <c r="C1241" s="13" t="s">
        <v>58</v>
      </c>
      <c r="D1241" s="19" t="str">
        <f>IFERROR(IF(C1241="No CAS","",INDEX('DEQ Pollutant List'!$B$7:$B$611,MATCH('3. Pollutant Emissions - EF'!C1241,'DEQ Pollutant List'!$A$7:$A$611,0))),"")</f>
        <v>Cobalt and compounds</v>
      </c>
      <c r="E1241" s="23">
        <v>0</v>
      </c>
      <c r="F1241" s="21">
        <v>0</v>
      </c>
      <c r="G1241" s="23" t="s">
        <v>1415</v>
      </c>
      <c r="H1241" s="21" t="s">
        <v>1415</v>
      </c>
      <c r="I1241" s="34">
        <v>8.3999999999999995E-5</v>
      </c>
      <c r="J1241" s="11">
        <f t="shared" si="45"/>
        <v>8.3999999999999995E-5</v>
      </c>
      <c r="K1241" s="6" t="s">
        <v>1416</v>
      </c>
      <c r="L1241" s="20" t="s">
        <v>1422</v>
      </c>
      <c r="M1241" s="7">
        <f>IF(ISBLANK($B1241),_xlfn.XLOOKUP($A1241,'2. TEUs &amp; Activities - EF'!$A$9:$A$190,'2. TEUs &amp; Activities - EF'!$J$9:$J$190),_xlfn.XLOOKUP($B1241,'2. TEUs &amp; Activities - EF'!$B$9:$B$190,'2. TEUs &amp; Activities - EF'!$J$9:$J$190))*'3. Pollutant Emissions - EF'!$I1241*IF(OR(ISBLANK($E1241),$G1241="Yes"),1,$E1241)*IF($H1241="Yes",1,(1-$F1241))</f>
        <v>2.0199529411764703E-3</v>
      </c>
      <c r="N1241" s="5">
        <f>IF(ISBLANK($B1241),_xlfn.XLOOKUP($A1241,'2. TEUs &amp; Activities - EF'!$A$9:$A$190,'2. TEUs &amp; Activities - EF'!$M$9:$M$190),_xlfn.XLOOKUP($B1241,'2. TEUs &amp; Activities - EF'!$B$9:$B$190,'2. TEUs &amp; Activities - EF'!$M$9:$M$190))*'3. Pollutant Emissions - EF'!$J1241*IF(OR(ISBLANK($E1241),$G1241="Yes"),1,$E1241)*IF($H1241="Yes",1,(1-$F1241))</f>
        <v>5.5341176470588225E-6</v>
      </c>
      <c r="O1241" s="130"/>
    </row>
    <row r="1242" spans="1:15" ht="15" x14ac:dyDescent="0.25">
      <c r="A1242" s="5" t="s">
        <v>1616</v>
      </c>
      <c r="B1242" s="7"/>
      <c r="C1242" s="13" t="s">
        <v>59</v>
      </c>
      <c r="D1242" s="19" t="str">
        <f>IFERROR(IF(C1242="No CAS","",INDEX('DEQ Pollutant List'!$B$7:$B$611,MATCH('3. Pollutant Emissions - EF'!C1242,'DEQ Pollutant List'!$A$7:$A$611,0))),"")</f>
        <v>Copper and compounds</v>
      </c>
      <c r="E1242" s="23">
        <v>0</v>
      </c>
      <c r="F1242" s="21">
        <v>0</v>
      </c>
      <c r="G1242" s="23" t="s">
        <v>1415</v>
      </c>
      <c r="H1242" s="21" t="s">
        <v>1415</v>
      </c>
      <c r="I1242" s="34">
        <v>8.4999999999999995E-4</v>
      </c>
      <c r="J1242" s="11">
        <f t="shared" si="45"/>
        <v>8.4999999999999995E-4</v>
      </c>
      <c r="K1242" s="6" t="s">
        <v>1416</v>
      </c>
      <c r="L1242" s="20" t="s">
        <v>1422</v>
      </c>
      <c r="M1242" s="7">
        <f>IF(ISBLANK($B1242),_xlfn.XLOOKUP($A1242,'2. TEUs &amp; Activities - EF'!$A$9:$A$190,'2. TEUs &amp; Activities - EF'!$J$9:$J$190),_xlfn.XLOOKUP($B1242,'2. TEUs &amp; Activities - EF'!$B$9:$B$190,'2. TEUs &amp; Activities - EF'!$J$9:$J$190))*'3. Pollutant Emissions - EF'!$I1242*IF(OR(ISBLANK($E1242),$G1242="Yes"),1,$E1242)*IF($H1242="Yes",1,(1-$F1242))</f>
        <v>2.0439999999999996E-2</v>
      </c>
      <c r="N1242" s="5">
        <f>IF(ISBLANK($B1242),_xlfn.XLOOKUP($A1242,'2. TEUs &amp; Activities - EF'!$A$9:$A$190,'2. TEUs &amp; Activities - EF'!$M$9:$M$190),_xlfn.XLOOKUP($B1242,'2. TEUs &amp; Activities - EF'!$B$9:$B$190,'2. TEUs &amp; Activities - EF'!$M$9:$M$190))*'3. Pollutant Emissions - EF'!$J1242*IF(OR(ISBLANK($E1242),$G1242="Yes"),1,$E1242)*IF($H1242="Yes",1,(1-$F1242))</f>
        <v>5.5999999999999992E-5</v>
      </c>
      <c r="O1242" s="130"/>
    </row>
    <row r="1243" spans="1:15" ht="15" x14ac:dyDescent="0.25">
      <c r="A1243" s="5" t="s">
        <v>1616</v>
      </c>
      <c r="B1243" s="7"/>
      <c r="C1243" s="13" t="s">
        <v>60</v>
      </c>
      <c r="D1243" s="19" t="str">
        <f>IFERROR(IF(C1243="No CAS","",INDEX('DEQ Pollutant List'!$B$7:$B$611,MATCH('3. Pollutant Emissions - EF'!C1243,'DEQ Pollutant List'!$A$7:$A$611,0))),"")</f>
        <v>Ethyl benzene</v>
      </c>
      <c r="E1243" s="23">
        <v>0</v>
      </c>
      <c r="F1243" s="21">
        <v>0</v>
      </c>
      <c r="G1243" s="23" t="s">
        <v>1415</v>
      </c>
      <c r="H1243" s="21" t="s">
        <v>1415</v>
      </c>
      <c r="I1243" s="34">
        <v>9.4999999999999998E-3</v>
      </c>
      <c r="J1243" s="11">
        <f t="shared" si="45"/>
        <v>9.4999999999999998E-3</v>
      </c>
      <c r="K1243" s="6" t="s">
        <v>1416</v>
      </c>
      <c r="L1243" s="20" t="s">
        <v>1422</v>
      </c>
      <c r="M1243" s="7">
        <f>IF(ISBLANK($B1243),_xlfn.XLOOKUP($A1243,'2. TEUs &amp; Activities - EF'!$A$9:$A$190,'2. TEUs &amp; Activities - EF'!$J$9:$J$190),_xlfn.XLOOKUP($B1243,'2. TEUs &amp; Activities - EF'!$B$9:$B$190,'2. TEUs &amp; Activities - EF'!$J$9:$J$190))*'3. Pollutant Emissions - EF'!$I1243*IF(OR(ISBLANK($E1243),$G1243="Yes"),1,$E1243)*IF($H1243="Yes",1,(1-$F1243))</f>
        <v>0.22844705882352936</v>
      </c>
      <c r="N1243" s="5">
        <f>IF(ISBLANK($B1243),_xlfn.XLOOKUP($A1243,'2. TEUs &amp; Activities - EF'!$A$9:$A$190,'2. TEUs &amp; Activities - EF'!$M$9:$M$190),_xlfn.XLOOKUP($B1243,'2. TEUs &amp; Activities - EF'!$B$9:$B$190,'2. TEUs &amp; Activities - EF'!$M$9:$M$190))*'3. Pollutant Emissions - EF'!$J1243*IF(OR(ISBLANK($E1243),$G1243="Yes"),1,$E1243)*IF($H1243="Yes",1,(1-$F1243))</f>
        <v>6.2588235294117642E-4</v>
      </c>
      <c r="O1243" s="130"/>
    </row>
    <row r="1244" spans="1:15" ht="15" x14ac:dyDescent="0.25">
      <c r="A1244" s="5" t="s">
        <v>1616</v>
      </c>
      <c r="B1244" s="7"/>
      <c r="C1244" s="13" t="s">
        <v>47</v>
      </c>
      <c r="D1244" s="19" t="str">
        <f>IFERROR(IF(C1244="No CAS","",INDEX('DEQ Pollutant List'!$B$7:$B$611,MATCH('3. Pollutant Emissions - EF'!C1244,'DEQ Pollutant List'!$A$7:$A$611,0))),"")</f>
        <v>Formaldehyde</v>
      </c>
      <c r="E1244" s="23">
        <v>0</v>
      </c>
      <c r="F1244" s="21">
        <v>0</v>
      </c>
      <c r="G1244" s="23" t="s">
        <v>1415</v>
      </c>
      <c r="H1244" s="21" t="s">
        <v>1415</v>
      </c>
      <c r="I1244" s="34">
        <v>1.7000000000000001E-2</v>
      </c>
      <c r="J1244" s="11">
        <f t="shared" si="45"/>
        <v>1.7000000000000001E-2</v>
      </c>
      <c r="K1244" s="6" t="s">
        <v>1416</v>
      </c>
      <c r="L1244" s="20" t="s">
        <v>1422</v>
      </c>
      <c r="M1244" s="7">
        <f>IF(ISBLANK($B1244),_xlfn.XLOOKUP($A1244,'2. TEUs &amp; Activities - EF'!$A$9:$A$190,'2. TEUs &amp; Activities - EF'!$J$9:$J$190),_xlfn.XLOOKUP($B1244,'2. TEUs &amp; Activities - EF'!$B$9:$B$190,'2. TEUs &amp; Activities - EF'!$J$9:$J$190))*'3. Pollutant Emissions - EF'!$I1244*IF(OR(ISBLANK($E1244),$G1244="Yes"),1,$E1244)*IF($H1244="Yes",1,(1-$F1244))</f>
        <v>0.40879999999999994</v>
      </c>
      <c r="N1244" s="5">
        <f>IF(ISBLANK($B1244),_xlfn.XLOOKUP($A1244,'2. TEUs &amp; Activities - EF'!$A$9:$A$190,'2. TEUs &amp; Activities - EF'!$M$9:$M$190),_xlfn.XLOOKUP($B1244,'2. TEUs &amp; Activities - EF'!$B$9:$B$190,'2. TEUs &amp; Activities - EF'!$M$9:$M$190))*'3. Pollutant Emissions - EF'!$J1244*IF(OR(ISBLANK($E1244),$G1244="Yes"),1,$E1244)*IF($H1244="Yes",1,(1-$F1244))</f>
        <v>1.1199999999999999E-3</v>
      </c>
      <c r="O1244" s="130"/>
    </row>
    <row r="1245" spans="1:15" ht="15" x14ac:dyDescent="0.25">
      <c r="A1245" s="5" t="s">
        <v>1616</v>
      </c>
      <c r="B1245" s="7"/>
      <c r="C1245" s="13" t="s">
        <v>61</v>
      </c>
      <c r="D1245" s="19" t="str">
        <f>IFERROR(IF(C1245="No CAS","",INDEX('DEQ Pollutant List'!$B$7:$B$611,MATCH('3. Pollutant Emissions - EF'!C1245,'DEQ Pollutant List'!$A$7:$A$611,0))),"")</f>
        <v>Hexane</v>
      </c>
      <c r="E1245" s="23">
        <v>0</v>
      </c>
      <c r="F1245" s="21">
        <v>0</v>
      </c>
      <c r="G1245" s="23" t="s">
        <v>1415</v>
      </c>
      <c r="H1245" s="21" t="s">
        <v>1415</v>
      </c>
      <c r="I1245" s="34">
        <v>6.3E-3</v>
      </c>
      <c r="J1245" s="11">
        <f t="shared" si="45"/>
        <v>6.3E-3</v>
      </c>
      <c r="K1245" s="6" t="s">
        <v>1416</v>
      </c>
      <c r="L1245" s="20" t="s">
        <v>1422</v>
      </c>
      <c r="M1245" s="7">
        <f>IF(ISBLANK($B1245),_xlfn.XLOOKUP($A1245,'2. TEUs &amp; Activities - EF'!$A$9:$A$190,'2. TEUs &amp; Activities - EF'!$J$9:$J$190),_xlfn.XLOOKUP($B1245,'2. TEUs &amp; Activities - EF'!$B$9:$B$190,'2. TEUs &amp; Activities - EF'!$J$9:$J$190))*'3. Pollutant Emissions - EF'!$I1245*IF(OR(ISBLANK($E1245),$G1245="Yes"),1,$E1245)*IF($H1245="Yes",1,(1-$F1245))</f>
        <v>0.15149647058823526</v>
      </c>
      <c r="N1245" s="5">
        <f>IF(ISBLANK($B1245),_xlfn.XLOOKUP($A1245,'2. TEUs &amp; Activities - EF'!$A$9:$A$190,'2. TEUs &amp; Activities - EF'!$M$9:$M$190),_xlfn.XLOOKUP($B1245,'2. TEUs &amp; Activities - EF'!$B$9:$B$190,'2. TEUs &amp; Activities - EF'!$M$9:$M$190))*'3. Pollutant Emissions - EF'!$J1245*IF(OR(ISBLANK($E1245),$G1245="Yes"),1,$E1245)*IF($H1245="Yes",1,(1-$F1245))</f>
        <v>4.1505882352941171E-4</v>
      </c>
      <c r="O1245" s="130"/>
    </row>
    <row r="1246" spans="1:15" ht="15" x14ac:dyDescent="0.25">
      <c r="A1246" s="5" t="s">
        <v>1616</v>
      </c>
      <c r="B1246" s="7"/>
      <c r="C1246" s="13" t="s">
        <v>62</v>
      </c>
      <c r="D1246" s="19" t="str">
        <f>IFERROR(IF(C1246="No CAS","",INDEX('DEQ Pollutant List'!$B$7:$B$611,MATCH('3. Pollutant Emissions - EF'!C1246,'DEQ Pollutant List'!$A$7:$A$611,0))),"")</f>
        <v>Lead and compounds</v>
      </c>
      <c r="E1246" s="23">
        <v>0</v>
      </c>
      <c r="F1246" s="21">
        <v>0</v>
      </c>
      <c r="G1246" s="23" t="s">
        <v>1415</v>
      </c>
      <c r="H1246" s="21" t="s">
        <v>1415</v>
      </c>
      <c r="I1246" s="34">
        <v>5.0000000000000001E-4</v>
      </c>
      <c r="J1246" s="11">
        <f t="shared" si="45"/>
        <v>5.0000000000000001E-4</v>
      </c>
      <c r="K1246" s="6" t="s">
        <v>1416</v>
      </c>
      <c r="L1246" s="20" t="s">
        <v>1422</v>
      </c>
      <c r="M1246" s="7">
        <f>IF(ISBLANK($B1246),_xlfn.XLOOKUP($A1246,'2. TEUs &amp; Activities - EF'!$A$9:$A$190,'2. TEUs &amp; Activities - EF'!$J$9:$J$190),_xlfn.XLOOKUP($B1246,'2. TEUs &amp; Activities - EF'!$B$9:$B$190,'2. TEUs &amp; Activities - EF'!$J$9:$J$190))*'3. Pollutant Emissions - EF'!$I1246*IF(OR(ISBLANK($E1246),$G1246="Yes"),1,$E1246)*IF($H1246="Yes",1,(1-$F1246))</f>
        <v>1.2023529411764704E-2</v>
      </c>
      <c r="N1246" s="5">
        <f>IF(ISBLANK($B1246),_xlfn.XLOOKUP($A1246,'2. TEUs &amp; Activities - EF'!$A$9:$A$190,'2. TEUs &amp; Activities - EF'!$M$9:$M$190),_xlfn.XLOOKUP($B1246,'2. TEUs &amp; Activities - EF'!$B$9:$B$190,'2. TEUs &amp; Activities - EF'!$M$9:$M$190))*'3. Pollutant Emissions - EF'!$J1246*IF(OR(ISBLANK($E1246),$G1246="Yes"),1,$E1246)*IF($H1246="Yes",1,(1-$F1246))</f>
        <v>3.2941176470588232E-5</v>
      </c>
      <c r="O1246" s="130"/>
    </row>
    <row r="1247" spans="1:15" ht="15" x14ac:dyDescent="0.25">
      <c r="A1247" s="5" t="s">
        <v>1616</v>
      </c>
      <c r="B1247" s="7"/>
      <c r="C1247" s="13" t="s">
        <v>63</v>
      </c>
      <c r="D1247" s="19" t="str">
        <f>IFERROR(IF(C1247="No CAS","",INDEX('DEQ Pollutant List'!$B$7:$B$611,MATCH('3. Pollutant Emissions - EF'!C1247,'DEQ Pollutant List'!$A$7:$A$611,0))),"")</f>
        <v>Manganese and compounds</v>
      </c>
      <c r="E1247" s="23">
        <v>0</v>
      </c>
      <c r="F1247" s="21">
        <v>0</v>
      </c>
      <c r="G1247" s="23" t="s">
        <v>1415</v>
      </c>
      <c r="H1247" s="21" t="s">
        <v>1415</v>
      </c>
      <c r="I1247" s="34">
        <v>3.8000000000000002E-4</v>
      </c>
      <c r="J1247" s="11">
        <f t="shared" si="45"/>
        <v>3.8000000000000002E-4</v>
      </c>
      <c r="K1247" s="6" t="s">
        <v>1416</v>
      </c>
      <c r="L1247" s="20" t="s">
        <v>1422</v>
      </c>
      <c r="M1247" s="7">
        <f>IF(ISBLANK($B1247),_xlfn.XLOOKUP($A1247,'2. TEUs &amp; Activities - EF'!$A$9:$A$190,'2. TEUs &amp; Activities - EF'!$J$9:$J$190),_xlfn.XLOOKUP($B1247,'2. TEUs &amp; Activities - EF'!$B$9:$B$190,'2. TEUs &amp; Activities - EF'!$J$9:$J$190))*'3. Pollutant Emissions - EF'!$I1247*IF(OR(ISBLANK($E1247),$G1247="Yes"),1,$E1247)*IF($H1247="Yes",1,(1-$F1247))</f>
        <v>9.1378823529411762E-3</v>
      </c>
      <c r="N1247" s="5">
        <f>IF(ISBLANK($B1247),_xlfn.XLOOKUP($A1247,'2. TEUs &amp; Activities - EF'!$A$9:$A$190,'2. TEUs &amp; Activities - EF'!$M$9:$M$190),_xlfn.XLOOKUP($B1247,'2. TEUs &amp; Activities - EF'!$B$9:$B$190,'2. TEUs &amp; Activities - EF'!$M$9:$M$190))*'3. Pollutant Emissions - EF'!$J1247*IF(OR(ISBLANK($E1247),$G1247="Yes"),1,$E1247)*IF($H1247="Yes",1,(1-$F1247))</f>
        <v>2.5035294117647056E-5</v>
      </c>
      <c r="O1247" s="130"/>
    </row>
    <row r="1248" spans="1:15" ht="15" x14ac:dyDescent="0.25">
      <c r="A1248" s="5" t="s">
        <v>1616</v>
      </c>
      <c r="B1248" s="7"/>
      <c r="C1248" s="13" t="s">
        <v>64</v>
      </c>
      <c r="D1248" s="19" t="str">
        <f>IFERROR(IF(C1248="No CAS","",INDEX('DEQ Pollutant List'!$B$7:$B$611,MATCH('3. Pollutant Emissions - EF'!C1248,'DEQ Pollutant List'!$A$7:$A$611,0))),"")</f>
        <v>Mercury and compounds</v>
      </c>
      <c r="E1248" s="23">
        <v>0</v>
      </c>
      <c r="F1248" s="21">
        <v>0</v>
      </c>
      <c r="G1248" s="23" t="s">
        <v>1415</v>
      </c>
      <c r="H1248" s="21" t="s">
        <v>1415</v>
      </c>
      <c r="I1248" s="34">
        <v>2.5999999999999998E-4</v>
      </c>
      <c r="J1248" s="11">
        <f t="shared" si="45"/>
        <v>2.5999999999999998E-4</v>
      </c>
      <c r="K1248" s="6" t="s">
        <v>1416</v>
      </c>
      <c r="L1248" s="20" t="s">
        <v>1422</v>
      </c>
      <c r="M1248" s="7">
        <f>IF(ISBLANK($B1248),_xlfn.XLOOKUP($A1248,'2. TEUs &amp; Activities - EF'!$A$9:$A$190,'2. TEUs &amp; Activities - EF'!$J$9:$J$190),_xlfn.XLOOKUP($B1248,'2. TEUs &amp; Activities - EF'!$B$9:$B$190,'2. TEUs &amp; Activities - EF'!$J$9:$J$190))*'3. Pollutant Emissions - EF'!$I1248*IF(OR(ISBLANK($E1248),$G1248="Yes"),1,$E1248)*IF($H1248="Yes",1,(1-$F1248))</f>
        <v>6.2522352941176453E-3</v>
      </c>
      <c r="N1248" s="5">
        <f>IF(ISBLANK($B1248),_xlfn.XLOOKUP($A1248,'2. TEUs &amp; Activities - EF'!$A$9:$A$190,'2. TEUs &amp; Activities - EF'!$M$9:$M$190),_xlfn.XLOOKUP($B1248,'2. TEUs &amp; Activities - EF'!$B$9:$B$190,'2. TEUs &amp; Activities - EF'!$M$9:$M$190))*'3. Pollutant Emissions - EF'!$J1248*IF(OR(ISBLANK($E1248),$G1248="Yes"),1,$E1248)*IF($H1248="Yes",1,(1-$F1248))</f>
        <v>1.7129411764705877E-5</v>
      </c>
      <c r="O1248" s="130"/>
    </row>
    <row r="1249" spans="1:15" ht="15" x14ac:dyDescent="0.25">
      <c r="A1249" s="5" t="s">
        <v>1616</v>
      </c>
      <c r="B1249" s="7"/>
      <c r="C1249" s="13" t="s">
        <v>65</v>
      </c>
      <c r="D1249" s="19" t="str">
        <f>IFERROR(IF(C1249="No CAS","",INDEX('DEQ Pollutant List'!$B$7:$B$611,MATCH('3. Pollutant Emissions - EF'!C1249,'DEQ Pollutant List'!$A$7:$A$611,0))),"")</f>
        <v>Molybdenum trioxide</v>
      </c>
      <c r="E1249" s="23">
        <v>0</v>
      </c>
      <c r="F1249" s="21">
        <v>0</v>
      </c>
      <c r="G1249" s="23" t="s">
        <v>1415</v>
      </c>
      <c r="H1249" s="21" t="s">
        <v>1415</v>
      </c>
      <c r="I1249" s="34">
        <v>1.65E-3</v>
      </c>
      <c r="J1249" s="11">
        <f t="shared" si="45"/>
        <v>1.65E-3</v>
      </c>
      <c r="K1249" s="6" t="s">
        <v>1416</v>
      </c>
      <c r="L1249" s="20" t="s">
        <v>1422</v>
      </c>
      <c r="M1249" s="7">
        <f>IF(ISBLANK($B1249),_xlfn.XLOOKUP($A1249,'2. TEUs &amp; Activities - EF'!$A$9:$A$190,'2. TEUs &amp; Activities - EF'!$J$9:$J$190),_xlfn.XLOOKUP($B1249,'2. TEUs &amp; Activities - EF'!$B$9:$B$190,'2. TEUs &amp; Activities - EF'!$J$9:$J$190))*'3. Pollutant Emissions - EF'!$I1249*IF(OR(ISBLANK($E1249),$G1249="Yes"),1,$E1249)*IF($H1249="Yes",1,(1-$F1249))</f>
        <v>3.9677647058823526E-2</v>
      </c>
      <c r="N1249" s="5">
        <f>IF(ISBLANK($B1249),_xlfn.XLOOKUP($A1249,'2. TEUs &amp; Activities - EF'!$A$9:$A$190,'2. TEUs &amp; Activities - EF'!$M$9:$M$190),_xlfn.XLOOKUP($B1249,'2. TEUs &amp; Activities - EF'!$B$9:$B$190,'2. TEUs &amp; Activities - EF'!$M$9:$M$190))*'3. Pollutant Emissions - EF'!$J1249*IF(OR(ISBLANK($E1249),$G1249="Yes"),1,$E1249)*IF($H1249="Yes",1,(1-$F1249))</f>
        <v>1.0870588235294116E-4</v>
      </c>
      <c r="O1249" s="130"/>
    </row>
    <row r="1250" spans="1:15" ht="15" x14ac:dyDescent="0.25">
      <c r="A1250" s="5" t="s">
        <v>1616</v>
      </c>
      <c r="B1250" s="7"/>
      <c r="C1250" s="13" t="s">
        <v>49</v>
      </c>
      <c r="D1250" s="19" t="str">
        <f>IFERROR(IF(C1250="No CAS","",INDEX('DEQ Pollutant List'!$B$7:$B$611,MATCH('3. Pollutant Emissions - EF'!C1250,'DEQ Pollutant List'!$A$7:$A$611,0))),"")</f>
        <v>Naphthalene</v>
      </c>
      <c r="E1250" s="23">
        <v>0</v>
      </c>
      <c r="F1250" s="21">
        <v>0</v>
      </c>
      <c r="G1250" s="23" t="s">
        <v>1415</v>
      </c>
      <c r="H1250" s="21" t="s">
        <v>1415</v>
      </c>
      <c r="I1250" s="34">
        <v>2.9999999999999997E-4</v>
      </c>
      <c r="J1250" s="11">
        <f t="shared" si="45"/>
        <v>2.9999999999999997E-4</v>
      </c>
      <c r="K1250" s="6" t="s">
        <v>1416</v>
      </c>
      <c r="L1250" s="20" t="s">
        <v>1422</v>
      </c>
      <c r="M1250" s="7">
        <f>IF(ISBLANK($B1250),_xlfn.XLOOKUP($A1250,'2. TEUs &amp; Activities - EF'!$A$9:$A$190,'2. TEUs &amp; Activities - EF'!$J$9:$J$190),_xlfn.XLOOKUP($B1250,'2. TEUs &amp; Activities - EF'!$B$9:$B$190,'2. TEUs &amp; Activities - EF'!$J$9:$J$190))*'3. Pollutant Emissions - EF'!$I1250*IF(OR(ISBLANK($E1250),$G1250="Yes"),1,$E1250)*IF($H1250="Yes",1,(1-$F1250))</f>
        <v>7.2141176470588214E-3</v>
      </c>
      <c r="N1250" s="5">
        <f>IF(ISBLANK($B1250),_xlfn.XLOOKUP($A1250,'2. TEUs &amp; Activities - EF'!$A$9:$A$190,'2. TEUs &amp; Activities - EF'!$M$9:$M$190),_xlfn.XLOOKUP($B1250,'2. TEUs &amp; Activities - EF'!$B$9:$B$190,'2. TEUs &amp; Activities - EF'!$M$9:$M$190))*'3. Pollutant Emissions - EF'!$J1250*IF(OR(ISBLANK($E1250),$G1250="Yes"),1,$E1250)*IF($H1250="Yes",1,(1-$F1250))</f>
        <v>1.9764705882352938E-5</v>
      </c>
      <c r="O1250" s="130"/>
    </row>
    <row r="1251" spans="1:15" ht="15" x14ac:dyDescent="0.25">
      <c r="A1251" s="5" t="s">
        <v>1616</v>
      </c>
      <c r="B1251" s="7"/>
      <c r="C1251" s="13" t="s">
        <v>66</v>
      </c>
      <c r="D1251" s="19" t="str">
        <f>IFERROR(IF(C1251="No CAS","",INDEX('DEQ Pollutant List'!$B$7:$B$611,MATCH('3. Pollutant Emissions - EF'!C1251,'DEQ Pollutant List'!$A$7:$A$611,0))),"")</f>
        <v>Nickel and compounds</v>
      </c>
      <c r="E1251" s="23">
        <v>0</v>
      </c>
      <c r="F1251" s="21">
        <v>0</v>
      </c>
      <c r="G1251" s="23" t="s">
        <v>1415</v>
      </c>
      <c r="H1251" s="21" t="s">
        <v>1415</v>
      </c>
      <c r="I1251" s="34">
        <v>2.0999999999999999E-3</v>
      </c>
      <c r="J1251" s="11">
        <f t="shared" si="45"/>
        <v>2.0999999999999999E-3</v>
      </c>
      <c r="K1251" s="6" t="s">
        <v>1416</v>
      </c>
      <c r="L1251" s="20" t="s">
        <v>1422</v>
      </c>
      <c r="M1251" s="7">
        <f>IF(ISBLANK($B1251),_xlfn.XLOOKUP($A1251,'2. TEUs &amp; Activities - EF'!$A$9:$A$190,'2. TEUs &amp; Activities - EF'!$J$9:$J$190),_xlfn.XLOOKUP($B1251,'2. TEUs &amp; Activities - EF'!$B$9:$B$190,'2. TEUs &amp; Activities - EF'!$J$9:$J$190))*'3. Pollutant Emissions - EF'!$I1251*IF(OR(ISBLANK($E1251),$G1251="Yes"),1,$E1251)*IF($H1251="Yes",1,(1-$F1251))</f>
        <v>5.0498823529411756E-2</v>
      </c>
      <c r="N1251" s="5">
        <f>IF(ISBLANK($B1251),_xlfn.XLOOKUP($A1251,'2. TEUs &amp; Activities - EF'!$A$9:$A$190,'2. TEUs &amp; Activities - EF'!$M$9:$M$190),_xlfn.XLOOKUP($B1251,'2. TEUs &amp; Activities - EF'!$B$9:$B$190,'2. TEUs &amp; Activities - EF'!$M$9:$M$190))*'3. Pollutant Emissions - EF'!$J1251*IF(OR(ISBLANK($E1251),$G1251="Yes"),1,$E1251)*IF($H1251="Yes",1,(1-$F1251))</f>
        <v>1.3835294117647056E-4</v>
      </c>
      <c r="O1251" s="130"/>
    </row>
    <row r="1252" spans="1:15" ht="15" x14ac:dyDescent="0.25">
      <c r="A1252" s="5" t="s">
        <v>1616</v>
      </c>
      <c r="B1252" s="7"/>
      <c r="C1252" s="13">
        <v>401</v>
      </c>
      <c r="D1252" s="19" t="str">
        <f>IFERROR(IF(C1252="No CAS","",INDEX('DEQ Pollutant List'!$B$7:$B$611,MATCH('3. Pollutant Emissions - EF'!C1252,'DEQ Pollutant List'!$A$7:$A$611,0))),"")</f>
        <v>Polycyclic aromatic hydrocarbons (PAHs)</v>
      </c>
      <c r="E1252" s="23">
        <v>0</v>
      </c>
      <c r="F1252" s="21">
        <v>0</v>
      </c>
      <c r="G1252" s="23" t="s">
        <v>1415</v>
      </c>
      <c r="H1252" s="21" t="s">
        <v>1415</v>
      </c>
      <c r="I1252" s="34">
        <v>1E-4</v>
      </c>
      <c r="J1252" s="11">
        <f t="shared" si="45"/>
        <v>1E-4</v>
      </c>
      <c r="K1252" s="6" t="s">
        <v>1416</v>
      </c>
      <c r="L1252" s="20" t="s">
        <v>1422</v>
      </c>
      <c r="M1252" s="7">
        <f>IF(ISBLANK($B1252),_xlfn.XLOOKUP($A1252,'2. TEUs &amp; Activities - EF'!$A$9:$A$190,'2. TEUs &amp; Activities - EF'!$J$9:$J$190),_xlfn.XLOOKUP($B1252,'2. TEUs &amp; Activities - EF'!$B$9:$B$190,'2. TEUs &amp; Activities - EF'!$J$9:$J$190))*'3. Pollutant Emissions - EF'!$I1252*IF(OR(ISBLANK($E1252),$G1252="Yes"),1,$E1252)*IF($H1252="Yes",1,(1-$F1252))</f>
        <v>2.4047058823529407E-3</v>
      </c>
      <c r="N1252" s="5">
        <f>IF(ISBLANK($B1252),_xlfn.XLOOKUP($A1252,'2. TEUs &amp; Activities - EF'!$A$9:$A$190,'2. TEUs &amp; Activities - EF'!$M$9:$M$190),_xlfn.XLOOKUP($B1252,'2. TEUs &amp; Activities - EF'!$B$9:$B$190,'2. TEUs &amp; Activities - EF'!$M$9:$M$190))*'3. Pollutant Emissions - EF'!$J1252*IF(OR(ISBLANK($E1252),$G1252="Yes"),1,$E1252)*IF($H1252="Yes",1,(1-$F1252))</f>
        <v>6.5882352941176463E-6</v>
      </c>
      <c r="O1252" s="130"/>
    </row>
    <row r="1253" spans="1:15" ht="15" x14ac:dyDescent="0.25">
      <c r="A1253" s="5" t="s">
        <v>1616</v>
      </c>
      <c r="B1253" s="7"/>
      <c r="C1253" s="13" t="s">
        <v>67</v>
      </c>
      <c r="D1253" s="19" t="str">
        <f>IFERROR(IF(C1253="No CAS","",INDEX('DEQ Pollutant List'!$B$7:$B$611,MATCH('3. Pollutant Emissions - EF'!C1253,'DEQ Pollutant List'!$A$7:$A$611,0))),"")</f>
        <v>Selenium and compounds</v>
      </c>
      <c r="E1253" s="23">
        <v>0</v>
      </c>
      <c r="F1253" s="21">
        <v>0</v>
      </c>
      <c r="G1253" s="23" t="s">
        <v>1415</v>
      </c>
      <c r="H1253" s="21" t="s">
        <v>1415</v>
      </c>
      <c r="I1253" s="34">
        <v>2.4000000000000001E-5</v>
      </c>
      <c r="J1253" s="11">
        <f t="shared" si="45"/>
        <v>2.4000000000000001E-5</v>
      </c>
      <c r="K1253" s="6" t="s">
        <v>1416</v>
      </c>
      <c r="L1253" s="20" t="s">
        <v>1422</v>
      </c>
      <c r="M1253" s="7">
        <f>IF(ISBLANK($B1253),_xlfn.XLOOKUP($A1253,'2. TEUs &amp; Activities - EF'!$A$9:$A$190,'2. TEUs &amp; Activities - EF'!$J$9:$J$190),_xlfn.XLOOKUP($B1253,'2. TEUs &amp; Activities - EF'!$B$9:$B$190,'2. TEUs &amp; Activities - EF'!$J$9:$J$190))*'3. Pollutant Emissions - EF'!$I1253*IF(OR(ISBLANK($E1253),$G1253="Yes"),1,$E1253)*IF($H1253="Yes",1,(1-$F1253))</f>
        <v>5.7712941176470578E-4</v>
      </c>
      <c r="N1253" s="5">
        <f>IF(ISBLANK($B1253),_xlfn.XLOOKUP($A1253,'2. TEUs &amp; Activities - EF'!$A$9:$A$190,'2. TEUs &amp; Activities - EF'!$M$9:$M$190),_xlfn.XLOOKUP($B1253,'2. TEUs &amp; Activities - EF'!$B$9:$B$190,'2. TEUs &amp; Activities - EF'!$M$9:$M$190))*'3. Pollutant Emissions - EF'!$J1253*IF(OR(ISBLANK($E1253),$G1253="Yes"),1,$E1253)*IF($H1253="Yes",1,(1-$F1253))</f>
        <v>1.5811764705882351E-6</v>
      </c>
      <c r="O1253" s="130"/>
    </row>
    <row r="1254" spans="1:15" ht="15" x14ac:dyDescent="0.25">
      <c r="A1254" s="5" t="s">
        <v>1616</v>
      </c>
      <c r="B1254" s="7"/>
      <c r="C1254" s="13" t="s">
        <v>68</v>
      </c>
      <c r="D1254" s="19" t="str">
        <f>IFERROR(IF(C1254="No CAS","",INDEX('DEQ Pollutant List'!$B$7:$B$611,MATCH('3. Pollutant Emissions - EF'!C1254,'DEQ Pollutant List'!$A$7:$A$611,0))),"")</f>
        <v>Toluene</v>
      </c>
      <c r="E1254" s="23">
        <v>0</v>
      </c>
      <c r="F1254" s="21">
        <v>0</v>
      </c>
      <c r="G1254" s="23" t="s">
        <v>1415</v>
      </c>
      <c r="H1254" s="21" t="s">
        <v>1415</v>
      </c>
      <c r="I1254" s="34">
        <v>3.6600000000000001E-2</v>
      </c>
      <c r="J1254" s="11">
        <f t="shared" si="45"/>
        <v>3.6600000000000001E-2</v>
      </c>
      <c r="K1254" s="6" t="s">
        <v>1416</v>
      </c>
      <c r="L1254" s="20" t="s">
        <v>1422</v>
      </c>
      <c r="M1254" s="7">
        <f>IF(ISBLANK($B1254),_xlfn.XLOOKUP($A1254,'2. TEUs &amp; Activities - EF'!$A$9:$A$190,'2. TEUs &amp; Activities - EF'!$J$9:$J$190),_xlfn.XLOOKUP($B1254,'2. TEUs &amp; Activities - EF'!$B$9:$B$190,'2. TEUs &amp; Activities - EF'!$J$9:$J$190))*'3. Pollutant Emissions - EF'!$I1254*IF(OR(ISBLANK($E1254),$G1254="Yes"),1,$E1254)*IF($H1254="Yes",1,(1-$F1254))</f>
        <v>0.88012235294117636</v>
      </c>
      <c r="N1254" s="5">
        <f>IF(ISBLANK($B1254),_xlfn.XLOOKUP($A1254,'2. TEUs &amp; Activities - EF'!$A$9:$A$190,'2. TEUs &amp; Activities - EF'!$M$9:$M$190),_xlfn.XLOOKUP($B1254,'2. TEUs &amp; Activities - EF'!$B$9:$B$190,'2. TEUs &amp; Activities - EF'!$M$9:$M$190))*'3. Pollutant Emissions - EF'!$J1254*IF(OR(ISBLANK($E1254),$G1254="Yes"),1,$E1254)*IF($H1254="Yes",1,(1-$F1254))</f>
        <v>2.4112941176470584E-3</v>
      </c>
      <c r="O1254" s="130"/>
    </row>
    <row r="1255" spans="1:15" ht="15" x14ac:dyDescent="0.25">
      <c r="A1255" s="5" t="s">
        <v>1616</v>
      </c>
      <c r="B1255" s="7"/>
      <c r="C1255" s="13" t="s">
        <v>69</v>
      </c>
      <c r="D1255" s="19" t="str">
        <f>IFERROR(IF(C1255="No CAS","",INDEX('DEQ Pollutant List'!$B$7:$B$611,MATCH('3. Pollutant Emissions - EF'!C1255,'DEQ Pollutant List'!$A$7:$A$611,0))),"")</f>
        <v>Vanadium (fume or dust)</v>
      </c>
      <c r="E1255" s="23">
        <v>0</v>
      </c>
      <c r="F1255" s="21">
        <v>0</v>
      </c>
      <c r="G1255" s="23" t="s">
        <v>1415</v>
      </c>
      <c r="H1255" s="21" t="s">
        <v>1415</v>
      </c>
      <c r="I1255" s="34">
        <v>2.3E-3</v>
      </c>
      <c r="J1255" s="11">
        <f t="shared" si="45"/>
        <v>2.3E-3</v>
      </c>
      <c r="K1255" s="6" t="s">
        <v>1416</v>
      </c>
      <c r="L1255" s="20" t="s">
        <v>1422</v>
      </c>
      <c r="M1255" s="7">
        <f>IF(ISBLANK($B1255),_xlfn.XLOOKUP($A1255,'2. TEUs &amp; Activities - EF'!$A$9:$A$190,'2. TEUs &amp; Activities - EF'!$J$9:$J$190),_xlfn.XLOOKUP($B1255,'2. TEUs &amp; Activities - EF'!$B$9:$B$190,'2. TEUs &amp; Activities - EF'!$J$9:$J$190))*'3. Pollutant Emissions - EF'!$I1255*IF(OR(ISBLANK($E1255),$G1255="Yes"),1,$E1255)*IF($H1255="Yes",1,(1-$F1255))</f>
        <v>5.5308235294117637E-2</v>
      </c>
      <c r="N1255" s="5">
        <f>IF(ISBLANK($B1255),_xlfn.XLOOKUP($A1255,'2. TEUs &amp; Activities - EF'!$A$9:$A$190,'2. TEUs &amp; Activities - EF'!$M$9:$M$190),_xlfn.XLOOKUP($B1255,'2. TEUs &amp; Activities - EF'!$B$9:$B$190,'2. TEUs &amp; Activities - EF'!$M$9:$M$190))*'3. Pollutant Emissions - EF'!$J1255*IF(OR(ISBLANK($E1255),$G1255="Yes"),1,$E1255)*IF($H1255="Yes",1,(1-$F1255))</f>
        <v>1.5152941176470585E-4</v>
      </c>
      <c r="O1255" s="130"/>
    </row>
    <row r="1256" spans="1:15" ht="15" x14ac:dyDescent="0.25">
      <c r="A1256" s="5" t="s">
        <v>1616</v>
      </c>
      <c r="B1256" s="7"/>
      <c r="C1256" s="13" t="s">
        <v>70</v>
      </c>
      <c r="D1256" s="19" t="str">
        <f>IFERROR(IF(C1256="No CAS","",INDEX('DEQ Pollutant List'!$B$7:$B$611,MATCH('3. Pollutant Emissions - EF'!C1256,'DEQ Pollutant List'!$A$7:$A$611,0))),"")</f>
        <v>Xylene (mixture), including m-xylene, o-xylene, p-xylene</v>
      </c>
      <c r="E1256" s="23">
        <v>0</v>
      </c>
      <c r="F1256" s="21">
        <v>0</v>
      </c>
      <c r="G1256" s="23" t="s">
        <v>1415</v>
      </c>
      <c r="H1256" s="21" t="s">
        <v>1415</v>
      </c>
      <c r="I1256" s="34">
        <v>2.7199999999999998E-2</v>
      </c>
      <c r="J1256" s="11">
        <f t="shared" si="45"/>
        <v>2.7199999999999998E-2</v>
      </c>
      <c r="K1256" s="6" t="s">
        <v>1416</v>
      </c>
      <c r="L1256" s="20" t="s">
        <v>1422</v>
      </c>
      <c r="M1256" s="7">
        <f>IF(ISBLANK($B1256),_xlfn.XLOOKUP($A1256,'2. TEUs &amp; Activities - EF'!$A$9:$A$190,'2. TEUs &amp; Activities - EF'!$J$9:$J$190),_xlfn.XLOOKUP($B1256,'2. TEUs &amp; Activities - EF'!$B$9:$B$190,'2. TEUs &amp; Activities - EF'!$J$9:$J$190))*'3. Pollutant Emissions - EF'!$I1256*IF(OR(ISBLANK($E1256),$G1256="Yes"),1,$E1256)*IF($H1256="Yes",1,(1-$F1256))</f>
        <v>0.65407999999999988</v>
      </c>
      <c r="N1256" s="5">
        <f>IF(ISBLANK($B1256),_xlfn.XLOOKUP($A1256,'2. TEUs &amp; Activities - EF'!$A$9:$A$190,'2. TEUs &amp; Activities - EF'!$M$9:$M$190),_xlfn.XLOOKUP($B1256,'2. TEUs &amp; Activities - EF'!$B$9:$B$190,'2. TEUs &amp; Activities - EF'!$M$9:$M$190))*'3. Pollutant Emissions - EF'!$J1256*IF(OR(ISBLANK($E1256),$G1256="Yes"),1,$E1256)*IF($H1256="Yes",1,(1-$F1256))</f>
        <v>1.7919999999999998E-3</v>
      </c>
      <c r="O1256" s="130"/>
    </row>
    <row r="1257" spans="1:15" ht="15" x14ac:dyDescent="0.25">
      <c r="A1257" s="5" t="s">
        <v>1616</v>
      </c>
      <c r="B1257" s="7"/>
      <c r="C1257" s="13" t="s">
        <v>71</v>
      </c>
      <c r="D1257" s="19" t="str">
        <f>IFERROR(IF(C1257="No CAS","",INDEX('DEQ Pollutant List'!$B$7:$B$611,MATCH('3. Pollutant Emissions - EF'!C1257,'DEQ Pollutant List'!$A$7:$A$611,0))),"")</f>
        <v>Zinc and compounds</v>
      </c>
      <c r="E1257" s="23">
        <v>0</v>
      </c>
      <c r="F1257" s="21">
        <v>0</v>
      </c>
      <c r="G1257" s="23" t="s">
        <v>1415</v>
      </c>
      <c r="H1257" s="21" t="s">
        <v>1415</v>
      </c>
      <c r="I1257" s="34">
        <v>2.9000000000000001E-2</v>
      </c>
      <c r="J1257" s="11">
        <f t="shared" si="45"/>
        <v>2.9000000000000001E-2</v>
      </c>
      <c r="K1257" s="6" t="s">
        <v>1416</v>
      </c>
      <c r="L1257" s="20" t="s">
        <v>1422</v>
      </c>
      <c r="M1257" s="7">
        <f>IF(ISBLANK($B1257),_xlfn.XLOOKUP($A1257,'2. TEUs &amp; Activities - EF'!$A$9:$A$190,'2. TEUs &amp; Activities - EF'!$J$9:$J$190),_xlfn.XLOOKUP($B1257,'2. TEUs &amp; Activities - EF'!$B$9:$B$190,'2. TEUs &amp; Activities - EF'!$J$9:$J$190))*'3. Pollutant Emissions - EF'!$I1257*IF(OR(ISBLANK($E1257),$G1257="Yes"),1,$E1257)*IF($H1257="Yes",1,(1-$F1257))</f>
        <v>0.69736470588235289</v>
      </c>
      <c r="N1257" s="5">
        <f>IF(ISBLANK($B1257),_xlfn.XLOOKUP($A1257,'2. TEUs &amp; Activities - EF'!$A$9:$A$190,'2. TEUs &amp; Activities - EF'!$M$9:$M$190),_xlfn.XLOOKUP($B1257,'2. TEUs &amp; Activities - EF'!$B$9:$B$190,'2. TEUs &amp; Activities - EF'!$M$9:$M$190))*'3. Pollutant Emissions - EF'!$J1257*IF(OR(ISBLANK($E1257),$G1257="Yes"),1,$E1257)*IF($H1257="Yes",1,(1-$F1257))</f>
        <v>1.9105882352941175E-3</v>
      </c>
      <c r="O1257" s="130"/>
    </row>
    <row r="1258" spans="1:15" ht="15" x14ac:dyDescent="0.25">
      <c r="A1258" s="5"/>
      <c r="B1258" s="7"/>
      <c r="C1258" s="13"/>
      <c r="D1258" s="19" t="str">
        <f>IFERROR(IF(C1258="No CAS","",INDEX('DEQ Pollutant List'!$B$7:$B$611,MATCH('3. Pollutant Emissions - EF'!C1258,'DEQ Pollutant List'!$A$7:$A$611,0))),"")</f>
        <v/>
      </c>
      <c r="E1258" s="23"/>
      <c r="F1258" s="21"/>
      <c r="G1258" s="23"/>
      <c r="H1258" s="21"/>
      <c r="I1258" s="34"/>
      <c r="J1258" s="11"/>
      <c r="K1258" s="6"/>
      <c r="L1258" s="20"/>
      <c r="M1258" s="7">
        <f>IF(ISBLANK($B1258),_xlfn.XLOOKUP($A1258,'2. TEUs &amp; Activities - EF'!$A$9:$A$190,'2. TEUs &amp; Activities - EF'!$J$9:$J$190),_xlfn.XLOOKUP($B1258,'2. TEUs &amp; Activities - EF'!$B$9:$B$190,'2. TEUs &amp; Activities - EF'!$J$9:$J$190))*'3. Pollutant Emissions - EF'!$I1258*IF(OR(ISBLANK($E1258),$G1258="Yes"),1,$E1258)*IF($H1258="Yes",1,(1-$F1258))</f>
        <v>0</v>
      </c>
      <c r="N1258" s="5">
        <f>IF(ISBLANK($B1258),_xlfn.XLOOKUP($A1258,'2. TEUs &amp; Activities - EF'!$A$9:$A$190,'2. TEUs &amp; Activities - EF'!$M$9:$M$190),_xlfn.XLOOKUP($B1258,'2. TEUs &amp; Activities - EF'!$B$9:$B$190,'2. TEUs &amp; Activities - EF'!$M$9:$M$190))*'3. Pollutant Emissions - EF'!$J1258*IF(OR(ISBLANK($E1258),$G1258="Yes"),1,$E1258)*IF($H1258="Yes",1,(1-$F1258))</f>
        <v>0</v>
      </c>
      <c r="O1258" s="130"/>
    </row>
    <row r="1259" spans="1:15" ht="15" x14ac:dyDescent="0.25">
      <c r="A1259" s="5" t="s">
        <v>1617</v>
      </c>
      <c r="B1259" s="7"/>
      <c r="C1259" s="13" t="s">
        <v>48</v>
      </c>
      <c r="D1259" s="19" t="str">
        <f>IFERROR(IF(C1259="No CAS","",INDEX('DEQ Pollutant List'!$B$7:$B$611,MATCH('3. Pollutant Emissions - EF'!C1259,'DEQ Pollutant List'!$A$7:$A$611,0))),"")</f>
        <v>Benzo[a]pyrene</v>
      </c>
      <c r="E1259" s="23">
        <v>0</v>
      </c>
      <c r="F1259" s="21">
        <v>0</v>
      </c>
      <c r="G1259" s="23" t="s">
        <v>1415</v>
      </c>
      <c r="H1259" s="21" t="s">
        <v>1415</v>
      </c>
      <c r="I1259" s="34">
        <v>1.1999999999999999E-6</v>
      </c>
      <c r="J1259" s="11">
        <f t="shared" ref="J1259:J1285" si="46">I1259</f>
        <v>1.1999999999999999E-6</v>
      </c>
      <c r="K1259" s="6" t="s">
        <v>1416</v>
      </c>
      <c r="L1259" s="20" t="s">
        <v>1422</v>
      </c>
      <c r="M1259" s="7">
        <f>IF(ISBLANK($B1259),_xlfn.XLOOKUP($A1259,'2. TEUs &amp; Activities - EF'!$A$9:$A$190,'2. TEUs &amp; Activities - EF'!$J$9:$J$190),_xlfn.XLOOKUP($B1259,'2. TEUs &amp; Activities - EF'!$B$9:$B$190,'2. TEUs &amp; Activities - EF'!$J$9:$J$190))*'3. Pollutant Emissions - EF'!$I1259*IF(OR(ISBLANK($E1259),$G1259="Yes"),1,$E1259)*IF($H1259="Yes",1,(1-$F1259))</f>
        <v>2.885647058823529E-5</v>
      </c>
      <c r="N1259" s="5">
        <f>IF(ISBLANK($B1259),_xlfn.XLOOKUP($A1259,'2. TEUs &amp; Activities - EF'!$A$9:$A$190,'2. TEUs &amp; Activities - EF'!$M$9:$M$190),_xlfn.XLOOKUP($B1259,'2. TEUs &amp; Activities - EF'!$B$9:$B$190,'2. TEUs &amp; Activities - EF'!$M$9:$M$190))*'3. Pollutant Emissions - EF'!$J1259*IF(OR(ISBLANK($E1259),$G1259="Yes"),1,$E1259)*IF($H1259="Yes",1,(1-$F1259))</f>
        <v>7.9058823529411752E-8</v>
      </c>
      <c r="O1259" s="130"/>
    </row>
    <row r="1260" spans="1:15" ht="15" x14ac:dyDescent="0.25">
      <c r="A1260" s="5" t="s">
        <v>1617</v>
      </c>
      <c r="B1260" s="7"/>
      <c r="C1260" s="13" t="s">
        <v>50</v>
      </c>
      <c r="D1260" s="19" t="str">
        <f>IFERROR(IF(C1260="No CAS","",INDEX('DEQ Pollutant List'!$B$7:$B$611,MATCH('3. Pollutant Emissions - EF'!C1260,'DEQ Pollutant List'!$A$7:$A$611,0))),"")</f>
        <v>Acetaldehyde</v>
      </c>
      <c r="E1260" s="23">
        <v>0</v>
      </c>
      <c r="F1260" s="21">
        <v>0</v>
      </c>
      <c r="G1260" s="23" t="s">
        <v>1415</v>
      </c>
      <c r="H1260" s="21" t="s">
        <v>1415</v>
      </c>
      <c r="I1260" s="34">
        <v>4.3E-3</v>
      </c>
      <c r="J1260" s="11">
        <f t="shared" si="46"/>
        <v>4.3E-3</v>
      </c>
      <c r="K1260" s="6" t="s">
        <v>1416</v>
      </c>
      <c r="L1260" s="20" t="s">
        <v>1422</v>
      </c>
      <c r="M1260" s="7">
        <f>IF(ISBLANK($B1260),_xlfn.XLOOKUP($A1260,'2. TEUs &amp; Activities - EF'!$A$9:$A$190,'2. TEUs &amp; Activities - EF'!$J$9:$J$190),_xlfn.XLOOKUP($B1260,'2. TEUs &amp; Activities - EF'!$B$9:$B$190,'2. TEUs &amp; Activities - EF'!$J$9:$J$190))*'3. Pollutant Emissions - EF'!$I1260*IF(OR(ISBLANK($E1260),$G1260="Yes"),1,$E1260)*IF($H1260="Yes",1,(1-$F1260))</f>
        <v>0.10340235294117646</v>
      </c>
      <c r="N1260" s="5">
        <f>IF(ISBLANK($B1260),_xlfn.XLOOKUP($A1260,'2. TEUs &amp; Activities - EF'!$A$9:$A$190,'2. TEUs &amp; Activities - EF'!$M$9:$M$190),_xlfn.XLOOKUP($B1260,'2. TEUs &amp; Activities - EF'!$B$9:$B$190,'2. TEUs &amp; Activities - EF'!$M$9:$M$190))*'3. Pollutant Emissions - EF'!$J1260*IF(OR(ISBLANK($E1260),$G1260="Yes"),1,$E1260)*IF($H1260="Yes",1,(1-$F1260))</f>
        <v>2.8329411764705878E-4</v>
      </c>
      <c r="O1260" s="130"/>
    </row>
    <row r="1261" spans="1:15" ht="15" x14ac:dyDescent="0.25">
      <c r="A1261" s="5" t="s">
        <v>1617</v>
      </c>
      <c r="B1261" s="7"/>
      <c r="C1261" s="13" t="s">
        <v>51</v>
      </c>
      <c r="D1261" s="19" t="str">
        <f>IFERROR(IF(C1261="No CAS","",INDEX('DEQ Pollutant List'!$B$7:$B$611,MATCH('3. Pollutant Emissions - EF'!C1261,'DEQ Pollutant List'!$A$7:$A$611,0))),"")</f>
        <v>Acrolein</v>
      </c>
      <c r="E1261" s="23">
        <v>0</v>
      </c>
      <c r="F1261" s="21">
        <v>0</v>
      </c>
      <c r="G1261" s="23" t="s">
        <v>1415</v>
      </c>
      <c r="H1261" s="21" t="s">
        <v>1415</v>
      </c>
      <c r="I1261" s="34">
        <v>2.7000000000000001E-3</v>
      </c>
      <c r="J1261" s="11">
        <f t="shared" si="46"/>
        <v>2.7000000000000001E-3</v>
      </c>
      <c r="K1261" s="6" t="s">
        <v>1416</v>
      </c>
      <c r="L1261" s="20" t="s">
        <v>1422</v>
      </c>
      <c r="M1261" s="7">
        <f>IF(ISBLANK($B1261),_xlfn.XLOOKUP($A1261,'2. TEUs &amp; Activities - EF'!$A$9:$A$190,'2. TEUs &amp; Activities - EF'!$J$9:$J$190),_xlfn.XLOOKUP($B1261,'2. TEUs &amp; Activities - EF'!$B$9:$B$190,'2. TEUs &amp; Activities - EF'!$J$9:$J$190))*'3. Pollutant Emissions - EF'!$I1261*IF(OR(ISBLANK($E1261),$G1261="Yes"),1,$E1261)*IF($H1261="Yes",1,(1-$F1261))</f>
        <v>6.4927058823529407E-2</v>
      </c>
      <c r="N1261" s="5">
        <f>IF(ISBLANK($B1261),_xlfn.XLOOKUP($A1261,'2. TEUs &amp; Activities - EF'!$A$9:$A$190,'2. TEUs &amp; Activities - EF'!$M$9:$M$190),_xlfn.XLOOKUP($B1261,'2. TEUs &amp; Activities - EF'!$B$9:$B$190,'2. TEUs &amp; Activities - EF'!$M$9:$M$190))*'3. Pollutant Emissions - EF'!$J1261*IF(OR(ISBLANK($E1261),$G1261="Yes"),1,$E1261)*IF($H1261="Yes",1,(1-$F1261))</f>
        <v>1.7788235294117645E-4</v>
      </c>
      <c r="O1261" s="130"/>
    </row>
    <row r="1262" spans="1:15" ht="15" x14ac:dyDescent="0.25">
      <c r="A1262" s="5" t="s">
        <v>1617</v>
      </c>
      <c r="B1262" s="7"/>
      <c r="C1262" s="13" t="s">
        <v>52</v>
      </c>
      <c r="D1262" s="19" t="str">
        <f>IFERROR(IF(C1262="No CAS","",INDEX('DEQ Pollutant List'!$B$7:$B$611,MATCH('3. Pollutant Emissions - EF'!C1262,'DEQ Pollutant List'!$A$7:$A$611,0))),"")</f>
        <v>Ammonia</v>
      </c>
      <c r="E1262" s="23">
        <v>0</v>
      </c>
      <c r="F1262" s="21">
        <v>0</v>
      </c>
      <c r="G1262" s="23" t="s">
        <v>1415</v>
      </c>
      <c r="H1262" s="21" t="s">
        <v>1415</v>
      </c>
      <c r="I1262" s="34">
        <v>3.2</v>
      </c>
      <c r="J1262" s="11">
        <f t="shared" si="46"/>
        <v>3.2</v>
      </c>
      <c r="K1262" s="6" t="s">
        <v>1416</v>
      </c>
      <c r="L1262" s="20" t="s">
        <v>1586</v>
      </c>
      <c r="M1262" s="7">
        <f>IF(ISBLANK($B1262),_xlfn.XLOOKUP($A1262,'2. TEUs &amp; Activities - EF'!$A$9:$A$190,'2. TEUs &amp; Activities - EF'!$J$9:$J$190),_xlfn.XLOOKUP($B1262,'2. TEUs &amp; Activities - EF'!$B$9:$B$190,'2. TEUs &amp; Activities - EF'!$J$9:$J$190))*'3. Pollutant Emissions - EF'!$I1262*IF(OR(ISBLANK($E1262),$G1262="Yes"),1,$E1262)*IF($H1262="Yes",1,(1-$F1262))</f>
        <v>76.950588235294106</v>
      </c>
      <c r="N1262" s="5">
        <f>IF(ISBLANK($B1262),_xlfn.XLOOKUP($A1262,'2. TEUs &amp; Activities - EF'!$A$9:$A$190,'2. TEUs &amp; Activities - EF'!$M$9:$M$190),_xlfn.XLOOKUP($B1262,'2. TEUs &amp; Activities - EF'!$B$9:$B$190,'2. TEUs &amp; Activities - EF'!$M$9:$M$190))*'3. Pollutant Emissions - EF'!$J1262*IF(OR(ISBLANK($E1262),$G1262="Yes"),1,$E1262)*IF($H1262="Yes",1,(1-$F1262))</f>
        <v>0.21082352941176469</v>
      </c>
      <c r="O1262" s="130"/>
    </row>
    <row r="1263" spans="1:15" ht="15" x14ac:dyDescent="0.25">
      <c r="A1263" s="5" t="s">
        <v>1617</v>
      </c>
      <c r="B1263" s="7"/>
      <c r="C1263" s="13" t="s">
        <v>53</v>
      </c>
      <c r="D1263" s="19" t="str">
        <f>IFERROR(IF(C1263="No CAS","",INDEX('DEQ Pollutant List'!$B$7:$B$611,MATCH('3. Pollutant Emissions - EF'!C1263,'DEQ Pollutant List'!$A$7:$A$611,0))),"")</f>
        <v>Arsenic and compounds</v>
      </c>
      <c r="E1263" s="23">
        <v>0</v>
      </c>
      <c r="F1263" s="21">
        <v>0</v>
      </c>
      <c r="G1263" s="23" t="s">
        <v>1415</v>
      </c>
      <c r="H1263" s="21" t="s">
        <v>1415</v>
      </c>
      <c r="I1263" s="34">
        <v>2.0000000000000001E-4</v>
      </c>
      <c r="J1263" s="11">
        <f t="shared" si="46"/>
        <v>2.0000000000000001E-4</v>
      </c>
      <c r="K1263" s="6" t="s">
        <v>1416</v>
      </c>
      <c r="L1263" s="20" t="s">
        <v>1422</v>
      </c>
      <c r="M1263" s="7">
        <f>IF(ISBLANK($B1263),_xlfn.XLOOKUP($A1263,'2. TEUs &amp; Activities - EF'!$A$9:$A$190,'2. TEUs &amp; Activities - EF'!$J$9:$J$190),_xlfn.XLOOKUP($B1263,'2. TEUs &amp; Activities - EF'!$B$9:$B$190,'2. TEUs &amp; Activities - EF'!$J$9:$J$190))*'3. Pollutant Emissions - EF'!$I1263*IF(OR(ISBLANK($E1263),$G1263="Yes"),1,$E1263)*IF($H1263="Yes",1,(1-$F1263))</f>
        <v>4.8094117647058815E-3</v>
      </c>
      <c r="N1263" s="5">
        <f>IF(ISBLANK($B1263),_xlfn.XLOOKUP($A1263,'2. TEUs &amp; Activities - EF'!$A$9:$A$190,'2. TEUs &amp; Activities - EF'!$M$9:$M$190),_xlfn.XLOOKUP($B1263,'2. TEUs &amp; Activities - EF'!$B$9:$B$190,'2. TEUs &amp; Activities - EF'!$M$9:$M$190))*'3. Pollutant Emissions - EF'!$J1263*IF(OR(ISBLANK($E1263),$G1263="Yes"),1,$E1263)*IF($H1263="Yes",1,(1-$F1263))</f>
        <v>1.3176470588235293E-5</v>
      </c>
      <c r="O1263" s="130"/>
    </row>
    <row r="1264" spans="1:15" ht="15" x14ac:dyDescent="0.25">
      <c r="A1264" s="5" t="s">
        <v>1617</v>
      </c>
      <c r="B1264" s="7"/>
      <c r="C1264" s="13" t="s">
        <v>54</v>
      </c>
      <c r="D1264" s="19" t="str">
        <f>IFERROR(IF(C1264="No CAS","",INDEX('DEQ Pollutant List'!$B$7:$B$611,MATCH('3. Pollutant Emissions - EF'!C1264,'DEQ Pollutant List'!$A$7:$A$611,0))),"")</f>
        <v>Barium and compounds</v>
      </c>
      <c r="E1264" s="23">
        <v>0</v>
      </c>
      <c r="F1264" s="21">
        <v>0</v>
      </c>
      <c r="G1264" s="23" t="s">
        <v>1415</v>
      </c>
      <c r="H1264" s="21" t="s">
        <v>1415</v>
      </c>
      <c r="I1264" s="34">
        <v>4.4000000000000003E-3</v>
      </c>
      <c r="J1264" s="11">
        <f t="shared" si="46"/>
        <v>4.4000000000000003E-3</v>
      </c>
      <c r="K1264" s="6" t="s">
        <v>1416</v>
      </c>
      <c r="L1264" s="20" t="s">
        <v>1422</v>
      </c>
      <c r="M1264" s="7">
        <f>IF(ISBLANK($B1264),_xlfn.XLOOKUP($A1264,'2. TEUs &amp; Activities - EF'!$A$9:$A$190,'2. TEUs &amp; Activities - EF'!$J$9:$J$190),_xlfn.XLOOKUP($B1264,'2. TEUs &amp; Activities - EF'!$B$9:$B$190,'2. TEUs &amp; Activities - EF'!$J$9:$J$190))*'3. Pollutant Emissions - EF'!$I1264*IF(OR(ISBLANK($E1264),$G1264="Yes"),1,$E1264)*IF($H1264="Yes",1,(1-$F1264))</f>
        <v>0.10580705882352941</v>
      </c>
      <c r="N1264" s="5">
        <f>IF(ISBLANK($B1264),_xlfn.XLOOKUP($A1264,'2. TEUs &amp; Activities - EF'!$A$9:$A$190,'2. TEUs &amp; Activities - EF'!$M$9:$M$190),_xlfn.XLOOKUP($B1264,'2. TEUs &amp; Activities - EF'!$B$9:$B$190,'2. TEUs &amp; Activities - EF'!$M$9:$M$190))*'3. Pollutant Emissions - EF'!$J1264*IF(OR(ISBLANK($E1264),$G1264="Yes"),1,$E1264)*IF($H1264="Yes",1,(1-$F1264))</f>
        <v>2.8988235294117643E-4</v>
      </c>
      <c r="O1264" s="130"/>
    </row>
    <row r="1265" spans="1:15" ht="15" x14ac:dyDescent="0.25">
      <c r="A1265" s="5" t="s">
        <v>1617</v>
      </c>
      <c r="B1265" s="7"/>
      <c r="C1265" s="13" t="s">
        <v>46</v>
      </c>
      <c r="D1265" s="19" t="str">
        <f>IFERROR(IF(C1265="No CAS","",INDEX('DEQ Pollutant List'!$B$7:$B$611,MATCH('3. Pollutant Emissions - EF'!C1265,'DEQ Pollutant List'!$A$7:$A$611,0))),"")</f>
        <v>Benzene</v>
      </c>
      <c r="E1265" s="23">
        <v>0</v>
      </c>
      <c r="F1265" s="21">
        <v>0</v>
      </c>
      <c r="G1265" s="23" t="s">
        <v>1415</v>
      </c>
      <c r="H1265" s="21" t="s">
        <v>1415</v>
      </c>
      <c r="I1265" s="34">
        <v>8.0000000000000002E-3</v>
      </c>
      <c r="J1265" s="11">
        <f t="shared" si="46"/>
        <v>8.0000000000000002E-3</v>
      </c>
      <c r="K1265" s="6" t="s">
        <v>1416</v>
      </c>
      <c r="L1265" s="20" t="s">
        <v>1422</v>
      </c>
      <c r="M1265" s="7">
        <f>IF(ISBLANK($B1265),_xlfn.XLOOKUP($A1265,'2. TEUs &amp; Activities - EF'!$A$9:$A$190,'2. TEUs &amp; Activities - EF'!$J$9:$J$190),_xlfn.XLOOKUP($B1265,'2. TEUs &amp; Activities - EF'!$B$9:$B$190,'2. TEUs &amp; Activities - EF'!$J$9:$J$190))*'3. Pollutant Emissions - EF'!$I1265*IF(OR(ISBLANK($E1265),$G1265="Yes"),1,$E1265)*IF($H1265="Yes",1,(1-$F1265))</f>
        <v>0.19237647058823526</v>
      </c>
      <c r="N1265" s="5">
        <f>IF(ISBLANK($B1265),_xlfn.XLOOKUP($A1265,'2. TEUs &amp; Activities - EF'!$A$9:$A$190,'2. TEUs &amp; Activities - EF'!$M$9:$M$190),_xlfn.XLOOKUP($B1265,'2. TEUs &amp; Activities - EF'!$B$9:$B$190,'2. TEUs &amp; Activities - EF'!$M$9:$M$190))*'3. Pollutant Emissions - EF'!$J1265*IF(OR(ISBLANK($E1265),$G1265="Yes"),1,$E1265)*IF($H1265="Yes",1,(1-$F1265))</f>
        <v>5.2705882352941172E-4</v>
      </c>
      <c r="O1265" s="130"/>
    </row>
    <row r="1266" spans="1:15" ht="15" x14ac:dyDescent="0.25">
      <c r="A1266" s="5" t="s">
        <v>1617</v>
      </c>
      <c r="B1266" s="7"/>
      <c r="C1266" s="13" t="s">
        <v>55</v>
      </c>
      <c r="D1266" s="19" t="str">
        <f>IFERROR(IF(C1266="No CAS","",INDEX('DEQ Pollutant List'!$B$7:$B$611,MATCH('3. Pollutant Emissions - EF'!C1266,'DEQ Pollutant List'!$A$7:$A$611,0))),"")</f>
        <v>Beryllium and compounds</v>
      </c>
      <c r="E1266" s="23">
        <v>0</v>
      </c>
      <c r="F1266" s="21">
        <v>0</v>
      </c>
      <c r="G1266" s="23" t="s">
        <v>1415</v>
      </c>
      <c r="H1266" s="21" t="s">
        <v>1415</v>
      </c>
      <c r="I1266" s="34">
        <v>1.2E-5</v>
      </c>
      <c r="J1266" s="11">
        <f t="shared" si="46"/>
        <v>1.2E-5</v>
      </c>
      <c r="K1266" s="6" t="s">
        <v>1416</v>
      </c>
      <c r="L1266" s="20" t="s">
        <v>1422</v>
      </c>
      <c r="M1266" s="7">
        <f>IF(ISBLANK($B1266),_xlfn.XLOOKUP($A1266,'2. TEUs &amp; Activities - EF'!$A$9:$A$190,'2. TEUs &amp; Activities - EF'!$J$9:$J$190),_xlfn.XLOOKUP($B1266,'2. TEUs &amp; Activities - EF'!$B$9:$B$190,'2. TEUs &amp; Activities - EF'!$J$9:$J$190))*'3. Pollutant Emissions - EF'!$I1266*IF(OR(ISBLANK($E1266),$G1266="Yes"),1,$E1266)*IF($H1266="Yes",1,(1-$F1266))</f>
        <v>2.8856470588235289E-4</v>
      </c>
      <c r="N1266" s="5">
        <f>IF(ISBLANK($B1266),_xlfn.XLOOKUP($A1266,'2. TEUs &amp; Activities - EF'!$A$9:$A$190,'2. TEUs &amp; Activities - EF'!$M$9:$M$190),_xlfn.XLOOKUP($B1266,'2. TEUs &amp; Activities - EF'!$B$9:$B$190,'2. TEUs &amp; Activities - EF'!$M$9:$M$190))*'3. Pollutant Emissions - EF'!$J1266*IF(OR(ISBLANK($E1266),$G1266="Yes"),1,$E1266)*IF($H1266="Yes",1,(1-$F1266))</f>
        <v>7.9058823529411757E-7</v>
      </c>
      <c r="O1266" s="130"/>
    </row>
    <row r="1267" spans="1:15" ht="15" x14ac:dyDescent="0.25">
      <c r="A1267" s="5" t="s">
        <v>1617</v>
      </c>
      <c r="B1267" s="7"/>
      <c r="C1267" s="13" t="s">
        <v>56</v>
      </c>
      <c r="D1267" s="19" t="str">
        <f>IFERROR(IF(C1267="No CAS","",INDEX('DEQ Pollutant List'!$B$7:$B$611,MATCH('3. Pollutant Emissions - EF'!C1267,'DEQ Pollutant List'!$A$7:$A$611,0))),"")</f>
        <v>Cadmium and compounds</v>
      </c>
      <c r="E1267" s="23">
        <v>0</v>
      </c>
      <c r="F1267" s="21">
        <v>0</v>
      </c>
      <c r="G1267" s="23" t="s">
        <v>1415</v>
      </c>
      <c r="H1267" s="21" t="s">
        <v>1415</v>
      </c>
      <c r="I1267" s="34">
        <v>1.1000000000000001E-3</v>
      </c>
      <c r="J1267" s="11">
        <f t="shared" si="46"/>
        <v>1.1000000000000001E-3</v>
      </c>
      <c r="K1267" s="6" t="s">
        <v>1416</v>
      </c>
      <c r="L1267" s="20" t="s">
        <v>1422</v>
      </c>
      <c r="M1267" s="7">
        <f>IF(ISBLANK($B1267),_xlfn.XLOOKUP($A1267,'2. TEUs &amp; Activities - EF'!$A$9:$A$190,'2. TEUs &amp; Activities - EF'!$J$9:$J$190),_xlfn.XLOOKUP($B1267,'2. TEUs &amp; Activities - EF'!$B$9:$B$190,'2. TEUs &amp; Activities - EF'!$J$9:$J$190))*'3. Pollutant Emissions - EF'!$I1267*IF(OR(ISBLANK($E1267),$G1267="Yes"),1,$E1267)*IF($H1267="Yes",1,(1-$F1267))</f>
        <v>2.6451764705882352E-2</v>
      </c>
      <c r="N1267" s="5">
        <f>IF(ISBLANK($B1267),_xlfn.XLOOKUP($A1267,'2. TEUs &amp; Activities - EF'!$A$9:$A$190,'2. TEUs &amp; Activities - EF'!$M$9:$M$190),_xlfn.XLOOKUP($B1267,'2. TEUs &amp; Activities - EF'!$B$9:$B$190,'2. TEUs &amp; Activities - EF'!$M$9:$M$190))*'3. Pollutant Emissions - EF'!$J1267*IF(OR(ISBLANK($E1267),$G1267="Yes"),1,$E1267)*IF($H1267="Yes",1,(1-$F1267))</f>
        <v>7.2470588235294109E-5</v>
      </c>
      <c r="O1267" s="130"/>
    </row>
    <row r="1268" spans="1:15" ht="15" x14ac:dyDescent="0.25">
      <c r="A1268" s="5" t="s">
        <v>1617</v>
      </c>
      <c r="B1268" s="7"/>
      <c r="C1268" s="13" t="s">
        <v>57</v>
      </c>
      <c r="D1268" s="19" t="str">
        <f>IFERROR(IF(C1268="No CAS","",INDEX('DEQ Pollutant List'!$B$7:$B$611,MATCH('3. Pollutant Emissions - EF'!C1268,'DEQ Pollutant List'!$A$7:$A$611,0))),"")</f>
        <v>Chromium VI, chromate and dichromate particulate</v>
      </c>
      <c r="E1268" s="23">
        <v>0</v>
      </c>
      <c r="F1268" s="21">
        <v>0</v>
      </c>
      <c r="G1268" s="23" t="s">
        <v>1415</v>
      </c>
      <c r="H1268" s="21" t="s">
        <v>1415</v>
      </c>
      <c r="I1268" s="34">
        <v>1.4E-3</v>
      </c>
      <c r="J1268" s="11">
        <f t="shared" si="46"/>
        <v>1.4E-3</v>
      </c>
      <c r="K1268" s="6" t="s">
        <v>1416</v>
      </c>
      <c r="L1268" s="20" t="s">
        <v>1422</v>
      </c>
      <c r="M1268" s="7">
        <f>IF(ISBLANK($B1268),_xlfn.XLOOKUP($A1268,'2. TEUs &amp; Activities - EF'!$A$9:$A$190,'2. TEUs &amp; Activities - EF'!$J$9:$J$190),_xlfn.XLOOKUP($B1268,'2. TEUs &amp; Activities - EF'!$B$9:$B$190,'2. TEUs &amp; Activities - EF'!$J$9:$J$190))*'3. Pollutant Emissions - EF'!$I1268*IF(OR(ISBLANK($E1268),$G1268="Yes"),1,$E1268)*IF($H1268="Yes",1,(1-$F1268))</f>
        <v>3.366588235294117E-2</v>
      </c>
      <c r="N1268" s="5">
        <f>IF(ISBLANK($B1268),_xlfn.XLOOKUP($A1268,'2. TEUs &amp; Activities - EF'!$A$9:$A$190,'2. TEUs &amp; Activities - EF'!$M$9:$M$190),_xlfn.XLOOKUP($B1268,'2. TEUs &amp; Activities - EF'!$B$9:$B$190,'2. TEUs &amp; Activities - EF'!$M$9:$M$190))*'3. Pollutant Emissions - EF'!$J1268*IF(OR(ISBLANK($E1268),$G1268="Yes"),1,$E1268)*IF($H1268="Yes",1,(1-$F1268))</f>
        <v>9.223529411764704E-5</v>
      </c>
      <c r="O1268" s="130"/>
    </row>
    <row r="1269" spans="1:15" ht="15" x14ac:dyDescent="0.25">
      <c r="A1269" s="5" t="s">
        <v>1617</v>
      </c>
      <c r="B1269" s="7"/>
      <c r="C1269" s="13" t="s">
        <v>58</v>
      </c>
      <c r="D1269" s="19" t="str">
        <f>IFERROR(IF(C1269="No CAS","",INDEX('DEQ Pollutant List'!$B$7:$B$611,MATCH('3. Pollutant Emissions - EF'!C1269,'DEQ Pollutant List'!$A$7:$A$611,0))),"")</f>
        <v>Cobalt and compounds</v>
      </c>
      <c r="E1269" s="23">
        <v>0</v>
      </c>
      <c r="F1269" s="21">
        <v>0</v>
      </c>
      <c r="G1269" s="23" t="s">
        <v>1415</v>
      </c>
      <c r="H1269" s="21" t="s">
        <v>1415</v>
      </c>
      <c r="I1269" s="34">
        <v>8.3999999999999995E-5</v>
      </c>
      <c r="J1269" s="11">
        <f t="shared" si="46"/>
        <v>8.3999999999999995E-5</v>
      </c>
      <c r="K1269" s="6" t="s">
        <v>1416</v>
      </c>
      <c r="L1269" s="20" t="s">
        <v>1422</v>
      </c>
      <c r="M1269" s="7">
        <f>IF(ISBLANK($B1269),_xlfn.XLOOKUP($A1269,'2. TEUs &amp; Activities - EF'!$A$9:$A$190,'2. TEUs &amp; Activities - EF'!$J$9:$J$190),_xlfn.XLOOKUP($B1269,'2. TEUs &amp; Activities - EF'!$B$9:$B$190,'2. TEUs &amp; Activities - EF'!$J$9:$J$190))*'3. Pollutant Emissions - EF'!$I1269*IF(OR(ISBLANK($E1269),$G1269="Yes"),1,$E1269)*IF($H1269="Yes",1,(1-$F1269))</f>
        <v>2.0199529411764703E-3</v>
      </c>
      <c r="N1269" s="5">
        <f>IF(ISBLANK($B1269),_xlfn.XLOOKUP($A1269,'2. TEUs &amp; Activities - EF'!$A$9:$A$190,'2. TEUs &amp; Activities - EF'!$M$9:$M$190),_xlfn.XLOOKUP($B1269,'2. TEUs &amp; Activities - EF'!$B$9:$B$190,'2. TEUs &amp; Activities - EF'!$M$9:$M$190))*'3. Pollutant Emissions - EF'!$J1269*IF(OR(ISBLANK($E1269),$G1269="Yes"),1,$E1269)*IF($H1269="Yes",1,(1-$F1269))</f>
        <v>5.5341176470588225E-6</v>
      </c>
      <c r="O1269" s="130"/>
    </row>
    <row r="1270" spans="1:15" ht="15" x14ac:dyDescent="0.25">
      <c r="A1270" s="5" t="s">
        <v>1617</v>
      </c>
      <c r="B1270" s="7"/>
      <c r="C1270" s="13" t="s">
        <v>59</v>
      </c>
      <c r="D1270" s="19" t="str">
        <f>IFERROR(IF(C1270="No CAS","",INDEX('DEQ Pollutant List'!$B$7:$B$611,MATCH('3. Pollutant Emissions - EF'!C1270,'DEQ Pollutant List'!$A$7:$A$611,0))),"")</f>
        <v>Copper and compounds</v>
      </c>
      <c r="E1270" s="23">
        <v>0</v>
      </c>
      <c r="F1270" s="21">
        <v>0</v>
      </c>
      <c r="G1270" s="23" t="s">
        <v>1415</v>
      </c>
      <c r="H1270" s="21" t="s">
        <v>1415</v>
      </c>
      <c r="I1270" s="34">
        <v>8.4999999999999995E-4</v>
      </c>
      <c r="J1270" s="11">
        <f t="shared" si="46"/>
        <v>8.4999999999999995E-4</v>
      </c>
      <c r="K1270" s="6" t="s">
        <v>1416</v>
      </c>
      <c r="L1270" s="20" t="s">
        <v>1422</v>
      </c>
      <c r="M1270" s="7">
        <f>IF(ISBLANK($B1270),_xlfn.XLOOKUP($A1270,'2. TEUs &amp; Activities - EF'!$A$9:$A$190,'2. TEUs &amp; Activities - EF'!$J$9:$J$190),_xlfn.XLOOKUP($B1270,'2. TEUs &amp; Activities - EF'!$B$9:$B$190,'2. TEUs &amp; Activities - EF'!$J$9:$J$190))*'3. Pollutant Emissions - EF'!$I1270*IF(OR(ISBLANK($E1270),$G1270="Yes"),1,$E1270)*IF($H1270="Yes",1,(1-$F1270))</f>
        <v>2.0439999999999996E-2</v>
      </c>
      <c r="N1270" s="5">
        <f>IF(ISBLANK($B1270),_xlfn.XLOOKUP($A1270,'2. TEUs &amp; Activities - EF'!$A$9:$A$190,'2. TEUs &amp; Activities - EF'!$M$9:$M$190),_xlfn.XLOOKUP($B1270,'2. TEUs &amp; Activities - EF'!$B$9:$B$190,'2. TEUs &amp; Activities - EF'!$M$9:$M$190))*'3. Pollutant Emissions - EF'!$J1270*IF(OR(ISBLANK($E1270),$G1270="Yes"),1,$E1270)*IF($H1270="Yes",1,(1-$F1270))</f>
        <v>5.5999999999999992E-5</v>
      </c>
      <c r="O1270" s="130"/>
    </row>
    <row r="1271" spans="1:15" ht="15" x14ac:dyDescent="0.25">
      <c r="A1271" s="5" t="s">
        <v>1617</v>
      </c>
      <c r="B1271" s="7"/>
      <c r="C1271" s="13" t="s">
        <v>60</v>
      </c>
      <c r="D1271" s="19" t="str">
        <f>IFERROR(IF(C1271="No CAS","",INDEX('DEQ Pollutant List'!$B$7:$B$611,MATCH('3. Pollutant Emissions - EF'!C1271,'DEQ Pollutant List'!$A$7:$A$611,0))),"")</f>
        <v>Ethyl benzene</v>
      </c>
      <c r="E1271" s="23">
        <v>0</v>
      </c>
      <c r="F1271" s="21">
        <v>0</v>
      </c>
      <c r="G1271" s="23" t="s">
        <v>1415</v>
      </c>
      <c r="H1271" s="21" t="s">
        <v>1415</v>
      </c>
      <c r="I1271" s="34">
        <v>9.4999999999999998E-3</v>
      </c>
      <c r="J1271" s="11">
        <f t="shared" si="46"/>
        <v>9.4999999999999998E-3</v>
      </c>
      <c r="K1271" s="6" t="s">
        <v>1416</v>
      </c>
      <c r="L1271" s="20" t="s">
        <v>1422</v>
      </c>
      <c r="M1271" s="7">
        <f>IF(ISBLANK($B1271),_xlfn.XLOOKUP($A1271,'2. TEUs &amp; Activities - EF'!$A$9:$A$190,'2. TEUs &amp; Activities - EF'!$J$9:$J$190),_xlfn.XLOOKUP($B1271,'2. TEUs &amp; Activities - EF'!$B$9:$B$190,'2. TEUs &amp; Activities - EF'!$J$9:$J$190))*'3. Pollutant Emissions - EF'!$I1271*IF(OR(ISBLANK($E1271),$G1271="Yes"),1,$E1271)*IF($H1271="Yes",1,(1-$F1271))</f>
        <v>0.22844705882352936</v>
      </c>
      <c r="N1271" s="5">
        <f>IF(ISBLANK($B1271),_xlfn.XLOOKUP($A1271,'2. TEUs &amp; Activities - EF'!$A$9:$A$190,'2. TEUs &amp; Activities - EF'!$M$9:$M$190),_xlfn.XLOOKUP($B1271,'2. TEUs &amp; Activities - EF'!$B$9:$B$190,'2. TEUs &amp; Activities - EF'!$M$9:$M$190))*'3. Pollutant Emissions - EF'!$J1271*IF(OR(ISBLANK($E1271),$G1271="Yes"),1,$E1271)*IF($H1271="Yes",1,(1-$F1271))</f>
        <v>6.2588235294117642E-4</v>
      </c>
      <c r="O1271" s="130"/>
    </row>
    <row r="1272" spans="1:15" ht="15" x14ac:dyDescent="0.25">
      <c r="A1272" s="5" t="s">
        <v>1617</v>
      </c>
      <c r="B1272" s="7"/>
      <c r="C1272" s="13" t="s">
        <v>47</v>
      </c>
      <c r="D1272" s="19" t="str">
        <f>IFERROR(IF(C1272="No CAS","",INDEX('DEQ Pollutant List'!$B$7:$B$611,MATCH('3. Pollutant Emissions - EF'!C1272,'DEQ Pollutant List'!$A$7:$A$611,0))),"")</f>
        <v>Formaldehyde</v>
      </c>
      <c r="E1272" s="23">
        <v>0</v>
      </c>
      <c r="F1272" s="21">
        <v>0</v>
      </c>
      <c r="G1272" s="23" t="s">
        <v>1415</v>
      </c>
      <c r="H1272" s="21" t="s">
        <v>1415</v>
      </c>
      <c r="I1272" s="34">
        <v>1.7000000000000001E-2</v>
      </c>
      <c r="J1272" s="11">
        <f t="shared" si="46"/>
        <v>1.7000000000000001E-2</v>
      </c>
      <c r="K1272" s="6" t="s">
        <v>1416</v>
      </c>
      <c r="L1272" s="20" t="s">
        <v>1422</v>
      </c>
      <c r="M1272" s="7">
        <f>IF(ISBLANK($B1272),_xlfn.XLOOKUP($A1272,'2. TEUs &amp; Activities - EF'!$A$9:$A$190,'2. TEUs &amp; Activities - EF'!$J$9:$J$190),_xlfn.XLOOKUP($B1272,'2. TEUs &amp; Activities - EF'!$B$9:$B$190,'2. TEUs &amp; Activities - EF'!$J$9:$J$190))*'3. Pollutant Emissions - EF'!$I1272*IF(OR(ISBLANK($E1272),$G1272="Yes"),1,$E1272)*IF($H1272="Yes",1,(1-$F1272))</f>
        <v>0.40879999999999994</v>
      </c>
      <c r="N1272" s="5">
        <f>IF(ISBLANK($B1272),_xlfn.XLOOKUP($A1272,'2. TEUs &amp; Activities - EF'!$A$9:$A$190,'2. TEUs &amp; Activities - EF'!$M$9:$M$190),_xlfn.XLOOKUP($B1272,'2. TEUs &amp; Activities - EF'!$B$9:$B$190,'2. TEUs &amp; Activities - EF'!$M$9:$M$190))*'3. Pollutant Emissions - EF'!$J1272*IF(OR(ISBLANK($E1272),$G1272="Yes"),1,$E1272)*IF($H1272="Yes",1,(1-$F1272))</f>
        <v>1.1199999999999999E-3</v>
      </c>
      <c r="O1272" s="130"/>
    </row>
    <row r="1273" spans="1:15" ht="15" x14ac:dyDescent="0.25">
      <c r="A1273" s="5" t="s">
        <v>1617</v>
      </c>
      <c r="B1273" s="7"/>
      <c r="C1273" s="13" t="s">
        <v>61</v>
      </c>
      <c r="D1273" s="19" t="str">
        <f>IFERROR(IF(C1273="No CAS","",INDEX('DEQ Pollutant List'!$B$7:$B$611,MATCH('3. Pollutant Emissions - EF'!C1273,'DEQ Pollutant List'!$A$7:$A$611,0))),"")</f>
        <v>Hexane</v>
      </c>
      <c r="E1273" s="23">
        <v>0</v>
      </c>
      <c r="F1273" s="21">
        <v>0</v>
      </c>
      <c r="G1273" s="23" t="s">
        <v>1415</v>
      </c>
      <c r="H1273" s="21" t="s">
        <v>1415</v>
      </c>
      <c r="I1273" s="34">
        <v>6.3E-3</v>
      </c>
      <c r="J1273" s="11">
        <f t="shared" si="46"/>
        <v>6.3E-3</v>
      </c>
      <c r="K1273" s="6" t="s">
        <v>1416</v>
      </c>
      <c r="L1273" s="20" t="s">
        <v>1422</v>
      </c>
      <c r="M1273" s="7">
        <f>IF(ISBLANK($B1273),_xlfn.XLOOKUP($A1273,'2. TEUs &amp; Activities - EF'!$A$9:$A$190,'2. TEUs &amp; Activities - EF'!$J$9:$J$190),_xlfn.XLOOKUP($B1273,'2. TEUs &amp; Activities - EF'!$B$9:$B$190,'2. TEUs &amp; Activities - EF'!$J$9:$J$190))*'3. Pollutant Emissions - EF'!$I1273*IF(OR(ISBLANK($E1273),$G1273="Yes"),1,$E1273)*IF($H1273="Yes",1,(1-$F1273))</f>
        <v>0.15149647058823526</v>
      </c>
      <c r="N1273" s="5">
        <f>IF(ISBLANK($B1273),_xlfn.XLOOKUP($A1273,'2. TEUs &amp; Activities - EF'!$A$9:$A$190,'2. TEUs &amp; Activities - EF'!$M$9:$M$190),_xlfn.XLOOKUP($B1273,'2. TEUs &amp; Activities - EF'!$B$9:$B$190,'2. TEUs &amp; Activities - EF'!$M$9:$M$190))*'3. Pollutant Emissions - EF'!$J1273*IF(OR(ISBLANK($E1273),$G1273="Yes"),1,$E1273)*IF($H1273="Yes",1,(1-$F1273))</f>
        <v>4.1505882352941171E-4</v>
      </c>
      <c r="O1273" s="130"/>
    </row>
    <row r="1274" spans="1:15" ht="15" x14ac:dyDescent="0.25">
      <c r="A1274" s="5" t="s">
        <v>1617</v>
      </c>
      <c r="B1274" s="7"/>
      <c r="C1274" s="13" t="s">
        <v>62</v>
      </c>
      <c r="D1274" s="19" t="str">
        <f>IFERROR(IF(C1274="No CAS","",INDEX('DEQ Pollutant List'!$B$7:$B$611,MATCH('3. Pollutant Emissions - EF'!C1274,'DEQ Pollutant List'!$A$7:$A$611,0))),"")</f>
        <v>Lead and compounds</v>
      </c>
      <c r="E1274" s="23">
        <v>0</v>
      </c>
      <c r="F1274" s="21">
        <v>0</v>
      </c>
      <c r="G1274" s="23" t="s">
        <v>1415</v>
      </c>
      <c r="H1274" s="21" t="s">
        <v>1415</v>
      </c>
      <c r="I1274" s="34">
        <v>5.0000000000000001E-4</v>
      </c>
      <c r="J1274" s="11">
        <f t="shared" si="46"/>
        <v>5.0000000000000001E-4</v>
      </c>
      <c r="K1274" s="6" t="s">
        <v>1416</v>
      </c>
      <c r="L1274" s="20" t="s">
        <v>1422</v>
      </c>
      <c r="M1274" s="7">
        <f>IF(ISBLANK($B1274),_xlfn.XLOOKUP($A1274,'2. TEUs &amp; Activities - EF'!$A$9:$A$190,'2. TEUs &amp; Activities - EF'!$J$9:$J$190),_xlfn.XLOOKUP($B1274,'2. TEUs &amp; Activities - EF'!$B$9:$B$190,'2. TEUs &amp; Activities - EF'!$J$9:$J$190))*'3. Pollutant Emissions - EF'!$I1274*IF(OR(ISBLANK($E1274),$G1274="Yes"),1,$E1274)*IF($H1274="Yes",1,(1-$F1274))</f>
        <v>1.2023529411764704E-2</v>
      </c>
      <c r="N1274" s="5">
        <f>IF(ISBLANK($B1274),_xlfn.XLOOKUP($A1274,'2. TEUs &amp; Activities - EF'!$A$9:$A$190,'2. TEUs &amp; Activities - EF'!$M$9:$M$190),_xlfn.XLOOKUP($B1274,'2. TEUs &amp; Activities - EF'!$B$9:$B$190,'2. TEUs &amp; Activities - EF'!$M$9:$M$190))*'3. Pollutant Emissions - EF'!$J1274*IF(OR(ISBLANK($E1274),$G1274="Yes"),1,$E1274)*IF($H1274="Yes",1,(1-$F1274))</f>
        <v>3.2941176470588232E-5</v>
      </c>
      <c r="O1274" s="130"/>
    </row>
    <row r="1275" spans="1:15" ht="15" x14ac:dyDescent="0.25">
      <c r="A1275" s="5" t="s">
        <v>1617</v>
      </c>
      <c r="B1275" s="7"/>
      <c r="C1275" s="13" t="s">
        <v>63</v>
      </c>
      <c r="D1275" s="19" t="str">
        <f>IFERROR(IF(C1275="No CAS","",INDEX('DEQ Pollutant List'!$B$7:$B$611,MATCH('3. Pollutant Emissions - EF'!C1275,'DEQ Pollutant List'!$A$7:$A$611,0))),"")</f>
        <v>Manganese and compounds</v>
      </c>
      <c r="E1275" s="23">
        <v>0</v>
      </c>
      <c r="F1275" s="21">
        <v>0</v>
      </c>
      <c r="G1275" s="23" t="s">
        <v>1415</v>
      </c>
      <c r="H1275" s="21" t="s">
        <v>1415</v>
      </c>
      <c r="I1275" s="34">
        <v>3.8000000000000002E-4</v>
      </c>
      <c r="J1275" s="11">
        <f t="shared" si="46"/>
        <v>3.8000000000000002E-4</v>
      </c>
      <c r="K1275" s="6" t="s">
        <v>1416</v>
      </c>
      <c r="L1275" s="20" t="s">
        <v>1422</v>
      </c>
      <c r="M1275" s="7">
        <f>IF(ISBLANK($B1275),_xlfn.XLOOKUP($A1275,'2. TEUs &amp; Activities - EF'!$A$9:$A$190,'2. TEUs &amp; Activities - EF'!$J$9:$J$190),_xlfn.XLOOKUP($B1275,'2. TEUs &amp; Activities - EF'!$B$9:$B$190,'2. TEUs &amp; Activities - EF'!$J$9:$J$190))*'3. Pollutant Emissions - EF'!$I1275*IF(OR(ISBLANK($E1275),$G1275="Yes"),1,$E1275)*IF($H1275="Yes",1,(1-$F1275))</f>
        <v>9.1378823529411762E-3</v>
      </c>
      <c r="N1275" s="5">
        <f>IF(ISBLANK($B1275),_xlfn.XLOOKUP($A1275,'2. TEUs &amp; Activities - EF'!$A$9:$A$190,'2. TEUs &amp; Activities - EF'!$M$9:$M$190),_xlfn.XLOOKUP($B1275,'2. TEUs &amp; Activities - EF'!$B$9:$B$190,'2. TEUs &amp; Activities - EF'!$M$9:$M$190))*'3. Pollutant Emissions - EF'!$J1275*IF(OR(ISBLANK($E1275),$G1275="Yes"),1,$E1275)*IF($H1275="Yes",1,(1-$F1275))</f>
        <v>2.5035294117647056E-5</v>
      </c>
      <c r="O1275" s="130"/>
    </row>
    <row r="1276" spans="1:15" ht="15" x14ac:dyDescent="0.25">
      <c r="A1276" s="5" t="s">
        <v>1617</v>
      </c>
      <c r="B1276" s="7"/>
      <c r="C1276" s="13" t="s">
        <v>64</v>
      </c>
      <c r="D1276" s="19" t="str">
        <f>IFERROR(IF(C1276="No CAS","",INDEX('DEQ Pollutant List'!$B$7:$B$611,MATCH('3. Pollutant Emissions - EF'!C1276,'DEQ Pollutant List'!$A$7:$A$611,0))),"")</f>
        <v>Mercury and compounds</v>
      </c>
      <c r="E1276" s="23">
        <v>0</v>
      </c>
      <c r="F1276" s="21">
        <v>0</v>
      </c>
      <c r="G1276" s="23" t="s">
        <v>1415</v>
      </c>
      <c r="H1276" s="21" t="s">
        <v>1415</v>
      </c>
      <c r="I1276" s="34">
        <v>2.5999999999999998E-4</v>
      </c>
      <c r="J1276" s="11">
        <f t="shared" si="46"/>
        <v>2.5999999999999998E-4</v>
      </c>
      <c r="K1276" s="6" t="s">
        <v>1416</v>
      </c>
      <c r="L1276" s="20" t="s">
        <v>1422</v>
      </c>
      <c r="M1276" s="7">
        <f>IF(ISBLANK($B1276),_xlfn.XLOOKUP($A1276,'2. TEUs &amp; Activities - EF'!$A$9:$A$190,'2. TEUs &amp; Activities - EF'!$J$9:$J$190),_xlfn.XLOOKUP($B1276,'2. TEUs &amp; Activities - EF'!$B$9:$B$190,'2. TEUs &amp; Activities - EF'!$J$9:$J$190))*'3. Pollutant Emissions - EF'!$I1276*IF(OR(ISBLANK($E1276),$G1276="Yes"),1,$E1276)*IF($H1276="Yes",1,(1-$F1276))</f>
        <v>6.2522352941176453E-3</v>
      </c>
      <c r="N1276" s="5">
        <f>IF(ISBLANK($B1276),_xlfn.XLOOKUP($A1276,'2. TEUs &amp; Activities - EF'!$A$9:$A$190,'2. TEUs &amp; Activities - EF'!$M$9:$M$190),_xlfn.XLOOKUP($B1276,'2. TEUs &amp; Activities - EF'!$B$9:$B$190,'2. TEUs &amp; Activities - EF'!$M$9:$M$190))*'3. Pollutant Emissions - EF'!$J1276*IF(OR(ISBLANK($E1276),$G1276="Yes"),1,$E1276)*IF($H1276="Yes",1,(1-$F1276))</f>
        <v>1.7129411764705877E-5</v>
      </c>
      <c r="O1276" s="130"/>
    </row>
    <row r="1277" spans="1:15" ht="15" x14ac:dyDescent="0.25">
      <c r="A1277" s="5" t="s">
        <v>1617</v>
      </c>
      <c r="B1277" s="7"/>
      <c r="C1277" s="13" t="s">
        <v>65</v>
      </c>
      <c r="D1277" s="19" t="str">
        <f>IFERROR(IF(C1277="No CAS","",INDEX('DEQ Pollutant List'!$B$7:$B$611,MATCH('3. Pollutant Emissions - EF'!C1277,'DEQ Pollutant List'!$A$7:$A$611,0))),"")</f>
        <v>Molybdenum trioxide</v>
      </c>
      <c r="E1277" s="23">
        <v>0</v>
      </c>
      <c r="F1277" s="21">
        <v>0</v>
      </c>
      <c r="G1277" s="23" t="s">
        <v>1415</v>
      </c>
      <c r="H1277" s="21" t="s">
        <v>1415</v>
      </c>
      <c r="I1277" s="34">
        <v>1.65E-3</v>
      </c>
      <c r="J1277" s="11">
        <f t="shared" si="46"/>
        <v>1.65E-3</v>
      </c>
      <c r="K1277" s="6" t="s">
        <v>1416</v>
      </c>
      <c r="L1277" s="20" t="s">
        <v>1422</v>
      </c>
      <c r="M1277" s="7">
        <f>IF(ISBLANK($B1277),_xlfn.XLOOKUP($A1277,'2. TEUs &amp; Activities - EF'!$A$9:$A$190,'2. TEUs &amp; Activities - EF'!$J$9:$J$190),_xlfn.XLOOKUP($B1277,'2. TEUs &amp; Activities - EF'!$B$9:$B$190,'2. TEUs &amp; Activities - EF'!$J$9:$J$190))*'3. Pollutant Emissions - EF'!$I1277*IF(OR(ISBLANK($E1277),$G1277="Yes"),1,$E1277)*IF($H1277="Yes",1,(1-$F1277))</f>
        <v>3.9677647058823526E-2</v>
      </c>
      <c r="N1277" s="5">
        <f>IF(ISBLANK($B1277),_xlfn.XLOOKUP($A1277,'2. TEUs &amp; Activities - EF'!$A$9:$A$190,'2. TEUs &amp; Activities - EF'!$M$9:$M$190),_xlfn.XLOOKUP($B1277,'2. TEUs &amp; Activities - EF'!$B$9:$B$190,'2. TEUs &amp; Activities - EF'!$M$9:$M$190))*'3. Pollutant Emissions - EF'!$J1277*IF(OR(ISBLANK($E1277),$G1277="Yes"),1,$E1277)*IF($H1277="Yes",1,(1-$F1277))</f>
        <v>1.0870588235294116E-4</v>
      </c>
      <c r="O1277" s="130"/>
    </row>
    <row r="1278" spans="1:15" ht="15" x14ac:dyDescent="0.25">
      <c r="A1278" s="5" t="s">
        <v>1617</v>
      </c>
      <c r="B1278" s="7"/>
      <c r="C1278" s="13" t="s">
        <v>49</v>
      </c>
      <c r="D1278" s="19" t="str">
        <f>IFERROR(IF(C1278="No CAS","",INDEX('DEQ Pollutant List'!$B$7:$B$611,MATCH('3. Pollutant Emissions - EF'!C1278,'DEQ Pollutant List'!$A$7:$A$611,0))),"")</f>
        <v>Naphthalene</v>
      </c>
      <c r="E1278" s="23">
        <v>0</v>
      </c>
      <c r="F1278" s="21">
        <v>0</v>
      </c>
      <c r="G1278" s="23" t="s">
        <v>1415</v>
      </c>
      <c r="H1278" s="21" t="s">
        <v>1415</v>
      </c>
      <c r="I1278" s="34">
        <v>2.9999999999999997E-4</v>
      </c>
      <c r="J1278" s="11">
        <f t="shared" si="46"/>
        <v>2.9999999999999997E-4</v>
      </c>
      <c r="K1278" s="6" t="s">
        <v>1416</v>
      </c>
      <c r="L1278" s="20" t="s">
        <v>1422</v>
      </c>
      <c r="M1278" s="7">
        <f>IF(ISBLANK($B1278),_xlfn.XLOOKUP($A1278,'2. TEUs &amp; Activities - EF'!$A$9:$A$190,'2. TEUs &amp; Activities - EF'!$J$9:$J$190),_xlfn.XLOOKUP($B1278,'2. TEUs &amp; Activities - EF'!$B$9:$B$190,'2. TEUs &amp; Activities - EF'!$J$9:$J$190))*'3. Pollutant Emissions - EF'!$I1278*IF(OR(ISBLANK($E1278),$G1278="Yes"),1,$E1278)*IF($H1278="Yes",1,(1-$F1278))</f>
        <v>7.2141176470588214E-3</v>
      </c>
      <c r="N1278" s="5">
        <f>IF(ISBLANK($B1278),_xlfn.XLOOKUP($A1278,'2. TEUs &amp; Activities - EF'!$A$9:$A$190,'2. TEUs &amp; Activities - EF'!$M$9:$M$190),_xlfn.XLOOKUP($B1278,'2. TEUs &amp; Activities - EF'!$B$9:$B$190,'2. TEUs &amp; Activities - EF'!$M$9:$M$190))*'3. Pollutant Emissions - EF'!$J1278*IF(OR(ISBLANK($E1278),$G1278="Yes"),1,$E1278)*IF($H1278="Yes",1,(1-$F1278))</f>
        <v>1.9764705882352938E-5</v>
      </c>
      <c r="O1278" s="130"/>
    </row>
    <row r="1279" spans="1:15" ht="15" x14ac:dyDescent="0.25">
      <c r="A1279" s="5" t="s">
        <v>1617</v>
      </c>
      <c r="B1279" s="7"/>
      <c r="C1279" s="13" t="s">
        <v>66</v>
      </c>
      <c r="D1279" s="19" t="str">
        <f>IFERROR(IF(C1279="No CAS","",INDEX('DEQ Pollutant List'!$B$7:$B$611,MATCH('3. Pollutant Emissions - EF'!C1279,'DEQ Pollutant List'!$A$7:$A$611,0))),"")</f>
        <v>Nickel and compounds</v>
      </c>
      <c r="E1279" s="23">
        <v>0</v>
      </c>
      <c r="F1279" s="21">
        <v>0</v>
      </c>
      <c r="G1279" s="23" t="s">
        <v>1415</v>
      </c>
      <c r="H1279" s="21" t="s">
        <v>1415</v>
      </c>
      <c r="I1279" s="34">
        <v>2.0999999999999999E-3</v>
      </c>
      <c r="J1279" s="11">
        <f t="shared" si="46"/>
        <v>2.0999999999999999E-3</v>
      </c>
      <c r="K1279" s="6" t="s">
        <v>1416</v>
      </c>
      <c r="L1279" s="20" t="s">
        <v>1422</v>
      </c>
      <c r="M1279" s="7">
        <f>IF(ISBLANK($B1279),_xlfn.XLOOKUP($A1279,'2. TEUs &amp; Activities - EF'!$A$9:$A$190,'2. TEUs &amp; Activities - EF'!$J$9:$J$190),_xlfn.XLOOKUP($B1279,'2. TEUs &amp; Activities - EF'!$B$9:$B$190,'2. TEUs &amp; Activities - EF'!$J$9:$J$190))*'3. Pollutant Emissions - EF'!$I1279*IF(OR(ISBLANK($E1279),$G1279="Yes"),1,$E1279)*IF($H1279="Yes",1,(1-$F1279))</f>
        <v>5.0498823529411756E-2</v>
      </c>
      <c r="N1279" s="5">
        <f>IF(ISBLANK($B1279),_xlfn.XLOOKUP($A1279,'2. TEUs &amp; Activities - EF'!$A$9:$A$190,'2. TEUs &amp; Activities - EF'!$M$9:$M$190),_xlfn.XLOOKUP($B1279,'2. TEUs &amp; Activities - EF'!$B$9:$B$190,'2. TEUs &amp; Activities - EF'!$M$9:$M$190))*'3. Pollutant Emissions - EF'!$J1279*IF(OR(ISBLANK($E1279),$G1279="Yes"),1,$E1279)*IF($H1279="Yes",1,(1-$F1279))</f>
        <v>1.3835294117647056E-4</v>
      </c>
      <c r="O1279" s="130"/>
    </row>
    <row r="1280" spans="1:15" ht="15" x14ac:dyDescent="0.25">
      <c r="A1280" s="5" t="s">
        <v>1617</v>
      </c>
      <c r="B1280" s="7"/>
      <c r="C1280" s="13">
        <v>401</v>
      </c>
      <c r="D1280" s="19" t="str">
        <f>IFERROR(IF(C1280="No CAS","",INDEX('DEQ Pollutant List'!$B$7:$B$611,MATCH('3. Pollutant Emissions - EF'!C1280,'DEQ Pollutant List'!$A$7:$A$611,0))),"")</f>
        <v>Polycyclic aromatic hydrocarbons (PAHs)</v>
      </c>
      <c r="E1280" s="23">
        <v>0</v>
      </c>
      <c r="F1280" s="21">
        <v>0</v>
      </c>
      <c r="G1280" s="23" t="s">
        <v>1415</v>
      </c>
      <c r="H1280" s="21" t="s">
        <v>1415</v>
      </c>
      <c r="I1280" s="34">
        <v>1E-4</v>
      </c>
      <c r="J1280" s="11">
        <f t="shared" si="46"/>
        <v>1E-4</v>
      </c>
      <c r="K1280" s="6" t="s">
        <v>1416</v>
      </c>
      <c r="L1280" s="20" t="s">
        <v>1422</v>
      </c>
      <c r="M1280" s="7">
        <f>IF(ISBLANK($B1280),_xlfn.XLOOKUP($A1280,'2. TEUs &amp; Activities - EF'!$A$9:$A$190,'2. TEUs &amp; Activities - EF'!$J$9:$J$190),_xlfn.XLOOKUP($B1280,'2. TEUs &amp; Activities - EF'!$B$9:$B$190,'2. TEUs &amp; Activities - EF'!$J$9:$J$190))*'3. Pollutant Emissions - EF'!$I1280*IF(OR(ISBLANK($E1280),$G1280="Yes"),1,$E1280)*IF($H1280="Yes",1,(1-$F1280))</f>
        <v>2.4047058823529407E-3</v>
      </c>
      <c r="N1280" s="5">
        <f>IF(ISBLANK($B1280),_xlfn.XLOOKUP($A1280,'2. TEUs &amp; Activities - EF'!$A$9:$A$190,'2. TEUs &amp; Activities - EF'!$M$9:$M$190),_xlfn.XLOOKUP($B1280,'2. TEUs &amp; Activities - EF'!$B$9:$B$190,'2. TEUs &amp; Activities - EF'!$M$9:$M$190))*'3. Pollutant Emissions - EF'!$J1280*IF(OR(ISBLANK($E1280),$G1280="Yes"),1,$E1280)*IF($H1280="Yes",1,(1-$F1280))</f>
        <v>6.5882352941176463E-6</v>
      </c>
      <c r="O1280" s="130"/>
    </row>
    <row r="1281" spans="1:15" ht="15" x14ac:dyDescent="0.25">
      <c r="A1281" s="5" t="s">
        <v>1617</v>
      </c>
      <c r="B1281" s="7"/>
      <c r="C1281" s="13" t="s">
        <v>67</v>
      </c>
      <c r="D1281" s="19" t="str">
        <f>IFERROR(IF(C1281="No CAS","",INDEX('DEQ Pollutant List'!$B$7:$B$611,MATCH('3. Pollutant Emissions - EF'!C1281,'DEQ Pollutant List'!$A$7:$A$611,0))),"")</f>
        <v>Selenium and compounds</v>
      </c>
      <c r="E1281" s="23">
        <v>0</v>
      </c>
      <c r="F1281" s="21">
        <v>0</v>
      </c>
      <c r="G1281" s="23" t="s">
        <v>1415</v>
      </c>
      <c r="H1281" s="21" t="s">
        <v>1415</v>
      </c>
      <c r="I1281" s="34">
        <v>2.4000000000000001E-5</v>
      </c>
      <c r="J1281" s="11">
        <f t="shared" si="46"/>
        <v>2.4000000000000001E-5</v>
      </c>
      <c r="K1281" s="6" t="s">
        <v>1416</v>
      </c>
      <c r="L1281" s="20" t="s">
        <v>1422</v>
      </c>
      <c r="M1281" s="7">
        <f>IF(ISBLANK($B1281),_xlfn.XLOOKUP($A1281,'2. TEUs &amp; Activities - EF'!$A$9:$A$190,'2. TEUs &amp; Activities - EF'!$J$9:$J$190),_xlfn.XLOOKUP($B1281,'2. TEUs &amp; Activities - EF'!$B$9:$B$190,'2. TEUs &amp; Activities - EF'!$J$9:$J$190))*'3. Pollutant Emissions - EF'!$I1281*IF(OR(ISBLANK($E1281),$G1281="Yes"),1,$E1281)*IF($H1281="Yes",1,(1-$F1281))</f>
        <v>5.7712941176470578E-4</v>
      </c>
      <c r="N1281" s="5">
        <f>IF(ISBLANK($B1281),_xlfn.XLOOKUP($A1281,'2. TEUs &amp; Activities - EF'!$A$9:$A$190,'2. TEUs &amp; Activities - EF'!$M$9:$M$190),_xlfn.XLOOKUP($B1281,'2. TEUs &amp; Activities - EF'!$B$9:$B$190,'2. TEUs &amp; Activities - EF'!$M$9:$M$190))*'3. Pollutant Emissions - EF'!$J1281*IF(OR(ISBLANK($E1281),$G1281="Yes"),1,$E1281)*IF($H1281="Yes",1,(1-$F1281))</f>
        <v>1.5811764705882351E-6</v>
      </c>
      <c r="O1281" s="130"/>
    </row>
    <row r="1282" spans="1:15" ht="15" x14ac:dyDescent="0.25">
      <c r="A1282" s="5" t="s">
        <v>1617</v>
      </c>
      <c r="B1282" s="7"/>
      <c r="C1282" s="13" t="s">
        <v>68</v>
      </c>
      <c r="D1282" s="19" t="str">
        <f>IFERROR(IF(C1282="No CAS","",INDEX('DEQ Pollutant List'!$B$7:$B$611,MATCH('3. Pollutant Emissions - EF'!C1282,'DEQ Pollutant List'!$A$7:$A$611,0))),"")</f>
        <v>Toluene</v>
      </c>
      <c r="E1282" s="23">
        <v>0</v>
      </c>
      <c r="F1282" s="21">
        <v>0</v>
      </c>
      <c r="G1282" s="23" t="s">
        <v>1415</v>
      </c>
      <c r="H1282" s="21" t="s">
        <v>1415</v>
      </c>
      <c r="I1282" s="34">
        <v>3.6600000000000001E-2</v>
      </c>
      <c r="J1282" s="11">
        <f t="shared" si="46"/>
        <v>3.6600000000000001E-2</v>
      </c>
      <c r="K1282" s="6" t="s">
        <v>1416</v>
      </c>
      <c r="L1282" s="20" t="s">
        <v>1422</v>
      </c>
      <c r="M1282" s="7">
        <f>IF(ISBLANK($B1282),_xlfn.XLOOKUP($A1282,'2. TEUs &amp; Activities - EF'!$A$9:$A$190,'2. TEUs &amp; Activities - EF'!$J$9:$J$190),_xlfn.XLOOKUP($B1282,'2. TEUs &amp; Activities - EF'!$B$9:$B$190,'2. TEUs &amp; Activities - EF'!$J$9:$J$190))*'3. Pollutant Emissions - EF'!$I1282*IF(OR(ISBLANK($E1282),$G1282="Yes"),1,$E1282)*IF($H1282="Yes",1,(1-$F1282))</f>
        <v>0.88012235294117636</v>
      </c>
      <c r="N1282" s="5">
        <f>IF(ISBLANK($B1282),_xlfn.XLOOKUP($A1282,'2. TEUs &amp; Activities - EF'!$A$9:$A$190,'2. TEUs &amp; Activities - EF'!$M$9:$M$190),_xlfn.XLOOKUP($B1282,'2. TEUs &amp; Activities - EF'!$B$9:$B$190,'2. TEUs &amp; Activities - EF'!$M$9:$M$190))*'3. Pollutant Emissions - EF'!$J1282*IF(OR(ISBLANK($E1282),$G1282="Yes"),1,$E1282)*IF($H1282="Yes",1,(1-$F1282))</f>
        <v>2.4112941176470584E-3</v>
      </c>
      <c r="O1282" s="130"/>
    </row>
    <row r="1283" spans="1:15" ht="15" x14ac:dyDescent="0.25">
      <c r="A1283" s="5" t="s">
        <v>1617</v>
      </c>
      <c r="B1283" s="7"/>
      <c r="C1283" s="13" t="s">
        <v>69</v>
      </c>
      <c r="D1283" s="19" t="str">
        <f>IFERROR(IF(C1283="No CAS","",INDEX('DEQ Pollutant List'!$B$7:$B$611,MATCH('3. Pollutant Emissions - EF'!C1283,'DEQ Pollutant List'!$A$7:$A$611,0))),"")</f>
        <v>Vanadium (fume or dust)</v>
      </c>
      <c r="E1283" s="23">
        <v>0</v>
      </c>
      <c r="F1283" s="21">
        <v>0</v>
      </c>
      <c r="G1283" s="23" t="s">
        <v>1415</v>
      </c>
      <c r="H1283" s="21" t="s">
        <v>1415</v>
      </c>
      <c r="I1283" s="34">
        <v>2.3E-3</v>
      </c>
      <c r="J1283" s="11">
        <f t="shared" si="46"/>
        <v>2.3E-3</v>
      </c>
      <c r="K1283" s="6" t="s">
        <v>1416</v>
      </c>
      <c r="L1283" s="20" t="s">
        <v>1422</v>
      </c>
      <c r="M1283" s="7">
        <f>IF(ISBLANK($B1283),_xlfn.XLOOKUP($A1283,'2. TEUs &amp; Activities - EF'!$A$9:$A$190,'2. TEUs &amp; Activities - EF'!$J$9:$J$190),_xlfn.XLOOKUP($B1283,'2. TEUs &amp; Activities - EF'!$B$9:$B$190,'2. TEUs &amp; Activities - EF'!$J$9:$J$190))*'3. Pollutant Emissions - EF'!$I1283*IF(OR(ISBLANK($E1283),$G1283="Yes"),1,$E1283)*IF($H1283="Yes",1,(1-$F1283))</f>
        <v>5.5308235294117637E-2</v>
      </c>
      <c r="N1283" s="5">
        <f>IF(ISBLANK($B1283),_xlfn.XLOOKUP($A1283,'2. TEUs &amp; Activities - EF'!$A$9:$A$190,'2. TEUs &amp; Activities - EF'!$M$9:$M$190),_xlfn.XLOOKUP($B1283,'2. TEUs &amp; Activities - EF'!$B$9:$B$190,'2. TEUs &amp; Activities - EF'!$M$9:$M$190))*'3. Pollutant Emissions - EF'!$J1283*IF(OR(ISBLANK($E1283),$G1283="Yes"),1,$E1283)*IF($H1283="Yes",1,(1-$F1283))</f>
        <v>1.5152941176470585E-4</v>
      </c>
      <c r="O1283" s="130"/>
    </row>
    <row r="1284" spans="1:15" ht="15" x14ac:dyDescent="0.25">
      <c r="A1284" s="5" t="s">
        <v>1617</v>
      </c>
      <c r="B1284" s="7"/>
      <c r="C1284" s="13" t="s">
        <v>70</v>
      </c>
      <c r="D1284" s="19" t="str">
        <f>IFERROR(IF(C1284="No CAS","",INDEX('DEQ Pollutant List'!$B$7:$B$611,MATCH('3. Pollutant Emissions - EF'!C1284,'DEQ Pollutant List'!$A$7:$A$611,0))),"")</f>
        <v>Xylene (mixture), including m-xylene, o-xylene, p-xylene</v>
      </c>
      <c r="E1284" s="23">
        <v>0</v>
      </c>
      <c r="F1284" s="21">
        <v>0</v>
      </c>
      <c r="G1284" s="23" t="s">
        <v>1415</v>
      </c>
      <c r="H1284" s="21" t="s">
        <v>1415</v>
      </c>
      <c r="I1284" s="34">
        <v>2.7199999999999998E-2</v>
      </c>
      <c r="J1284" s="11">
        <f t="shared" si="46"/>
        <v>2.7199999999999998E-2</v>
      </c>
      <c r="K1284" s="6" t="s">
        <v>1416</v>
      </c>
      <c r="L1284" s="20" t="s">
        <v>1422</v>
      </c>
      <c r="M1284" s="7">
        <f>IF(ISBLANK($B1284),_xlfn.XLOOKUP($A1284,'2. TEUs &amp; Activities - EF'!$A$9:$A$190,'2. TEUs &amp; Activities - EF'!$J$9:$J$190),_xlfn.XLOOKUP($B1284,'2. TEUs &amp; Activities - EF'!$B$9:$B$190,'2. TEUs &amp; Activities - EF'!$J$9:$J$190))*'3. Pollutant Emissions - EF'!$I1284*IF(OR(ISBLANK($E1284),$G1284="Yes"),1,$E1284)*IF($H1284="Yes",1,(1-$F1284))</f>
        <v>0.65407999999999988</v>
      </c>
      <c r="N1284" s="5">
        <f>IF(ISBLANK($B1284),_xlfn.XLOOKUP($A1284,'2. TEUs &amp; Activities - EF'!$A$9:$A$190,'2. TEUs &amp; Activities - EF'!$M$9:$M$190),_xlfn.XLOOKUP($B1284,'2. TEUs &amp; Activities - EF'!$B$9:$B$190,'2. TEUs &amp; Activities - EF'!$M$9:$M$190))*'3. Pollutant Emissions - EF'!$J1284*IF(OR(ISBLANK($E1284),$G1284="Yes"),1,$E1284)*IF($H1284="Yes",1,(1-$F1284))</f>
        <v>1.7919999999999998E-3</v>
      </c>
      <c r="O1284" s="130"/>
    </row>
    <row r="1285" spans="1:15" ht="15" x14ac:dyDescent="0.25">
      <c r="A1285" s="5" t="s">
        <v>1617</v>
      </c>
      <c r="B1285" s="7"/>
      <c r="C1285" s="13" t="s">
        <v>71</v>
      </c>
      <c r="D1285" s="19" t="str">
        <f>IFERROR(IF(C1285="No CAS","",INDEX('DEQ Pollutant List'!$B$7:$B$611,MATCH('3. Pollutant Emissions - EF'!C1285,'DEQ Pollutant List'!$A$7:$A$611,0))),"")</f>
        <v>Zinc and compounds</v>
      </c>
      <c r="E1285" s="23">
        <v>0</v>
      </c>
      <c r="F1285" s="21">
        <v>0</v>
      </c>
      <c r="G1285" s="23" t="s">
        <v>1415</v>
      </c>
      <c r="H1285" s="21" t="s">
        <v>1415</v>
      </c>
      <c r="I1285" s="34">
        <v>2.9000000000000001E-2</v>
      </c>
      <c r="J1285" s="11">
        <f t="shared" si="46"/>
        <v>2.9000000000000001E-2</v>
      </c>
      <c r="K1285" s="6" t="s">
        <v>1416</v>
      </c>
      <c r="L1285" s="20" t="s">
        <v>1422</v>
      </c>
      <c r="M1285" s="7">
        <f>IF(ISBLANK($B1285),_xlfn.XLOOKUP($A1285,'2. TEUs &amp; Activities - EF'!$A$9:$A$190,'2. TEUs &amp; Activities - EF'!$J$9:$J$190),_xlfn.XLOOKUP($B1285,'2. TEUs &amp; Activities - EF'!$B$9:$B$190,'2. TEUs &amp; Activities - EF'!$J$9:$J$190))*'3. Pollutant Emissions - EF'!$I1285*IF(OR(ISBLANK($E1285),$G1285="Yes"),1,$E1285)*IF($H1285="Yes",1,(1-$F1285))</f>
        <v>0.69736470588235289</v>
      </c>
      <c r="N1285" s="5">
        <f>IF(ISBLANK($B1285),_xlfn.XLOOKUP($A1285,'2. TEUs &amp; Activities - EF'!$A$9:$A$190,'2. TEUs &amp; Activities - EF'!$M$9:$M$190),_xlfn.XLOOKUP($B1285,'2. TEUs &amp; Activities - EF'!$B$9:$B$190,'2. TEUs &amp; Activities - EF'!$M$9:$M$190))*'3. Pollutant Emissions - EF'!$J1285*IF(OR(ISBLANK($E1285),$G1285="Yes"),1,$E1285)*IF($H1285="Yes",1,(1-$F1285))</f>
        <v>1.9105882352941175E-3</v>
      </c>
      <c r="O1285" s="130"/>
    </row>
    <row r="1286" spans="1:15" ht="15" x14ac:dyDescent="0.25">
      <c r="A1286" s="5"/>
      <c r="B1286" s="7"/>
      <c r="C1286" s="13"/>
      <c r="D1286" s="19" t="str">
        <f>IFERROR(IF(C1286="No CAS","",INDEX('DEQ Pollutant List'!$B$7:$B$611,MATCH('3. Pollutant Emissions - EF'!C1286,'DEQ Pollutant List'!$A$7:$A$611,0))),"")</f>
        <v/>
      </c>
      <c r="E1286" s="23"/>
      <c r="F1286" s="21"/>
      <c r="G1286" s="23"/>
      <c r="H1286" s="21"/>
      <c r="I1286" s="34"/>
      <c r="J1286" s="11"/>
      <c r="K1286" s="6"/>
      <c r="L1286" s="20"/>
      <c r="M1286" s="7">
        <f>IF(ISBLANK($B1286),_xlfn.XLOOKUP($A1286,'2. TEUs &amp; Activities - EF'!$A$9:$A$190,'2. TEUs &amp; Activities - EF'!$J$9:$J$190),_xlfn.XLOOKUP($B1286,'2. TEUs &amp; Activities - EF'!$B$9:$B$190,'2. TEUs &amp; Activities - EF'!$J$9:$J$190))*'3. Pollutant Emissions - EF'!$I1286*IF(OR(ISBLANK($E1286),$G1286="Yes"),1,$E1286)*IF($H1286="Yes",1,(1-$F1286))</f>
        <v>0</v>
      </c>
      <c r="N1286" s="5">
        <f>IF(ISBLANK($B1286),_xlfn.XLOOKUP($A1286,'2. TEUs &amp; Activities - EF'!$A$9:$A$190,'2. TEUs &amp; Activities - EF'!$M$9:$M$190),_xlfn.XLOOKUP($B1286,'2. TEUs &amp; Activities - EF'!$B$9:$B$190,'2. TEUs &amp; Activities - EF'!$M$9:$M$190))*'3. Pollutant Emissions - EF'!$J1286*IF(OR(ISBLANK($E1286),$G1286="Yes"),1,$E1286)*IF($H1286="Yes",1,(1-$F1286))</f>
        <v>0</v>
      </c>
      <c r="O1286" s="130"/>
    </row>
    <row r="1287" spans="1:15" ht="15" x14ac:dyDescent="0.25">
      <c r="A1287" s="5" t="s">
        <v>1618</v>
      </c>
      <c r="B1287" s="7"/>
      <c r="C1287" s="13" t="s">
        <v>48</v>
      </c>
      <c r="D1287" s="19" t="str">
        <f>IFERROR(IF(C1287="No CAS","",INDEX('DEQ Pollutant List'!$B$7:$B$611,MATCH('3. Pollutant Emissions - EF'!C1287,'DEQ Pollutant List'!$A$7:$A$611,0))),"")</f>
        <v>Benzo[a]pyrene</v>
      </c>
      <c r="E1287" s="23">
        <v>0</v>
      </c>
      <c r="F1287" s="21">
        <v>0</v>
      </c>
      <c r="G1287" s="23" t="s">
        <v>1415</v>
      </c>
      <c r="H1287" s="21" t="s">
        <v>1415</v>
      </c>
      <c r="I1287" s="34">
        <v>1.1999999999999999E-6</v>
      </c>
      <c r="J1287" s="11">
        <f t="shared" ref="J1287:J1313" si="47">I1287</f>
        <v>1.1999999999999999E-6</v>
      </c>
      <c r="K1287" s="6" t="s">
        <v>1416</v>
      </c>
      <c r="L1287" s="20" t="s">
        <v>1422</v>
      </c>
      <c r="M1287" s="7">
        <f>IF(ISBLANK($B1287),_xlfn.XLOOKUP($A1287,'2. TEUs &amp; Activities - EF'!$A$9:$A$190,'2. TEUs &amp; Activities - EF'!$J$9:$J$190),_xlfn.XLOOKUP($B1287,'2. TEUs &amp; Activities - EF'!$B$9:$B$190,'2. TEUs &amp; Activities - EF'!$J$9:$J$190))*'3. Pollutant Emissions - EF'!$I1287*IF(OR(ISBLANK($E1287),$G1287="Yes"),1,$E1287)*IF($H1287="Yes",1,(1-$F1287))</f>
        <v>2.885647058823529E-5</v>
      </c>
      <c r="N1287" s="5">
        <f>IF(ISBLANK($B1287),_xlfn.XLOOKUP($A1287,'2. TEUs &amp; Activities - EF'!$A$9:$A$190,'2. TEUs &amp; Activities - EF'!$M$9:$M$190),_xlfn.XLOOKUP($B1287,'2. TEUs &amp; Activities - EF'!$B$9:$B$190,'2. TEUs &amp; Activities - EF'!$M$9:$M$190))*'3. Pollutant Emissions - EF'!$J1287*IF(OR(ISBLANK($E1287),$G1287="Yes"),1,$E1287)*IF($H1287="Yes",1,(1-$F1287))</f>
        <v>7.9058823529411752E-8</v>
      </c>
      <c r="O1287" s="130"/>
    </row>
    <row r="1288" spans="1:15" ht="15" x14ac:dyDescent="0.25">
      <c r="A1288" s="5" t="s">
        <v>1618</v>
      </c>
      <c r="B1288" s="7"/>
      <c r="C1288" s="13" t="s">
        <v>50</v>
      </c>
      <c r="D1288" s="19" t="str">
        <f>IFERROR(IF(C1288="No CAS","",INDEX('DEQ Pollutant List'!$B$7:$B$611,MATCH('3. Pollutant Emissions - EF'!C1288,'DEQ Pollutant List'!$A$7:$A$611,0))),"")</f>
        <v>Acetaldehyde</v>
      </c>
      <c r="E1288" s="23">
        <v>0</v>
      </c>
      <c r="F1288" s="21">
        <v>0</v>
      </c>
      <c r="G1288" s="23" t="s">
        <v>1415</v>
      </c>
      <c r="H1288" s="21" t="s">
        <v>1415</v>
      </c>
      <c r="I1288" s="34">
        <v>4.3E-3</v>
      </c>
      <c r="J1288" s="11">
        <f t="shared" si="47"/>
        <v>4.3E-3</v>
      </c>
      <c r="K1288" s="6" t="s">
        <v>1416</v>
      </c>
      <c r="L1288" s="20" t="s">
        <v>1422</v>
      </c>
      <c r="M1288" s="7">
        <f>IF(ISBLANK($B1288),_xlfn.XLOOKUP($A1288,'2. TEUs &amp; Activities - EF'!$A$9:$A$190,'2. TEUs &amp; Activities - EF'!$J$9:$J$190),_xlfn.XLOOKUP($B1288,'2. TEUs &amp; Activities - EF'!$B$9:$B$190,'2. TEUs &amp; Activities - EF'!$J$9:$J$190))*'3. Pollutant Emissions - EF'!$I1288*IF(OR(ISBLANK($E1288),$G1288="Yes"),1,$E1288)*IF($H1288="Yes",1,(1-$F1288))</f>
        <v>0.10340235294117646</v>
      </c>
      <c r="N1288" s="5">
        <f>IF(ISBLANK($B1288),_xlfn.XLOOKUP($A1288,'2. TEUs &amp; Activities - EF'!$A$9:$A$190,'2. TEUs &amp; Activities - EF'!$M$9:$M$190),_xlfn.XLOOKUP($B1288,'2. TEUs &amp; Activities - EF'!$B$9:$B$190,'2. TEUs &amp; Activities - EF'!$M$9:$M$190))*'3. Pollutant Emissions - EF'!$J1288*IF(OR(ISBLANK($E1288),$G1288="Yes"),1,$E1288)*IF($H1288="Yes",1,(1-$F1288))</f>
        <v>2.8329411764705878E-4</v>
      </c>
      <c r="O1288" s="130"/>
    </row>
    <row r="1289" spans="1:15" ht="15" x14ac:dyDescent="0.25">
      <c r="A1289" s="5" t="s">
        <v>1618</v>
      </c>
      <c r="B1289" s="7"/>
      <c r="C1289" s="13" t="s">
        <v>51</v>
      </c>
      <c r="D1289" s="19" t="str">
        <f>IFERROR(IF(C1289="No CAS","",INDEX('DEQ Pollutant List'!$B$7:$B$611,MATCH('3. Pollutant Emissions - EF'!C1289,'DEQ Pollutant List'!$A$7:$A$611,0))),"")</f>
        <v>Acrolein</v>
      </c>
      <c r="E1289" s="23">
        <v>0</v>
      </c>
      <c r="F1289" s="21">
        <v>0</v>
      </c>
      <c r="G1289" s="23" t="s">
        <v>1415</v>
      </c>
      <c r="H1289" s="21" t="s">
        <v>1415</v>
      </c>
      <c r="I1289" s="34">
        <v>2.7000000000000001E-3</v>
      </c>
      <c r="J1289" s="11">
        <f t="shared" si="47"/>
        <v>2.7000000000000001E-3</v>
      </c>
      <c r="K1289" s="6" t="s">
        <v>1416</v>
      </c>
      <c r="L1289" s="20" t="s">
        <v>1422</v>
      </c>
      <c r="M1289" s="7">
        <f>IF(ISBLANK($B1289),_xlfn.XLOOKUP($A1289,'2. TEUs &amp; Activities - EF'!$A$9:$A$190,'2. TEUs &amp; Activities - EF'!$J$9:$J$190),_xlfn.XLOOKUP($B1289,'2. TEUs &amp; Activities - EF'!$B$9:$B$190,'2. TEUs &amp; Activities - EF'!$J$9:$J$190))*'3. Pollutant Emissions - EF'!$I1289*IF(OR(ISBLANK($E1289),$G1289="Yes"),1,$E1289)*IF($H1289="Yes",1,(1-$F1289))</f>
        <v>6.4927058823529407E-2</v>
      </c>
      <c r="N1289" s="5">
        <f>IF(ISBLANK($B1289),_xlfn.XLOOKUP($A1289,'2. TEUs &amp; Activities - EF'!$A$9:$A$190,'2. TEUs &amp; Activities - EF'!$M$9:$M$190),_xlfn.XLOOKUP($B1289,'2. TEUs &amp; Activities - EF'!$B$9:$B$190,'2. TEUs &amp; Activities - EF'!$M$9:$M$190))*'3. Pollutant Emissions - EF'!$J1289*IF(OR(ISBLANK($E1289),$G1289="Yes"),1,$E1289)*IF($H1289="Yes",1,(1-$F1289))</f>
        <v>1.7788235294117645E-4</v>
      </c>
      <c r="O1289" s="130"/>
    </row>
    <row r="1290" spans="1:15" ht="15" x14ac:dyDescent="0.25">
      <c r="A1290" s="5" t="s">
        <v>1618</v>
      </c>
      <c r="B1290" s="7"/>
      <c r="C1290" s="13" t="s">
        <v>52</v>
      </c>
      <c r="D1290" s="19" t="str">
        <f>IFERROR(IF(C1290="No CAS","",INDEX('DEQ Pollutant List'!$B$7:$B$611,MATCH('3. Pollutant Emissions - EF'!C1290,'DEQ Pollutant List'!$A$7:$A$611,0))),"")</f>
        <v>Ammonia</v>
      </c>
      <c r="E1290" s="23">
        <v>0</v>
      </c>
      <c r="F1290" s="21">
        <v>0</v>
      </c>
      <c r="G1290" s="23" t="s">
        <v>1415</v>
      </c>
      <c r="H1290" s="21" t="s">
        <v>1415</v>
      </c>
      <c r="I1290" s="34">
        <v>3.2</v>
      </c>
      <c r="J1290" s="11">
        <f t="shared" si="47"/>
        <v>3.2</v>
      </c>
      <c r="K1290" s="6" t="s">
        <v>1416</v>
      </c>
      <c r="L1290" s="20" t="s">
        <v>1586</v>
      </c>
      <c r="M1290" s="7">
        <f>IF(ISBLANK($B1290),_xlfn.XLOOKUP($A1290,'2. TEUs &amp; Activities - EF'!$A$9:$A$190,'2. TEUs &amp; Activities - EF'!$J$9:$J$190),_xlfn.XLOOKUP($B1290,'2. TEUs &amp; Activities - EF'!$B$9:$B$190,'2. TEUs &amp; Activities - EF'!$J$9:$J$190))*'3. Pollutant Emissions - EF'!$I1290*IF(OR(ISBLANK($E1290),$G1290="Yes"),1,$E1290)*IF($H1290="Yes",1,(1-$F1290))</f>
        <v>76.950588235294106</v>
      </c>
      <c r="N1290" s="5">
        <f>IF(ISBLANK($B1290),_xlfn.XLOOKUP($A1290,'2. TEUs &amp; Activities - EF'!$A$9:$A$190,'2. TEUs &amp; Activities - EF'!$M$9:$M$190),_xlfn.XLOOKUP($B1290,'2. TEUs &amp; Activities - EF'!$B$9:$B$190,'2. TEUs &amp; Activities - EF'!$M$9:$M$190))*'3. Pollutant Emissions - EF'!$J1290*IF(OR(ISBLANK($E1290),$G1290="Yes"),1,$E1290)*IF($H1290="Yes",1,(1-$F1290))</f>
        <v>0.21082352941176469</v>
      </c>
      <c r="O1290" s="130"/>
    </row>
    <row r="1291" spans="1:15" ht="15" x14ac:dyDescent="0.25">
      <c r="A1291" s="5" t="s">
        <v>1618</v>
      </c>
      <c r="B1291" s="7"/>
      <c r="C1291" s="13" t="s">
        <v>53</v>
      </c>
      <c r="D1291" s="19" t="str">
        <f>IFERROR(IF(C1291="No CAS","",INDEX('DEQ Pollutant List'!$B$7:$B$611,MATCH('3. Pollutant Emissions - EF'!C1291,'DEQ Pollutant List'!$A$7:$A$611,0))),"")</f>
        <v>Arsenic and compounds</v>
      </c>
      <c r="E1291" s="23">
        <v>0</v>
      </c>
      <c r="F1291" s="21">
        <v>0</v>
      </c>
      <c r="G1291" s="23" t="s">
        <v>1415</v>
      </c>
      <c r="H1291" s="21" t="s">
        <v>1415</v>
      </c>
      <c r="I1291" s="34">
        <v>2.0000000000000001E-4</v>
      </c>
      <c r="J1291" s="11">
        <f t="shared" si="47"/>
        <v>2.0000000000000001E-4</v>
      </c>
      <c r="K1291" s="6" t="s">
        <v>1416</v>
      </c>
      <c r="L1291" s="20" t="s">
        <v>1422</v>
      </c>
      <c r="M1291" s="7">
        <f>IF(ISBLANK($B1291),_xlfn.XLOOKUP($A1291,'2. TEUs &amp; Activities - EF'!$A$9:$A$190,'2. TEUs &amp; Activities - EF'!$J$9:$J$190),_xlfn.XLOOKUP($B1291,'2. TEUs &amp; Activities - EF'!$B$9:$B$190,'2. TEUs &amp; Activities - EF'!$J$9:$J$190))*'3. Pollutant Emissions - EF'!$I1291*IF(OR(ISBLANK($E1291),$G1291="Yes"),1,$E1291)*IF($H1291="Yes",1,(1-$F1291))</f>
        <v>4.8094117647058815E-3</v>
      </c>
      <c r="N1291" s="5">
        <f>IF(ISBLANK($B1291),_xlfn.XLOOKUP($A1291,'2. TEUs &amp; Activities - EF'!$A$9:$A$190,'2. TEUs &amp; Activities - EF'!$M$9:$M$190),_xlfn.XLOOKUP($B1291,'2. TEUs &amp; Activities - EF'!$B$9:$B$190,'2. TEUs &amp; Activities - EF'!$M$9:$M$190))*'3. Pollutant Emissions - EF'!$J1291*IF(OR(ISBLANK($E1291),$G1291="Yes"),1,$E1291)*IF($H1291="Yes",1,(1-$F1291))</f>
        <v>1.3176470588235293E-5</v>
      </c>
      <c r="O1291" s="130"/>
    </row>
    <row r="1292" spans="1:15" ht="15" x14ac:dyDescent="0.25">
      <c r="A1292" s="5" t="s">
        <v>1618</v>
      </c>
      <c r="B1292" s="7"/>
      <c r="C1292" s="13" t="s">
        <v>54</v>
      </c>
      <c r="D1292" s="19" t="str">
        <f>IFERROR(IF(C1292="No CAS","",INDEX('DEQ Pollutant List'!$B$7:$B$611,MATCH('3. Pollutant Emissions - EF'!C1292,'DEQ Pollutant List'!$A$7:$A$611,0))),"")</f>
        <v>Barium and compounds</v>
      </c>
      <c r="E1292" s="23">
        <v>0</v>
      </c>
      <c r="F1292" s="21">
        <v>0</v>
      </c>
      <c r="G1292" s="23" t="s">
        <v>1415</v>
      </c>
      <c r="H1292" s="21" t="s">
        <v>1415</v>
      </c>
      <c r="I1292" s="34">
        <v>4.4000000000000003E-3</v>
      </c>
      <c r="J1292" s="11">
        <f t="shared" si="47"/>
        <v>4.4000000000000003E-3</v>
      </c>
      <c r="K1292" s="6" t="s">
        <v>1416</v>
      </c>
      <c r="L1292" s="20" t="s">
        <v>1422</v>
      </c>
      <c r="M1292" s="7">
        <f>IF(ISBLANK($B1292),_xlfn.XLOOKUP($A1292,'2. TEUs &amp; Activities - EF'!$A$9:$A$190,'2. TEUs &amp; Activities - EF'!$J$9:$J$190),_xlfn.XLOOKUP($B1292,'2. TEUs &amp; Activities - EF'!$B$9:$B$190,'2. TEUs &amp; Activities - EF'!$J$9:$J$190))*'3. Pollutant Emissions - EF'!$I1292*IF(OR(ISBLANK($E1292),$G1292="Yes"),1,$E1292)*IF($H1292="Yes",1,(1-$F1292))</f>
        <v>0.10580705882352941</v>
      </c>
      <c r="N1292" s="5">
        <f>IF(ISBLANK($B1292),_xlfn.XLOOKUP($A1292,'2. TEUs &amp; Activities - EF'!$A$9:$A$190,'2. TEUs &amp; Activities - EF'!$M$9:$M$190),_xlfn.XLOOKUP($B1292,'2. TEUs &amp; Activities - EF'!$B$9:$B$190,'2. TEUs &amp; Activities - EF'!$M$9:$M$190))*'3. Pollutant Emissions - EF'!$J1292*IF(OR(ISBLANK($E1292),$G1292="Yes"),1,$E1292)*IF($H1292="Yes",1,(1-$F1292))</f>
        <v>2.8988235294117643E-4</v>
      </c>
      <c r="O1292" s="130"/>
    </row>
    <row r="1293" spans="1:15" ht="15" x14ac:dyDescent="0.25">
      <c r="A1293" s="5" t="s">
        <v>1618</v>
      </c>
      <c r="B1293" s="7"/>
      <c r="C1293" s="13" t="s">
        <v>46</v>
      </c>
      <c r="D1293" s="19" t="str">
        <f>IFERROR(IF(C1293="No CAS","",INDEX('DEQ Pollutant List'!$B$7:$B$611,MATCH('3. Pollutant Emissions - EF'!C1293,'DEQ Pollutant List'!$A$7:$A$611,0))),"")</f>
        <v>Benzene</v>
      </c>
      <c r="E1293" s="23">
        <v>0</v>
      </c>
      <c r="F1293" s="21">
        <v>0</v>
      </c>
      <c r="G1293" s="23" t="s">
        <v>1415</v>
      </c>
      <c r="H1293" s="21" t="s">
        <v>1415</v>
      </c>
      <c r="I1293" s="34">
        <v>8.0000000000000002E-3</v>
      </c>
      <c r="J1293" s="11">
        <f t="shared" si="47"/>
        <v>8.0000000000000002E-3</v>
      </c>
      <c r="K1293" s="6" t="s">
        <v>1416</v>
      </c>
      <c r="L1293" s="20" t="s">
        <v>1422</v>
      </c>
      <c r="M1293" s="7">
        <f>IF(ISBLANK($B1293),_xlfn.XLOOKUP($A1293,'2. TEUs &amp; Activities - EF'!$A$9:$A$190,'2. TEUs &amp; Activities - EF'!$J$9:$J$190),_xlfn.XLOOKUP($B1293,'2. TEUs &amp; Activities - EF'!$B$9:$B$190,'2. TEUs &amp; Activities - EF'!$J$9:$J$190))*'3. Pollutant Emissions - EF'!$I1293*IF(OR(ISBLANK($E1293),$G1293="Yes"),1,$E1293)*IF($H1293="Yes",1,(1-$F1293))</f>
        <v>0.19237647058823526</v>
      </c>
      <c r="N1293" s="5">
        <f>IF(ISBLANK($B1293),_xlfn.XLOOKUP($A1293,'2. TEUs &amp; Activities - EF'!$A$9:$A$190,'2. TEUs &amp; Activities - EF'!$M$9:$M$190),_xlfn.XLOOKUP($B1293,'2. TEUs &amp; Activities - EF'!$B$9:$B$190,'2. TEUs &amp; Activities - EF'!$M$9:$M$190))*'3. Pollutant Emissions - EF'!$J1293*IF(OR(ISBLANK($E1293),$G1293="Yes"),1,$E1293)*IF($H1293="Yes",1,(1-$F1293))</f>
        <v>5.2705882352941172E-4</v>
      </c>
      <c r="O1293" s="130"/>
    </row>
    <row r="1294" spans="1:15" ht="15" x14ac:dyDescent="0.25">
      <c r="A1294" s="5" t="s">
        <v>1618</v>
      </c>
      <c r="B1294" s="7"/>
      <c r="C1294" s="13" t="s">
        <v>55</v>
      </c>
      <c r="D1294" s="19" t="str">
        <f>IFERROR(IF(C1294="No CAS","",INDEX('DEQ Pollutant List'!$B$7:$B$611,MATCH('3. Pollutant Emissions - EF'!C1294,'DEQ Pollutant List'!$A$7:$A$611,0))),"")</f>
        <v>Beryllium and compounds</v>
      </c>
      <c r="E1294" s="23">
        <v>0</v>
      </c>
      <c r="F1294" s="21">
        <v>0</v>
      </c>
      <c r="G1294" s="23" t="s">
        <v>1415</v>
      </c>
      <c r="H1294" s="21" t="s">
        <v>1415</v>
      </c>
      <c r="I1294" s="34">
        <v>1.2E-5</v>
      </c>
      <c r="J1294" s="11">
        <f t="shared" si="47"/>
        <v>1.2E-5</v>
      </c>
      <c r="K1294" s="6" t="s">
        <v>1416</v>
      </c>
      <c r="L1294" s="20" t="s">
        <v>1422</v>
      </c>
      <c r="M1294" s="7">
        <f>IF(ISBLANK($B1294),_xlfn.XLOOKUP($A1294,'2. TEUs &amp; Activities - EF'!$A$9:$A$190,'2. TEUs &amp; Activities - EF'!$J$9:$J$190),_xlfn.XLOOKUP($B1294,'2. TEUs &amp; Activities - EF'!$B$9:$B$190,'2. TEUs &amp; Activities - EF'!$J$9:$J$190))*'3. Pollutant Emissions - EF'!$I1294*IF(OR(ISBLANK($E1294),$G1294="Yes"),1,$E1294)*IF($H1294="Yes",1,(1-$F1294))</f>
        <v>2.8856470588235289E-4</v>
      </c>
      <c r="N1294" s="5">
        <f>IF(ISBLANK($B1294),_xlfn.XLOOKUP($A1294,'2. TEUs &amp; Activities - EF'!$A$9:$A$190,'2. TEUs &amp; Activities - EF'!$M$9:$M$190),_xlfn.XLOOKUP($B1294,'2. TEUs &amp; Activities - EF'!$B$9:$B$190,'2. TEUs &amp; Activities - EF'!$M$9:$M$190))*'3. Pollutant Emissions - EF'!$J1294*IF(OR(ISBLANK($E1294),$G1294="Yes"),1,$E1294)*IF($H1294="Yes",1,(1-$F1294))</f>
        <v>7.9058823529411757E-7</v>
      </c>
      <c r="O1294" s="130"/>
    </row>
    <row r="1295" spans="1:15" ht="15" x14ac:dyDescent="0.25">
      <c r="A1295" s="5" t="s">
        <v>1618</v>
      </c>
      <c r="B1295" s="7"/>
      <c r="C1295" s="13" t="s">
        <v>56</v>
      </c>
      <c r="D1295" s="19" t="str">
        <f>IFERROR(IF(C1295="No CAS","",INDEX('DEQ Pollutant List'!$B$7:$B$611,MATCH('3. Pollutant Emissions - EF'!C1295,'DEQ Pollutant List'!$A$7:$A$611,0))),"")</f>
        <v>Cadmium and compounds</v>
      </c>
      <c r="E1295" s="23">
        <v>0</v>
      </c>
      <c r="F1295" s="21">
        <v>0</v>
      </c>
      <c r="G1295" s="23" t="s">
        <v>1415</v>
      </c>
      <c r="H1295" s="21" t="s">
        <v>1415</v>
      </c>
      <c r="I1295" s="34">
        <v>1.1000000000000001E-3</v>
      </c>
      <c r="J1295" s="11">
        <f t="shared" si="47"/>
        <v>1.1000000000000001E-3</v>
      </c>
      <c r="K1295" s="6" t="s">
        <v>1416</v>
      </c>
      <c r="L1295" s="20" t="s">
        <v>1422</v>
      </c>
      <c r="M1295" s="7">
        <f>IF(ISBLANK($B1295),_xlfn.XLOOKUP($A1295,'2. TEUs &amp; Activities - EF'!$A$9:$A$190,'2. TEUs &amp; Activities - EF'!$J$9:$J$190),_xlfn.XLOOKUP($B1295,'2. TEUs &amp; Activities - EF'!$B$9:$B$190,'2. TEUs &amp; Activities - EF'!$J$9:$J$190))*'3. Pollutant Emissions - EF'!$I1295*IF(OR(ISBLANK($E1295),$G1295="Yes"),1,$E1295)*IF($H1295="Yes",1,(1-$F1295))</f>
        <v>2.6451764705882352E-2</v>
      </c>
      <c r="N1295" s="5">
        <f>IF(ISBLANK($B1295),_xlfn.XLOOKUP($A1295,'2. TEUs &amp; Activities - EF'!$A$9:$A$190,'2. TEUs &amp; Activities - EF'!$M$9:$M$190),_xlfn.XLOOKUP($B1295,'2. TEUs &amp; Activities - EF'!$B$9:$B$190,'2. TEUs &amp; Activities - EF'!$M$9:$M$190))*'3. Pollutant Emissions - EF'!$J1295*IF(OR(ISBLANK($E1295),$G1295="Yes"),1,$E1295)*IF($H1295="Yes",1,(1-$F1295))</f>
        <v>7.2470588235294109E-5</v>
      </c>
      <c r="O1295" s="130"/>
    </row>
    <row r="1296" spans="1:15" ht="15" x14ac:dyDescent="0.25">
      <c r="A1296" s="5" t="s">
        <v>1618</v>
      </c>
      <c r="B1296" s="7"/>
      <c r="C1296" s="13" t="s">
        <v>57</v>
      </c>
      <c r="D1296" s="19" t="str">
        <f>IFERROR(IF(C1296="No CAS","",INDEX('DEQ Pollutant List'!$B$7:$B$611,MATCH('3. Pollutant Emissions - EF'!C1296,'DEQ Pollutant List'!$A$7:$A$611,0))),"")</f>
        <v>Chromium VI, chromate and dichromate particulate</v>
      </c>
      <c r="E1296" s="23">
        <v>0</v>
      </c>
      <c r="F1296" s="21">
        <v>0</v>
      </c>
      <c r="G1296" s="23" t="s">
        <v>1415</v>
      </c>
      <c r="H1296" s="21" t="s">
        <v>1415</v>
      </c>
      <c r="I1296" s="34">
        <v>1.4E-3</v>
      </c>
      <c r="J1296" s="11">
        <f t="shared" si="47"/>
        <v>1.4E-3</v>
      </c>
      <c r="K1296" s="6" t="s">
        <v>1416</v>
      </c>
      <c r="L1296" s="20" t="s">
        <v>1422</v>
      </c>
      <c r="M1296" s="7">
        <f>IF(ISBLANK($B1296),_xlfn.XLOOKUP($A1296,'2. TEUs &amp; Activities - EF'!$A$9:$A$190,'2. TEUs &amp; Activities - EF'!$J$9:$J$190),_xlfn.XLOOKUP($B1296,'2. TEUs &amp; Activities - EF'!$B$9:$B$190,'2. TEUs &amp; Activities - EF'!$J$9:$J$190))*'3. Pollutant Emissions - EF'!$I1296*IF(OR(ISBLANK($E1296),$G1296="Yes"),1,$E1296)*IF($H1296="Yes",1,(1-$F1296))</f>
        <v>3.366588235294117E-2</v>
      </c>
      <c r="N1296" s="5">
        <f>IF(ISBLANK($B1296),_xlfn.XLOOKUP($A1296,'2. TEUs &amp; Activities - EF'!$A$9:$A$190,'2. TEUs &amp; Activities - EF'!$M$9:$M$190),_xlfn.XLOOKUP($B1296,'2. TEUs &amp; Activities - EF'!$B$9:$B$190,'2. TEUs &amp; Activities - EF'!$M$9:$M$190))*'3. Pollutant Emissions - EF'!$J1296*IF(OR(ISBLANK($E1296),$G1296="Yes"),1,$E1296)*IF($H1296="Yes",1,(1-$F1296))</f>
        <v>9.223529411764704E-5</v>
      </c>
      <c r="O1296" s="130"/>
    </row>
    <row r="1297" spans="1:15" ht="15" x14ac:dyDescent="0.25">
      <c r="A1297" s="5" t="s">
        <v>1618</v>
      </c>
      <c r="B1297" s="7"/>
      <c r="C1297" s="13" t="s">
        <v>58</v>
      </c>
      <c r="D1297" s="19" t="str">
        <f>IFERROR(IF(C1297="No CAS","",INDEX('DEQ Pollutant List'!$B$7:$B$611,MATCH('3. Pollutant Emissions - EF'!C1297,'DEQ Pollutant List'!$A$7:$A$611,0))),"")</f>
        <v>Cobalt and compounds</v>
      </c>
      <c r="E1297" s="23">
        <v>0</v>
      </c>
      <c r="F1297" s="21">
        <v>0</v>
      </c>
      <c r="G1297" s="23" t="s">
        <v>1415</v>
      </c>
      <c r="H1297" s="21" t="s">
        <v>1415</v>
      </c>
      <c r="I1297" s="34">
        <v>8.3999999999999995E-5</v>
      </c>
      <c r="J1297" s="11">
        <f t="shared" si="47"/>
        <v>8.3999999999999995E-5</v>
      </c>
      <c r="K1297" s="6" t="s">
        <v>1416</v>
      </c>
      <c r="L1297" s="20" t="s">
        <v>1422</v>
      </c>
      <c r="M1297" s="7">
        <f>IF(ISBLANK($B1297),_xlfn.XLOOKUP($A1297,'2. TEUs &amp; Activities - EF'!$A$9:$A$190,'2. TEUs &amp; Activities - EF'!$J$9:$J$190),_xlfn.XLOOKUP($B1297,'2. TEUs &amp; Activities - EF'!$B$9:$B$190,'2. TEUs &amp; Activities - EF'!$J$9:$J$190))*'3. Pollutant Emissions - EF'!$I1297*IF(OR(ISBLANK($E1297),$G1297="Yes"),1,$E1297)*IF($H1297="Yes",1,(1-$F1297))</f>
        <v>2.0199529411764703E-3</v>
      </c>
      <c r="N1297" s="5">
        <f>IF(ISBLANK($B1297),_xlfn.XLOOKUP($A1297,'2. TEUs &amp; Activities - EF'!$A$9:$A$190,'2. TEUs &amp; Activities - EF'!$M$9:$M$190),_xlfn.XLOOKUP($B1297,'2. TEUs &amp; Activities - EF'!$B$9:$B$190,'2. TEUs &amp; Activities - EF'!$M$9:$M$190))*'3. Pollutant Emissions - EF'!$J1297*IF(OR(ISBLANK($E1297),$G1297="Yes"),1,$E1297)*IF($H1297="Yes",1,(1-$F1297))</f>
        <v>5.5341176470588225E-6</v>
      </c>
      <c r="O1297" s="130"/>
    </row>
    <row r="1298" spans="1:15" ht="15" x14ac:dyDescent="0.25">
      <c r="A1298" s="5" t="s">
        <v>1618</v>
      </c>
      <c r="B1298" s="7"/>
      <c r="C1298" s="13" t="s">
        <v>59</v>
      </c>
      <c r="D1298" s="19" t="str">
        <f>IFERROR(IF(C1298="No CAS","",INDEX('DEQ Pollutant List'!$B$7:$B$611,MATCH('3. Pollutant Emissions - EF'!C1298,'DEQ Pollutant List'!$A$7:$A$611,0))),"")</f>
        <v>Copper and compounds</v>
      </c>
      <c r="E1298" s="23">
        <v>0</v>
      </c>
      <c r="F1298" s="21">
        <v>0</v>
      </c>
      <c r="G1298" s="23" t="s">
        <v>1415</v>
      </c>
      <c r="H1298" s="21" t="s">
        <v>1415</v>
      </c>
      <c r="I1298" s="34">
        <v>8.4999999999999995E-4</v>
      </c>
      <c r="J1298" s="11">
        <f t="shared" si="47"/>
        <v>8.4999999999999995E-4</v>
      </c>
      <c r="K1298" s="6" t="s">
        <v>1416</v>
      </c>
      <c r="L1298" s="20" t="s">
        <v>1422</v>
      </c>
      <c r="M1298" s="7">
        <f>IF(ISBLANK($B1298),_xlfn.XLOOKUP($A1298,'2. TEUs &amp; Activities - EF'!$A$9:$A$190,'2. TEUs &amp; Activities - EF'!$J$9:$J$190),_xlfn.XLOOKUP($B1298,'2. TEUs &amp; Activities - EF'!$B$9:$B$190,'2. TEUs &amp; Activities - EF'!$J$9:$J$190))*'3. Pollutant Emissions - EF'!$I1298*IF(OR(ISBLANK($E1298),$G1298="Yes"),1,$E1298)*IF($H1298="Yes",1,(1-$F1298))</f>
        <v>2.0439999999999996E-2</v>
      </c>
      <c r="N1298" s="5">
        <f>IF(ISBLANK($B1298),_xlfn.XLOOKUP($A1298,'2. TEUs &amp; Activities - EF'!$A$9:$A$190,'2. TEUs &amp; Activities - EF'!$M$9:$M$190),_xlfn.XLOOKUP($B1298,'2. TEUs &amp; Activities - EF'!$B$9:$B$190,'2. TEUs &amp; Activities - EF'!$M$9:$M$190))*'3. Pollutant Emissions - EF'!$J1298*IF(OR(ISBLANK($E1298),$G1298="Yes"),1,$E1298)*IF($H1298="Yes",1,(1-$F1298))</f>
        <v>5.5999999999999992E-5</v>
      </c>
      <c r="O1298" s="130"/>
    </row>
    <row r="1299" spans="1:15" ht="15" x14ac:dyDescent="0.25">
      <c r="A1299" s="5" t="s">
        <v>1618</v>
      </c>
      <c r="B1299" s="7"/>
      <c r="C1299" s="13" t="s">
        <v>60</v>
      </c>
      <c r="D1299" s="19" t="str">
        <f>IFERROR(IF(C1299="No CAS","",INDEX('DEQ Pollutant List'!$B$7:$B$611,MATCH('3. Pollutant Emissions - EF'!C1299,'DEQ Pollutant List'!$A$7:$A$611,0))),"")</f>
        <v>Ethyl benzene</v>
      </c>
      <c r="E1299" s="23">
        <v>0</v>
      </c>
      <c r="F1299" s="21">
        <v>0</v>
      </c>
      <c r="G1299" s="23" t="s">
        <v>1415</v>
      </c>
      <c r="H1299" s="21" t="s">
        <v>1415</v>
      </c>
      <c r="I1299" s="34">
        <v>9.4999999999999998E-3</v>
      </c>
      <c r="J1299" s="11">
        <f t="shared" si="47"/>
        <v>9.4999999999999998E-3</v>
      </c>
      <c r="K1299" s="6" t="s">
        <v>1416</v>
      </c>
      <c r="L1299" s="20" t="s">
        <v>1422</v>
      </c>
      <c r="M1299" s="7">
        <f>IF(ISBLANK($B1299),_xlfn.XLOOKUP($A1299,'2. TEUs &amp; Activities - EF'!$A$9:$A$190,'2. TEUs &amp; Activities - EF'!$J$9:$J$190),_xlfn.XLOOKUP($B1299,'2. TEUs &amp; Activities - EF'!$B$9:$B$190,'2. TEUs &amp; Activities - EF'!$J$9:$J$190))*'3. Pollutant Emissions - EF'!$I1299*IF(OR(ISBLANK($E1299),$G1299="Yes"),1,$E1299)*IF($H1299="Yes",1,(1-$F1299))</f>
        <v>0.22844705882352936</v>
      </c>
      <c r="N1299" s="5">
        <f>IF(ISBLANK($B1299),_xlfn.XLOOKUP($A1299,'2. TEUs &amp; Activities - EF'!$A$9:$A$190,'2. TEUs &amp; Activities - EF'!$M$9:$M$190),_xlfn.XLOOKUP($B1299,'2. TEUs &amp; Activities - EF'!$B$9:$B$190,'2. TEUs &amp; Activities - EF'!$M$9:$M$190))*'3. Pollutant Emissions - EF'!$J1299*IF(OR(ISBLANK($E1299),$G1299="Yes"),1,$E1299)*IF($H1299="Yes",1,(1-$F1299))</f>
        <v>6.2588235294117642E-4</v>
      </c>
      <c r="O1299" s="130"/>
    </row>
    <row r="1300" spans="1:15" ht="15" x14ac:dyDescent="0.25">
      <c r="A1300" s="5" t="s">
        <v>1618</v>
      </c>
      <c r="B1300" s="7"/>
      <c r="C1300" s="13" t="s">
        <v>47</v>
      </c>
      <c r="D1300" s="19" t="str">
        <f>IFERROR(IF(C1300="No CAS","",INDEX('DEQ Pollutant List'!$B$7:$B$611,MATCH('3. Pollutant Emissions - EF'!C1300,'DEQ Pollutant List'!$A$7:$A$611,0))),"")</f>
        <v>Formaldehyde</v>
      </c>
      <c r="E1300" s="23">
        <v>0</v>
      </c>
      <c r="F1300" s="21">
        <v>0</v>
      </c>
      <c r="G1300" s="23" t="s">
        <v>1415</v>
      </c>
      <c r="H1300" s="21" t="s">
        <v>1415</v>
      </c>
      <c r="I1300" s="34">
        <v>1.7000000000000001E-2</v>
      </c>
      <c r="J1300" s="11">
        <f t="shared" si="47"/>
        <v>1.7000000000000001E-2</v>
      </c>
      <c r="K1300" s="6" t="s">
        <v>1416</v>
      </c>
      <c r="L1300" s="20" t="s">
        <v>1422</v>
      </c>
      <c r="M1300" s="7">
        <f>IF(ISBLANK($B1300),_xlfn.XLOOKUP($A1300,'2. TEUs &amp; Activities - EF'!$A$9:$A$190,'2. TEUs &amp; Activities - EF'!$J$9:$J$190),_xlfn.XLOOKUP($B1300,'2. TEUs &amp; Activities - EF'!$B$9:$B$190,'2. TEUs &amp; Activities - EF'!$J$9:$J$190))*'3. Pollutant Emissions - EF'!$I1300*IF(OR(ISBLANK($E1300),$G1300="Yes"),1,$E1300)*IF($H1300="Yes",1,(1-$F1300))</f>
        <v>0.40879999999999994</v>
      </c>
      <c r="N1300" s="5">
        <f>IF(ISBLANK($B1300),_xlfn.XLOOKUP($A1300,'2. TEUs &amp; Activities - EF'!$A$9:$A$190,'2. TEUs &amp; Activities - EF'!$M$9:$M$190),_xlfn.XLOOKUP($B1300,'2. TEUs &amp; Activities - EF'!$B$9:$B$190,'2. TEUs &amp; Activities - EF'!$M$9:$M$190))*'3. Pollutant Emissions - EF'!$J1300*IF(OR(ISBLANK($E1300),$G1300="Yes"),1,$E1300)*IF($H1300="Yes",1,(1-$F1300))</f>
        <v>1.1199999999999999E-3</v>
      </c>
      <c r="O1300" s="130"/>
    </row>
    <row r="1301" spans="1:15" ht="15" x14ac:dyDescent="0.25">
      <c r="A1301" s="5" t="s">
        <v>1618</v>
      </c>
      <c r="B1301" s="7"/>
      <c r="C1301" s="13" t="s">
        <v>61</v>
      </c>
      <c r="D1301" s="19" t="str">
        <f>IFERROR(IF(C1301="No CAS","",INDEX('DEQ Pollutant List'!$B$7:$B$611,MATCH('3. Pollutant Emissions - EF'!C1301,'DEQ Pollutant List'!$A$7:$A$611,0))),"")</f>
        <v>Hexane</v>
      </c>
      <c r="E1301" s="23">
        <v>0</v>
      </c>
      <c r="F1301" s="21">
        <v>0</v>
      </c>
      <c r="G1301" s="23" t="s">
        <v>1415</v>
      </c>
      <c r="H1301" s="21" t="s">
        <v>1415</v>
      </c>
      <c r="I1301" s="34">
        <v>6.3E-3</v>
      </c>
      <c r="J1301" s="11">
        <f t="shared" si="47"/>
        <v>6.3E-3</v>
      </c>
      <c r="K1301" s="6" t="s">
        <v>1416</v>
      </c>
      <c r="L1301" s="20" t="s">
        <v>1422</v>
      </c>
      <c r="M1301" s="7">
        <f>IF(ISBLANK($B1301),_xlfn.XLOOKUP($A1301,'2. TEUs &amp; Activities - EF'!$A$9:$A$190,'2. TEUs &amp; Activities - EF'!$J$9:$J$190),_xlfn.XLOOKUP($B1301,'2. TEUs &amp; Activities - EF'!$B$9:$B$190,'2. TEUs &amp; Activities - EF'!$J$9:$J$190))*'3. Pollutant Emissions - EF'!$I1301*IF(OR(ISBLANK($E1301),$G1301="Yes"),1,$E1301)*IF($H1301="Yes",1,(1-$F1301))</f>
        <v>0.15149647058823526</v>
      </c>
      <c r="N1301" s="5">
        <f>IF(ISBLANK($B1301),_xlfn.XLOOKUP($A1301,'2. TEUs &amp; Activities - EF'!$A$9:$A$190,'2. TEUs &amp; Activities - EF'!$M$9:$M$190),_xlfn.XLOOKUP($B1301,'2. TEUs &amp; Activities - EF'!$B$9:$B$190,'2. TEUs &amp; Activities - EF'!$M$9:$M$190))*'3. Pollutant Emissions - EF'!$J1301*IF(OR(ISBLANK($E1301),$G1301="Yes"),1,$E1301)*IF($H1301="Yes",1,(1-$F1301))</f>
        <v>4.1505882352941171E-4</v>
      </c>
      <c r="O1301" s="130"/>
    </row>
    <row r="1302" spans="1:15" ht="15" x14ac:dyDescent="0.25">
      <c r="A1302" s="5" t="s">
        <v>1618</v>
      </c>
      <c r="B1302" s="7"/>
      <c r="C1302" s="13" t="s">
        <v>62</v>
      </c>
      <c r="D1302" s="19" t="str">
        <f>IFERROR(IF(C1302="No CAS","",INDEX('DEQ Pollutant List'!$B$7:$B$611,MATCH('3. Pollutant Emissions - EF'!C1302,'DEQ Pollutant List'!$A$7:$A$611,0))),"")</f>
        <v>Lead and compounds</v>
      </c>
      <c r="E1302" s="23">
        <v>0</v>
      </c>
      <c r="F1302" s="21">
        <v>0</v>
      </c>
      <c r="G1302" s="23" t="s">
        <v>1415</v>
      </c>
      <c r="H1302" s="21" t="s">
        <v>1415</v>
      </c>
      <c r="I1302" s="34">
        <v>5.0000000000000001E-4</v>
      </c>
      <c r="J1302" s="11">
        <f t="shared" si="47"/>
        <v>5.0000000000000001E-4</v>
      </c>
      <c r="K1302" s="6" t="s">
        <v>1416</v>
      </c>
      <c r="L1302" s="20" t="s">
        <v>1422</v>
      </c>
      <c r="M1302" s="7">
        <f>IF(ISBLANK($B1302),_xlfn.XLOOKUP($A1302,'2. TEUs &amp; Activities - EF'!$A$9:$A$190,'2. TEUs &amp; Activities - EF'!$J$9:$J$190),_xlfn.XLOOKUP($B1302,'2. TEUs &amp; Activities - EF'!$B$9:$B$190,'2. TEUs &amp; Activities - EF'!$J$9:$J$190))*'3. Pollutant Emissions - EF'!$I1302*IF(OR(ISBLANK($E1302),$G1302="Yes"),1,$E1302)*IF($H1302="Yes",1,(1-$F1302))</f>
        <v>1.2023529411764704E-2</v>
      </c>
      <c r="N1302" s="5">
        <f>IF(ISBLANK($B1302),_xlfn.XLOOKUP($A1302,'2. TEUs &amp; Activities - EF'!$A$9:$A$190,'2. TEUs &amp; Activities - EF'!$M$9:$M$190),_xlfn.XLOOKUP($B1302,'2. TEUs &amp; Activities - EF'!$B$9:$B$190,'2. TEUs &amp; Activities - EF'!$M$9:$M$190))*'3. Pollutant Emissions - EF'!$J1302*IF(OR(ISBLANK($E1302),$G1302="Yes"),1,$E1302)*IF($H1302="Yes",1,(1-$F1302))</f>
        <v>3.2941176470588232E-5</v>
      </c>
      <c r="O1302" s="130"/>
    </row>
    <row r="1303" spans="1:15" ht="15" x14ac:dyDescent="0.25">
      <c r="A1303" s="5" t="s">
        <v>1618</v>
      </c>
      <c r="B1303" s="7"/>
      <c r="C1303" s="13" t="s">
        <v>63</v>
      </c>
      <c r="D1303" s="19" t="str">
        <f>IFERROR(IF(C1303="No CAS","",INDEX('DEQ Pollutant List'!$B$7:$B$611,MATCH('3. Pollutant Emissions - EF'!C1303,'DEQ Pollutant List'!$A$7:$A$611,0))),"")</f>
        <v>Manganese and compounds</v>
      </c>
      <c r="E1303" s="23">
        <v>0</v>
      </c>
      <c r="F1303" s="21">
        <v>0</v>
      </c>
      <c r="G1303" s="23" t="s">
        <v>1415</v>
      </c>
      <c r="H1303" s="21" t="s">
        <v>1415</v>
      </c>
      <c r="I1303" s="34">
        <v>3.8000000000000002E-4</v>
      </c>
      <c r="J1303" s="11">
        <f t="shared" si="47"/>
        <v>3.8000000000000002E-4</v>
      </c>
      <c r="K1303" s="6" t="s">
        <v>1416</v>
      </c>
      <c r="L1303" s="20" t="s">
        <v>1422</v>
      </c>
      <c r="M1303" s="7">
        <f>IF(ISBLANK($B1303),_xlfn.XLOOKUP($A1303,'2. TEUs &amp; Activities - EF'!$A$9:$A$190,'2. TEUs &amp; Activities - EF'!$J$9:$J$190),_xlfn.XLOOKUP($B1303,'2. TEUs &amp; Activities - EF'!$B$9:$B$190,'2. TEUs &amp; Activities - EF'!$J$9:$J$190))*'3. Pollutant Emissions - EF'!$I1303*IF(OR(ISBLANK($E1303),$G1303="Yes"),1,$E1303)*IF($H1303="Yes",1,(1-$F1303))</f>
        <v>9.1378823529411762E-3</v>
      </c>
      <c r="N1303" s="5">
        <f>IF(ISBLANK($B1303),_xlfn.XLOOKUP($A1303,'2. TEUs &amp; Activities - EF'!$A$9:$A$190,'2. TEUs &amp; Activities - EF'!$M$9:$M$190),_xlfn.XLOOKUP($B1303,'2. TEUs &amp; Activities - EF'!$B$9:$B$190,'2. TEUs &amp; Activities - EF'!$M$9:$M$190))*'3. Pollutant Emissions - EF'!$J1303*IF(OR(ISBLANK($E1303),$G1303="Yes"),1,$E1303)*IF($H1303="Yes",1,(1-$F1303))</f>
        <v>2.5035294117647056E-5</v>
      </c>
      <c r="O1303" s="130"/>
    </row>
    <row r="1304" spans="1:15" ht="15" x14ac:dyDescent="0.25">
      <c r="A1304" s="5" t="s">
        <v>1618</v>
      </c>
      <c r="B1304" s="7"/>
      <c r="C1304" s="13" t="s">
        <v>64</v>
      </c>
      <c r="D1304" s="19" t="str">
        <f>IFERROR(IF(C1304="No CAS","",INDEX('DEQ Pollutant List'!$B$7:$B$611,MATCH('3. Pollutant Emissions - EF'!C1304,'DEQ Pollutant List'!$A$7:$A$611,0))),"")</f>
        <v>Mercury and compounds</v>
      </c>
      <c r="E1304" s="23">
        <v>0</v>
      </c>
      <c r="F1304" s="21">
        <v>0</v>
      </c>
      <c r="G1304" s="23" t="s">
        <v>1415</v>
      </c>
      <c r="H1304" s="21" t="s">
        <v>1415</v>
      </c>
      <c r="I1304" s="34">
        <v>2.5999999999999998E-4</v>
      </c>
      <c r="J1304" s="11">
        <f t="shared" si="47"/>
        <v>2.5999999999999998E-4</v>
      </c>
      <c r="K1304" s="6" t="s">
        <v>1416</v>
      </c>
      <c r="L1304" s="20" t="s">
        <v>1422</v>
      </c>
      <c r="M1304" s="7">
        <f>IF(ISBLANK($B1304),_xlfn.XLOOKUP($A1304,'2. TEUs &amp; Activities - EF'!$A$9:$A$190,'2. TEUs &amp; Activities - EF'!$J$9:$J$190),_xlfn.XLOOKUP($B1304,'2. TEUs &amp; Activities - EF'!$B$9:$B$190,'2. TEUs &amp; Activities - EF'!$J$9:$J$190))*'3. Pollutant Emissions - EF'!$I1304*IF(OR(ISBLANK($E1304),$G1304="Yes"),1,$E1304)*IF($H1304="Yes",1,(1-$F1304))</f>
        <v>6.2522352941176453E-3</v>
      </c>
      <c r="N1304" s="5">
        <f>IF(ISBLANK($B1304),_xlfn.XLOOKUP($A1304,'2. TEUs &amp; Activities - EF'!$A$9:$A$190,'2. TEUs &amp; Activities - EF'!$M$9:$M$190),_xlfn.XLOOKUP($B1304,'2. TEUs &amp; Activities - EF'!$B$9:$B$190,'2. TEUs &amp; Activities - EF'!$M$9:$M$190))*'3. Pollutant Emissions - EF'!$J1304*IF(OR(ISBLANK($E1304),$G1304="Yes"),1,$E1304)*IF($H1304="Yes",1,(1-$F1304))</f>
        <v>1.7129411764705877E-5</v>
      </c>
      <c r="O1304" s="130"/>
    </row>
    <row r="1305" spans="1:15" ht="15" x14ac:dyDescent="0.25">
      <c r="A1305" s="5" t="s">
        <v>1618</v>
      </c>
      <c r="B1305" s="7"/>
      <c r="C1305" s="13" t="s">
        <v>65</v>
      </c>
      <c r="D1305" s="19" t="str">
        <f>IFERROR(IF(C1305="No CAS","",INDEX('DEQ Pollutant List'!$B$7:$B$611,MATCH('3. Pollutant Emissions - EF'!C1305,'DEQ Pollutant List'!$A$7:$A$611,0))),"")</f>
        <v>Molybdenum trioxide</v>
      </c>
      <c r="E1305" s="23">
        <v>0</v>
      </c>
      <c r="F1305" s="21">
        <v>0</v>
      </c>
      <c r="G1305" s="23" t="s">
        <v>1415</v>
      </c>
      <c r="H1305" s="21" t="s">
        <v>1415</v>
      </c>
      <c r="I1305" s="34">
        <v>1.65E-3</v>
      </c>
      <c r="J1305" s="11">
        <f t="shared" si="47"/>
        <v>1.65E-3</v>
      </c>
      <c r="K1305" s="6" t="s">
        <v>1416</v>
      </c>
      <c r="L1305" s="20" t="s">
        <v>1422</v>
      </c>
      <c r="M1305" s="7">
        <f>IF(ISBLANK($B1305),_xlfn.XLOOKUP($A1305,'2. TEUs &amp; Activities - EF'!$A$9:$A$190,'2. TEUs &amp; Activities - EF'!$J$9:$J$190),_xlfn.XLOOKUP($B1305,'2. TEUs &amp; Activities - EF'!$B$9:$B$190,'2. TEUs &amp; Activities - EF'!$J$9:$J$190))*'3. Pollutant Emissions - EF'!$I1305*IF(OR(ISBLANK($E1305),$G1305="Yes"),1,$E1305)*IF($H1305="Yes",1,(1-$F1305))</f>
        <v>3.9677647058823526E-2</v>
      </c>
      <c r="N1305" s="5">
        <f>IF(ISBLANK($B1305),_xlfn.XLOOKUP($A1305,'2. TEUs &amp; Activities - EF'!$A$9:$A$190,'2. TEUs &amp; Activities - EF'!$M$9:$M$190),_xlfn.XLOOKUP($B1305,'2. TEUs &amp; Activities - EF'!$B$9:$B$190,'2. TEUs &amp; Activities - EF'!$M$9:$M$190))*'3. Pollutant Emissions - EF'!$J1305*IF(OR(ISBLANK($E1305),$G1305="Yes"),1,$E1305)*IF($H1305="Yes",1,(1-$F1305))</f>
        <v>1.0870588235294116E-4</v>
      </c>
      <c r="O1305" s="130"/>
    </row>
    <row r="1306" spans="1:15" ht="15" x14ac:dyDescent="0.25">
      <c r="A1306" s="5" t="s">
        <v>1618</v>
      </c>
      <c r="B1306" s="7"/>
      <c r="C1306" s="13" t="s">
        <v>49</v>
      </c>
      <c r="D1306" s="19" t="str">
        <f>IFERROR(IF(C1306="No CAS","",INDEX('DEQ Pollutant List'!$B$7:$B$611,MATCH('3. Pollutant Emissions - EF'!C1306,'DEQ Pollutant List'!$A$7:$A$611,0))),"")</f>
        <v>Naphthalene</v>
      </c>
      <c r="E1306" s="23">
        <v>0</v>
      </c>
      <c r="F1306" s="21">
        <v>0</v>
      </c>
      <c r="G1306" s="23" t="s">
        <v>1415</v>
      </c>
      <c r="H1306" s="21" t="s">
        <v>1415</v>
      </c>
      <c r="I1306" s="34">
        <v>2.9999999999999997E-4</v>
      </c>
      <c r="J1306" s="11">
        <f t="shared" si="47"/>
        <v>2.9999999999999997E-4</v>
      </c>
      <c r="K1306" s="6" t="s">
        <v>1416</v>
      </c>
      <c r="L1306" s="20" t="s">
        <v>1422</v>
      </c>
      <c r="M1306" s="7">
        <f>IF(ISBLANK($B1306),_xlfn.XLOOKUP($A1306,'2. TEUs &amp; Activities - EF'!$A$9:$A$190,'2. TEUs &amp; Activities - EF'!$J$9:$J$190),_xlfn.XLOOKUP($B1306,'2. TEUs &amp; Activities - EF'!$B$9:$B$190,'2. TEUs &amp; Activities - EF'!$J$9:$J$190))*'3. Pollutant Emissions - EF'!$I1306*IF(OR(ISBLANK($E1306),$G1306="Yes"),1,$E1306)*IF($H1306="Yes",1,(1-$F1306))</f>
        <v>7.2141176470588214E-3</v>
      </c>
      <c r="N1306" s="5">
        <f>IF(ISBLANK($B1306),_xlfn.XLOOKUP($A1306,'2. TEUs &amp; Activities - EF'!$A$9:$A$190,'2. TEUs &amp; Activities - EF'!$M$9:$M$190),_xlfn.XLOOKUP($B1306,'2. TEUs &amp; Activities - EF'!$B$9:$B$190,'2. TEUs &amp; Activities - EF'!$M$9:$M$190))*'3. Pollutant Emissions - EF'!$J1306*IF(OR(ISBLANK($E1306),$G1306="Yes"),1,$E1306)*IF($H1306="Yes",1,(1-$F1306))</f>
        <v>1.9764705882352938E-5</v>
      </c>
      <c r="O1306" s="130"/>
    </row>
    <row r="1307" spans="1:15" ht="15" x14ac:dyDescent="0.25">
      <c r="A1307" s="5" t="s">
        <v>1618</v>
      </c>
      <c r="B1307" s="7"/>
      <c r="C1307" s="13" t="s">
        <v>66</v>
      </c>
      <c r="D1307" s="19" t="str">
        <f>IFERROR(IF(C1307="No CAS","",INDEX('DEQ Pollutant List'!$B$7:$B$611,MATCH('3. Pollutant Emissions - EF'!C1307,'DEQ Pollutant List'!$A$7:$A$611,0))),"")</f>
        <v>Nickel and compounds</v>
      </c>
      <c r="E1307" s="23">
        <v>0</v>
      </c>
      <c r="F1307" s="21">
        <v>0</v>
      </c>
      <c r="G1307" s="23" t="s">
        <v>1415</v>
      </c>
      <c r="H1307" s="21" t="s">
        <v>1415</v>
      </c>
      <c r="I1307" s="34">
        <v>2.0999999999999999E-3</v>
      </c>
      <c r="J1307" s="11">
        <f t="shared" si="47"/>
        <v>2.0999999999999999E-3</v>
      </c>
      <c r="K1307" s="6" t="s">
        <v>1416</v>
      </c>
      <c r="L1307" s="20" t="s">
        <v>1422</v>
      </c>
      <c r="M1307" s="7">
        <f>IF(ISBLANK($B1307),_xlfn.XLOOKUP($A1307,'2. TEUs &amp; Activities - EF'!$A$9:$A$190,'2. TEUs &amp; Activities - EF'!$J$9:$J$190),_xlfn.XLOOKUP($B1307,'2. TEUs &amp; Activities - EF'!$B$9:$B$190,'2. TEUs &amp; Activities - EF'!$J$9:$J$190))*'3. Pollutant Emissions - EF'!$I1307*IF(OR(ISBLANK($E1307),$G1307="Yes"),1,$E1307)*IF($H1307="Yes",1,(1-$F1307))</f>
        <v>5.0498823529411756E-2</v>
      </c>
      <c r="N1307" s="5">
        <f>IF(ISBLANK($B1307),_xlfn.XLOOKUP($A1307,'2. TEUs &amp; Activities - EF'!$A$9:$A$190,'2. TEUs &amp; Activities - EF'!$M$9:$M$190),_xlfn.XLOOKUP($B1307,'2. TEUs &amp; Activities - EF'!$B$9:$B$190,'2. TEUs &amp; Activities - EF'!$M$9:$M$190))*'3. Pollutant Emissions - EF'!$J1307*IF(OR(ISBLANK($E1307),$G1307="Yes"),1,$E1307)*IF($H1307="Yes",1,(1-$F1307))</f>
        <v>1.3835294117647056E-4</v>
      </c>
      <c r="O1307" s="130"/>
    </row>
    <row r="1308" spans="1:15" ht="15" x14ac:dyDescent="0.25">
      <c r="A1308" s="5" t="s">
        <v>1618</v>
      </c>
      <c r="B1308" s="7"/>
      <c r="C1308" s="13">
        <v>401</v>
      </c>
      <c r="D1308" s="19" t="str">
        <f>IFERROR(IF(C1308="No CAS","",INDEX('DEQ Pollutant List'!$B$7:$B$611,MATCH('3. Pollutant Emissions - EF'!C1308,'DEQ Pollutant List'!$A$7:$A$611,0))),"")</f>
        <v>Polycyclic aromatic hydrocarbons (PAHs)</v>
      </c>
      <c r="E1308" s="23">
        <v>0</v>
      </c>
      <c r="F1308" s="21">
        <v>0</v>
      </c>
      <c r="G1308" s="23" t="s">
        <v>1415</v>
      </c>
      <c r="H1308" s="21" t="s">
        <v>1415</v>
      </c>
      <c r="I1308" s="34">
        <v>1E-4</v>
      </c>
      <c r="J1308" s="11">
        <f t="shared" si="47"/>
        <v>1E-4</v>
      </c>
      <c r="K1308" s="6" t="s">
        <v>1416</v>
      </c>
      <c r="L1308" s="20" t="s">
        <v>1422</v>
      </c>
      <c r="M1308" s="7">
        <f>IF(ISBLANK($B1308),_xlfn.XLOOKUP($A1308,'2. TEUs &amp; Activities - EF'!$A$9:$A$190,'2. TEUs &amp; Activities - EF'!$J$9:$J$190),_xlfn.XLOOKUP($B1308,'2. TEUs &amp; Activities - EF'!$B$9:$B$190,'2. TEUs &amp; Activities - EF'!$J$9:$J$190))*'3. Pollutant Emissions - EF'!$I1308*IF(OR(ISBLANK($E1308),$G1308="Yes"),1,$E1308)*IF($H1308="Yes",1,(1-$F1308))</f>
        <v>2.4047058823529407E-3</v>
      </c>
      <c r="N1308" s="5">
        <f>IF(ISBLANK($B1308),_xlfn.XLOOKUP($A1308,'2. TEUs &amp; Activities - EF'!$A$9:$A$190,'2. TEUs &amp; Activities - EF'!$M$9:$M$190),_xlfn.XLOOKUP($B1308,'2. TEUs &amp; Activities - EF'!$B$9:$B$190,'2. TEUs &amp; Activities - EF'!$M$9:$M$190))*'3. Pollutant Emissions - EF'!$J1308*IF(OR(ISBLANK($E1308),$G1308="Yes"),1,$E1308)*IF($H1308="Yes",1,(1-$F1308))</f>
        <v>6.5882352941176463E-6</v>
      </c>
      <c r="O1308" s="130"/>
    </row>
    <row r="1309" spans="1:15" ht="15" x14ac:dyDescent="0.25">
      <c r="A1309" s="5" t="s">
        <v>1618</v>
      </c>
      <c r="B1309" s="7"/>
      <c r="C1309" s="13" t="s">
        <v>67</v>
      </c>
      <c r="D1309" s="19" t="str">
        <f>IFERROR(IF(C1309="No CAS","",INDEX('DEQ Pollutant List'!$B$7:$B$611,MATCH('3. Pollutant Emissions - EF'!C1309,'DEQ Pollutant List'!$A$7:$A$611,0))),"")</f>
        <v>Selenium and compounds</v>
      </c>
      <c r="E1309" s="23">
        <v>0</v>
      </c>
      <c r="F1309" s="21">
        <v>0</v>
      </c>
      <c r="G1309" s="23" t="s">
        <v>1415</v>
      </c>
      <c r="H1309" s="21" t="s">
        <v>1415</v>
      </c>
      <c r="I1309" s="34">
        <v>2.4000000000000001E-5</v>
      </c>
      <c r="J1309" s="11">
        <f t="shared" si="47"/>
        <v>2.4000000000000001E-5</v>
      </c>
      <c r="K1309" s="6" t="s">
        <v>1416</v>
      </c>
      <c r="L1309" s="20" t="s">
        <v>1422</v>
      </c>
      <c r="M1309" s="7">
        <f>IF(ISBLANK($B1309),_xlfn.XLOOKUP($A1309,'2. TEUs &amp; Activities - EF'!$A$9:$A$190,'2. TEUs &amp; Activities - EF'!$J$9:$J$190),_xlfn.XLOOKUP($B1309,'2. TEUs &amp; Activities - EF'!$B$9:$B$190,'2. TEUs &amp; Activities - EF'!$J$9:$J$190))*'3. Pollutant Emissions - EF'!$I1309*IF(OR(ISBLANK($E1309),$G1309="Yes"),1,$E1309)*IF($H1309="Yes",1,(1-$F1309))</f>
        <v>5.7712941176470578E-4</v>
      </c>
      <c r="N1309" s="5">
        <f>IF(ISBLANK($B1309),_xlfn.XLOOKUP($A1309,'2. TEUs &amp; Activities - EF'!$A$9:$A$190,'2. TEUs &amp; Activities - EF'!$M$9:$M$190),_xlfn.XLOOKUP($B1309,'2. TEUs &amp; Activities - EF'!$B$9:$B$190,'2. TEUs &amp; Activities - EF'!$M$9:$M$190))*'3. Pollutant Emissions - EF'!$J1309*IF(OR(ISBLANK($E1309),$G1309="Yes"),1,$E1309)*IF($H1309="Yes",1,(1-$F1309))</f>
        <v>1.5811764705882351E-6</v>
      </c>
      <c r="O1309" s="130"/>
    </row>
    <row r="1310" spans="1:15" ht="15" x14ac:dyDescent="0.25">
      <c r="A1310" s="5" t="s">
        <v>1618</v>
      </c>
      <c r="B1310" s="7"/>
      <c r="C1310" s="13" t="s">
        <v>68</v>
      </c>
      <c r="D1310" s="19" t="str">
        <f>IFERROR(IF(C1310="No CAS","",INDEX('DEQ Pollutant List'!$B$7:$B$611,MATCH('3. Pollutant Emissions - EF'!C1310,'DEQ Pollutant List'!$A$7:$A$611,0))),"")</f>
        <v>Toluene</v>
      </c>
      <c r="E1310" s="23">
        <v>0</v>
      </c>
      <c r="F1310" s="21">
        <v>0</v>
      </c>
      <c r="G1310" s="23" t="s">
        <v>1415</v>
      </c>
      <c r="H1310" s="21" t="s">
        <v>1415</v>
      </c>
      <c r="I1310" s="34">
        <v>3.6600000000000001E-2</v>
      </c>
      <c r="J1310" s="11">
        <f t="shared" si="47"/>
        <v>3.6600000000000001E-2</v>
      </c>
      <c r="K1310" s="6" t="s">
        <v>1416</v>
      </c>
      <c r="L1310" s="20" t="s">
        <v>1422</v>
      </c>
      <c r="M1310" s="7">
        <f>IF(ISBLANK($B1310),_xlfn.XLOOKUP($A1310,'2. TEUs &amp; Activities - EF'!$A$9:$A$190,'2. TEUs &amp; Activities - EF'!$J$9:$J$190),_xlfn.XLOOKUP($B1310,'2. TEUs &amp; Activities - EF'!$B$9:$B$190,'2. TEUs &amp; Activities - EF'!$J$9:$J$190))*'3. Pollutant Emissions - EF'!$I1310*IF(OR(ISBLANK($E1310),$G1310="Yes"),1,$E1310)*IF($H1310="Yes",1,(1-$F1310))</f>
        <v>0.88012235294117636</v>
      </c>
      <c r="N1310" s="5">
        <f>IF(ISBLANK($B1310),_xlfn.XLOOKUP($A1310,'2. TEUs &amp; Activities - EF'!$A$9:$A$190,'2. TEUs &amp; Activities - EF'!$M$9:$M$190),_xlfn.XLOOKUP($B1310,'2. TEUs &amp; Activities - EF'!$B$9:$B$190,'2. TEUs &amp; Activities - EF'!$M$9:$M$190))*'3. Pollutant Emissions - EF'!$J1310*IF(OR(ISBLANK($E1310),$G1310="Yes"),1,$E1310)*IF($H1310="Yes",1,(1-$F1310))</f>
        <v>2.4112941176470584E-3</v>
      </c>
      <c r="O1310" s="130"/>
    </row>
    <row r="1311" spans="1:15" ht="15" x14ac:dyDescent="0.25">
      <c r="A1311" s="5" t="s">
        <v>1618</v>
      </c>
      <c r="B1311" s="7"/>
      <c r="C1311" s="13" t="s">
        <v>69</v>
      </c>
      <c r="D1311" s="19" t="str">
        <f>IFERROR(IF(C1311="No CAS","",INDEX('DEQ Pollutant List'!$B$7:$B$611,MATCH('3. Pollutant Emissions - EF'!C1311,'DEQ Pollutant List'!$A$7:$A$611,0))),"")</f>
        <v>Vanadium (fume or dust)</v>
      </c>
      <c r="E1311" s="23">
        <v>0</v>
      </c>
      <c r="F1311" s="21">
        <v>0</v>
      </c>
      <c r="G1311" s="23" t="s">
        <v>1415</v>
      </c>
      <c r="H1311" s="21" t="s">
        <v>1415</v>
      </c>
      <c r="I1311" s="34">
        <v>2.3E-3</v>
      </c>
      <c r="J1311" s="11">
        <f t="shared" si="47"/>
        <v>2.3E-3</v>
      </c>
      <c r="K1311" s="6" t="s">
        <v>1416</v>
      </c>
      <c r="L1311" s="20" t="s">
        <v>1422</v>
      </c>
      <c r="M1311" s="7">
        <f>IF(ISBLANK($B1311),_xlfn.XLOOKUP($A1311,'2. TEUs &amp; Activities - EF'!$A$9:$A$190,'2. TEUs &amp; Activities - EF'!$J$9:$J$190),_xlfn.XLOOKUP($B1311,'2. TEUs &amp; Activities - EF'!$B$9:$B$190,'2. TEUs &amp; Activities - EF'!$J$9:$J$190))*'3. Pollutant Emissions - EF'!$I1311*IF(OR(ISBLANK($E1311),$G1311="Yes"),1,$E1311)*IF($H1311="Yes",1,(1-$F1311))</f>
        <v>5.5308235294117637E-2</v>
      </c>
      <c r="N1311" s="5">
        <f>IF(ISBLANK($B1311),_xlfn.XLOOKUP($A1311,'2. TEUs &amp; Activities - EF'!$A$9:$A$190,'2. TEUs &amp; Activities - EF'!$M$9:$M$190),_xlfn.XLOOKUP($B1311,'2. TEUs &amp; Activities - EF'!$B$9:$B$190,'2. TEUs &amp; Activities - EF'!$M$9:$M$190))*'3. Pollutant Emissions - EF'!$J1311*IF(OR(ISBLANK($E1311),$G1311="Yes"),1,$E1311)*IF($H1311="Yes",1,(1-$F1311))</f>
        <v>1.5152941176470585E-4</v>
      </c>
      <c r="O1311" s="130"/>
    </row>
    <row r="1312" spans="1:15" ht="15" x14ac:dyDescent="0.25">
      <c r="A1312" s="5" t="s">
        <v>1618</v>
      </c>
      <c r="B1312" s="7"/>
      <c r="C1312" s="13" t="s">
        <v>70</v>
      </c>
      <c r="D1312" s="19" t="str">
        <f>IFERROR(IF(C1312="No CAS","",INDEX('DEQ Pollutant List'!$B$7:$B$611,MATCH('3. Pollutant Emissions - EF'!C1312,'DEQ Pollutant List'!$A$7:$A$611,0))),"")</f>
        <v>Xylene (mixture), including m-xylene, o-xylene, p-xylene</v>
      </c>
      <c r="E1312" s="23">
        <v>0</v>
      </c>
      <c r="F1312" s="21">
        <v>0</v>
      </c>
      <c r="G1312" s="23" t="s">
        <v>1415</v>
      </c>
      <c r="H1312" s="21" t="s">
        <v>1415</v>
      </c>
      <c r="I1312" s="34">
        <v>2.7199999999999998E-2</v>
      </c>
      <c r="J1312" s="11">
        <f t="shared" si="47"/>
        <v>2.7199999999999998E-2</v>
      </c>
      <c r="K1312" s="6" t="s">
        <v>1416</v>
      </c>
      <c r="L1312" s="20" t="s">
        <v>1422</v>
      </c>
      <c r="M1312" s="7">
        <f>IF(ISBLANK($B1312),_xlfn.XLOOKUP($A1312,'2. TEUs &amp; Activities - EF'!$A$9:$A$190,'2. TEUs &amp; Activities - EF'!$J$9:$J$190),_xlfn.XLOOKUP($B1312,'2. TEUs &amp; Activities - EF'!$B$9:$B$190,'2. TEUs &amp; Activities - EF'!$J$9:$J$190))*'3. Pollutant Emissions - EF'!$I1312*IF(OR(ISBLANK($E1312),$G1312="Yes"),1,$E1312)*IF($H1312="Yes",1,(1-$F1312))</f>
        <v>0.65407999999999988</v>
      </c>
      <c r="N1312" s="5">
        <f>IF(ISBLANK($B1312),_xlfn.XLOOKUP($A1312,'2. TEUs &amp; Activities - EF'!$A$9:$A$190,'2. TEUs &amp; Activities - EF'!$M$9:$M$190),_xlfn.XLOOKUP($B1312,'2. TEUs &amp; Activities - EF'!$B$9:$B$190,'2. TEUs &amp; Activities - EF'!$M$9:$M$190))*'3. Pollutant Emissions - EF'!$J1312*IF(OR(ISBLANK($E1312),$G1312="Yes"),1,$E1312)*IF($H1312="Yes",1,(1-$F1312))</f>
        <v>1.7919999999999998E-3</v>
      </c>
      <c r="O1312" s="130"/>
    </row>
    <row r="1313" spans="1:15" ht="15" x14ac:dyDescent="0.25">
      <c r="A1313" s="5" t="s">
        <v>1618</v>
      </c>
      <c r="B1313" s="7"/>
      <c r="C1313" s="13" t="s">
        <v>71</v>
      </c>
      <c r="D1313" s="19" t="str">
        <f>IFERROR(IF(C1313="No CAS","",INDEX('DEQ Pollutant List'!$B$7:$B$611,MATCH('3. Pollutant Emissions - EF'!C1313,'DEQ Pollutant List'!$A$7:$A$611,0))),"")</f>
        <v>Zinc and compounds</v>
      </c>
      <c r="E1313" s="23">
        <v>0</v>
      </c>
      <c r="F1313" s="21">
        <v>0</v>
      </c>
      <c r="G1313" s="23" t="s">
        <v>1415</v>
      </c>
      <c r="H1313" s="21" t="s">
        <v>1415</v>
      </c>
      <c r="I1313" s="34">
        <v>2.9000000000000001E-2</v>
      </c>
      <c r="J1313" s="11">
        <f t="shared" si="47"/>
        <v>2.9000000000000001E-2</v>
      </c>
      <c r="K1313" s="6" t="s">
        <v>1416</v>
      </c>
      <c r="L1313" s="20" t="s">
        <v>1422</v>
      </c>
      <c r="M1313" s="7">
        <f>IF(ISBLANK($B1313),_xlfn.XLOOKUP($A1313,'2. TEUs &amp; Activities - EF'!$A$9:$A$190,'2. TEUs &amp; Activities - EF'!$J$9:$J$190),_xlfn.XLOOKUP($B1313,'2. TEUs &amp; Activities - EF'!$B$9:$B$190,'2. TEUs &amp; Activities - EF'!$J$9:$J$190))*'3. Pollutant Emissions - EF'!$I1313*IF(OR(ISBLANK($E1313),$G1313="Yes"),1,$E1313)*IF($H1313="Yes",1,(1-$F1313))</f>
        <v>0.69736470588235289</v>
      </c>
      <c r="N1313" s="5">
        <f>IF(ISBLANK($B1313),_xlfn.XLOOKUP($A1313,'2. TEUs &amp; Activities - EF'!$A$9:$A$190,'2. TEUs &amp; Activities - EF'!$M$9:$M$190),_xlfn.XLOOKUP($B1313,'2. TEUs &amp; Activities - EF'!$B$9:$B$190,'2. TEUs &amp; Activities - EF'!$M$9:$M$190))*'3. Pollutant Emissions - EF'!$J1313*IF(OR(ISBLANK($E1313),$G1313="Yes"),1,$E1313)*IF($H1313="Yes",1,(1-$F1313))</f>
        <v>1.9105882352941175E-3</v>
      </c>
      <c r="O1313" s="130"/>
    </row>
    <row r="1314" spans="1:15" ht="15" x14ac:dyDescent="0.25">
      <c r="A1314" s="5"/>
      <c r="B1314" s="7"/>
      <c r="C1314" s="13"/>
      <c r="D1314" s="19" t="str">
        <f>IFERROR(IF(C1314="No CAS","",INDEX('DEQ Pollutant List'!$B$7:$B$611,MATCH('3. Pollutant Emissions - EF'!C1314,'DEQ Pollutant List'!$A$7:$A$611,0))),"")</f>
        <v/>
      </c>
      <c r="E1314" s="23"/>
      <c r="F1314" s="21"/>
      <c r="G1314" s="23"/>
      <c r="H1314" s="21"/>
      <c r="I1314" s="34"/>
      <c r="J1314" s="11"/>
      <c r="K1314" s="6"/>
      <c r="L1314" s="20"/>
      <c r="M1314" s="7">
        <f>IF(ISBLANK($B1314),_xlfn.XLOOKUP($A1314,'2. TEUs &amp; Activities - EF'!$A$9:$A$190,'2. TEUs &amp; Activities - EF'!$J$9:$J$190),_xlfn.XLOOKUP($B1314,'2. TEUs &amp; Activities - EF'!$B$9:$B$190,'2. TEUs &amp; Activities - EF'!$J$9:$J$190))*'3. Pollutant Emissions - EF'!$I1314*IF(OR(ISBLANK($E1314),$G1314="Yes"),1,$E1314)*IF($H1314="Yes",1,(1-$F1314))</f>
        <v>0</v>
      </c>
      <c r="N1314" s="5">
        <f>IF(ISBLANK($B1314),_xlfn.XLOOKUP($A1314,'2. TEUs &amp; Activities - EF'!$A$9:$A$190,'2. TEUs &amp; Activities - EF'!$M$9:$M$190),_xlfn.XLOOKUP($B1314,'2. TEUs &amp; Activities - EF'!$B$9:$B$190,'2. TEUs &amp; Activities - EF'!$M$9:$M$190))*'3. Pollutant Emissions - EF'!$J1314*IF(OR(ISBLANK($E1314),$G1314="Yes"),1,$E1314)*IF($H1314="Yes",1,(1-$F1314))</f>
        <v>0</v>
      </c>
      <c r="O1314" s="130"/>
    </row>
    <row r="1315" spans="1:15" ht="15" x14ac:dyDescent="0.25">
      <c r="A1315" s="5" t="s">
        <v>1619</v>
      </c>
      <c r="B1315" s="7"/>
      <c r="C1315" s="13" t="s">
        <v>48</v>
      </c>
      <c r="D1315" s="19" t="str">
        <f>IFERROR(IF(C1315="No CAS","",INDEX('DEQ Pollutant List'!$B$7:$B$611,MATCH('3. Pollutant Emissions - EF'!C1315,'DEQ Pollutant List'!$A$7:$A$611,0))),"")</f>
        <v>Benzo[a]pyrene</v>
      </c>
      <c r="E1315" s="23">
        <v>0</v>
      </c>
      <c r="F1315" s="21">
        <v>0</v>
      </c>
      <c r="G1315" s="23" t="s">
        <v>1415</v>
      </c>
      <c r="H1315" s="21" t="s">
        <v>1415</v>
      </c>
      <c r="I1315" s="34">
        <v>1.1999999999999999E-6</v>
      </c>
      <c r="J1315" s="11">
        <f t="shared" ref="J1315:J1341" si="48">I1315</f>
        <v>1.1999999999999999E-6</v>
      </c>
      <c r="K1315" s="6" t="s">
        <v>1416</v>
      </c>
      <c r="L1315" s="20" t="s">
        <v>1422</v>
      </c>
      <c r="M1315" s="7">
        <f>IF(ISBLANK($B1315),_xlfn.XLOOKUP($A1315,'2. TEUs &amp; Activities - EF'!$A$9:$A$190,'2. TEUs &amp; Activities - EF'!$J$9:$J$190),_xlfn.XLOOKUP($B1315,'2. TEUs &amp; Activities - EF'!$B$9:$B$190,'2. TEUs &amp; Activities - EF'!$J$9:$J$190))*'3. Pollutant Emissions - EF'!$I1315*IF(OR(ISBLANK($E1315),$G1315="Yes"),1,$E1315)*IF($H1315="Yes",1,(1-$F1315))</f>
        <v>3.2978823529411767E-5</v>
      </c>
      <c r="N1315" s="5">
        <f>IF(ISBLANK($B1315),_xlfn.XLOOKUP($A1315,'2. TEUs &amp; Activities - EF'!$A$9:$A$190,'2. TEUs &amp; Activities - EF'!$M$9:$M$190),_xlfn.XLOOKUP($B1315,'2. TEUs &amp; Activities - EF'!$B$9:$B$190,'2. TEUs &amp; Activities - EF'!$M$9:$M$190))*'3. Pollutant Emissions - EF'!$J1315*IF(OR(ISBLANK($E1315),$G1315="Yes"),1,$E1315)*IF($H1315="Yes",1,(1-$F1315))</f>
        <v>9.0352941176470592E-8</v>
      </c>
      <c r="O1315" s="130"/>
    </row>
    <row r="1316" spans="1:15" ht="15" x14ac:dyDescent="0.25">
      <c r="A1316" s="5" t="s">
        <v>1619</v>
      </c>
      <c r="B1316" s="7"/>
      <c r="C1316" s="13" t="s">
        <v>50</v>
      </c>
      <c r="D1316" s="19" t="str">
        <f>IFERROR(IF(C1316="No CAS","",INDEX('DEQ Pollutant List'!$B$7:$B$611,MATCH('3. Pollutant Emissions - EF'!C1316,'DEQ Pollutant List'!$A$7:$A$611,0))),"")</f>
        <v>Acetaldehyde</v>
      </c>
      <c r="E1316" s="23">
        <v>0</v>
      </c>
      <c r="F1316" s="21">
        <v>0</v>
      </c>
      <c r="G1316" s="23" t="s">
        <v>1415</v>
      </c>
      <c r="H1316" s="21" t="s">
        <v>1415</v>
      </c>
      <c r="I1316" s="34">
        <v>4.3E-3</v>
      </c>
      <c r="J1316" s="11">
        <f t="shared" si="48"/>
        <v>4.3E-3</v>
      </c>
      <c r="K1316" s="6" t="s">
        <v>1416</v>
      </c>
      <c r="L1316" s="20" t="s">
        <v>1422</v>
      </c>
      <c r="M1316" s="7">
        <f>IF(ISBLANK($B1316),_xlfn.XLOOKUP($A1316,'2. TEUs &amp; Activities - EF'!$A$9:$A$190,'2. TEUs &amp; Activities - EF'!$J$9:$J$190),_xlfn.XLOOKUP($B1316,'2. TEUs &amp; Activities - EF'!$B$9:$B$190,'2. TEUs &amp; Activities - EF'!$J$9:$J$190))*'3. Pollutant Emissions - EF'!$I1316*IF(OR(ISBLANK($E1316),$G1316="Yes"),1,$E1316)*IF($H1316="Yes",1,(1-$F1316))</f>
        <v>0.11817411764705883</v>
      </c>
      <c r="N1316" s="5">
        <f>IF(ISBLANK($B1316),_xlfn.XLOOKUP($A1316,'2. TEUs &amp; Activities - EF'!$A$9:$A$190,'2. TEUs &amp; Activities - EF'!$M$9:$M$190),_xlfn.XLOOKUP($B1316,'2. TEUs &amp; Activities - EF'!$B$9:$B$190,'2. TEUs &amp; Activities - EF'!$M$9:$M$190))*'3. Pollutant Emissions - EF'!$J1316*IF(OR(ISBLANK($E1316),$G1316="Yes"),1,$E1316)*IF($H1316="Yes",1,(1-$F1316))</f>
        <v>3.2376470588235299E-4</v>
      </c>
      <c r="O1316" s="130"/>
    </row>
    <row r="1317" spans="1:15" ht="15" x14ac:dyDescent="0.25">
      <c r="A1317" s="5" t="s">
        <v>1619</v>
      </c>
      <c r="B1317" s="7"/>
      <c r="C1317" s="13" t="s">
        <v>51</v>
      </c>
      <c r="D1317" s="19" t="str">
        <f>IFERROR(IF(C1317="No CAS","",INDEX('DEQ Pollutant List'!$B$7:$B$611,MATCH('3. Pollutant Emissions - EF'!C1317,'DEQ Pollutant List'!$A$7:$A$611,0))),"")</f>
        <v>Acrolein</v>
      </c>
      <c r="E1317" s="23">
        <v>0</v>
      </c>
      <c r="F1317" s="21">
        <v>0</v>
      </c>
      <c r="G1317" s="23" t="s">
        <v>1415</v>
      </c>
      <c r="H1317" s="21" t="s">
        <v>1415</v>
      </c>
      <c r="I1317" s="34">
        <v>2.7000000000000001E-3</v>
      </c>
      <c r="J1317" s="11">
        <f t="shared" si="48"/>
        <v>2.7000000000000001E-3</v>
      </c>
      <c r="K1317" s="6" t="s">
        <v>1416</v>
      </c>
      <c r="L1317" s="20" t="s">
        <v>1422</v>
      </c>
      <c r="M1317" s="7">
        <f>IF(ISBLANK($B1317),_xlfn.XLOOKUP($A1317,'2. TEUs &amp; Activities - EF'!$A$9:$A$190,'2. TEUs &amp; Activities - EF'!$J$9:$J$190),_xlfn.XLOOKUP($B1317,'2. TEUs &amp; Activities - EF'!$B$9:$B$190,'2. TEUs &amp; Activities - EF'!$J$9:$J$190))*'3. Pollutant Emissions - EF'!$I1317*IF(OR(ISBLANK($E1317),$G1317="Yes"),1,$E1317)*IF($H1317="Yes",1,(1-$F1317))</f>
        <v>7.4202352941176483E-2</v>
      </c>
      <c r="N1317" s="5">
        <f>IF(ISBLANK($B1317),_xlfn.XLOOKUP($A1317,'2. TEUs &amp; Activities - EF'!$A$9:$A$190,'2. TEUs &amp; Activities - EF'!$M$9:$M$190),_xlfn.XLOOKUP($B1317,'2. TEUs &amp; Activities - EF'!$B$9:$B$190,'2. TEUs &amp; Activities - EF'!$M$9:$M$190))*'3. Pollutant Emissions - EF'!$J1317*IF(OR(ISBLANK($E1317),$G1317="Yes"),1,$E1317)*IF($H1317="Yes",1,(1-$F1317))</f>
        <v>2.0329411764705887E-4</v>
      </c>
      <c r="O1317" s="130"/>
    </row>
    <row r="1318" spans="1:15" ht="15" x14ac:dyDescent="0.25">
      <c r="A1318" s="5" t="s">
        <v>1619</v>
      </c>
      <c r="B1318" s="7"/>
      <c r="C1318" s="13" t="s">
        <v>52</v>
      </c>
      <c r="D1318" s="19" t="str">
        <f>IFERROR(IF(C1318="No CAS","",INDEX('DEQ Pollutant List'!$B$7:$B$611,MATCH('3. Pollutant Emissions - EF'!C1318,'DEQ Pollutant List'!$A$7:$A$611,0))),"")</f>
        <v>Ammonia</v>
      </c>
      <c r="E1318" s="23">
        <v>0</v>
      </c>
      <c r="F1318" s="21">
        <v>0</v>
      </c>
      <c r="G1318" s="23" t="s">
        <v>1415</v>
      </c>
      <c r="H1318" s="21" t="s">
        <v>1415</v>
      </c>
      <c r="I1318" s="34">
        <v>3.2</v>
      </c>
      <c r="J1318" s="11">
        <f t="shared" si="48"/>
        <v>3.2</v>
      </c>
      <c r="K1318" s="6" t="s">
        <v>1416</v>
      </c>
      <c r="L1318" s="20" t="s">
        <v>1586</v>
      </c>
      <c r="M1318" s="7">
        <f>IF(ISBLANK($B1318),_xlfn.XLOOKUP($A1318,'2. TEUs &amp; Activities - EF'!$A$9:$A$190,'2. TEUs &amp; Activities - EF'!$J$9:$J$190),_xlfn.XLOOKUP($B1318,'2. TEUs &amp; Activities - EF'!$B$9:$B$190,'2. TEUs &amp; Activities - EF'!$J$9:$J$190))*'3. Pollutant Emissions - EF'!$I1318*IF(OR(ISBLANK($E1318),$G1318="Yes"),1,$E1318)*IF($H1318="Yes",1,(1-$F1318))</f>
        <v>87.943529411764715</v>
      </c>
      <c r="N1318" s="5">
        <f>IF(ISBLANK($B1318),_xlfn.XLOOKUP($A1318,'2. TEUs &amp; Activities - EF'!$A$9:$A$190,'2. TEUs &amp; Activities - EF'!$M$9:$M$190),_xlfn.XLOOKUP($B1318,'2. TEUs &amp; Activities - EF'!$B$9:$B$190,'2. TEUs &amp; Activities - EF'!$M$9:$M$190))*'3. Pollutant Emissions - EF'!$J1318*IF(OR(ISBLANK($E1318),$G1318="Yes"),1,$E1318)*IF($H1318="Yes",1,(1-$F1318))</f>
        <v>0.24094117647058827</v>
      </c>
      <c r="O1318" s="130"/>
    </row>
    <row r="1319" spans="1:15" ht="15" x14ac:dyDescent="0.25">
      <c r="A1319" s="5" t="s">
        <v>1619</v>
      </c>
      <c r="B1319" s="7"/>
      <c r="C1319" s="13" t="s">
        <v>53</v>
      </c>
      <c r="D1319" s="19" t="str">
        <f>IFERROR(IF(C1319="No CAS","",INDEX('DEQ Pollutant List'!$B$7:$B$611,MATCH('3. Pollutant Emissions - EF'!C1319,'DEQ Pollutant List'!$A$7:$A$611,0))),"")</f>
        <v>Arsenic and compounds</v>
      </c>
      <c r="E1319" s="23">
        <v>0</v>
      </c>
      <c r="F1319" s="21">
        <v>0</v>
      </c>
      <c r="G1319" s="23" t="s">
        <v>1415</v>
      </c>
      <c r="H1319" s="21" t="s">
        <v>1415</v>
      </c>
      <c r="I1319" s="34">
        <v>2.0000000000000001E-4</v>
      </c>
      <c r="J1319" s="11">
        <f t="shared" si="48"/>
        <v>2.0000000000000001E-4</v>
      </c>
      <c r="K1319" s="6" t="s">
        <v>1416</v>
      </c>
      <c r="L1319" s="20" t="s">
        <v>1422</v>
      </c>
      <c r="M1319" s="7">
        <f>IF(ISBLANK($B1319),_xlfn.XLOOKUP($A1319,'2. TEUs &amp; Activities - EF'!$A$9:$A$190,'2. TEUs &amp; Activities - EF'!$J$9:$J$190),_xlfn.XLOOKUP($B1319,'2. TEUs &amp; Activities - EF'!$B$9:$B$190,'2. TEUs &amp; Activities - EF'!$J$9:$J$190))*'3. Pollutant Emissions - EF'!$I1319*IF(OR(ISBLANK($E1319),$G1319="Yes"),1,$E1319)*IF($H1319="Yes",1,(1-$F1319))</f>
        <v>5.4964705882352945E-3</v>
      </c>
      <c r="N1319" s="5">
        <f>IF(ISBLANK($B1319),_xlfn.XLOOKUP($A1319,'2. TEUs &amp; Activities - EF'!$A$9:$A$190,'2. TEUs &amp; Activities - EF'!$M$9:$M$190),_xlfn.XLOOKUP($B1319,'2. TEUs &amp; Activities - EF'!$B$9:$B$190,'2. TEUs &amp; Activities - EF'!$M$9:$M$190))*'3. Pollutant Emissions - EF'!$J1319*IF(OR(ISBLANK($E1319),$G1319="Yes"),1,$E1319)*IF($H1319="Yes",1,(1-$F1319))</f>
        <v>1.5058823529411767E-5</v>
      </c>
      <c r="O1319" s="130"/>
    </row>
    <row r="1320" spans="1:15" ht="15" x14ac:dyDescent="0.25">
      <c r="A1320" s="5" t="s">
        <v>1619</v>
      </c>
      <c r="B1320" s="7"/>
      <c r="C1320" s="13" t="s">
        <v>54</v>
      </c>
      <c r="D1320" s="19" t="str">
        <f>IFERROR(IF(C1320="No CAS","",INDEX('DEQ Pollutant List'!$B$7:$B$611,MATCH('3. Pollutant Emissions - EF'!C1320,'DEQ Pollutant List'!$A$7:$A$611,0))),"")</f>
        <v>Barium and compounds</v>
      </c>
      <c r="E1320" s="23">
        <v>0</v>
      </c>
      <c r="F1320" s="21">
        <v>0</v>
      </c>
      <c r="G1320" s="23" t="s">
        <v>1415</v>
      </c>
      <c r="H1320" s="21" t="s">
        <v>1415</v>
      </c>
      <c r="I1320" s="34">
        <v>4.4000000000000003E-3</v>
      </c>
      <c r="J1320" s="11">
        <f t="shared" si="48"/>
        <v>4.4000000000000003E-3</v>
      </c>
      <c r="K1320" s="6" t="s">
        <v>1416</v>
      </c>
      <c r="L1320" s="20" t="s">
        <v>1422</v>
      </c>
      <c r="M1320" s="7">
        <f>IF(ISBLANK($B1320),_xlfn.XLOOKUP($A1320,'2. TEUs &amp; Activities - EF'!$A$9:$A$190,'2. TEUs &amp; Activities - EF'!$J$9:$J$190),_xlfn.XLOOKUP($B1320,'2. TEUs &amp; Activities - EF'!$B$9:$B$190,'2. TEUs &amp; Activities - EF'!$J$9:$J$190))*'3. Pollutant Emissions - EF'!$I1320*IF(OR(ISBLANK($E1320),$G1320="Yes"),1,$E1320)*IF($H1320="Yes",1,(1-$F1320))</f>
        <v>0.12092235294117648</v>
      </c>
      <c r="N1320" s="5">
        <f>IF(ISBLANK($B1320),_xlfn.XLOOKUP($A1320,'2. TEUs &amp; Activities - EF'!$A$9:$A$190,'2. TEUs &amp; Activities - EF'!$M$9:$M$190),_xlfn.XLOOKUP($B1320,'2. TEUs &amp; Activities - EF'!$B$9:$B$190,'2. TEUs &amp; Activities - EF'!$M$9:$M$190))*'3. Pollutant Emissions - EF'!$J1320*IF(OR(ISBLANK($E1320),$G1320="Yes"),1,$E1320)*IF($H1320="Yes",1,(1-$F1320))</f>
        <v>3.3129411764705886E-4</v>
      </c>
      <c r="O1320" s="130"/>
    </row>
    <row r="1321" spans="1:15" ht="15" x14ac:dyDescent="0.25">
      <c r="A1321" s="5" t="s">
        <v>1619</v>
      </c>
      <c r="B1321" s="7"/>
      <c r="C1321" s="13" t="s">
        <v>46</v>
      </c>
      <c r="D1321" s="19" t="str">
        <f>IFERROR(IF(C1321="No CAS","",INDEX('DEQ Pollutant List'!$B$7:$B$611,MATCH('3. Pollutant Emissions - EF'!C1321,'DEQ Pollutant List'!$A$7:$A$611,0))),"")</f>
        <v>Benzene</v>
      </c>
      <c r="E1321" s="23">
        <v>0</v>
      </c>
      <c r="F1321" s="21">
        <v>0</v>
      </c>
      <c r="G1321" s="23" t="s">
        <v>1415</v>
      </c>
      <c r="H1321" s="21" t="s">
        <v>1415</v>
      </c>
      <c r="I1321" s="34">
        <v>8.0000000000000002E-3</v>
      </c>
      <c r="J1321" s="11">
        <f t="shared" si="48"/>
        <v>8.0000000000000002E-3</v>
      </c>
      <c r="K1321" s="6" t="s">
        <v>1416</v>
      </c>
      <c r="L1321" s="20" t="s">
        <v>1422</v>
      </c>
      <c r="M1321" s="7">
        <f>IF(ISBLANK($B1321),_xlfn.XLOOKUP($A1321,'2. TEUs &amp; Activities - EF'!$A$9:$A$190,'2. TEUs &amp; Activities - EF'!$J$9:$J$190),_xlfn.XLOOKUP($B1321,'2. TEUs &amp; Activities - EF'!$B$9:$B$190,'2. TEUs &amp; Activities - EF'!$J$9:$J$190))*'3. Pollutant Emissions - EF'!$I1321*IF(OR(ISBLANK($E1321),$G1321="Yes"),1,$E1321)*IF($H1321="Yes",1,(1-$F1321))</f>
        <v>0.21985882352941177</v>
      </c>
      <c r="N1321" s="5">
        <f>IF(ISBLANK($B1321),_xlfn.XLOOKUP($A1321,'2. TEUs &amp; Activities - EF'!$A$9:$A$190,'2. TEUs &amp; Activities - EF'!$M$9:$M$190),_xlfn.XLOOKUP($B1321,'2. TEUs &amp; Activities - EF'!$B$9:$B$190,'2. TEUs &amp; Activities - EF'!$M$9:$M$190))*'3. Pollutant Emissions - EF'!$J1321*IF(OR(ISBLANK($E1321),$G1321="Yes"),1,$E1321)*IF($H1321="Yes",1,(1-$F1321))</f>
        <v>6.0235294117647064E-4</v>
      </c>
      <c r="O1321" s="130"/>
    </row>
    <row r="1322" spans="1:15" ht="15" x14ac:dyDescent="0.25">
      <c r="A1322" s="5" t="s">
        <v>1619</v>
      </c>
      <c r="B1322" s="7"/>
      <c r="C1322" s="13" t="s">
        <v>55</v>
      </c>
      <c r="D1322" s="19" t="str">
        <f>IFERROR(IF(C1322="No CAS","",INDEX('DEQ Pollutant List'!$B$7:$B$611,MATCH('3. Pollutant Emissions - EF'!C1322,'DEQ Pollutant List'!$A$7:$A$611,0))),"")</f>
        <v>Beryllium and compounds</v>
      </c>
      <c r="E1322" s="23">
        <v>0</v>
      </c>
      <c r="F1322" s="21">
        <v>0</v>
      </c>
      <c r="G1322" s="23" t="s">
        <v>1415</v>
      </c>
      <c r="H1322" s="21" t="s">
        <v>1415</v>
      </c>
      <c r="I1322" s="34">
        <v>1.2E-5</v>
      </c>
      <c r="J1322" s="11">
        <f t="shared" si="48"/>
        <v>1.2E-5</v>
      </c>
      <c r="K1322" s="6" t="s">
        <v>1416</v>
      </c>
      <c r="L1322" s="20" t="s">
        <v>1422</v>
      </c>
      <c r="M1322" s="7">
        <f>IF(ISBLANK($B1322),_xlfn.XLOOKUP($A1322,'2. TEUs &amp; Activities - EF'!$A$9:$A$190,'2. TEUs &amp; Activities - EF'!$J$9:$J$190),_xlfn.XLOOKUP($B1322,'2. TEUs &amp; Activities - EF'!$B$9:$B$190,'2. TEUs &amp; Activities - EF'!$J$9:$J$190))*'3. Pollutant Emissions - EF'!$I1322*IF(OR(ISBLANK($E1322),$G1322="Yes"),1,$E1322)*IF($H1322="Yes",1,(1-$F1322))</f>
        <v>3.2978823529411765E-4</v>
      </c>
      <c r="N1322" s="5">
        <f>IF(ISBLANK($B1322),_xlfn.XLOOKUP($A1322,'2. TEUs &amp; Activities - EF'!$A$9:$A$190,'2. TEUs &amp; Activities - EF'!$M$9:$M$190),_xlfn.XLOOKUP($B1322,'2. TEUs &amp; Activities - EF'!$B$9:$B$190,'2. TEUs &amp; Activities - EF'!$M$9:$M$190))*'3. Pollutant Emissions - EF'!$J1322*IF(OR(ISBLANK($E1322),$G1322="Yes"),1,$E1322)*IF($H1322="Yes",1,(1-$F1322))</f>
        <v>9.0352941176470598E-7</v>
      </c>
      <c r="O1322" s="130"/>
    </row>
    <row r="1323" spans="1:15" ht="15" x14ac:dyDescent="0.25">
      <c r="A1323" s="5" t="s">
        <v>1619</v>
      </c>
      <c r="B1323" s="7"/>
      <c r="C1323" s="13" t="s">
        <v>56</v>
      </c>
      <c r="D1323" s="19" t="str">
        <f>IFERROR(IF(C1323="No CAS","",INDEX('DEQ Pollutant List'!$B$7:$B$611,MATCH('3. Pollutant Emissions - EF'!C1323,'DEQ Pollutant List'!$A$7:$A$611,0))),"")</f>
        <v>Cadmium and compounds</v>
      </c>
      <c r="E1323" s="23">
        <v>0</v>
      </c>
      <c r="F1323" s="21">
        <v>0</v>
      </c>
      <c r="G1323" s="23" t="s">
        <v>1415</v>
      </c>
      <c r="H1323" s="21" t="s">
        <v>1415</v>
      </c>
      <c r="I1323" s="34">
        <v>1.1000000000000001E-3</v>
      </c>
      <c r="J1323" s="11">
        <f t="shared" si="48"/>
        <v>1.1000000000000001E-3</v>
      </c>
      <c r="K1323" s="6" t="s">
        <v>1416</v>
      </c>
      <c r="L1323" s="20" t="s">
        <v>1422</v>
      </c>
      <c r="M1323" s="7">
        <f>IF(ISBLANK($B1323),_xlfn.XLOOKUP($A1323,'2. TEUs &amp; Activities - EF'!$A$9:$A$190,'2. TEUs &amp; Activities - EF'!$J$9:$J$190),_xlfn.XLOOKUP($B1323,'2. TEUs &amp; Activities - EF'!$B$9:$B$190,'2. TEUs &amp; Activities - EF'!$J$9:$J$190))*'3. Pollutant Emissions - EF'!$I1323*IF(OR(ISBLANK($E1323),$G1323="Yes"),1,$E1323)*IF($H1323="Yes",1,(1-$F1323))</f>
        <v>3.023058823529412E-2</v>
      </c>
      <c r="N1323" s="5">
        <f>IF(ISBLANK($B1323),_xlfn.XLOOKUP($A1323,'2. TEUs &amp; Activities - EF'!$A$9:$A$190,'2. TEUs &amp; Activities - EF'!$M$9:$M$190),_xlfn.XLOOKUP($B1323,'2. TEUs &amp; Activities - EF'!$B$9:$B$190,'2. TEUs &amp; Activities - EF'!$M$9:$M$190))*'3. Pollutant Emissions - EF'!$J1323*IF(OR(ISBLANK($E1323),$G1323="Yes"),1,$E1323)*IF($H1323="Yes",1,(1-$F1323))</f>
        <v>8.2823529411764715E-5</v>
      </c>
      <c r="O1323" s="130"/>
    </row>
    <row r="1324" spans="1:15" ht="15" x14ac:dyDescent="0.25">
      <c r="A1324" s="5" t="s">
        <v>1619</v>
      </c>
      <c r="B1324" s="7"/>
      <c r="C1324" s="13" t="s">
        <v>57</v>
      </c>
      <c r="D1324" s="19" t="str">
        <f>IFERROR(IF(C1324="No CAS","",INDEX('DEQ Pollutant List'!$B$7:$B$611,MATCH('3. Pollutant Emissions - EF'!C1324,'DEQ Pollutant List'!$A$7:$A$611,0))),"")</f>
        <v>Chromium VI, chromate and dichromate particulate</v>
      </c>
      <c r="E1324" s="23">
        <v>0</v>
      </c>
      <c r="F1324" s="21">
        <v>0</v>
      </c>
      <c r="G1324" s="23" t="s">
        <v>1415</v>
      </c>
      <c r="H1324" s="21" t="s">
        <v>1415</v>
      </c>
      <c r="I1324" s="34">
        <v>1.4E-3</v>
      </c>
      <c r="J1324" s="11">
        <f t="shared" si="48"/>
        <v>1.4E-3</v>
      </c>
      <c r="K1324" s="6" t="s">
        <v>1416</v>
      </c>
      <c r="L1324" s="20" t="s">
        <v>1422</v>
      </c>
      <c r="M1324" s="7">
        <f>IF(ISBLANK($B1324),_xlfn.XLOOKUP($A1324,'2. TEUs &amp; Activities - EF'!$A$9:$A$190,'2. TEUs &amp; Activities - EF'!$J$9:$J$190),_xlfn.XLOOKUP($B1324,'2. TEUs &amp; Activities - EF'!$B$9:$B$190,'2. TEUs &amp; Activities - EF'!$J$9:$J$190))*'3. Pollutant Emissions - EF'!$I1324*IF(OR(ISBLANK($E1324),$G1324="Yes"),1,$E1324)*IF($H1324="Yes",1,(1-$F1324))</f>
        <v>3.8475294117647059E-2</v>
      </c>
      <c r="N1324" s="5">
        <f>IF(ISBLANK($B1324),_xlfn.XLOOKUP($A1324,'2. TEUs &amp; Activities - EF'!$A$9:$A$190,'2. TEUs &amp; Activities - EF'!$M$9:$M$190),_xlfn.XLOOKUP($B1324,'2. TEUs &amp; Activities - EF'!$B$9:$B$190,'2. TEUs &amp; Activities - EF'!$M$9:$M$190))*'3. Pollutant Emissions - EF'!$J1324*IF(OR(ISBLANK($E1324),$G1324="Yes"),1,$E1324)*IF($H1324="Yes",1,(1-$F1324))</f>
        <v>1.0541176470588237E-4</v>
      </c>
      <c r="O1324" s="130"/>
    </row>
    <row r="1325" spans="1:15" ht="15" x14ac:dyDescent="0.25">
      <c r="A1325" s="5" t="s">
        <v>1619</v>
      </c>
      <c r="B1325" s="7"/>
      <c r="C1325" s="13" t="s">
        <v>58</v>
      </c>
      <c r="D1325" s="19" t="str">
        <f>IFERROR(IF(C1325="No CAS","",INDEX('DEQ Pollutant List'!$B$7:$B$611,MATCH('3. Pollutant Emissions - EF'!C1325,'DEQ Pollutant List'!$A$7:$A$611,0))),"")</f>
        <v>Cobalt and compounds</v>
      </c>
      <c r="E1325" s="23">
        <v>0</v>
      </c>
      <c r="F1325" s="21">
        <v>0</v>
      </c>
      <c r="G1325" s="23" t="s">
        <v>1415</v>
      </c>
      <c r="H1325" s="21" t="s">
        <v>1415</v>
      </c>
      <c r="I1325" s="34">
        <v>8.3999999999999995E-5</v>
      </c>
      <c r="J1325" s="11">
        <f t="shared" si="48"/>
        <v>8.3999999999999995E-5</v>
      </c>
      <c r="K1325" s="6" t="s">
        <v>1416</v>
      </c>
      <c r="L1325" s="20" t="s">
        <v>1422</v>
      </c>
      <c r="M1325" s="7">
        <f>IF(ISBLANK($B1325),_xlfn.XLOOKUP($A1325,'2. TEUs &amp; Activities - EF'!$A$9:$A$190,'2. TEUs &amp; Activities - EF'!$J$9:$J$190),_xlfn.XLOOKUP($B1325,'2. TEUs &amp; Activities - EF'!$B$9:$B$190,'2. TEUs &amp; Activities - EF'!$J$9:$J$190))*'3. Pollutant Emissions - EF'!$I1325*IF(OR(ISBLANK($E1325),$G1325="Yes"),1,$E1325)*IF($H1325="Yes",1,(1-$F1325))</f>
        <v>2.3085176470588236E-3</v>
      </c>
      <c r="N1325" s="5">
        <f>IF(ISBLANK($B1325),_xlfn.XLOOKUP($A1325,'2. TEUs &amp; Activities - EF'!$A$9:$A$190,'2. TEUs &amp; Activities - EF'!$M$9:$M$190),_xlfn.XLOOKUP($B1325,'2. TEUs &amp; Activities - EF'!$B$9:$B$190,'2. TEUs &amp; Activities - EF'!$M$9:$M$190))*'3. Pollutant Emissions - EF'!$J1325*IF(OR(ISBLANK($E1325),$G1325="Yes"),1,$E1325)*IF($H1325="Yes",1,(1-$F1325))</f>
        <v>6.3247058823529414E-6</v>
      </c>
      <c r="O1325" s="130"/>
    </row>
    <row r="1326" spans="1:15" ht="15" x14ac:dyDescent="0.25">
      <c r="A1326" s="5" t="s">
        <v>1619</v>
      </c>
      <c r="B1326" s="7"/>
      <c r="C1326" s="13" t="s">
        <v>59</v>
      </c>
      <c r="D1326" s="19" t="str">
        <f>IFERROR(IF(C1326="No CAS","",INDEX('DEQ Pollutant List'!$B$7:$B$611,MATCH('3. Pollutant Emissions - EF'!C1326,'DEQ Pollutant List'!$A$7:$A$611,0))),"")</f>
        <v>Copper and compounds</v>
      </c>
      <c r="E1326" s="23">
        <v>0</v>
      </c>
      <c r="F1326" s="21">
        <v>0</v>
      </c>
      <c r="G1326" s="23" t="s">
        <v>1415</v>
      </c>
      <c r="H1326" s="21" t="s">
        <v>1415</v>
      </c>
      <c r="I1326" s="34">
        <v>8.4999999999999995E-4</v>
      </c>
      <c r="J1326" s="11">
        <f t="shared" si="48"/>
        <v>8.4999999999999995E-4</v>
      </c>
      <c r="K1326" s="6" t="s">
        <v>1416</v>
      </c>
      <c r="L1326" s="20" t="s">
        <v>1422</v>
      </c>
      <c r="M1326" s="7">
        <f>IF(ISBLANK($B1326),_xlfn.XLOOKUP($A1326,'2. TEUs &amp; Activities - EF'!$A$9:$A$190,'2. TEUs &amp; Activities - EF'!$J$9:$J$190),_xlfn.XLOOKUP($B1326,'2. TEUs &amp; Activities - EF'!$B$9:$B$190,'2. TEUs &amp; Activities - EF'!$J$9:$J$190))*'3. Pollutant Emissions - EF'!$I1326*IF(OR(ISBLANK($E1326),$G1326="Yes"),1,$E1326)*IF($H1326="Yes",1,(1-$F1326))</f>
        <v>2.3359999999999999E-2</v>
      </c>
      <c r="N1326" s="5">
        <f>IF(ISBLANK($B1326),_xlfn.XLOOKUP($A1326,'2. TEUs &amp; Activities - EF'!$A$9:$A$190,'2. TEUs &amp; Activities - EF'!$M$9:$M$190),_xlfn.XLOOKUP($B1326,'2. TEUs &amp; Activities - EF'!$B$9:$B$190,'2. TEUs &amp; Activities - EF'!$M$9:$M$190))*'3. Pollutant Emissions - EF'!$J1326*IF(OR(ISBLANK($E1326),$G1326="Yes"),1,$E1326)*IF($H1326="Yes",1,(1-$F1326))</f>
        <v>6.3999999999999997E-5</v>
      </c>
      <c r="O1326" s="130"/>
    </row>
    <row r="1327" spans="1:15" ht="15" x14ac:dyDescent="0.25">
      <c r="A1327" s="5" t="s">
        <v>1619</v>
      </c>
      <c r="B1327" s="7"/>
      <c r="C1327" s="13" t="s">
        <v>60</v>
      </c>
      <c r="D1327" s="19" t="str">
        <f>IFERROR(IF(C1327="No CAS","",INDEX('DEQ Pollutant List'!$B$7:$B$611,MATCH('3. Pollutant Emissions - EF'!C1327,'DEQ Pollutant List'!$A$7:$A$611,0))),"")</f>
        <v>Ethyl benzene</v>
      </c>
      <c r="E1327" s="23">
        <v>0</v>
      </c>
      <c r="F1327" s="21">
        <v>0</v>
      </c>
      <c r="G1327" s="23" t="s">
        <v>1415</v>
      </c>
      <c r="H1327" s="21" t="s">
        <v>1415</v>
      </c>
      <c r="I1327" s="34">
        <v>9.4999999999999998E-3</v>
      </c>
      <c r="J1327" s="11">
        <f t="shared" si="48"/>
        <v>9.4999999999999998E-3</v>
      </c>
      <c r="K1327" s="6" t="s">
        <v>1416</v>
      </c>
      <c r="L1327" s="20" t="s">
        <v>1422</v>
      </c>
      <c r="M1327" s="7">
        <f>IF(ISBLANK($B1327),_xlfn.XLOOKUP($A1327,'2. TEUs &amp; Activities - EF'!$A$9:$A$190,'2. TEUs &amp; Activities - EF'!$J$9:$J$190),_xlfn.XLOOKUP($B1327,'2. TEUs &amp; Activities - EF'!$B$9:$B$190,'2. TEUs &amp; Activities - EF'!$J$9:$J$190))*'3. Pollutant Emissions - EF'!$I1327*IF(OR(ISBLANK($E1327),$G1327="Yes"),1,$E1327)*IF($H1327="Yes",1,(1-$F1327))</f>
        <v>0.26108235294117649</v>
      </c>
      <c r="N1327" s="5">
        <f>IF(ISBLANK($B1327),_xlfn.XLOOKUP($A1327,'2. TEUs &amp; Activities - EF'!$A$9:$A$190,'2. TEUs &amp; Activities - EF'!$M$9:$M$190),_xlfn.XLOOKUP($B1327,'2. TEUs &amp; Activities - EF'!$B$9:$B$190,'2. TEUs &amp; Activities - EF'!$M$9:$M$190))*'3. Pollutant Emissions - EF'!$J1327*IF(OR(ISBLANK($E1327),$G1327="Yes"),1,$E1327)*IF($H1327="Yes",1,(1-$F1327))</f>
        <v>7.1529411764705887E-4</v>
      </c>
      <c r="O1327" s="130"/>
    </row>
    <row r="1328" spans="1:15" ht="15" x14ac:dyDescent="0.25">
      <c r="A1328" s="5" t="s">
        <v>1619</v>
      </c>
      <c r="B1328" s="7"/>
      <c r="C1328" s="13" t="s">
        <v>47</v>
      </c>
      <c r="D1328" s="19" t="str">
        <f>IFERROR(IF(C1328="No CAS","",INDEX('DEQ Pollutant List'!$B$7:$B$611,MATCH('3. Pollutant Emissions - EF'!C1328,'DEQ Pollutant List'!$A$7:$A$611,0))),"")</f>
        <v>Formaldehyde</v>
      </c>
      <c r="E1328" s="23">
        <v>0</v>
      </c>
      <c r="F1328" s="21">
        <v>0</v>
      </c>
      <c r="G1328" s="23" t="s">
        <v>1415</v>
      </c>
      <c r="H1328" s="21" t="s">
        <v>1415</v>
      </c>
      <c r="I1328" s="34">
        <v>1.7000000000000001E-2</v>
      </c>
      <c r="J1328" s="11">
        <f t="shared" si="48"/>
        <v>1.7000000000000001E-2</v>
      </c>
      <c r="K1328" s="6" t="s">
        <v>1416</v>
      </c>
      <c r="L1328" s="20" t="s">
        <v>1422</v>
      </c>
      <c r="M1328" s="7">
        <f>IF(ISBLANK($B1328),_xlfn.XLOOKUP($A1328,'2. TEUs &amp; Activities - EF'!$A$9:$A$190,'2. TEUs &amp; Activities - EF'!$J$9:$J$190),_xlfn.XLOOKUP($B1328,'2. TEUs &amp; Activities - EF'!$B$9:$B$190,'2. TEUs &amp; Activities - EF'!$J$9:$J$190))*'3. Pollutant Emissions - EF'!$I1328*IF(OR(ISBLANK($E1328),$G1328="Yes"),1,$E1328)*IF($H1328="Yes",1,(1-$F1328))</f>
        <v>0.46720000000000006</v>
      </c>
      <c r="N1328" s="5">
        <f>IF(ISBLANK($B1328),_xlfn.XLOOKUP($A1328,'2. TEUs &amp; Activities - EF'!$A$9:$A$190,'2. TEUs &amp; Activities - EF'!$M$9:$M$190),_xlfn.XLOOKUP($B1328,'2. TEUs &amp; Activities - EF'!$B$9:$B$190,'2. TEUs &amp; Activities - EF'!$M$9:$M$190))*'3. Pollutant Emissions - EF'!$J1328*IF(OR(ISBLANK($E1328),$G1328="Yes"),1,$E1328)*IF($H1328="Yes",1,(1-$F1328))</f>
        <v>1.2800000000000003E-3</v>
      </c>
      <c r="O1328" s="130"/>
    </row>
    <row r="1329" spans="1:15" ht="15" x14ac:dyDescent="0.25">
      <c r="A1329" s="5" t="s">
        <v>1619</v>
      </c>
      <c r="B1329" s="7"/>
      <c r="C1329" s="13" t="s">
        <v>61</v>
      </c>
      <c r="D1329" s="19" t="str">
        <f>IFERROR(IF(C1329="No CAS","",INDEX('DEQ Pollutant List'!$B$7:$B$611,MATCH('3. Pollutant Emissions - EF'!C1329,'DEQ Pollutant List'!$A$7:$A$611,0))),"")</f>
        <v>Hexane</v>
      </c>
      <c r="E1329" s="23">
        <v>0</v>
      </c>
      <c r="F1329" s="21">
        <v>0</v>
      </c>
      <c r="G1329" s="23" t="s">
        <v>1415</v>
      </c>
      <c r="H1329" s="21" t="s">
        <v>1415</v>
      </c>
      <c r="I1329" s="34">
        <v>6.3E-3</v>
      </c>
      <c r="J1329" s="11">
        <f t="shared" si="48"/>
        <v>6.3E-3</v>
      </c>
      <c r="K1329" s="6" t="s">
        <v>1416</v>
      </c>
      <c r="L1329" s="20" t="s">
        <v>1422</v>
      </c>
      <c r="M1329" s="7">
        <f>IF(ISBLANK($B1329),_xlfn.XLOOKUP($A1329,'2. TEUs &amp; Activities - EF'!$A$9:$A$190,'2. TEUs &amp; Activities - EF'!$J$9:$J$190),_xlfn.XLOOKUP($B1329,'2. TEUs &amp; Activities - EF'!$B$9:$B$190,'2. TEUs &amp; Activities - EF'!$J$9:$J$190))*'3. Pollutant Emissions - EF'!$I1329*IF(OR(ISBLANK($E1329),$G1329="Yes"),1,$E1329)*IF($H1329="Yes",1,(1-$F1329))</f>
        <v>0.17313882352941179</v>
      </c>
      <c r="N1329" s="5">
        <f>IF(ISBLANK($B1329),_xlfn.XLOOKUP($A1329,'2. TEUs &amp; Activities - EF'!$A$9:$A$190,'2. TEUs &amp; Activities - EF'!$M$9:$M$190),_xlfn.XLOOKUP($B1329,'2. TEUs &amp; Activities - EF'!$B$9:$B$190,'2. TEUs &amp; Activities - EF'!$M$9:$M$190))*'3. Pollutant Emissions - EF'!$J1329*IF(OR(ISBLANK($E1329),$G1329="Yes"),1,$E1329)*IF($H1329="Yes",1,(1-$F1329))</f>
        <v>4.7435294117647062E-4</v>
      </c>
      <c r="O1329" s="130"/>
    </row>
    <row r="1330" spans="1:15" ht="15" x14ac:dyDescent="0.25">
      <c r="A1330" s="5" t="s">
        <v>1619</v>
      </c>
      <c r="B1330" s="7"/>
      <c r="C1330" s="13" t="s">
        <v>62</v>
      </c>
      <c r="D1330" s="19" t="str">
        <f>IFERROR(IF(C1330="No CAS","",INDEX('DEQ Pollutant List'!$B$7:$B$611,MATCH('3. Pollutant Emissions - EF'!C1330,'DEQ Pollutant List'!$A$7:$A$611,0))),"")</f>
        <v>Lead and compounds</v>
      </c>
      <c r="E1330" s="23">
        <v>0</v>
      </c>
      <c r="F1330" s="21">
        <v>0</v>
      </c>
      <c r="G1330" s="23" t="s">
        <v>1415</v>
      </c>
      <c r="H1330" s="21" t="s">
        <v>1415</v>
      </c>
      <c r="I1330" s="34">
        <v>5.0000000000000001E-4</v>
      </c>
      <c r="J1330" s="11">
        <f t="shared" si="48"/>
        <v>5.0000000000000001E-4</v>
      </c>
      <c r="K1330" s="6" t="s">
        <v>1416</v>
      </c>
      <c r="L1330" s="20" t="s">
        <v>1422</v>
      </c>
      <c r="M1330" s="7">
        <f>IF(ISBLANK($B1330),_xlfn.XLOOKUP($A1330,'2. TEUs &amp; Activities - EF'!$A$9:$A$190,'2. TEUs &amp; Activities - EF'!$J$9:$J$190),_xlfn.XLOOKUP($B1330,'2. TEUs &amp; Activities - EF'!$B$9:$B$190,'2. TEUs &amp; Activities - EF'!$J$9:$J$190))*'3. Pollutant Emissions - EF'!$I1330*IF(OR(ISBLANK($E1330),$G1330="Yes"),1,$E1330)*IF($H1330="Yes",1,(1-$F1330))</f>
        <v>1.3741176470588236E-2</v>
      </c>
      <c r="N1330" s="5">
        <f>IF(ISBLANK($B1330),_xlfn.XLOOKUP($A1330,'2. TEUs &amp; Activities - EF'!$A$9:$A$190,'2. TEUs &amp; Activities - EF'!$M$9:$M$190),_xlfn.XLOOKUP($B1330,'2. TEUs &amp; Activities - EF'!$B$9:$B$190,'2. TEUs &amp; Activities - EF'!$M$9:$M$190))*'3. Pollutant Emissions - EF'!$J1330*IF(OR(ISBLANK($E1330),$G1330="Yes"),1,$E1330)*IF($H1330="Yes",1,(1-$F1330))</f>
        <v>3.7647058823529415E-5</v>
      </c>
      <c r="O1330" s="130"/>
    </row>
    <row r="1331" spans="1:15" ht="15" x14ac:dyDescent="0.25">
      <c r="A1331" s="5" t="s">
        <v>1619</v>
      </c>
      <c r="B1331" s="7"/>
      <c r="C1331" s="13" t="s">
        <v>63</v>
      </c>
      <c r="D1331" s="19" t="str">
        <f>IFERROR(IF(C1331="No CAS","",INDEX('DEQ Pollutant List'!$B$7:$B$611,MATCH('3. Pollutant Emissions - EF'!C1331,'DEQ Pollutant List'!$A$7:$A$611,0))),"")</f>
        <v>Manganese and compounds</v>
      </c>
      <c r="E1331" s="23">
        <v>0</v>
      </c>
      <c r="F1331" s="21">
        <v>0</v>
      </c>
      <c r="G1331" s="23" t="s">
        <v>1415</v>
      </c>
      <c r="H1331" s="21" t="s">
        <v>1415</v>
      </c>
      <c r="I1331" s="34">
        <v>3.8000000000000002E-4</v>
      </c>
      <c r="J1331" s="11">
        <f t="shared" si="48"/>
        <v>3.8000000000000002E-4</v>
      </c>
      <c r="K1331" s="6" t="s">
        <v>1416</v>
      </c>
      <c r="L1331" s="20" t="s">
        <v>1422</v>
      </c>
      <c r="M1331" s="7">
        <f>IF(ISBLANK($B1331),_xlfn.XLOOKUP($A1331,'2. TEUs &amp; Activities - EF'!$A$9:$A$190,'2. TEUs &amp; Activities - EF'!$J$9:$J$190),_xlfn.XLOOKUP($B1331,'2. TEUs &amp; Activities - EF'!$B$9:$B$190,'2. TEUs &amp; Activities - EF'!$J$9:$J$190))*'3. Pollutant Emissions - EF'!$I1331*IF(OR(ISBLANK($E1331),$G1331="Yes"),1,$E1331)*IF($H1331="Yes",1,(1-$F1331))</f>
        <v>1.0443294117647059E-2</v>
      </c>
      <c r="N1331" s="5">
        <f>IF(ISBLANK($B1331),_xlfn.XLOOKUP($A1331,'2. TEUs &amp; Activities - EF'!$A$9:$A$190,'2. TEUs &amp; Activities - EF'!$M$9:$M$190),_xlfn.XLOOKUP($B1331,'2. TEUs &amp; Activities - EF'!$B$9:$B$190,'2. TEUs &amp; Activities - EF'!$M$9:$M$190))*'3. Pollutant Emissions - EF'!$J1331*IF(OR(ISBLANK($E1331),$G1331="Yes"),1,$E1331)*IF($H1331="Yes",1,(1-$F1331))</f>
        <v>2.8611764705882358E-5</v>
      </c>
      <c r="O1331" s="130"/>
    </row>
    <row r="1332" spans="1:15" ht="15" x14ac:dyDescent="0.25">
      <c r="A1332" s="5" t="s">
        <v>1619</v>
      </c>
      <c r="B1332" s="7"/>
      <c r="C1332" s="13" t="s">
        <v>64</v>
      </c>
      <c r="D1332" s="19" t="str">
        <f>IFERROR(IF(C1332="No CAS","",INDEX('DEQ Pollutant List'!$B$7:$B$611,MATCH('3. Pollutant Emissions - EF'!C1332,'DEQ Pollutant List'!$A$7:$A$611,0))),"")</f>
        <v>Mercury and compounds</v>
      </c>
      <c r="E1332" s="23">
        <v>0</v>
      </c>
      <c r="F1332" s="21">
        <v>0</v>
      </c>
      <c r="G1332" s="23" t="s">
        <v>1415</v>
      </c>
      <c r="H1332" s="21" t="s">
        <v>1415</v>
      </c>
      <c r="I1332" s="34">
        <v>2.5999999999999998E-4</v>
      </c>
      <c r="J1332" s="11">
        <f t="shared" si="48"/>
        <v>2.5999999999999998E-4</v>
      </c>
      <c r="K1332" s="6" t="s">
        <v>1416</v>
      </c>
      <c r="L1332" s="20" t="s">
        <v>1422</v>
      </c>
      <c r="M1332" s="7">
        <f>IF(ISBLANK($B1332),_xlfn.XLOOKUP($A1332,'2. TEUs &amp; Activities - EF'!$A$9:$A$190,'2. TEUs &amp; Activities - EF'!$J$9:$J$190),_xlfn.XLOOKUP($B1332,'2. TEUs &amp; Activities - EF'!$B$9:$B$190,'2. TEUs &amp; Activities - EF'!$J$9:$J$190))*'3. Pollutant Emissions - EF'!$I1332*IF(OR(ISBLANK($E1332),$G1332="Yes"),1,$E1332)*IF($H1332="Yes",1,(1-$F1332))</f>
        <v>7.1454117647058819E-3</v>
      </c>
      <c r="N1332" s="5">
        <f>IF(ISBLANK($B1332),_xlfn.XLOOKUP($A1332,'2. TEUs &amp; Activities - EF'!$A$9:$A$190,'2. TEUs &amp; Activities - EF'!$M$9:$M$190),_xlfn.XLOOKUP($B1332,'2. TEUs &amp; Activities - EF'!$B$9:$B$190,'2. TEUs &amp; Activities - EF'!$M$9:$M$190))*'3. Pollutant Emissions - EF'!$J1332*IF(OR(ISBLANK($E1332),$G1332="Yes"),1,$E1332)*IF($H1332="Yes",1,(1-$F1332))</f>
        <v>1.9576470588235294E-5</v>
      </c>
      <c r="O1332" s="130"/>
    </row>
    <row r="1333" spans="1:15" ht="15" x14ac:dyDescent="0.25">
      <c r="A1333" s="5" t="s">
        <v>1619</v>
      </c>
      <c r="B1333" s="7"/>
      <c r="C1333" s="13" t="s">
        <v>65</v>
      </c>
      <c r="D1333" s="19" t="str">
        <f>IFERROR(IF(C1333="No CAS","",INDEX('DEQ Pollutant List'!$B$7:$B$611,MATCH('3. Pollutant Emissions - EF'!C1333,'DEQ Pollutant List'!$A$7:$A$611,0))),"")</f>
        <v>Molybdenum trioxide</v>
      </c>
      <c r="E1333" s="23">
        <v>0</v>
      </c>
      <c r="F1333" s="21">
        <v>0</v>
      </c>
      <c r="G1333" s="23" t="s">
        <v>1415</v>
      </c>
      <c r="H1333" s="21" t="s">
        <v>1415</v>
      </c>
      <c r="I1333" s="34">
        <v>1.65E-3</v>
      </c>
      <c r="J1333" s="11">
        <f t="shared" si="48"/>
        <v>1.65E-3</v>
      </c>
      <c r="K1333" s="6" t="s">
        <v>1416</v>
      </c>
      <c r="L1333" s="20" t="s">
        <v>1422</v>
      </c>
      <c r="M1333" s="7">
        <f>IF(ISBLANK($B1333),_xlfn.XLOOKUP($A1333,'2. TEUs &amp; Activities - EF'!$A$9:$A$190,'2. TEUs &amp; Activities - EF'!$J$9:$J$190),_xlfn.XLOOKUP($B1333,'2. TEUs &amp; Activities - EF'!$B$9:$B$190,'2. TEUs &amp; Activities - EF'!$J$9:$J$190))*'3. Pollutant Emissions - EF'!$I1333*IF(OR(ISBLANK($E1333),$G1333="Yes"),1,$E1333)*IF($H1333="Yes",1,(1-$F1333))</f>
        <v>4.534588235294118E-2</v>
      </c>
      <c r="N1333" s="5">
        <f>IF(ISBLANK($B1333),_xlfn.XLOOKUP($A1333,'2. TEUs &amp; Activities - EF'!$A$9:$A$190,'2. TEUs &amp; Activities - EF'!$M$9:$M$190),_xlfn.XLOOKUP($B1333,'2. TEUs &amp; Activities - EF'!$B$9:$B$190,'2. TEUs &amp; Activities - EF'!$M$9:$M$190))*'3. Pollutant Emissions - EF'!$J1333*IF(OR(ISBLANK($E1333),$G1333="Yes"),1,$E1333)*IF($H1333="Yes",1,(1-$F1333))</f>
        <v>1.2423529411764706E-4</v>
      </c>
      <c r="O1333" s="130"/>
    </row>
    <row r="1334" spans="1:15" ht="15" x14ac:dyDescent="0.25">
      <c r="A1334" s="5" t="s">
        <v>1619</v>
      </c>
      <c r="B1334" s="7"/>
      <c r="C1334" s="13" t="s">
        <v>49</v>
      </c>
      <c r="D1334" s="19" t="str">
        <f>IFERROR(IF(C1334="No CAS","",INDEX('DEQ Pollutant List'!$B$7:$B$611,MATCH('3. Pollutant Emissions - EF'!C1334,'DEQ Pollutant List'!$A$7:$A$611,0))),"")</f>
        <v>Naphthalene</v>
      </c>
      <c r="E1334" s="23">
        <v>0</v>
      </c>
      <c r="F1334" s="21">
        <v>0</v>
      </c>
      <c r="G1334" s="23" t="s">
        <v>1415</v>
      </c>
      <c r="H1334" s="21" t="s">
        <v>1415</v>
      </c>
      <c r="I1334" s="34">
        <v>2.9999999999999997E-4</v>
      </c>
      <c r="J1334" s="11">
        <f t="shared" si="48"/>
        <v>2.9999999999999997E-4</v>
      </c>
      <c r="K1334" s="6" t="s">
        <v>1416</v>
      </c>
      <c r="L1334" s="20" t="s">
        <v>1422</v>
      </c>
      <c r="M1334" s="7">
        <f>IF(ISBLANK($B1334),_xlfn.XLOOKUP($A1334,'2. TEUs &amp; Activities - EF'!$A$9:$A$190,'2. TEUs &amp; Activities - EF'!$J$9:$J$190),_xlfn.XLOOKUP($B1334,'2. TEUs &amp; Activities - EF'!$B$9:$B$190,'2. TEUs &amp; Activities - EF'!$J$9:$J$190))*'3. Pollutant Emissions - EF'!$I1334*IF(OR(ISBLANK($E1334),$G1334="Yes"),1,$E1334)*IF($H1334="Yes",1,(1-$F1334))</f>
        <v>8.2447058823529405E-3</v>
      </c>
      <c r="N1334" s="5">
        <f>IF(ISBLANK($B1334),_xlfn.XLOOKUP($A1334,'2. TEUs &amp; Activities - EF'!$A$9:$A$190,'2. TEUs &amp; Activities - EF'!$M$9:$M$190),_xlfn.XLOOKUP($B1334,'2. TEUs &amp; Activities - EF'!$B$9:$B$190,'2. TEUs &amp; Activities - EF'!$M$9:$M$190))*'3. Pollutant Emissions - EF'!$J1334*IF(OR(ISBLANK($E1334),$G1334="Yes"),1,$E1334)*IF($H1334="Yes",1,(1-$F1334))</f>
        <v>2.2588235294117646E-5</v>
      </c>
      <c r="O1334" s="130"/>
    </row>
    <row r="1335" spans="1:15" ht="15" x14ac:dyDescent="0.25">
      <c r="A1335" s="5" t="s">
        <v>1619</v>
      </c>
      <c r="B1335" s="7"/>
      <c r="C1335" s="13" t="s">
        <v>66</v>
      </c>
      <c r="D1335" s="19" t="str">
        <f>IFERROR(IF(C1335="No CAS","",INDEX('DEQ Pollutant List'!$B$7:$B$611,MATCH('3. Pollutant Emissions - EF'!C1335,'DEQ Pollutant List'!$A$7:$A$611,0))),"")</f>
        <v>Nickel and compounds</v>
      </c>
      <c r="E1335" s="23">
        <v>0</v>
      </c>
      <c r="F1335" s="21">
        <v>0</v>
      </c>
      <c r="G1335" s="23" t="s">
        <v>1415</v>
      </c>
      <c r="H1335" s="21" t="s">
        <v>1415</v>
      </c>
      <c r="I1335" s="34">
        <v>2.0999999999999999E-3</v>
      </c>
      <c r="J1335" s="11">
        <f t="shared" si="48"/>
        <v>2.0999999999999999E-3</v>
      </c>
      <c r="K1335" s="6" t="s">
        <v>1416</v>
      </c>
      <c r="L1335" s="20" t="s">
        <v>1422</v>
      </c>
      <c r="M1335" s="7">
        <f>IF(ISBLANK($B1335),_xlfn.XLOOKUP($A1335,'2. TEUs &amp; Activities - EF'!$A$9:$A$190,'2. TEUs &amp; Activities - EF'!$J$9:$J$190),_xlfn.XLOOKUP($B1335,'2. TEUs &amp; Activities - EF'!$B$9:$B$190,'2. TEUs &amp; Activities - EF'!$J$9:$J$190))*'3. Pollutant Emissions - EF'!$I1335*IF(OR(ISBLANK($E1335),$G1335="Yes"),1,$E1335)*IF($H1335="Yes",1,(1-$F1335))</f>
        <v>5.7712941176470592E-2</v>
      </c>
      <c r="N1335" s="5">
        <f>IF(ISBLANK($B1335),_xlfn.XLOOKUP($A1335,'2. TEUs &amp; Activities - EF'!$A$9:$A$190,'2. TEUs &amp; Activities - EF'!$M$9:$M$190),_xlfn.XLOOKUP($B1335,'2. TEUs &amp; Activities - EF'!$B$9:$B$190,'2. TEUs &amp; Activities - EF'!$M$9:$M$190))*'3. Pollutant Emissions - EF'!$J1335*IF(OR(ISBLANK($E1335),$G1335="Yes"),1,$E1335)*IF($H1335="Yes",1,(1-$F1335))</f>
        <v>1.5811764705882353E-4</v>
      </c>
      <c r="O1335" s="130"/>
    </row>
    <row r="1336" spans="1:15" ht="15" x14ac:dyDescent="0.25">
      <c r="A1336" s="5" t="s">
        <v>1619</v>
      </c>
      <c r="B1336" s="7"/>
      <c r="C1336" s="13">
        <v>401</v>
      </c>
      <c r="D1336" s="19" t="str">
        <f>IFERROR(IF(C1336="No CAS","",INDEX('DEQ Pollutant List'!$B$7:$B$611,MATCH('3. Pollutant Emissions - EF'!C1336,'DEQ Pollutant List'!$A$7:$A$611,0))),"")</f>
        <v>Polycyclic aromatic hydrocarbons (PAHs)</v>
      </c>
      <c r="E1336" s="23">
        <v>0</v>
      </c>
      <c r="F1336" s="21">
        <v>0</v>
      </c>
      <c r="G1336" s="23" t="s">
        <v>1415</v>
      </c>
      <c r="H1336" s="21" t="s">
        <v>1415</v>
      </c>
      <c r="I1336" s="34">
        <v>1E-4</v>
      </c>
      <c r="J1336" s="11">
        <f t="shared" si="48"/>
        <v>1E-4</v>
      </c>
      <c r="K1336" s="6" t="s">
        <v>1416</v>
      </c>
      <c r="L1336" s="20" t="s">
        <v>1422</v>
      </c>
      <c r="M1336" s="7">
        <f>IF(ISBLANK($B1336),_xlfn.XLOOKUP($A1336,'2. TEUs &amp; Activities - EF'!$A$9:$A$190,'2. TEUs &amp; Activities - EF'!$J$9:$J$190),_xlfn.XLOOKUP($B1336,'2. TEUs &amp; Activities - EF'!$B$9:$B$190,'2. TEUs &amp; Activities - EF'!$J$9:$J$190))*'3. Pollutant Emissions - EF'!$I1336*IF(OR(ISBLANK($E1336),$G1336="Yes"),1,$E1336)*IF($H1336="Yes",1,(1-$F1336))</f>
        <v>2.7482352941176473E-3</v>
      </c>
      <c r="N1336" s="5">
        <f>IF(ISBLANK($B1336),_xlfn.XLOOKUP($A1336,'2. TEUs &amp; Activities - EF'!$A$9:$A$190,'2. TEUs &amp; Activities - EF'!$M$9:$M$190),_xlfn.XLOOKUP($B1336,'2. TEUs &amp; Activities - EF'!$B$9:$B$190,'2. TEUs &amp; Activities - EF'!$M$9:$M$190))*'3. Pollutant Emissions - EF'!$J1336*IF(OR(ISBLANK($E1336),$G1336="Yes"),1,$E1336)*IF($H1336="Yes",1,(1-$F1336))</f>
        <v>7.5294117647058836E-6</v>
      </c>
      <c r="O1336" s="130"/>
    </row>
    <row r="1337" spans="1:15" ht="15" x14ac:dyDescent="0.25">
      <c r="A1337" s="5" t="s">
        <v>1619</v>
      </c>
      <c r="B1337" s="7"/>
      <c r="C1337" s="13" t="s">
        <v>67</v>
      </c>
      <c r="D1337" s="19" t="str">
        <f>IFERROR(IF(C1337="No CAS","",INDEX('DEQ Pollutant List'!$B$7:$B$611,MATCH('3. Pollutant Emissions - EF'!C1337,'DEQ Pollutant List'!$A$7:$A$611,0))),"")</f>
        <v>Selenium and compounds</v>
      </c>
      <c r="E1337" s="23">
        <v>0</v>
      </c>
      <c r="F1337" s="21">
        <v>0</v>
      </c>
      <c r="G1337" s="23" t="s">
        <v>1415</v>
      </c>
      <c r="H1337" s="21" t="s">
        <v>1415</v>
      </c>
      <c r="I1337" s="34">
        <v>2.4000000000000001E-5</v>
      </c>
      <c r="J1337" s="11">
        <f t="shared" si="48"/>
        <v>2.4000000000000001E-5</v>
      </c>
      <c r="K1337" s="6" t="s">
        <v>1416</v>
      </c>
      <c r="L1337" s="20" t="s">
        <v>1422</v>
      </c>
      <c r="M1337" s="7">
        <f>IF(ISBLANK($B1337),_xlfn.XLOOKUP($A1337,'2. TEUs &amp; Activities - EF'!$A$9:$A$190,'2. TEUs &amp; Activities - EF'!$J$9:$J$190),_xlfn.XLOOKUP($B1337,'2. TEUs &amp; Activities - EF'!$B$9:$B$190,'2. TEUs &amp; Activities - EF'!$J$9:$J$190))*'3. Pollutant Emissions - EF'!$I1337*IF(OR(ISBLANK($E1337),$G1337="Yes"),1,$E1337)*IF($H1337="Yes",1,(1-$F1337))</f>
        <v>6.5957647058823531E-4</v>
      </c>
      <c r="N1337" s="5">
        <f>IF(ISBLANK($B1337),_xlfn.XLOOKUP($A1337,'2. TEUs &amp; Activities - EF'!$A$9:$A$190,'2. TEUs &amp; Activities - EF'!$M$9:$M$190),_xlfn.XLOOKUP($B1337,'2. TEUs &amp; Activities - EF'!$B$9:$B$190,'2. TEUs &amp; Activities - EF'!$M$9:$M$190))*'3. Pollutant Emissions - EF'!$J1337*IF(OR(ISBLANK($E1337),$G1337="Yes"),1,$E1337)*IF($H1337="Yes",1,(1-$F1337))</f>
        <v>1.807058823529412E-6</v>
      </c>
      <c r="O1337" s="130"/>
    </row>
    <row r="1338" spans="1:15" ht="15" x14ac:dyDescent="0.25">
      <c r="A1338" s="5" t="s">
        <v>1619</v>
      </c>
      <c r="B1338" s="7"/>
      <c r="C1338" s="13" t="s">
        <v>68</v>
      </c>
      <c r="D1338" s="19" t="str">
        <f>IFERROR(IF(C1338="No CAS","",INDEX('DEQ Pollutant List'!$B$7:$B$611,MATCH('3. Pollutant Emissions - EF'!C1338,'DEQ Pollutant List'!$A$7:$A$611,0))),"")</f>
        <v>Toluene</v>
      </c>
      <c r="E1338" s="23">
        <v>0</v>
      </c>
      <c r="F1338" s="21">
        <v>0</v>
      </c>
      <c r="G1338" s="23" t="s">
        <v>1415</v>
      </c>
      <c r="H1338" s="21" t="s">
        <v>1415</v>
      </c>
      <c r="I1338" s="34">
        <v>3.6600000000000001E-2</v>
      </c>
      <c r="J1338" s="11">
        <f t="shared" si="48"/>
        <v>3.6600000000000001E-2</v>
      </c>
      <c r="K1338" s="6" t="s">
        <v>1416</v>
      </c>
      <c r="L1338" s="20" t="s">
        <v>1422</v>
      </c>
      <c r="M1338" s="7">
        <f>IF(ISBLANK($B1338),_xlfn.XLOOKUP($A1338,'2. TEUs &amp; Activities - EF'!$A$9:$A$190,'2. TEUs &amp; Activities - EF'!$J$9:$J$190),_xlfn.XLOOKUP($B1338,'2. TEUs &amp; Activities - EF'!$B$9:$B$190,'2. TEUs &amp; Activities - EF'!$J$9:$J$190))*'3. Pollutant Emissions - EF'!$I1338*IF(OR(ISBLANK($E1338),$G1338="Yes"),1,$E1338)*IF($H1338="Yes",1,(1-$F1338))</f>
        <v>1.005854117647059</v>
      </c>
      <c r="N1338" s="5">
        <f>IF(ISBLANK($B1338),_xlfn.XLOOKUP($A1338,'2. TEUs &amp; Activities - EF'!$A$9:$A$190,'2. TEUs &amp; Activities - EF'!$M$9:$M$190),_xlfn.XLOOKUP($B1338,'2. TEUs &amp; Activities - EF'!$B$9:$B$190,'2. TEUs &amp; Activities - EF'!$M$9:$M$190))*'3. Pollutant Emissions - EF'!$J1338*IF(OR(ISBLANK($E1338),$G1338="Yes"),1,$E1338)*IF($H1338="Yes",1,(1-$F1338))</f>
        <v>2.7557647058823534E-3</v>
      </c>
      <c r="O1338" s="130"/>
    </row>
    <row r="1339" spans="1:15" ht="15" x14ac:dyDescent="0.25">
      <c r="A1339" s="5" t="s">
        <v>1619</v>
      </c>
      <c r="B1339" s="7"/>
      <c r="C1339" s="13" t="s">
        <v>69</v>
      </c>
      <c r="D1339" s="19" t="str">
        <f>IFERROR(IF(C1339="No CAS","",INDEX('DEQ Pollutant List'!$B$7:$B$611,MATCH('3. Pollutant Emissions - EF'!C1339,'DEQ Pollutant List'!$A$7:$A$611,0))),"")</f>
        <v>Vanadium (fume or dust)</v>
      </c>
      <c r="E1339" s="23">
        <v>0</v>
      </c>
      <c r="F1339" s="21">
        <v>0</v>
      </c>
      <c r="G1339" s="23" t="s">
        <v>1415</v>
      </c>
      <c r="H1339" s="21" t="s">
        <v>1415</v>
      </c>
      <c r="I1339" s="34">
        <v>2.3E-3</v>
      </c>
      <c r="J1339" s="11">
        <f t="shared" si="48"/>
        <v>2.3E-3</v>
      </c>
      <c r="K1339" s="6" t="s">
        <v>1416</v>
      </c>
      <c r="L1339" s="20" t="s">
        <v>1422</v>
      </c>
      <c r="M1339" s="7">
        <f>IF(ISBLANK($B1339),_xlfn.XLOOKUP($A1339,'2. TEUs &amp; Activities - EF'!$A$9:$A$190,'2. TEUs &amp; Activities - EF'!$J$9:$J$190),_xlfn.XLOOKUP($B1339,'2. TEUs &amp; Activities - EF'!$B$9:$B$190,'2. TEUs &amp; Activities - EF'!$J$9:$J$190))*'3. Pollutant Emissions - EF'!$I1339*IF(OR(ISBLANK($E1339),$G1339="Yes"),1,$E1339)*IF($H1339="Yes",1,(1-$F1339))</f>
        <v>6.3209411764705889E-2</v>
      </c>
      <c r="N1339" s="5">
        <f>IF(ISBLANK($B1339),_xlfn.XLOOKUP($A1339,'2. TEUs &amp; Activities - EF'!$A$9:$A$190,'2. TEUs &amp; Activities - EF'!$M$9:$M$190),_xlfn.XLOOKUP($B1339,'2. TEUs &amp; Activities - EF'!$B$9:$B$190,'2. TEUs &amp; Activities - EF'!$M$9:$M$190))*'3. Pollutant Emissions - EF'!$J1339*IF(OR(ISBLANK($E1339),$G1339="Yes"),1,$E1339)*IF($H1339="Yes",1,(1-$F1339))</f>
        <v>1.731764705882353E-4</v>
      </c>
      <c r="O1339" s="130"/>
    </row>
    <row r="1340" spans="1:15" ht="15" x14ac:dyDescent="0.25">
      <c r="A1340" s="5" t="s">
        <v>1619</v>
      </c>
      <c r="B1340" s="7"/>
      <c r="C1340" s="13" t="s">
        <v>70</v>
      </c>
      <c r="D1340" s="19" t="str">
        <f>IFERROR(IF(C1340="No CAS","",INDEX('DEQ Pollutant List'!$B$7:$B$611,MATCH('3. Pollutant Emissions - EF'!C1340,'DEQ Pollutant List'!$A$7:$A$611,0))),"")</f>
        <v>Xylene (mixture), including m-xylene, o-xylene, p-xylene</v>
      </c>
      <c r="E1340" s="23">
        <v>0</v>
      </c>
      <c r="F1340" s="21">
        <v>0</v>
      </c>
      <c r="G1340" s="23" t="s">
        <v>1415</v>
      </c>
      <c r="H1340" s="21" t="s">
        <v>1415</v>
      </c>
      <c r="I1340" s="34">
        <v>2.7199999999999998E-2</v>
      </c>
      <c r="J1340" s="11">
        <f t="shared" si="48"/>
        <v>2.7199999999999998E-2</v>
      </c>
      <c r="K1340" s="6" t="s">
        <v>1416</v>
      </c>
      <c r="L1340" s="20" t="s">
        <v>1422</v>
      </c>
      <c r="M1340" s="7">
        <f>IF(ISBLANK($B1340),_xlfn.XLOOKUP($A1340,'2. TEUs &amp; Activities - EF'!$A$9:$A$190,'2. TEUs &amp; Activities - EF'!$J$9:$J$190),_xlfn.XLOOKUP($B1340,'2. TEUs &amp; Activities - EF'!$B$9:$B$190,'2. TEUs &amp; Activities - EF'!$J$9:$J$190))*'3. Pollutant Emissions - EF'!$I1340*IF(OR(ISBLANK($E1340),$G1340="Yes"),1,$E1340)*IF($H1340="Yes",1,(1-$F1340))</f>
        <v>0.74751999999999996</v>
      </c>
      <c r="N1340" s="5">
        <f>IF(ISBLANK($B1340),_xlfn.XLOOKUP($A1340,'2. TEUs &amp; Activities - EF'!$A$9:$A$190,'2. TEUs &amp; Activities - EF'!$M$9:$M$190),_xlfn.XLOOKUP($B1340,'2. TEUs &amp; Activities - EF'!$B$9:$B$190,'2. TEUs &amp; Activities - EF'!$M$9:$M$190))*'3. Pollutant Emissions - EF'!$J1340*IF(OR(ISBLANK($E1340),$G1340="Yes"),1,$E1340)*IF($H1340="Yes",1,(1-$F1340))</f>
        <v>2.0479999999999999E-3</v>
      </c>
      <c r="O1340" s="130"/>
    </row>
    <row r="1341" spans="1:15" ht="15" x14ac:dyDescent="0.25">
      <c r="A1341" s="5" t="s">
        <v>1619</v>
      </c>
      <c r="B1341" s="7"/>
      <c r="C1341" s="13" t="s">
        <v>71</v>
      </c>
      <c r="D1341" s="19" t="str">
        <f>IFERROR(IF(C1341="No CAS","",INDEX('DEQ Pollutant List'!$B$7:$B$611,MATCH('3. Pollutant Emissions - EF'!C1341,'DEQ Pollutant List'!$A$7:$A$611,0))),"")</f>
        <v>Zinc and compounds</v>
      </c>
      <c r="E1341" s="23">
        <v>0</v>
      </c>
      <c r="F1341" s="21">
        <v>0</v>
      </c>
      <c r="G1341" s="23" t="s">
        <v>1415</v>
      </c>
      <c r="H1341" s="21" t="s">
        <v>1415</v>
      </c>
      <c r="I1341" s="34">
        <v>2.9000000000000001E-2</v>
      </c>
      <c r="J1341" s="11">
        <f t="shared" si="48"/>
        <v>2.9000000000000001E-2</v>
      </c>
      <c r="K1341" s="6" t="s">
        <v>1416</v>
      </c>
      <c r="L1341" s="20" t="s">
        <v>1422</v>
      </c>
      <c r="M1341" s="7">
        <f>IF(ISBLANK($B1341),_xlfn.XLOOKUP($A1341,'2. TEUs &amp; Activities - EF'!$A$9:$A$190,'2. TEUs &amp; Activities - EF'!$J$9:$J$190),_xlfn.XLOOKUP($B1341,'2. TEUs &amp; Activities - EF'!$B$9:$B$190,'2. TEUs &amp; Activities - EF'!$J$9:$J$190))*'3. Pollutant Emissions - EF'!$I1341*IF(OR(ISBLANK($E1341),$G1341="Yes"),1,$E1341)*IF($H1341="Yes",1,(1-$F1341))</f>
        <v>0.79698823529411777</v>
      </c>
      <c r="N1341" s="5">
        <f>IF(ISBLANK($B1341),_xlfn.XLOOKUP($A1341,'2. TEUs &amp; Activities - EF'!$A$9:$A$190,'2. TEUs &amp; Activities - EF'!$M$9:$M$190),_xlfn.XLOOKUP($B1341,'2. TEUs &amp; Activities - EF'!$B$9:$B$190,'2. TEUs &amp; Activities - EF'!$M$9:$M$190))*'3. Pollutant Emissions - EF'!$J1341*IF(OR(ISBLANK($E1341),$G1341="Yes"),1,$E1341)*IF($H1341="Yes",1,(1-$F1341))</f>
        <v>2.1835294117647061E-3</v>
      </c>
      <c r="O1341" s="130"/>
    </row>
    <row r="1342" spans="1:15" ht="15" x14ac:dyDescent="0.25">
      <c r="A1342" s="5"/>
      <c r="B1342" s="7"/>
      <c r="C1342" s="13"/>
      <c r="D1342" s="19" t="str">
        <f>IFERROR(IF(C1342="No CAS","",INDEX('DEQ Pollutant List'!$B$7:$B$611,MATCH('3. Pollutant Emissions - EF'!C1342,'DEQ Pollutant List'!$A$7:$A$611,0))),"")</f>
        <v/>
      </c>
      <c r="E1342" s="23"/>
      <c r="F1342" s="21"/>
      <c r="G1342" s="23"/>
      <c r="H1342" s="21"/>
      <c r="I1342" s="34"/>
      <c r="J1342" s="11"/>
      <c r="K1342" s="6"/>
      <c r="L1342" s="20"/>
      <c r="M1342" s="7">
        <f>IF(ISBLANK($B1342),_xlfn.XLOOKUP($A1342,'2. TEUs &amp; Activities - EF'!$A$9:$A$190,'2. TEUs &amp; Activities - EF'!$J$9:$J$190),_xlfn.XLOOKUP($B1342,'2. TEUs &amp; Activities - EF'!$B$9:$B$190,'2. TEUs &amp; Activities - EF'!$J$9:$J$190))*'3. Pollutant Emissions - EF'!$I1342*IF(OR(ISBLANK($E1342),$G1342="Yes"),1,$E1342)*IF($H1342="Yes",1,(1-$F1342))</f>
        <v>0</v>
      </c>
      <c r="N1342" s="5">
        <f>IF(ISBLANK($B1342),_xlfn.XLOOKUP($A1342,'2. TEUs &amp; Activities - EF'!$A$9:$A$190,'2. TEUs &amp; Activities - EF'!$M$9:$M$190),_xlfn.XLOOKUP($B1342,'2. TEUs &amp; Activities - EF'!$B$9:$B$190,'2. TEUs &amp; Activities - EF'!$M$9:$M$190))*'3. Pollutant Emissions - EF'!$J1342*IF(OR(ISBLANK($E1342),$G1342="Yes"),1,$E1342)*IF($H1342="Yes",1,(1-$F1342))</f>
        <v>0</v>
      </c>
      <c r="O1342" s="130"/>
    </row>
    <row r="1343" spans="1:15" ht="15" x14ac:dyDescent="0.25">
      <c r="A1343" s="5" t="s">
        <v>1620</v>
      </c>
      <c r="B1343" s="7"/>
      <c r="C1343" s="13" t="s">
        <v>48</v>
      </c>
      <c r="D1343" s="19" t="str">
        <f>IFERROR(IF(C1343="No CAS","",INDEX('DEQ Pollutant List'!$B$7:$B$611,MATCH('3. Pollutant Emissions - EF'!C1343,'DEQ Pollutant List'!$A$7:$A$611,0))),"")</f>
        <v>Benzo[a]pyrene</v>
      </c>
      <c r="E1343" s="23">
        <v>0</v>
      </c>
      <c r="F1343" s="21">
        <v>0</v>
      </c>
      <c r="G1343" s="23" t="s">
        <v>1415</v>
      </c>
      <c r="H1343" s="21" t="s">
        <v>1415</v>
      </c>
      <c r="I1343" s="34">
        <v>1.1999999999999999E-6</v>
      </c>
      <c r="J1343" s="11">
        <f t="shared" ref="J1343:J1369" si="49">I1343</f>
        <v>1.1999999999999999E-6</v>
      </c>
      <c r="K1343" s="6" t="s">
        <v>1416</v>
      </c>
      <c r="L1343" s="20" t="s">
        <v>1422</v>
      </c>
      <c r="M1343" s="7">
        <f>IF(ISBLANK($B1343),_xlfn.XLOOKUP($A1343,'2. TEUs &amp; Activities - EF'!$A$9:$A$190,'2. TEUs &amp; Activities - EF'!$J$9:$J$190),_xlfn.XLOOKUP($B1343,'2. TEUs &amp; Activities - EF'!$B$9:$B$190,'2. TEUs &amp; Activities - EF'!$J$9:$J$190))*'3. Pollutant Emissions - EF'!$I1343*IF(OR(ISBLANK($E1343),$G1343="Yes"),1,$E1343)*IF($H1343="Yes",1,(1-$F1343))</f>
        <v>3.2978823529411767E-5</v>
      </c>
      <c r="N1343" s="5">
        <f>IF(ISBLANK($B1343),_xlfn.XLOOKUP($A1343,'2. TEUs &amp; Activities - EF'!$A$9:$A$190,'2. TEUs &amp; Activities - EF'!$M$9:$M$190),_xlfn.XLOOKUP($B1343,'2. TEUs &amp; Activities - EF'!$B$9:$B$190,'2. TEUs &amp; Activities - EF'!$M$9:$M$190))*'3. Pollutant Emissions - EF'!$J1343*IF(OR(ISBLANK($E1343),$G1343="Yes"),1,$E1343)*IF($H1343="Yes",1,(1-$F1343))</f>
        <v>9.0352941176470592E-8</v>
      </c>
      <c r="O1343" s="130"/>
    </row>
    <row r="1344" spans="1:15" ht="15" x14ac:dyDescent="0.25">
      <c r="A1344" s="5" t="s">
        <v>1620</v>
      </c>
      <c r="B1344" s="7"/>
      <c r="C1344" s="13" t="s">
        <v>50</v>
      </c>
      <c r="D1344" s="19" t="str">
        <f>IFERROR(IF(C1344="No CAS","",INDEX('DEQ Pollutant List'!$B$7:$B$611,MATCH('3. Pollutant Emissions - EF'!C1344,'DEQ Pollutant List'!$A$7:$A$611,0))),"")</f>
        <v>Acetaldehyde</v>
      </c>
      <c r="E1344" s="23">
        <v>0</v>
      </c>
      <c r="F1344" s="21">
        <v>0</v>
      </c>
      <c r="G1344" s="23" t="s">
        <v>1415</v>
      </c>
      <c r="H1344" s="21" t="s">
        <v>1415</v>
      </c>
      <c r="I1344" s="34">
        <v>4.3E-3</v>
      </c>
      <c r="J1344" s="11">
        <f t="shared" si="49"/>
        <v>4.3E-3</v>
      </c>
      <c r="K1344" s="6" t="s">
        <v>1416</v>
      </c>
      <c r="L1344" s="20" t="s">
        <v>1422</v>
      </c>
      <c r="M1344" s="7">
        <f>IF(ISBLANK($B1344),_xlfn.XLOOKUP($A1344,'2. TEUs &amp; Activities - EF'!$A$9:$A$190,'2. TEUs &amp; Activities - EF'!$J$9:$J$190),_xlfn.XLOOKUP($B1344,'2. TEUs &amp; Activities - EF'!$B$9:$B$190,'2. TEUs &amp; Activities - EF'!$J$9:$J$190))*'3. Pollutant Emissions - EF'!$I1344*IF(OR(ISBLANK($E1344),$G1344="Yes"),1,$E1344)*IF($H1344="Yes",1,(1-$F1344))</f>
        <v>0.11817411764705883</v>
      </c>
      <c r="N1344" s="5">
        <f>IF(ISBLANK($B1344),_xlfn.XLOOKUP($A1344,'2. TEUs &amp; Activities - EF'!$A$9:$A$190,'2. TEUs &amp; Activities - EF'!$M$9:$M$190),_xlfn.XLOOKUP($B1344,'2. TEUs &amp; Activities - EF'!$B$9:$B$190,'2. TEUs &amp; Activities - EF'!$M$9:$M$190))*'3. Pollutant Emissions - EF'!$J1344*IF(OR(ISBLANK($E1344),$G1344="Yes"),1,$E1344)*IF($H1344="Yes",1,(1-$F1344))</f>
        <v>3.2376470588235299E-4</v>
      </c>
      <c r="O1344" s="130"/>
    </row>
    <row r="1345" spans="1:15" ht="15" x14ac:dyDescent="0.25">
      <c r="A1345" s="5" t="s">
        <v>1620</v>
      </c>
      <c r="B1345" s="7"/>
      <c r="C1345" s="13" t="s">
        <v>51</v>
      </c>
      <c r="D1345" s="19" t="str">
        <f>IFERROR(IF(C1345="No CAS","",INDEX('DEQ Pollutant List'!$B$7:$B$611,MATCH('3. Pollutant Emissions - EF'!C1345,'DEQ Pollutant List'!$A$7:$A$611,0))),"")</f>
        <v>Acrolein</v>
      </c>
      <c r="E1345" s="23">
        <v>0</v>
      </c>
      <c r="F1345" s="21">
        <v>0</v>
      </c>
      <c r="G1345" s="23" t="s">
        <v>1415</v>
      </c>
      <c r="H1345" s="21" t="s">
        <v>1415</v>
      </c>
      <c r="I1345" s="34">
        <v>2.7000000000000001E-3</v>
      </c>
      <c r="J1345" s="11">
        <f t="shared" si="49"/>
        <v>2.7000000000000001E-3</v>
      </c>
      <c r="K1345" s="6" t="s">
        <v>1416</v>
      </c>
      <c r="L1345" s="20" t="s">
        <v>1422</v>
      </c>
      <c r="M1345" s="7">
        <f>IF(ISBLANK($B1345),_xlfn.XLOOKUP($A1345,'2. TEUs &amp; Activities - EF'!$A$9:$A$190,'2. TEUs &amp; Activities - EF'!$J$9:$J$190),_xlfn.XLOOKUP($B1345,'2. TEUs &amp; Activities - EF'!$B$9:$B$190,'2. TEUs &amp; Activities - EF'!$J$9:$J$190))*'3. Pollutant Emissions - EF'!$I1345*IF(OR(ISBLANK($E1345),$G1345="Yes"),1,$E1345)*IF($H1345="Yes",1,(1-$F1345))</f>
        <v>7.4202352941176483E-2</v>
      </c>
      <c r="N1345" s="5">
        <f>IF(ISBLANK($B1345),_xlfn.XLOOKUP($A1345,'2. TEUs &amp; Activities - EF'!$A$9:$A$190,'2. TEUs &amp; Activities - EF'!$M$9:$M$190),_xlfn.XLOOKUP($B1345,'2. TEUs &amp; Activities - EF'!$B$9:$B$190,'2. TEUs &amp; Activities - EF'!$M$9:$M$190))*'3. Pollutant Emissions - EF'!$J1345*IF(OR(ISBLANK($E1345),$G1345="Yes"),1,$E1345)*IF($H1345="Yes",1,(1-$F1345))</f>
        <v>2.0329411764705887E-4</v>
      </c>
      <c r="O1345" s="130"/>
    </row>
    <row r="1346" spans="1:15" ht="15" x14ac:dyDescent="0.25">
      <c r="A1346" s="5" t="s">
        <v>1620</v>
      </c>
      <c r="B1346" s="7"/>
      <c r="C1346" s="13" t="s">
        <v>52</v>
      </c>
      <c r="D1346" s="19" t="str">
        <f>IFERROR(IF(C1346="No CAS","",INDEX('DEQ Pollutant List'!$B$7:$B$611,MATCH('3. Pollutant Emissions - EF'!C1346,'DEQ Pollutant List'!$A$7:$A$611,0))),"")</f>
        <v>Ammonia</v>
      </c>
      <c r="E1346" s="23">
        <v>0</v>
      </c>
      <c r="F1346" s="21">
        <v>0</v>
      </c>
      <c r="G1346" s="23" t="s">
        <v>1415</v>
      </c>
      <c r="H1346" s="21" t="s">
        <v>1415</v>
      </c>
      <c r="I1346" s="34">
        <v>3.2</v>
      </c>
      <c r="J1346" s="11">
        <f t="shared" si="49"/>
        <v>3.2</v>
      </c>
      <c r="K1346" s="6" t="s">
        <v>1416</v>
      </c>
      <c r="L1346" s="20" t="s">
        <v>1586</v>
      </c>
      <c r="M1346" s="7">
        <f>IF(ISBLANK($B1346),_xlfn.XLOOKUP($A1346,'2. TEUs &amp; Activities - EF'!$A$9:$A$190,'2. TEUs &amp; Activities - EF'!$J$9:$J$190),_xlfn.XLOOKUP($B1346,'2. TEUs &amp; Activities - EF'!$B$9:$B$190,'2. TEUs &amp; Activities - EF'!$J$9:$J$190))*'3. Pollutant Emissions - EF'!$I1346*IF(OR(ISBLANK($E1346),$G1346="Yes"),1,$E1346)*IF($H1346="Yes",1,(1-$F1346))</f>
        <v>87.943529411764715</v>
      </c>
      <c r="N1346" s="5">
        <f>IF(ISBLANK($B1346),_xlfn.XLOOKUP($A1346,'2. TEUs &amp; Activities - EF'!$A$9:$A$190,'2. TEUs &amp; Activities - EF'!$M$9:$M$190),_xlfn.XLOOKUP($B1346,'2. TEUs &amp; Activities - EF'!$B$9:$B$190,'2. TEUs &amp; Activities - EF'!$M$9:$M$190))*'3. Pollutant Emissions - EF'!$J1346*IF(OR(ISBLANK($E1346),$G1346="Yes"),1,$E1346)*IF($H1346="Yes",1,(1-$F1346))</f>
        <v>0.24094117647058827</v>
      </c>
      <c r="O1346" s="130"/>
    </row>
    <row r="1347" spans="1:15" ht="15" x14ac:dyDescent="0.25">
      <c r="A1347" s="5" t="s">
        <v>1620</v>
      </c>
      <c r="B1347" s="7"/>
      <c r="C1347" s="13" t="s">
        <v>53</v>
      </c>
      <c r="D1347" s="19" t="str">
        <f>IFERROR(IF(C1347="No CAS","",INDEX('DEQ Pollutant List'!$B$7:$B$611,MATCH('3. Pollutant Emissions - EF'!C1347,'DEQ Pollutant List'!$A$7:$A$611,0))),"")</f>
        <v>Arsenic and compounds</v>
      </c>
      <c r="E1347" s="23">
        <v>0</v>
      </c>
      <c r="F1347" s="21">
        <v>0</v>
      </c>
      <c r="G1347" s="23" t="s">
        <v>1415</v>
      </c>
      <c r="H1347" s="21" t="s">
        <v>1415</v>
      </c>
      <c r="I1347" s="34">
        <v>2.0000000000000001E-4</v>
      </c>
      <c r="J1347" s="11">
        <f t="shared" si="49"/>
        <v>2.0000000000000001E-4</v>
      </c>
      <c r="K1347" s="6" t="s">
        <v>1416</v>
      </c>
      <c r="L1347" s="20" t="s">
        <v>1422</v>
      </c>
      <c r="M1347" s="7">
        <f>IF(ISBLANK($B1347),_xlfn.XLOOKUP($A1347,'2. TEUs &amp; Activities - EF'!$A$9:$A$190,'2. TEUs &amp; Activities - EF'!$J$9:$J$190),_xlfn.XLOOKUP($B1347,'2. TEUs &amp; Activities - EF'!$B$9:$B$190,'2. TEUs &amp; Activities - EF'!$J$9:$J$190))*'3. Pollutant Emissions - EF'!$I1347*IF(OR(ISBLANK($E1347),$G1347="Yes"),1,$E1347)*IF($H1347="Yes",1,(1-$F1347))</f>
        <v>5.4964705882352945E-3</v>
      </c>
      <c r="N1347" s="5">
        <f>IF(ISBLANK($B1347),_xlfn.XLOOKUP($A1347,'2. TEUs &amp; Activities - EF'!$A$9:$A$190,'2. TEUs &amp; Activities - EF'!$M$9:$M$190),_xlfn.XLOOKUP($B1347,'2. TEUs &amp; Activities - EF'!$B$9:$B$190,'2. TEUs &amp; Activities - EF'!$M$9:$M$190))*'3. Pollutant Emissions - EF'!$J1347*IF(OR(ISBLANK($E1347),$G1347="Yes"),1,$E1347)*IF($H1347="Yes",1,(1-$F1347))</f>
        <v>1.5058823529411767E-5</v>
      </c>
      <c r="O1347" s="130"/>
    </row>
    <row r="1348" spans="1:15" ht="15" x14ac:dyDescent="0.25">
      <c r="A1348" s="5" t="s">
        <v>1620</v>
      </c>
      <c r="B1348" s="7"/>
      <c r="C1348" s="13" t="s">
        <v>54</v>
      </c>
      <c r="D1348" s="19" t="str">
        <f>IFERROR(IF(C1348="No CAS","",INDEX('DEQ Pollutant List'!$B$7:$B$611,MATCH('3. Pollutant Emissions - EF'!C1348,'DEQ Pollutant List'!$A$7:$A$611,0))),"")</f>
        <v>Barium and compounds</v>
      </c>
      <c r="E1348" s="23">
        <v>0</v>
      </c>
      <c r="F1348" s="21">
        <v>0</v>
      </c>
      <c r="G1348" s="23" t="s">
        <v>1415</v>
      </c>
      <c r="H1348" s="21" t="s">
        <v>1415</v>
      </c>
      <c r="I1348" s="34">
        <v>4.4000000000000003E-3</v>
      </c>
      <c r="J1348" s="11">
        <f t="shared" si="49"/>
        <v>4.4000000000000003E-3</v>
      </c>
      <c r="K1348" s="6" t="s">
        <v>1416</v>
      </c>
      <c r="L1348" s="20" t="s">
        <v>1422</v>
      </c>
      <c r="M1348" s="7">
        <f>IF(ISBLANK($B1348),_xlfn.XLOOKUP($A1348,'2. TEUs &amp; Activities - EF'!$A$9:$A$190,'2. TEUs &amp; Activities - EF'!$J$9:$J$190),_xlfn.XLOOKUP($B1348,'2. TEUs &amp; Activities - EF'!$B$9:$B$190,'2. TEUs &amp; Activities - EF'!$J$9:$J$190))*'3. Pollutant Emissions - EF'!$I1348*IF(OR(ISBLANK($E1348),$G1348="Yes"),1,$E1348)*IF($H1348="Yes",1,(1-$F1348))</f>
        <v>0.12092235294117648</v>
      </c>
      <c r="N1348" s="5">
        <f>IF(ISBLANK($B1348),_xlfn.XLOOKUP($A1348,'2. TEUs &amp; Activities - EF'!$A$9:$A$190,'2. TEUs &amp; Activities - EF'!$M$9:$M$190),_xlfn.XLOOKUP($B1348,'2. TEUs &amp; Activities - EF'!$B$9:$B$190,'2. TEUs &amp; Activities - EF'!$M$9:$M$190))*'3. Pollutant Emissions - EF'!$J1348*IF(OR(ISBLANK($E1348),$G1348="Yes"),1,$E1348)*IF($H1348="Yes",1,(1-$F1348))</f>
        <v>3.3129411764705886E-4</v>
      </c>
      <c r="O1348" s="130"/>
    </row>
    <row r="1349" spans="1:15" ht="15" x14ac:dyDescent="0.25">
      <c r="A1349" s="5" t="s">
        <v>1620</v>
      </c>
      <c r="B1349" s="7"/>
      <c r="C1349" s="13" t="s">
        <v>46</v>
      </c>
      <c r="D1349" s="19" t="str">
        <f>IFERROR(IF(C1349="No CAS","",INDEX('DEQ Pollutant List'!$B$7:$B$611,MATCH('3. Pollutant Emissions - EF'!C1349,'DEQ Pollutant List'!$A$7:$A$611,0))),"")</f>
        <v>Benzene</v>
      </c>
      <c r="E1349" s="23">
        <v>0</v>
      </c>
      <c r="F1349" s="21">
        <v>0</v>
      </c>
      <c r="G1349" s="23" t="s">
        <v>1415</v>
      </c>
      <c r="H1349" s="21" t="s">
        <v>1415</v>
      </c>
      <c r="I1349" s="34">
        <v>8.0000000000000002E-3</v>
      </c>
      <c r="J1349" s="11">
        <f t="shared" si="49"/>
        <v>8.0000000000000002E-3</v>
      </c>
      <c r="K1349" s="6" t="s">
        <v>1416</v>
      </c>
      <c r="L1349" s="20" t="s">
        <v>1422</v>
      </c>
      <c r="M1349" s="7">
        <f>IF(ISBLANK($B1349),_xlfn.XLOOKUP($A1349,'2. TEUs &amp; Activities - EF'!$A$9:$A$190,'2. TEUs &amp; Activities - EF'!$J$9:$J$190),_xlfn.XLOOKUP($B1349,'2. TEUs &amp; Activities - EF'!$B$9:$B$190,'2. TEUs &amp; Activities - EF'!$J$9:$J$190))*'3. Pollutant Emissions - EF'!$I1349*IF(OR(ISBLANK($E1349),$G1349="Yes"),1,$E1349)*IF($H1349="Yes",1,(1-$F1349))</f>
        <v>0.21985882352941177</v>
      </c>
      <c r="N1349" s="5">
        <f>IF(ISBLANK($B1349),_xlfn.XLOOKUP($A1349,'2. TEUs &amp; Activities - EF'!$A$9:$A$190,'2. TEUs &amp; Activities - EF'!$M$9:$M$190),_xlfn.XLOOKUP($B1349,'2. TEUs &amp; Activities - EF'!$B$9:$B$190,'2. TEUs &amp; Activities - EF'!$M$9:$M$190))*'3. Pollutant Emissions - EF'!$J1349*IF(OR(ISBLANK($E1349),$G1349="Yes"),1,$E1349)*IF($H1349="Yes",1,(1-$F1349))</f>
        <v>6.0235294117647064E-4</v>
      </c>
      <c r="O1349" s="130"/>
    </row>
    <row r="1350" spans="1:15" ht="15" x14ac:dyDescent="0.25">
      <c r="A1350" s="5" t="s">
        <v>1620</v>
      </c>
      <c r="B1350" s="7"/>
      <c r="C1350" s="13" t="s">
        <v>55</v>
      </c>
      <c r="D1350" s="19" t="str">
        <f>IFERROR(IF(C1350="No CAS","",INDEX('DEQ Pollutant List'!$B$7:$B$611,MATCH('3. Pollutant Emissions - EF'!C1350,'DEQ Pollutant List'!$A$7:$A$611,0))),"")</f>
        <v>Beryllium and compounds</v>
      </c>
      <c r="E1350" s="23">
        <v>0</v>
      </c>
      <c r="F1350" s="21">
        <v>0</v>
      </c>
      <c r="G1350" s="23" t="s">
        <v>1415</v>
      </c>
      <c r="H1350" s="21" t="s">
        <v>1415</v>
      </c>
      <c r="I1350" s="34">
        <v>1.2E-5</v>
      </c>
      <c r="J1350" s="11">
        <f t="shared" si="49"/>
        <v>1.2E-5</v>
      </c>
      <c r="K1350" s="6" t="s">
        <v>1416</v>
      </c>
      <c r="L1350" s="20" t="s">
        <v>1422</v>
      </c>
      <c r="M1350" s="7">
        <f>IF(ISBLANK($B1350),_xlfn.XLOOKUP($A1350,'2. TEUs &amp; Activities - EF'!$A$9:$A$190,'2. TEUs &amp; Activities - EF'!$J$9:$J$190),_xlfn.XLOOKUP($B1350,'2. TEUs &amp; Activities - EF'!$B$9:$B$190,'2. TEUs &amp; Activities - EF'!$J$9:$J$190))*'3. Pollutant Emissions - EF'!$I1350*IF(OR(ISBLANK($E1350),$G1350="Yes"),1,$E1350)*IF($H1350="Yes",1,(1-$F1350))</f>
        <v>3.2978823529411765E-4</v>
      </c>
      <c r="N1350" s="5">
        <f>IF(ISBLANK($B1350),_xlfn.XLOOKUP($A1350,'2. TEUs &amp; Activities - EF'!$A$9:$A$190,'2. TEUs &amp; Activities - EF'!$M$9:$M$190),_xlfn.XLOOKUP($B1350,'2. TEUs &amp; Activities - EF'!$B$9:$B$190,'2. TEUs &amp; Activities - EF'!$M$9:$M$190))*'3. Pollutant Emissions - EF'!$J1350*IF(OR(ISBLANK($E1350),$G1350="Yes"),1,$E1350)*IF($H1350="Yes",1,(1-$F1350))</f>
        <v>9.0352941176470598E-7</v>
      </c>
      <c r="O1350" s="130"/>
    </row>
    <row r="1351" spans="1:15" ht="15" x14ac:dyDescent="0.25">
      <c r="A1351" s="5" t="s">
        <v>1620</v>
      </c>
      <c r="B1351" s="7"/>
      <c r="C1351" s="13" t="s">
        <v>56</v>
      </c>
      <c r="D1351" s="19" t="str">
        <f>IFERROR(IF(C1351="No CAS","",INDEX('DEQ Pollutant List'!$B$7:$B$611,MATCH('3. Pollutant Emissions - EF'!C1351,'DEQ Pollutant List'!$A$7:$A$611,0))),"")</f>
        <v>Cadmium and compounds</v>
      </c>
      <c r="E1351" s="23">
        <v>0</v>
      </c>
      <c r="F1351" s="21">
        <v>0</v>
      </c>
      <c r="G1351" s="23" t="s">
        <v>1415</v>
      </c>
      <c r="H1351" s="21" t="s">
        <v>1415</v>
      </c>
      <c r="I1351" s="34">
        <v>1.1000000000000001E-3</v>
      </c>
      <c r="J1351" s="11">
        <f t="shared" si="49"/>
        <v>1.1000000000000001E-3</v>
      </c>
      <c r="K1351" s="6" t="s">
        <v>1416</v>
      </c>
      <c r="L1351" s="20" t="s">
        <v>1422</v>
      </c>
      <c r="M1351" s="7">
        <f>IF(ISBLANK($B1351),_xlfn.XLOOKUP($A1351,'2. TEUs &amp; Activities - EF'!$A$9:$A$190,'2. TEUs &amp; Activities - EF'!$J$9:$J$190),_xlfn.XLOOKUP($B1351,'2. TEUs &amp; Activities - EF'!$B$9:$B$190,'2. TEUs &amp; Activities - EF'!$J$9:$J$190))*'3. Pollutant Emissions - EF'!$I1351*IF(OR(ISBLANK($E1351),$G1351="Yes"),1,$E1351)*IF($H1351="Yes",1,(1-$F1351))</f>
        <v>3.023058823529412E-2</v>
      </c>
      <c r="N1351" s="5">
        <f>IF(ISBLANK($B1351),_xlfn.XLOOKUP($A1351,'2. TEUs &amp; Activities - EF'!$A$9:$A$190,'2. TEUs &amp; Activities - EF'!$M$9:$M$190),_xlfn.XLOOKUP($B1351,'2. TEUs &amp; Activities - EF'!$B$9:$B$190,'2. TEUs &amp; Activities - EF'!$M$9:$M$190))*'3. Pollutant Emissions - EF'!$J1351*IF(OR(ISBLANK($E1351),$G1351="Yes"),1,$E1351)*IF($H1351="Yes",1,(1-$F1351))</f>
        <v>8.2823529411764715E-5</v>
      </c>
      <c r="O1351" s="130"/>
    </row>
    <row r="1352" spans="1:15" ht="15" x14ac:dyDescent="0.25">
      <c r="A1352" s="5" t="s">
        <v>1620</v>
      </c>
      <c r="B1352" s="7"/>
      <c r="C1352" s="13" t="s">
        <v>57</v>
      </c>
      <c r="D1352" s="19" t="str">
        <f>IFERROR(IF(C1352="No CAS","",INDEX('DEQ Pollutant List'!$B$7:$B$611,MATCH('3. Pollutant Emissions - EF'!C1352,'DEQ Pollutant List'!$A$7:$A$611,0))),"")</f>
        <v>Chromium VI, chromate and dichromate particulate</v>
      </c>
      <c r="E1352" s="23">
        <v>0</v>
      </c>
      <c r="F1352" s="21">
        <v>0</v>
      </c>
      <c r="G1352" s="23" t="s">
        <v>1415</v>
      </c>
      <c r="H1352" s="21" t="s">
        <v>1415</v>
      </c>
      <c r="I1352" s="34">
        <v>1.4E-3</v>
      </c>
      <c r="J1352" s="11">
        <f t="shared" si="49"/>
        <v>1.4E-3</v>
      </c>
      <c r="K1352" s="6" t="s">
        <v>1416</v>
      </c>
      <c r="L1352" s="20" t="s">
        <v>1422</v>
      </c>
      <c r="M1352" s="7">
        <f>IF(ISBLANK($B1352),_xlfn.XLOOKUP($A1352,'2. TEUs &amp; Activities - EF'!$A$9:$A$190,'2. TEUs &amp; Activities - EF'!$J$9:$J$190),_xlfn.XLOOKUP($B1352,'2. TEUs &amp; Activities - EF'!$B$9:$B$190,'2. TEUs &amp; Activities - EF'!$J$9:$J$190))*'3. Pollutant Emissions - EF'!$I1352*IF(OR(ISBLANK($E1352),$G1352="Yes"),1,$E1352)*IF($H1352="Yes",1,(1-$F1352))</f>
        <v>3.8475294117647059E-2</v>
      </c>
      <c r="N1352" s="5">
        <f>IF(ISBLANK($B1352),_xlfn.XLOOKUP($A1352,'2. TEUs &amp; Activities - EF'!$A$9:$A$190,'2. TEUs &amp; Activities - EF'!$M$9:$M$190),_xlfn.XLOOKUP($B1352,'2. TEUs &amp; Activities - EF'!$B$9:$B$190,'2. TEUs &amp; Activities - EF'!$M$9:$M$190))*'3. Pollutant Emissions - EF'!$J1352*IF(OR(ISBLANK($E1352),$G1352="Yes"),1,$E1352)*IF($H1352="Yes",1,(1-$F1352))</f>
        <v>1.0541176470588237E-4</v>
      </c>
      <c r="O1352" s="130"/>
    </row>
    <row r="1353" spans="1:15" ht="15" x14ac:dyDescent="0.25">
      <c r="A1353" s="5" t="s">
        <v>1620</v>
      </c>
      <c r="B1353" s="7"/>
      <c r="C1353" s="13" t="s">
        <v>58</v>
      </c>
      <c r="D1353" s="19" t="str">
        <f>IFERROR(IF(C1353="No CAS","",INDEX('DEQ Pollutant List'!$B$7:$B$611,MATCH('3. Pollutant Emissions - EF'!C1353,'DEQ Pollutant List'!$A$7:$A$611,0))),"")</f>
        <v>Cobalt and compounds</v>
      </c>
      <c r="E1353" s="23">
        <v>0</v>
      </c>
      <c r="F1353" s="21">
        <v>0</v>
      </c>
      <c r="G1353" s="23" t="s">
        <v>1415</v>
      </c>
      <c r="H1353" s="21" t="s">
        <v>1415</v>
      </c>
      <c r="I1353" s="34">
        <v>8.3999999999999995E-5</v>
      </c>
      <c r="J1353" s="11">
        <f t="shared" si="49"/>
        <v>8.3999999999999995E-5</v>
      </c>
      <c r="K1353" s="6" t="s">
        <v>1416</v>
      </c>
      <c r="L1353" s="20" t="s">
        <v>1422</v>
      </c>
      <c r="M1353" s="7">
        <f>IF(ISBLANK($B1353),_xlfn.XLOOKUP($A1353,'2. TEUs &amp; Activities - EF'!$A$9:$A$190,'2. TEUs &amp; Activities - EF'!$J$9:$J$190),_xlfn.XLOOKUP($B1353,'2. TEUs &amp; Activities - EF'!$B$9:$B$190,'2. TEUs &amp; Activities - EF'!$J$9:$J$190))*'3. Pollutant Emissions - EF'!$I1353*IF(OR(ISBLANK($E1353),$G1353="Yes"),1,$E1353)*IF($H1353="Yes",1,(1-$F1353))</f>
        <v>2.3085176470588236E-3</v>
      </c>
      <c r="N1353" s="5">
        <f>IF(ISBLANK($B1353),_xlfn.XLOOKUP($A1353,'2. TEUs &amp; Activities - EF'!$A$9:$A$190,'2. TEUs &amp; Activities - EF'!$M$9:$M$190),_xlfn.XLOOKUP($B1353,'2. TEUs &amp; Activities - EF'!$B$9:$B$190,'2. TEUs &amp; Activities - EF'!$M$9:$M$190))*'3. Pollutant Emissions - EF'!$J1353*IF(OR(ISBLANK($E1353),$G1353="Yes"),1,$E1353)*IF($H1353="Yes",1,(1-$F1353))</f>
        <v>6.3247058823529414E-6</v>
      </c>
      <c r="O1353" s="130"/>
    </row>
    <row r="1354" spans="1:15" ht="15" x14ac:dyDescent="0.25">
      <c r="A1354" s="5" t="s">
        <v>1620</v>
      </c>
      <c r="B1354" s="7"/>
      <c r="C1354" s="13" t="s">
        <v>59</v>
      </c>
      <c r="D1354" s="19" t="str">
        <f>IFERROR(IF(C1354="No CAS","",INDEX('DEQ Pollutant List'!$B$7:$B$611,MATCH('3. Pollutant Emissions - EF'!C1354,'DEQ Pollutant List'!$A$7:$A$611,0))),"")</f>
        <v>Copper and compounds</v>
      </c>
      <c r="E1354" s="23">
        <v>0</v>
      </c>
      <c r="F1354" s="21">
        <v>0</v>
      </c>
      <c r="G1354" s="23" t="s">
        <v>1415</v>
      </c>
      <c r="H1354" s="21" t="s">
        <v>1415</v>
      </c>
      <c r="I1354" s="34">
        <v>8.4999999999999995E-4</v>
      </c>
      <c r="J1354" s="11">
        <f t="shared" si="49"/>
        <v>8.4999999999999995E-4</v>
      </c>
      <c r="K1354" s="6" t="s">
        <v>1416</v>
      </c>
      <c r="L1354" s="20" t="s">
        <v>1422</v>
      </c>
      <c r="M1354" s="7">
        <f>IF(ISBLANK($B1354),_xlfn.XLOOKUP($A1354,'2. TEUs &amp; Activities - EF'!$A$9:$A$190,'2. TEUs &amp; Activities - EF'!$J$9:$J$190),_xlfn.XLOOKUP($B1354,'2. TEUs &amp; Activities - EF'!$B$9:$B$190,'2. TEUs &amp; Activities - EF'!$J$9:$J$190))*'3. Pollutant Emissions - EF'!$I1354*IF(OR(ISBLANK($E1354),$G1354="Yes"),1,$E1354)*IF($H1354="Yes",1,(1-$F1354))</f>
        <v>2.3359999999999999E-2</v>
      </c>
      <c r="N1354" s="5">
        <f>IF(ISBLANK($B1354),_xlfn.XLOOKUP($A1354,'2. TEUs &amp; Activities - EF'!$A$9:$A$190,'2. TEUs &amp; Activities - EF'!$M$9:$M$190),_xlfn.XLOOKUP($B1354,'2. TEUs &amp; Activities - EF'!$B$9:$B$190,'2. TEUs &amp; Activities - EF'!$M$9:$M$190))*'3. Pollutant Emissions - EF'!$J1354*IF(OR(ISBLANK($E1354),$G1354="Yes"),1,$E1354)*IF($H1354="Yes",1,(1-$F1354))</f>
        <v>6.3999999999999997E-5</v>
      </c>
      <c r="O1354" s="130"/>
    </row>
    <row r="1355" spans="1:15" ht="15" x14ac:dyDescent="0.25">
      <c r="A1355" s="5" t="s">
        <v>1620</v>
      </c>
      <c r="B1355" s="7"/>
      <c r="C1355" s="13" t="s">
        <v>60</v>
      </c>
      <c r="D1355" s="19" t="str">
        <f>IFERROR(IF(C1355="No CAS","",INDEX('DEQ Pollutant List'!$B$7:$B$611,MATCH('3. Pollutant Emissions - EF'!C1355,'DEQ Pollutant List'!$A$7:$A$611,0))),"")</f>
        <v>Ethyl benzene</v>
      </c>
      <c r="E1355" s="23">
        <v>0</v>
      </c>
      <c r="F1355" s="21">
        <v>0</v>
      </c>
      <c r="G1355" s="23" t="s">
        <v>1415</v>
      </c>
      <c r="H1355" s="21" t="s">
        <v>1415</v>
      </c>
      <c r="I1355" s="34">
        <v>9.4999999999999998E-3</v>
      </c>
      <c r="J1355" s="11">
        <f t="shared" si="49"/>
        <v>9.4999999999999998E-3</v>
      </c>
      <c r="K1355" s="6" t="s">
        <v>1416</v>
      </c>
      <c r="L1355" s="20" t="s">
        <v>1422</v>
      </c>
      <c r="M1355" s="7">
        <f>IF(ISBLANK($B1355),_xlfn.XLOOKUP($A1355,'2. TEUs &amp; Activities - EF'!$A$9:$A$190,'2. TEUs &amp; Activities - EF'!$J$9:$J$190),_xlfn.XLOOKUP($B1355,'2. TEUs &amp; Activities - EF'!$B$9:$B$190,'2. TEUs &amp; Activities - EF'!$J$9:$J$190))*'3. Pollutant Emissions - EF'!$I1355*IF(OR(ISBLANK($E1355),$G1355="Yes"),1,$E1355)*IF($H1355="Yes",1,(1-$F1355))</f>
        <v>0.26108235294117649</v>
      </c>
      <c r="N1355" s="5">
        <f>IF(ISBLANK($B1355),_xlfn.XLOOKUP($A1355,'2. TEUs &amp; Activities - EF'!$A$9:$A$190,'2. TEUs &amp; Activities - EF'!$M$9:$M$190),_xlfn.XLOOKUP($B1355,'2. TEUs &amp; Activities - EF'!$B$9:$B$190,'2. TEUs &amp; Activities - EF'!$M$9:$M$190))*'3. Pollutant Emissions - EF'!$J1355*IF(OR(ISBLANK($E1355),$G1355="Yes"),1,$E1355)*IF($H1355="Yes",1,(1-$F1355))</f>
        <v>7.1529411764705887E-4</v>
      </c>
      <c r="O1355" s="130"/>
    </row>
    <row r="1356" spans="1:15" ht="15" x14ac:dyDescent="0.25">
      <c r="A1356" s="5" t="s">
        <v>1620</v>
      </c>
      <c r="B1356" s="7"/>
      <c r="C1356" s="13" t="s">
        <v>47</v>
      </c>
      <c r="D1356" s="19" t="str">
        <f>IFERROR(IF(C1356="No CAS","",INDEX('DEQ Pollutant List'!$B$7:$B$611,MATCH('3. Pollutant Emissions - EF'!C1356,'DEQ Pollutant List'!$A$7:$A$611,0))),"")</f>
        <v>Formaldehyde</v>
      </c>
      <c r="E1356" s="23">
        <v>0</v>
      </c>
      <c r="F1356" s="21">
        <v>0</v>
      </c>
      <c r="G1356" s="23" t="s">
        <v>1415</v>
      </c>
      <c r="H1356" s="21" t="s">
        <v>1415</v>
      </c>
      <c r="I1356" s="34">
        <v>1.7000000000000001E-2</v>
      </c>
      <c r="J1356" s="11">
        <f t="shared" si="49"/>
        <v>1.7000000000000001E-2</v>
      </c>
      <c r="K1356" s="6" t="s">
        <v>1416</v>
      </c>
      <c r="L1356" s="20" t="s">
        <v>1422</v>
      </c>
      <c r="M1356" s="7">
        <f>IF(ISBLANK($B1356),_xlfn.XLOOKUP($A1356,'2. TEUs &amp; Activities - EF'!$A$9:$A$190,'2. TEUs &amp; Activities - EF'!$J$9:$J$190),_xlfn.XLOOKUP($B1356,'2. TEUs &amp; Activities - EF'!$B$9:$B$190,'2. TEUs &amp; Activities - EF'!$J$9:$J$190))*'3. Pollutant Emissions - EF'!$I1356*IF(OR(ISBLANK($E1356),$G1356="Yes"),1,$E1356)*IF($H1356="Yes",1,(1-$F1356))</f>
        <v>0.46720000000000006</v>
      </c>
      <c r="N1356" s="5">
        <f>IF(ISBLANK($B1356),_xlfn.XLOOKUP($A1356,'2. TEUs &amp; Activities - EF'!$A$9:$A$190,'2. TEUs &amp; Activities - EF'!$M$9:$M$190),_xlfn.XLOOKUP($B1356,'2. TEUs &amp; Activities - EF'!$B$9:$B$190,'2. TEUs &amp; Activities - EF'!$M$9:$M$190))*'3. Pollutant Emissions - EF'!$J1356*IF(OR(ISBLANK($E1356),$G1356="Yes"),1,$E1356)*IF($H1356="Yes",1,(1-$F1356))</f>
        <v>1.2800000000000003E-3</v>
      </c>
      <c r="O1356" s="130"/>
    </row>
    <row r="1357" spans="1:15" ht="15" x14ac:dyDescent="0.25">
      <c r="A1357" s="5" t="s">
        <v>1620</v>
      </c>
      <c r="B1357" s="7"/>
      <c r="C1357" s="13" t="s">
        <v>61</v>
      </c>
      <c r="D1357" s="19" t="str">
        <f>IFERROR(IF(C1357="No CAS","",INDEX('DEQ Pollutant List'!$B$7:$B$611,MATCH('3. Pollutant Emissions - EF'!C1357,'DEQ Pollutant List'!$A$7:$A$611,0))),"")</f>
        <v>Hexane</v>
      </c>
      <c r="E1357" s="23">
        <v>0</v>
      </c>
      <c r="F1357" s="21">
        <v>0</v>
      </c>
      <c r="G1357" s="23" t="s">
        <v>1415</v>
      </c>
      <c r="H1357" s="21" t="s">
        <v>1415</v>
      </c>
      <c r="I1357" s="34">
        <v>6.3E-3</v>
      </c>
      <c r="J1357" s="11">
        <f t="shared" si="49"/>
        <v>6.3E-3</v>
      </c>
      <c r="K1357" s="6" t="s">
        <v>1416</v>
      </c>
      <c r="L1357" s="20" t="s">
        <v>1422</v>
      </c>
      <c r="M1357" s="7">
        <f>IF(ISBLANK($B1357),_xlfn.XLOOKUP($A1357,'2. TEUs &amp; Activities - EF'!$A$9:$A$190,'2. TEUs &amp; Activities - EF'!$J$9:$J$190),_xlfn.XLOOKUP($B1357,'2. TEUs &amp; Activities - EF'!$B$9:$B$190,'2. TEUs &amp; Activities - EF'!$J$9:$J$190))*'3. Pollutant Emissions - EF'!$I1357*IF(OR(ISBLANK($E1357),$G1357="Yes"),1,$E1357)*IF($H1357="Yes",1,(1-$F1357))</f>
        <v>0.17313882352941179</v>
      </c>
      <c r="N1357" s="5">
        <f>IF(ISBLANK($B1357),_xlfn.XLOOKUP($A1357,'2. TEUs &amp; Activities - EF'!$A$9:$A$190,'2. TEUs &amp; Activities - EF'!$M$9:$M$190),_xlfn.XLOOKUP($B1357,'2. TEUs &amp; Activities - EF'!$B$9:$B$190,'2. TEUs &amp; Activities - EF'!$M$9:$M$190))*'3. Pollutant Emissions - EF'!$J1357*IF(OR(ISBLANK($E1357),$G1357="Yes"),1,$E1357)*IF($H1357="Yes",1,(1-$F1357))</f>
        <v>4.7435294117647062E-4</v>
      </c>
      <c r="O1357" s="130"/>
    </row>
    <row r="1358" spans="1:15" ht="15" x14ac:dyDescent="0.25">
      <c r="A1358" s="5" t="s">
        <v>1620</v>
      </c>
      <c r="B1358" s="7"/>
      <c r="C1358" s="13" t="s">
        <v>62</v>
      </c>
      <c r="D1358" s="19" t="str">
        <f>IFERROR(IF(C1358="No CAS","",INDEX('DEQ Pollutant List'!$B$7:$B$611,MATCH('3. Pollutant Emissions - EF'!C1358,'DEQ Pollutant List'!$A$7:$A$611,0))),"")</f>
        <v>Lead and compounds</v>
      </c>
      <c r="E1358" s="23">
        <v>0</v>
      </c>
      <c r="F1358" s="21">
        <v>0</v>
      </c>
      <c r="G1358" s="23" t="s">
        <v>1415</v>
      </c>
      <c r="H1358" s="21" t="s">
        <v>1415</v>
      </c>
      <c r="I1358" s="34">
        <v>5.0000000000000001E-4</v>
      </c>
      <c r="J1358" s="11">
        <f t="shared" si="49"/>
        <v>5.0000000000000001E-4</v>
      </c>
      <c r="K1358" s="6" t="s">
        <v>1416</v>
      </c>
      <c r="L1358" s="20" t="s">
        <v>1422</v>
      </c>
      <c r="M1358" s="7">
        <f>IF(ISBLANK($B1358),_xlfn.XLOOKUP($A1358,'2. TEUs &amp; Activities - EF'!$A$9:$A$190,'2. TEUs &amp; Activities - EF'!$J$9:$J$190),_xlfn.XLOOKUP($B1358,'2. TEUs &amp; Activities - EF'!$B$9:$B$190,'2. TEUs &amp; Activities - EF'!$J$9:$J$190))*'3. Pollutant Emissions - EF'!$I1358*IF(OR(ISBLANK($E1358),$G1358="Yes"),1,$E1358)*IF($H1358="Yes",1,(1-$F1358))</f>
        <v>1.3741176470588236E-2</v>
      </c>
      <c r="N1358" s="5">
        <f>IF(ISBLANK($B1358),_xlfn.XLOOKUP($A1358,'2. TEUs &amp; Activities - EF'!$A$9:$A$190,'2. TEUs &amp; Activities - EF'!$M$9:$M$190),_xlfn.XLOOKUP($B1358,'2. TEUs &amp; Activities - EF'!$B$9:$B$190,'2. TEUs &amp; Activities - EF'!$M$9:$M$190))*'3. Pollutant Emissions - EF'!$J1358*IF(OR(ISBLANK($E1358),$G1358="Yes"),1,$E1358)*IF($H1358="Yes",1,(1-$F1358))</f>
        <v>3.7647058823529415E-5</v>
      </c>
      <c r="O1358" s="130"/>
    </row>
    <row r="1359" spans="1:15" ht="15" x14ac:dyDescent="0.25">
      <c r="A1359" s="5" t="s">
        <v>1620</v>
      </c>
      <c r="B1359" s="7"/>
      <c r="C1359" s="13" t="s">
        <v>63</v>
      </c>
      <c r="D1359" s="19" t="str">
        <f>IFERROR(IF(C1359="No CAS","",INDEX('DEQ Pollutant List'!$B$7:$B$611,MATCH('3. Pollutant Emissions - EF'!C1359,'DEQ Pollutant List'!$A$7:$A$611,0))),"")</f>
        <v>Manganese and compounds</v>
      </c>
      <c r="E1359" s="23">
        <v>0</v>
      </c>
      <c r="F1359" s="21">
        <v>0</v>
      </c>
      <c r="G1359" s="23" t="s">
        <v>1415</v>
      </c>
      <c r="H1359" s="21" t="s">
        <v>1415</v>
      </c>
      <c r="I1359" s="34">
        <v>3.8000000000000002E-4</v>
      </c>
      <c r="J1359" s="11">
        <f t="shared" si="49"/>
        <v>3.8000000000000002E-4</v>
      </c>
      <c r="K1359" s="6" t="s">
        <v>1416</v>
      </c>
      <c r="L1359" s="20" t="s">
        <v>1422</v>
      </c>
      <c r="M1359" s="7">
        <f>IF(ISBLANK($B1359),_xlfn.XLOOKUP($A1359,'2. TEUs &amp; Activities - EF'!$A$9:$A$190,'2. TEUs &amp; Activities - EF'!$J$9:$J$190),_xlfn.XLOOKUP($B1359,'2. TEUs &amp; Activities - EF'!$B$9:$B$190,'2. TEUs &amp; Activities - EF'!$J$9:$J$190))*'3. Pollutant Emissions - EF'!$I1359*IF(OR(ISBLANK($E1359),$G1359="Yes"),1,$E1359)*IF($H1359="Yes",1,(1-$F1359))</f>
        <v>1.0443294117647059E-2</v>
      </c>
      <c r="N1359" s="5">
        <f>IF(ISBLANK($B1359),_xlfn.XLOOKUP($A1359,'2. TEUs &amp; Activities - EF'!$A$9:$A$190,'2. TEUs &amp; Activities - EF'!$M$9:$M$190),_xlfn.XLOOKUP($B1359,'2. TEUs &amp; Activities - EF'!$B$9:$B$190,'2. TEUs &amp; Activities - EF'!$M$9:$M$190))*'3. Pollutant Emissions - EF'!$J1359*IF(OR(ISBLANK($E1359),$G1359="Yes"),1,$E1359)*IF($H1359="Yes",1,(1-$F1359))</f>
        <v>2.8611764705882358E-5</v>
      </c>
      <c r="O1359" s="130"/>
    </row>
    <row r="1360" spans="1:15" ht="15" x14ac:dyDescent="0.25">
      <c r="A1360" s="5" t="s">
        <v>1620</v>
      </c>
      <c r="B1360" s="7"/>
      <c r="C1360" s="13" t="s">
        <v>64</v>
      </c>
      <c r="D1360" s="19" t="str">
        <f>IFERROR(IF(C1360="No CAS","",INDEX('DEQ Pollutant List'!$B$7:$B$611,MATCH('3. Pollutant Emissions - EF'!C1360,'DEQ Pollutant List'!$A$7:$A$611,0))),"")</f>
        <v>Mercury and compounds</v>
      </c>
      <c r="E1360" s="23">
        <v>0</v>
      </c>
      <c r="F1360" s="21">
        <v>0</v>
      </c>
      <c r="G1360" s="23" t="s">
        <v>1415</v>
      </c>
      <c r="H1360" s="21" t="s">
        <v>1415</v>
      </c>
      <c r="I1360" s="34">
        <v>2.5999999999999998E-4</v>
      </c>
      <c r="J1360" s="11">
        <f t="shared" si="49"/>
        <v>2.5999999999999998E-4</v>
      </c>
      <c r="K1360" s="6" t="s">
        <v>1416</v>
      </c>
      <c r="L1360" s="20" t="s">
        <v>1422</v>
      </c>
      <c r="M1360" s="7">
        <f>IF(ISBLANK($B1360),_xlfn.XLOOKUP($A1360,'2. TEUs &amp; Activities - EF'!$A$9:$A$190,'2. TEUs &amp; Activities - EF'!$J$9:$J$190),_xlfn.XLOOKUP($B1360,'2. TEUs &amp; Activities - EF'!$B$9:$B$190,'2. TEUs &amp; Activities - EF'!$J$9:$J$190))*'3. Pollutant Emissions - EF'!$I1360*IF(OR(ISBLANK($E1360),$G1360="Yes"),1,$E1360)*IF($H1360="Yes",1,(1-$F1360))</f>
        <v>7.1454117647058819E-3</v>
      </c>
      <c r="N1360" s="5">
        <f>IF(ISBLANK($B1360),_xlfn.XLOOKUP($A1360,'2. TEUs &amp; Activities - EF'!$A$9:$A$190,'2. TEUs &amp; Activities - EF'!$M$9:$M$190),_xlfn.XLOOKUP($B1360,'2. TEUs &amp; Activities - EF'!$B$9:$B$190,'2. TEUs &amp; Activities - EF'!$M$9:$M$190))*'3. Pollutant Emissions - EF'!$J1360*IF(OR(ISBLANK($E1360),$G1360="Yes"),1,$E1360)*IF($H1360="Yes",1,(1-$F1360))</f>
        <v>1.9576470588235294E-5</v>
      </c>
      <c r="O1360" s="130"/>
    </row>
    <row r="1361" spans="1:15" ht="15" x14ac:dyDescent="0.25">
      <c r="A1361" s="5" t="s">
        <v>1620</v>
      </c>
      <c r="B1361" s="7"/>
      <c r="C1361" s="13" t="s">
        <v>65</v>
      </c>
      <c r="D1361" s="19" t="str">
        <f>IFERROR(IF(C1361="No CAS","",INDEX('DEQ Pollutant List'!$B$7:$B$611,MATCH('3. Pollutant Emissions - EF'!C1361,'DEQ Pollutant List'!$A$7:$A$611,0))),"")</f>
        <v>Molybdenum trioxide</v>
      </c>
      <c r="E1361" s="23">
        <v>0</v>
      </c>
      <c r="F1361" s="21">
        <v>0</v>
      </c>
      <c r="G1361" s="23" t="s">
        <v>1415</v>
      </c>
      <c r="H1361" s="21" t="s">
        <v>1415</v>
      </c>
      <c r="I1361" s="34">
        <v>1.65E-3</v>
      </c>
      <c r="J1361" s="11">
        <f t="shared" si="49"/>
        <v>1.65E-3</v>
      </c>
      <c r="K1361" s="6" t="s">
        <v>1416</v>
      </c>
      <c r="L1361" s="20" t="s">
        <v>1422</v>
      </c>
      <c r="M1361" s="7">
        <f>IF(ISBLANK($B1361),_xlfn.XLOOKUP($A1361,'2. TEUs &amp; Activities - EF'!$A$9:$A$190,'2. TEUs &amp; Activities - EF'!$J$9:$J$190),_xlfn.XLOOKUP($B1361,'2. TEUs &amp; Activities - EF'!$B$9:$B$190,'2. TEUs &amp; Activities - EF'!$J$9:$J$190))*'3. Pollutant Emissions - EF'!$I1361*IF(OR(ISBLANK($E1361),$G1361="Yes"),1,$E1361)*IF($H1361="Yes",1,(1-$F1361))</f>
        <v>4.534588235294118E-2</v>
      </c>
      <c r="N1361" s="5">
        <f>IF(ISBLANK($B1361),_xlfn.XLOOKUP($A1361,'2. TEUs &amp; Activities - EF'!$A$9:$A$190,'2. TEUs &amp; Activities - EF'!$M$9:$M$190),_xlfn.XLOOKUP($B1361,'2. TEUs &amp; Activities - EF'!$B$9:$B$190,'2. TEUs &amp; Activities - EF'!$M$9:$M$190))*'3. Pollutant Emissions - EF'!$J1361*IF(OR(ISBLANK($E1361),$G1361="Yes"),1,$E1361)*IF($H1361="Yes",1,(1-$F1361))</f>
        <v>1.2423529411764706E-4</v>
      </c>
      <c r="O1361" s="130"/>
    </row>
    <row r="1362" spans="1:15" ht="15" x14ac:dyDescent="0.25">
      <c r="A1362" s="5" t="s">
        <v>1620</v>
      </c>
      <c r="B1362" s="7"/>
      <c r="C1362" s="13" t="s">
        <v>49</v>
      </c>
      <c r="D1362" s="19" t="str">
        <f>IFERROR(IF(C1362="No CAS","",INDEX('DEQ Pollutant List'!$B$7:$B$611,MATCH('3. Pollutant Emissions - EF'!C1362,'DEQ Pollutant List'!$A$7:$A$611,0))),"")</f>
        <v>Naphthalene</v>
      </c>
      <c r="E1362" s="23">
        <v>0</v>
      </c>
      <c r="F1362" s="21">
        <v>0</v>
      </c>
      <c r="G1362" s="23" t="s">
        <v>1415</v>
      </c>
      <c r="H1362" s="21" t="s">
        <v>1415</v>
      </c>
      <c r="I1362" s="34">
        <v>2.9999999999999997E-4</v>
      </c>
      <c r="J1362" s="11">
        <f t="shared" si="49"/>
        <v>2.9999999999999997E-4</v>
      </c>
      <c r="K1362" s="6" t="s">
        <v>1416</v>
      </c>
      <c r="L1362" s="20" t="s">
        <v>1422</v>
      </c>
      <c r="M1362" s="7">
        <f>IF(ISBLANK($B1362),_xlfn.XLOOKUP($A1362,'2. TEUs &amp; Activities - EF'!$A$9:$A$190,'2. TEUs &amp; Activities - EF'!$J$9:$J$190),_xlfn.XLOOKUP($B1362,'2. TEUs &amp; Activities - EF'!$B$9:$B$190,'2. TEUs &amp; Activities - EF'!$J$9:$J$190))*'3. Pollutant Emissions - EF'!$I1362*IF(OR(ISBLANK($E1362),$G1362="Yes"),1,$E1362)*IF($H1362="Yes",1,(1-$F1362))</f>
        <v>8.2447058823529405E-3</v>
      </c>
      <c r="N1362" s="5">
        <f>IF(ISBLANK($B1362),_xlfn.XLOOKUP($A1362,'2. TEUs &amp; Activities - EF'!$A$9:$A$190,'2. TEUs &amp; Activities - EF'!$M$9:$M$190),_xlfn.XLOOKUP($B1362,'2. TEUs &amp; Activities - EF'!$B$9:$B$190,'2. TEUs &amp; Activities - EF'!$M$9:$M$190))*'3. Pollutant Emissions - EF'!$J1362*IF(OR(ISBLANK($E1362),$G1362="Yes"),1,$E1362)*IF($H1362="Yes",1,(1-$F1362))</f>
        <v>2.2588235294117646E-5</v>
      </c>
      <c r="O1362" s="130"/>
    </row>
    <row r="1363" spans="1:15" ht="15" x14ac:dyDescent="0.25">
      <c r="A1363" s="5" t="s">
        <v>1620</v>
      </c>
      <c r="B1363" s="7"/>
      <c r="C1363" s="13" t="s">
        <v>66</v>
      </c>
      <c r="D1363" s="19" t="str">
        <f>IFERROR(IF(C1363="No CAS","",INDEX('DEQ Pollutant List'!$B$7:$B$611,MATCH('3. Pollutant Emissions - EF'!C1363,'DEQ Pollutant List'!$A$7:$A$611,0))),"")</f>
        <v>Nickel and compounds</v>
      </c>
      <c r="E1363" s="23">
        <v>0</v>
      </c>
      <c r="F1363" s="21">
        <v>0</v>
      </c>
      <c r="G1363" s="23" t="s">
        <v>1415</v>
      </c>
      <c r="H1363" s="21" t="s">
        <v>1415</v>
      </c>
      <c r="I1363" s="34">
        <v>2.0999999999999999E-3</v>
      </c>
      <c r="J1363" s="11">
        <f t="shared" si="49"/>
        <v>2.0999999999999999E-3</v>
      </c>
      <c r="K1363" s="6" t="s">
        <v>1416</v>
      </c>
      <c r="L1363" s="20" t="s">
        <v>1422</v>
      </c>
      <c r="M1363" s="7">
        <f>IF(ISBLANK($B1363),_xlfn.XLOOKUP($A1363,'2. TEUs &amp; Activities - EF'!$A$9:$A$190,'2. TEUs &amp; Activities - EF'!$J$9:$J$190),_xlfn.XLOOKUP($B1363,'2. TEUs &amp; Activities - EF'!$B$9:$B$190,'2. TEUs &amp; Activities - EF'!$J$9:$J$190))*'3. Pollutant Emissions - EF'!$I1363*IF(OR(ISBLANK($E1363),$G1363="Yes"),1,$E1363)*IF($H1363="Yes",1,(1-$F1363))</f>
        <v>5.7712941176470592E-2</v>
      </c>
      <c r="N1363" s="5">
        <f>IF(ISBLANK($B1363),_xlfn.XLOOKUP($A1363,'2. TEUs &amp; Activities - EF'!$A$9:$A$190,'2. TEUs &amp; Activities - EF'!$M$9:$M$190),_xlfn.XLOOKUP($B1363,'2. TEUs &amp; Activities - EF'!$B$9:$B$190,'2. TEUs &amp; Activities - EF'!$M$9:$M$190))*'3. Pollutant Emissions - EF'!$J1363*IF(OR(ISBLANK($E1363),$G1363="Yes"),1,$E1363)*IF($H1363="Yes",1,(1-$F1363))</f>
        <v>1.5811764705882353E-4</v>
      </c>
      <c r="O1363" s="130"/>
    </row>
    <row r="1364" spans="1:15" ht="15" x14ac:dyDescent="0.25">
      <c r="A1364" s="5" t="s">
        <v>1620</v>
      </c>
      <c r="B1364" s="7"/>
      <c r="C1364" s="13">
        <v>401</v>
      </c>
      <c r="D1364" s="19" t="str">
        <f>IFERROR(IF(C1364="No CAS","",INDEX('DEQ Pollutant List'!$B$7:$B$611,MATCH('3. Pollutant Emissions - EF'!C1364,'DEQ Pollutant List'!$A$7:$A$611,0))),"")</f>
        <v>Polycyclic aromatic hydrocarbons (PAHs)</v>
      </c>
      <c r="E1364" s="23">
        <v>0</v>
      </c>
      <c r="F1364" s="21">
        <v>0</v>
      </c>
      <c r="G1364" s="23" t="s">
        <v>1415</v>
      </c>
      <c r="H1364" s="21" t="s">
        <v>1415</v>
      </c>
      <c r="I1364" s="34">
        <v>1E-4</v>
      </c>
      <c r="J1364" s="11">
        <f t="shared" si="49"/>
        <v>1E-4</v>
      </c>
      <c r="K1364" s="6" t="s">
        <v>1416</v>
      </c>
      <c r="L1364" s="20" t="s">
        <v>1422</v>
      </c>
      <c r="M1364" s="7">
        <f>IF(ISBLANK($B1364),_xlfn.XLOOKUP($A1364,'2. TEUs &amp; Activities - EF'!$A$9:$A$190,'2. TEUs &amp; Activities - EF'!$J$9:$J$190),_xlfn.XLOOKUP($B1364,'2. TEUs &amp; Activities - EF'!$B$9:$B$190,'2. TEUs &amp; Activities - EF'!$J$9:$J$190))*'3. Pollutant Emissions - EF'!$I1364*IF(OR(ISBLANK($E1364),$G1364="Yes"),1,$E1364)*IF($H1364="Yes",1,(1-$F1364))</f>
        <v>2.7482352941176473E-3</v>
      </c>
      <c r="N1364" s="5">
        <f>IF(ISBLANK($B1364),_xlfn.XLOOKUP($A1364,'2. TEUs &amp; Activities - EF'!$A$9:$A$190,'2. TEUs &amp; Activities - EF'!$M$9:$M$190),_xlfn.XLOOKUP($B1364,'2. TEUs &amp; Activities - EF'!$B$9:$B$190,'2. TEUs &amp; Activities - EF'!$M$9:$M$190))*'3. Pollutant Emissions - EF'!$J1364*IF(OR(ISBLANK($E1364),$G1364="Yes"),1,$E1364)*IF($H1364="Yes",1,(1-$F1364))</f>
        <v>7.5294117647058836E-6</v>
      </c>
      <c r="O1364" s="130"/>
    </row>
    <row r="1365" spans="1:15" ht="15" x14ac:dyDescent="0.25">
      <c r="A1365" s="5" t="s">
        <v>1620</v>
      </c>
      <c r="B1365" s="7"/>
      <c r="C1365" s="13" t="s">
        <v>67</v>
      </c>
      <c r="D1365" s="19" t="str">
        <f>IFERROR(IF(C1365="No CAS","",INDEX('DEQ Pollutant List'!$B$7:$B$611,MATCH('3. Pollutant Emissions - EF'!C1365,'DEQ Pollutant List'!$A$7:$A$611,0))),"")</f>
        <v>Selenium and compounds</v>
      </c>
      <c r="E1365" s="23">
        <v>0</v>
      </c>
      <c r="F1365" s="21">
        <v>0</v>
      </c>
      <c r="G1365" s="23" t="s">
        <v>1415</v>
      </c>
      <c r="H1365" s="21" t="s">
        <v>1415</v>
      </c>
      <c r="I1365" s="34">
        <v>2.4000000000000001E-5</v>
      </c>
      <c r="J1365" s="11">
        <f t="shared" si="49"/>
        <v>2.4000000000000001E-5</v>
      </c>
      <c r="K1365" s="6" t="s">
        <v>1416</v>
      </c>
      <c r="L1365" s="20" t="s">
        <v>1422</v>
      </c>
      <c r="M1365" s="7">
        <f>IF(ISBLANK($B1365),_xlfn.XLOOKUP($A1365,'2. TEUs &amp; Activities - EF'!$A$9:$A$190,'2. TEUs &amp; Activities - EF'!$J$9:$J$190),_xlfn.XLOOKUP($B1365,'2. TEUs &amp; Activities - EF'!$B$9:$B$190,'2. TEUs &amp; Activities - EF'!$J$9:$J$190))*'3. Pollutant Emissions - EF'!$I1365*IF(OR(ISBLANK($E1365),$G1365="Yes"),1,$E1365)*IF($H1365="Yes",1,(1-$F1365))</f>
        <v>6.5957647058823531E-4</v>
      </c>
      <c r="N1365" s="5">
        <f>IF(ISBLANK($B1365),_xlfn.XLOOKUP($A1365,'2. TEUs &amp; Activities - EF'!$A$9:$A$190,'2. TEUs &amp; Activities - EF'!$M$9:$M$190),_xlfn.XLOOKUP($B1365,'2. TEUs &amp; Activities - EF'!$B$9:$B$190,'2. TEUs &amp; Activities - EF'!$M$9:$M$190))*'3. Pollutant Emissions - EF'!$J1365*IF(OR(ISBLANK($E1365),$G1365="Yes"),1,$E1365)*IF($H1365="Yes",1,(1-$F1365))</f>
        <v>1.807058823529412E-6</v>
      </c>
      <c r="O1365" s="130"/>
    </row>
    <row r="1366" spans="1:15" ht="15" x14ac:dyDescent="0.25">
      <c r="A1366" s="5" t="s">
        <v>1620</v>
      </c>
      <c r="B1366" s="7"/>
      <c r="C1366" s="13" t="s">
        <v>68</v>
      </c>
      <c r="D1366" s="19" t="str">
        <f>IFERROR(IF(C1366="No CAS","",INDEX('DEQ Pollutant List'!$B$7:$B$611,MATCH('3. Pollutant Emissions - EF'!C1366,'DEQ Pollutant List'!$A$7:$A$611,0))),"")</f>
        <v>Toluene</v>
      </c>
      <c r="E1366" s="23">
        <v>0</v>
      </c>
      <c r="F1366" s="21">
        <v>0</v>
      </c>
      <c r="G1366" s="23" t="s">
        <v>1415</v>
      </c>
      <c r="H1366" s="21" t="s">
        <v>1415</v>
      </c>
      <c r="I1366" s="34">
        <v>3.6600000000000001E-2</v>
      </c>
      <c r="J1366" s="11">
        <f t="shared" si="49"/>
        <v>3.6600000000000001E-2</v>
      </c>
      <c r="K1366" s="6" t="s">
        <v>1416</v>
      </c>
      <c r="L1366" s="20" t="s">
        <v>1422</v>
      </c>
      <c r="M1366" s="7">
        <f>IF(ISBLANK($B1366),_xlfn.XLOOKUP($A1366,'2. TEUs &amp; Activities - EF'!$A$9:$A$190,'2. TEUs &amp; Activities - EF'!$J$9:$J$190),_xlfn.XLOOKUP($B1366,'2. TEUs &amp; Activities - EF'!$B$9:$B$190,'2. TEUs &amp; Activities - EF'!$J$9:$J$190))*'3. Pollutant Emissions - EF'!$I1366*IF(OR(ISBLANK($E1366),$G1366="Yes"),1,$E1366)*IF($H1366="Yes",1,(1-$F1366))</f>
        <v>1.005854117647059</v>
      </c>
      <c r="N1366" s="5">
        <f>IF(ISBLANK($B1366),_xlfn.XLOOKUP($A1366,'2. TEUs &amp; Activities - EF'!$A$9:$A$190,'2. TEUs &amp; Activities - EF'!$M$9:$M$190),_xlfn.XLOOKUP($B1366,'2. TEUs &amp; Activities - EF'!$B$9:$B$190,'2. TEUs &amp; Activities - EF'!$M$9:$M$190))*'3. Pollutant Emissions - EF'!$J1366*IF(OR(ISBLANK($E1366),$G1366="Yes"),1,$E1366)*IF($H1366="Yes",1,(1-$F1366))</f>
        <v>2.7557647058823534E-3</v>
      </c>
      <c r="O1366" s="130"/>
    </row>
    <row r="1367" spans="1:15" ht="15" x14ac:dyDescent="0.25">
      <c r="A1367" s="5" t="s">
        <v>1620</v>
      </c>
      <c r="B1367" s="7"/>
      <c r="C1367" s="13" t="s">
        <v>69</v>
      </c>
      <c r="D1367" s="19" t="str">
        <f>IFERROR(IF(C1367="No CAS","",INDEX('DEQ Pollutant List'!$B$7:$B$611,MATCH('3. Pollutant Emissions - EF'!C1367,'DEQ Pollutant List'!$A$7:$A$611,0))),"")</f>
        <v>Vanadium (fume or dust)</v>
      </c>
      <c r="E1367" s="23">
        <v>0</v>
      </c>
      <c r="F1367" s="21">
        <v>0</v>
      </c>
      <c r="G1367" s="23" t="s">
        <v>1415</v>
      </c>
      <c r="H1367" s="21" t="s">
        <v>1415</v>
      </c>
      <c r="I1367" s="34">
        <v>2.3E-3</v>
      </c>
      <c r="J1367" s="11">
        <f t="shared" si="49"/>
        <v>2.3E-3</v>
      </c>
      <c r="K1367" s="6" t="s">
        <v>1416</v>
      </c>
      <c r="L1367" s="20" t="s">
        <v>1422</v>
      </c>
      <c r="M1367" s="7">
        <f>IF(ISBLANK($B1367),_xlfn.XLOOKUP($A1367,'2. TEUs &amp; Activities - EF'!$A$9:$A$190,'2. TEUs &amp; Activities - EF'!$J$9:$J$190),_xlfn.XLOOKUP($B1367,'2. TEUs &amp; Activities - EF'!$B$9:$B$190,'2. TEUs &amp; Activities - EF'!$J$9:$J$190))*'3. Pollutant Emissions - EF'!$I1367*IF(OR(ISBLANK($E1367),$G1367="Yes"),1,$E1367)*IF($H1367="Yes",1,(1-$F1367))</f>
        <v>6.3209411764705889E-2</v>
      </c>
      <c r="N1367" s="5">
        <f>IF(ISBLANK($B1367),_xlfn.XLOOKUP($A1367,'2. TEUs &amp; Activities - EF'!$A$9:$A$190,'2. TEUs &amp; Activities - EF'!$M$9:$M$190),_xlfn.XLOOKUP($B1367,'2. TEUs &amp; Activities - EF'!$B$9:$B$190,'2. TEUs &amp; Activities - EF'!$M$9:$M$190))*'3. Pollutant Emissions - EF'!$J1367*IF(OR(ISBLANK($E1367),$G1367="Yes"),1,$E1367)*IF($H1367="Yes",1,(1-$F1367))</f>
        <v>1.731764705882353E-4</v>
      </c>
      <c r="O1367" s="130"/>
    </row>
    <row r="1368" spans="1:15" ht="15" x14ac:dyDescent="0.25">
      <c r="A1368" s="5" t="s">
        <v>1620</v>
      </c>
      <c r="B1368" s="7"/>
      <c r="C1368" s="13" t="s">
        <v>70</v>
      </c>
      <c r="D1368" s="19" t="str">
        <f>IFERROR(IF(C1368="No CAS","",INDEX('DEQ Pollutant List'!$B$7:$B$611,MATCH('3. Pollutant Emissions - EF'!C1368,'DEQ Pollutant List'!$A$7:$A$611,0))),"")</f>
        <v>Xylene (mixture), including m-xylene, o-xylene, p-xylene</v>
      </c>
      <c r="E1368" s="23">
        <v>0</v>
      </c>
      <c r="F1368" s="21">
        <v>0</v>
      </c>
      <c r="G1368" s="23" t="s">
        <v>1415</v>
      </c>
      <c r="H1368" s="21" t="s">
        <v>1415</v>
      </c>
      <c r="I1368" s="34">
        <v>2.7199999999999998E-2</v>
      </c>
      <c r="J1368" s="11">
        <f t="shared" si="49"/>
        <v>2.7199999999999998E-2</v>
      </c>
      <c r="K1368" s="6" t="s">
        <v>1416</v>
      </c>
      <c r="L1368" s="20" t="s">
        <v>1422</v>
      </c>
      <c r="M1368" s="7">
        <f>IF(ISBLANK($B1368),_xlfn.XLOOKUP($A1368,'2. TEUs &amp; Activities - EF'!$A$9:$A$190,'2. TEUs &amp; Activities - EF'!$J$9:$J$190),_xlfn.XLOOKUP($B1368,'2. TEUs &amp; Activities - EF'!$B$9:$B$190,'2. TEUs &amp; Activities - EF'!$J$9:$J$190))*'3. Pollutant Emissions - EF'!$I1368*IF(OR(ISBLANK($E1368),$G1368="Yes"),1,$E1368)*IF($H1368="Yes",1,(1-$F1368))</f>
        <v>0.74751999999999996</v>
      </c>
      <c r="N1368" s="5">
        <f>IF(ISBLANK($B1368),_xlfn.XLOOKUP($A1368,'2. TEUs &amp; Activities - EF'!$A$9:$A$190,'2. TEUs &amp; Activities - EF'!$M$9:$M$190),_xlfn.XLOOKUP($B1368,'2. TEUs &amp; Activities - EF'!$B$9:$B$190,'2. TEUs &amp; Activities - EF'!$M$9:$M$190))*'3. Pollutant Emissions - EF'!$J1368*IF(OR(ISBLANK($E1368),$G1368="Yes"),1,$E1368)*IF($H1368="Yes",1,(1-$F1368))</f>
        <v>2.0479999999999999E-3</v>
      </c>
      <c r="O1368" s="130"/>
    </row>
    <row r="1369" spans="1:15" ht="15" x14ac:dyDescent="0.25">
      <c r="A1369" s="5" t="s">
        <v>1620</v>
      </c>
      <c r="B1369" s="7"/>
      <c r="C1369" s="13" t="s">
        <v>71</v>
      </c>
      <c r="D1369" s="19" t="str">
        <f>IFERROR(IF(C1369="No CAS","",INDEX('DEQ Pollutant List'!$B$7:$B$611,MATCH('3. Pollutant Emissions - EF'!C1369,'DEQ Pollutant List'!$A$7:$A$611,0))),"")</f>
        <v>Zinc and compounds</v>
      </c>
      <c r="E1369" s="23">
        <v>0</v>
      </c>
      <c r="F1369" s="21">
        <v>0</v>
      </c>
      <c r="G1369" s="23" t="s">
        <v>1415</v>
      </c>
      <c r="H1369" s="21" t="s">
        <v>1415</v>
      </c>
      <c r="I1369" s="34">
        <v>2.9000000000000001E-2</v>
      </c>
      <c r="J1369" s="11">
        <f t="shared" si="49"/>
        <v>2.9000000000000001E-2</v>
      </c>
      <c r="K1369" s="6" t="s">
        <v>1416</v>
      </c>
      <c r="L1369" s="20" t="s">
        <v>1422</v>
      </c>
      <c r="M1369" s="7">
        <f>IF(ISBLANK($B1369),_xlfn.XLOOKUP($A1369,'2. TEUs &amp; Activities - EF'!$A$9:$A$190,'2. TEUs &amp; Activities - EF'!$J$9:$J$190),_xlfn.XLOOKUP($B1369,'2. TEUs &amp; Activities - EF'!$B$9:$B$190,'2. TEUs &amp; Activities - EF'!$J$9:$J$190))*'3. Pollutant Emissions - EF'!$I1369*IF(OR(ISBLANK($E1369),$G1369="Yes"),1,$E1369)*IF($H1369="Yes",1,(1-$F1369))</f>
        <v>0.79698823529411777</v>
      </c>
      <c r="N1369" s="5">
        <f>IF(ISBLANK($B1369),_xlfn.XLOOKUP($A1369,'2. TEUs &amp; Activities - EF'!$A$9:$A$190,'2. TEUs &amp; Activities - EF'!$M$9:$M$190),_xlfn.XLOOKUP($B1369,'2. TEUs &amp; Activities - EF'!$B$9:$B$190,'2. TEUs &amp; Activities - EF'!$M$9:$M$190))*'3. Pollutant Emissions - EF'!$J1369*IF(OR(ISBLANK($E1369),$G1369="Yes"),1,$E1369)*IF($H1369="Yes",1,(1-$F1369))</f>
        <v>2.1835294117647061E-3</v>
      </c>
      <c r="O1369" s="130"/>
    </row>
    <row r="1370" spans="1:15" ht="15" x14ac:dyDescent="0.25">
      <c r="A1370" s="5"/>
      <c r="B1370" s="7"/>
      <c r="C1370" s="13"/>
      <c r="D1370" s="19" t="str">
        <f>IFERROR(IF(C1370="No CAS","",INDEX('DEQ Pollutant List'!$B$7:$B$611,MATCH('3. Pollutant Emissions - EF'!C1370,'DEQ Pollutant List'!$A$7:$A$611,0))),"")</f>
        <v/>
      </c>
      <c r="E1370" s="23"/>
      <c r="F1370" s="21"/>
      <c r="G1370" s="23"/>
      <c r="H1370" s="21"/>
      <c r="I1370" s="34"/>
      <c r="J1370" s="11"/>
      <c r="K1370" s="6"/>
      <c r="L1370" s="20"/>
      <c r="M1370" s="7">
        <f>IF(ISBLANK($B1370),_xlfn.XLOOKUP($A1370,'2. TEUs &amp; Activities - EF'!$A$9:$A$190,'2. TEUs &amp; Activities - EF'!$J$9:$J$190),_xlfn.XLOOKUP($B1370,'2. TEUs &amp; Activities - EF'!$B$9:$B$190,'2. TEUs &amp; Activities - EF'!$J$9:$J$190))*'3. Pollutant Emissions - EF'!$I1370*IF(OR(ISBLANK($E1370),$G1370="Yes"),1,$E1370)*IF($H1370="Yes",1,(1-$F1370))</f>
        <v>0</v>
      </c>
      <c r="N1370" s="5">
        <f>IF(ISBLANK($B1370),_xlfn.XLOOKUP($A1370,'2. TEUs &amp; Activities - EF'!$A$9:$A$190,'2. TEUs &amp; Activities - EF'!$M$9:$M$190),_xlfn.XLOOKUP($B1370,'2. TEUs &amp; Activities - EF'!$B$9:$B$190,'2. TEUs &amp; Activities - EF'!$M$9:$M$190))*'3. Pollutant Emissions - EF'!$J1370*IF(OR(ISBLANK($E1370),$G1370="Yes"),1,$E1370)*IF($H1370="Yes",1,(1-$F1370))</f>
        <v>0</v>
      </c>
      <c r="O1370" s="130"/>
    </row>
    <row r="1371" spans="1:15" ht="15" x14ac:dyDescent="0.25">
      <c r="A1371" s="5" t="s">
        <v>1621</v>
      </c>
      <c r="B1371" s="7"/>
      <c r="C1371" s="13" t="s">
        <v>48</v>
      </c>
      <c r="D1371" s="19" t="str">
        <f>IFERROR(IF(C1371="No CAS","",INDEX('DEQ Pollutant List'!$B$7:$B$611,MATCH('3. Pollutant Emissions - EF'!C1371,'DEQ Pollutant List'!$A$7:$A$611,0))),"")</f>
        <v>Benzo[a]pyrene</v>
      </c>
      <c r="E1371" s="23">
        <v>0</v>
      </c>
      <c r="F1371" s="21">
        <v>0</v>
      </c>
      <c r="G1371" s="23" t="s">
        <v>1415</v>
      </c>
      <c r="H1371" s="21" t="s">
        <v>1415</v>
      </c>
      <c r="I1371" s="34">
        <v>1.1999999999999999E-6</v>
      </c>
      <c r="J1371" s="11">
        <f t="shared" ref="J1371:J1397" si="50">I1371</f>
        <v>1.1999999999999999E-6</v>
      </c>
      <c r="K1371" s="6" t="s">
        <v>1416</v>
      </c>
      <c r="L1371" s="20" t="s">
        <v>1422</v>
      </c>
      <c r="M1371" s="7">
        <f>IF(ISBLANK($B1371),_xlfn.XLOOKUP($A1371,'2. TEUs &amp; Activities - EF'!$A$9:$A$190,'2. TEUs &amp; Activities - EF'!$J$9:$J$190),_xlfn.XLOOKUP($B1371,'2. TEUs &amp; Activities - EF'!$B$9:$B$190,'2. TEUs &amp; Activities - EF'!$J$9:$J$190))*'3. Pollutant Emissions - EF'!$I1371*IF(OR(ISBLANK($E1371),$G1371="Yes"),1,$E1371)*IF($H1371="Yes",1,(1-$F1371))</f>
        <v>2.885647058823529E-5</v>
      </c>
      <c r="N1371" s="5">
        <f>IF(ISBLANK($B1371),_xlfn.XLOOKUP($A1371,'2. TEUs &amp; Activities - EF'!$A$9:$A$190,'2. TEUs &amp; Activities - EF'!$M$9:$M$190),_xlfn.XLOOKUP($B1371,'2. TEUs &amp; Activities - EF'!$B$9:$B$190,'2. TEUs &amp; Activities - EF'!$M$9:$M$190))*'3. Pollutant Emissions - EF'!$J1371*IF(OR(ISBLANK($E1371),$G1371="Yes"),1,$E1371)*IF($H1371="Yes",1,(1-$F1371))</f>
        <v>7.9058823529411752E-8</v>
      </c>
      <c r="O1371" s="130"/>
    </row>
    <row r="1372" spans="1:15" ht="15" x14ac:dyDescent="0.25">
      <c r="A1372" s="5" t="s">
        <v>1621</v>
      </c>
      <c r="B1372" s="7"/>
      <c r="C1372" s="13" t="s">
        <v>50</v>
      </c>
      <c r="D1372" s="19" t="str">
        <f>IFERROR(IF(C1372="No CAS","",INDEX('DEQ Pollutant List'!$B$7:$B$611,MATCH('3. Pollutant Emissions - EF'!C1372,'DEQ Pollutant List'!$A$7:$A$611,0))),"")</f>
        <v>Acetaldehyde</v>
      </c>
      <c r="E1372" s="23">
        <v>0</v>
      </c>
      <c r="F1372" s="21">
        <v>0</v>
      </c>
      <c r="G1372" s="23" t="s">
        <v>1415</v>
      </c>
      <c r="H1372" s="21" t="s">
        <v>1415</v>
      </c>
      <c r="I1372" s="34">
        <v>4.3E-3</v>
      </c>
      <c r="J1372" s="11">
        <f t="shared" si="50"/>
        <v>4.3E-3</v>
      </c>
      <c r="K1372" s="6" t="s">
        <v>1416</v>
      </c>
      <c r="L1372" s="20" t="s">
        <v>1422</v>
      </c>
      <c r="M1372" s="7">
        <f>IF(ISBLANK($B1372),_xlfn.XLOOKUP($A1372,'2. TEUs &amp; Activities - EF'!$A$9:$A$190,'2. TEUs &amp; Activities - EF'!$J$9:$J$190),_xlfn.XLOOKUP($B1372,'2. TEUs &amp; Activities - EF'!$B$9:$B$190,'2. TEUs &amp; Activities - EF'!$J$9:$J$190))*'3. Pollutant Emissions - EF'!$I1372*IF(OR(ISBLANK($E1372),$G1372="Yes"),1,$E1372)*IF($H1372="Yes",1,(1-$F1372))</f>
        <v>0.10340235294117646</v>
      </c>
      <c r="N1372" s="5">
        <f>IF(ISBLANK($B1372),_xlfn.XLOOKUP($A1372,'2. TEUs &amp; Activities - EF'!$A$9:$A$190,'2. TEUs &amp; Activities - EF'!$M$9:$M$190),_xlfn.XLOOKUP($B1372,'2. TEUs &amp; Activities - EF'!$B$9:$B$190,'2. TEUs &amp; Activities - EF'!$M$9:$M$190))*'3. Pollutant Emissions - EF'!$J1372*IF(OR(ISBLANK($E1372),$G1372="Yes"),1,$E1372)*IF($H1372="Yes",1,(1-$F1372))</f>
        <v>2.8329411764705878E-4</v>
      </c>
      <c r="O1372" s="130"/>
    </row>
    <row r="1373" spans="1:15" ht="15" x14ac:dyDescent="0.25">
      <c r="A1373" s="5" t="s">
        <v>1621</v>
      </c>
      <c r="B1373" s="7"/>
      <c r="C1373" s="13" t="s">
        <v>51</v>
      </c>
      <c r="D1373" s="19" t="str">
        <f>IFERROR(IF(C1373="No CAS","",INDEX('DEQ Pollutant List'!$B$7:$B$611,MATCH('3. Pollutant Emissions - EF'!C1373,'DEQ Pollutant List'!$A$7:$A$611,0))),"")</f>
        <v>Acrolein</v>
      </c>
      <c r="E1373" s="23">
        <v>0</v>
      </c>
      <c r="F1373" s="21">
        <v>0</v>
      </c>
      <c r="G1373" s="23" t="s">
        <v>1415</v>
      </c>
      <c r="H1373" s="21" t="s">
        <v>1415</v>
      </c>
      <c r="I1373" s="34">
        <v>2.7000000000000001E-3</v>
      </c>
      <c r="J1373" s="11">
        <f t="shared" si="50"/>
        <v>2.7000000000000001E-3</v>
      </c>
      <c r="K1373" s="6" t="s">
        <v>1416</v>
      </c>
      <c r="L1373" s="20" t="s">
        <v>1422</v>
      </c>
      <c r="M1373" s="7">
        <f>IF(ISBLANK($B1373),_xlfn.XLOOKUP($A1373,'2. TEUs &amp; Activities - EF'!$A$9:$A$190,'2. TEUs &amp; Activities - EF'!$J$9:$J$190),_xlfn.XLOOKUP($B1373,'2. TEUs &amp; Activities - EF'!$B$9:$B$190,'2. TEUs &amp; Activities - EF'!$J$9:$J$190))*'3. Pollutant Emissions - EF'!$I1373*IF(OR(ISBLANK($E1373),$G1373="Yes"),1,$E1373)*IF($H1373="Yes",1,(1-$F1373))</f>
        <v>6.4927058823529407E-2</v>
      </c>
      <c r="N1373" s="5">
        <f>IF(ISBLANK($B1373),_xlfn.XLOOKUP($A1373,'2. TEUs &amp; Activities - EF'!$A$9:$A$190,'2. TEUs &amp; Activities - EF'!$M$9:$M$190),_xlfn.XLOOKUP($B1373,'2. TEUs &amp; Activities - EF'!$B$9:$B$190,'2. TEUs &amp; Activities - EF'!$M$9:$M$190))*'3. Pollutant Emissions - EF'!$J1373*IF(OR(ISBLANK($E1373),$G1373="Yes"),1,$E1373)*IF($H1373="Yes",1,(1-$F1373))</f>
        <v>1.7788235294117645E-4</v>
      </c>
      <c r="O1373" s="130"/>
    </row>
    <row r="1374" spans="1:15" ht="15" x14ac:dyDescent="0.25">
      <c r="A1374" s="5" t="s">
        <v>1621</v>
      </c>
      <c r="B1374" s="7"/>
      <c r="C1374" s="13" t="s">
        <v>52</v>
      </c>
      <c r="D1374" s="19" t="str">
        <f>IFERROR(IF(C1374="No CAS","",INDEX('DEQ Pollutant List'!$B$7:$B$611,MATCH('3. Pollutant Emissions - EF'!C1374,'DEQ Pollutant List'!$A$7:$A$611,0))),"")</f>
        <v>Ammonia</v>
      </c>
      <c r="E1374" s="23">
        <v>0</v>
      </c>
      <c r="F1374" s="21">
        <v>0</v>
      </c>
      <c r="G1374" s="23" t="s">
        <v>1415</v>
      </c>
      <c r="H1374" s="21" t="s">
        <v>1415</v>
      </c>
      <c r="I1374" s="34">
        <v>3.2</v>
      </c>
      <c r="J1374" s="11">
        <f t="shared" si="50"/>
        <v>3.2</v>
      </c>
      <c r="K1374" s="6" t="s">
        <v>1416</v>
      </c>
      <c r="L1374" s="20" t="s">
        <v>1586</v>
      </c>
      <c r="M1374" s="7">
        <f>IF(ISBLANK($B1374),_xlfn.XLOOKUP($A1374,'2. TEUs &amp; Activities - EF'!$A$9:$A$190,'2. TEUs &amp; Activities - EF'!$J$9:$J$190),_xlfn.XLOOKUP($B1374,'2. TEUs &amp; Activities - EF'!$B$9:$B$190,'2. TEUs &amp; Activities - EF'!$J$9:$J$190))*'3. Pollutant Emissions - EF'!$I1374*IF(OR(ISBLANK($E1374),$G1374="Yes"),1,$E1374)*IF($H1374="Yes",1,(1-$F1374))</f>
        <v>76.950588235294106</v>
      </c>
      <c r="N1374" s="5">
        <f>IF(ISBLANK($B1374),_xlfn.XLOOKUP($A1374,'2. TEUs &amp; Activities - EF'!$A$9:$A$190,'2. TEUs &amp; Activities - EF'!$M$9:$M$190),_xlfn.XLOOKUP($B1374,'2. TEUs &amp; Activities - EF'!$B$9:$B$190,'2. TEUs &amp; Activities - EF'!$M$9:$M$190))*'3. Pollutant Emissions - EF'!$J1374*IF(OR(ISBLANK($E1374),$G1374="Yes"),1,$E1374)*IF($H1374="Yes",1,(1-$F1374))</f>
        <v>0.21082352941176469</v>
      </c>
      <c r="O1374" s="130"/>
    </row>
    <row r="1375" spans="1:15" ht="15" x14ac:dyDescent="0.25">
      <c r="A1375" s="5" t="s">
        <v>1621</v>
      </c>
      <c r="B1375" s="7"/>
      <c r="C1375" s="13" t="s">
        <v>53</v>
      </c>
      <c r="D1375" s="19" t="str">
        <f>IFERROR(IF(C1375="No CAS","",INDEX('DEQ Pollutant List'!$B$7:$B$611,MATCH('3. Pollutant Emissions - EF'!C1375,'DEQ Pollutant List'!$A$7:$A$611,0))),"")</f>
        <v>Arsenic and compounds</v>
      </c>
      <c r="E1375" s="23">
        <v>0</v>
      </c>
      <c r="F1375" s="21">
        <v>0</v>
      </c>
      <c r="G1375" s="23" t="s">
        <v>1415</v>
      </c>
      <c r="H1375" s="21" t="s">
        <v>1415</v>
      </c>
      <c r="I1375" s="34">
        <v>2.0000000000000001E-4</v>
      </c>
      <c r="J1375" s="11">
        <f t="shared" si="50"/>
        <v>2.0000000000000001E-4</v>
      </c>
      <c r="K1375" s="6" t="s">
        <v>1416</v>
      </c>
      <c r="L1375" s="20" t="s">
        <v>1422</v>
      </c>
      <c r="M1375" s="7">
        <f>IF(ISBLANK($B1375),_xlfn.XLOOKUP($A1375,'2. TEUs &amp; Activities - EF'!$A$9:$A$190,'2. TEUs &amp; Activities - EF'!$J$9:$J$190),_xlfn.XLOOKUP($B1375,'2. TEUs &amp; Activities - EF'!$B$9:$B$190,'2. TEUs &amp; Activities - EF'!$J$9:$J$190))*'3. Pollutant Emissions - EF'!$I1375*IF(OR(ISBLANK($E1375),$G1375="Yes"),1,$E1375)*IF($H1375="Yes",1,(1-$F1375))</f>
        <v>4.8094117647058815E-3</v>
      </c>
      <c r="N1375" s="5">
        <f>IF(ISBLANK($B1375),_xlfn.XLOOKUP($A1375,'2. TEUs &amp; Activities - EF'!$A$9:$A$190,'2. TEUs &amp; Activities - EF'!$M$9:$M$190),_xlfn.XLOOKUP($B1375,'2. TEUs &amp; Activities - EF'!$B$9:$B$190,'2. TEUs &amp; Activities - EF'!$M$9:$M$190))*'3. Pollutant Emissions - EF'!$J1375*IF(OR(ISBLANK($E1375),$G1375="Yes"),1,$E1375)*IF($H1375="Yes",1,(1-$F1375))</f>
        <v>1.3176470588235293E-5</v>
      </c>
      <c r="O1375" s="130"/>
    </row>
    <row r="1376" spans="1:15" ht="15" x14ac:dyDescent="0.25">
      <c r="A1376" s="5" t="s">
        <v>1621</v>
      </c>
      <c r="B1376" s="7"/>
      <c r="C1376" s="13" t="s">
        <v>54</v>
      </c>
      <c r="D1376" s="19" t="str">
        <f>IFERROR(IF(C1376="No CAS","",INDEX('DEQ Pollutant List'!$B$7:$B$611,MATCH('3. Pollutant Emissions - EF'!C1376,'DEQ Pollutant List'!$A$7:$A$611,0))),"")</f>
        <v>Barium and compounds</v>
      </c>
      <c r="E1376" s="23">
        <v>0</v>
      </c>
      <c r="F1376" s="21">
        <v>0</v>
      </c>
      <c r="G1376" s="23" t="s">
        <v>1415</v>
      </c>
      <c r="H1376" s="21" t="s">
        <v>1415</v>
      </c>
      <c r="I1376" s="34">
        <v>4.4000000000000003E-3</v>
      </c>
      <c r="J1376" s="11">
        <f t="shared" si="50"/>
        <v>4.4000000000000003E-3</v>
      </c>
      <c r="K1376" s="6" t="s">
        <v>1416</v>
      </c>
      <c r="L1376" s="20" t="s">
        <v>1422</v>
      </c>
      <c r="M1376" s="7">
        <f>IF(ISBLANK($B1376),_xlfn.XLOOKUP($A1376,'2. TEUs &amp; Activities - EF'!$A$9:$A$190,'2. TEUs &amp; Activities - EF'!$J$9:$J$190),_xlfn.XLOOKUP($B1376,'2. TEUs &amp; Activities - EF'!$B$9:$B$190,'2. TEUs &amp; Activities - EF'!$J$9:$J$190))*'3. Pollutant Emissions - EF'!$I1376*IF(OR(ISBLANK($E1376),$G1376="Yes"),1,$E1376)*IF($H1376="Yes",1,(1-$F1376))</f>
        <v>0.10580705882352941</v>
      </c>
      <c r="N1376" s="5">
        <f>IF(ISBLANK($B1376),_xlfn.XLOOKUP($A1376,'2. TEUs &amp; Activities - EF'!$A$9:$A$190,'2. TEUs &amp; Activities - EF'!$M$9:$M$190),_xlfn.XLOOKUP($B1376,'2. TEUs &amp; Activities - EF'!$B$9:$B$190,'2. TEUs &amp; Activities - EF'!$M$9:$M$190))*'3. Pollutant Emissions - EF'!$J1376*IF(OR(ISBLANK($E1376),$G1376="Yes"),1,$E1376)*IF($H1376="Yes",1,(1-$F1376))</f>
        <v>2.8988235294117643E-4</v>
      </c>
      <c r="O1376" s="130"/>
    </row>
    <row r="1377" spans="1:15" ht="15" x14ac:dyDescent="0.25">
      <c r="A1377" s="5" t="s">
        <v>1621</v>
      </c>
      <c r="B1377" s="7"/>
      <c r="C1377" s="13" t="s">
        <v>46</v>
      </c>
      <c r="D1377" s="19" t="str">
        <f>IFERROR(IF(C1377="No CAS","",INDEX('DEQ Pollutant List'!$B$7:$B$611,MATCH('3. Pollutant Emissions - EF'!C1377,'DEQ Pollutant List'!$A$7:$A$611,0))),"")</f>
        <v>Benzene</v>
      </c>
      <c r="E1377" s="23">
        <v>0</v>
      </c>
      <c r="F1377" s="21">
        <v>0</v>
      </c>
      <c r="G1377" s="23" t="s">
        <v>1415</v>
      </c>
      <c r="H1377" s="21" t="s">
        <v>1415</v>
      </c>
      <c r="I1377" s="34">
        <v>8.0000000000000002E-3</v>
      </c>
      <c r="J1377" s="11">
        <f t="shared" si="50"/>
        <v>8.0000000000000002E-3</v>
      </c>
      <c r="K1377" s="6" t="s">
        <v>1416</v>
      </c>
      <c r="L1377" s="20" t="s">
        <v>1422</v>
      </c>
      <c r="M1377" s="7">
        <f>IF(ISBLANK($B1377),_xlfn.XLOOKUP($A1377,'2. TEUs &amp; Activities - EF'!$A$9:$A$190,'2. TEUs &amp; Activities - EF'!$J$9:$J$190),_xlfn.XLOOKUP($B1377,'2. TEUs &amp; Activities - EF'!$B$9:$B$190,'2. TEUs &amp; Activities - EF'!$J$9:$J$190))*'3. Pollutant Emissions - EF'!$I1377*IF(OR(ISBLANK($E1377),$G1377="Yes"),1,$E1377)*IF($H1377="Yes",1,(1-$F1377))</f>
        <v>0.19237647058823526</v>
      </c>
      <c r="N1377" s="5">
        <f>IF(ISBLANK($B1377),_xlfn.XLOOKUP($A1377,'2. TEUs &amp; Activities - EF'!$A$9:$A$190,'2. TEUs &amp; Activities - EF'!$M$9:$M$190),_xlfn.XLOOKUP($B1377,'2. TEUs &amp; Activities - EF'!$B$9:$B$190,'2. TEUs &amp; Activities - EF'!$M$9:$M$190))*'3. Pollutant Emissions - EF'!$J1377*IF(OR(ISBLANK($E1377),$G1377="Yes"),1,$E1377)*IF($H1377="Yes",1,(1-$F1377))</f>
        <v>5.2705882352941172E-4</v>
      </c>
      <c r="O1377" s="130"/>
    </row>
    <row r="1378" spans="1:15" ht="15" x14ac:dyDescent="0.25">
      <c r="A1378" s="5" t="s">
        <v>1621</v>
      </c>
      <c r="B1378" s="7"/>
      <c r="C1378" s="13" t="s">
        <v>55</v>
      </c>
      <c r="D1378" s="19" t="str">
        <f>IFERROR(IF(C1378="No CAS","",INDEX('DEQ Pollutant List'!$B$7:$B$611,MATCH('3. Pollutant Emissions - EF'!C1378,'DEQ Pollutant List'!$A$7:$A$611,0))),"")</f>
        <v>Beryllium and compounds</v>
      </c>
      <c r="E1378" s="23">
        <v>0</v>
      </c>
      <c r="F1378" s="21">
        <v>0</v>
      </c>
      <c r="G1378" s="23" t="s">
        <v>1415</v>
      </c>
      <c r="H1378" s="21" t="s">
        <v>1415</v>
      </c>
      <c r="I1378" s="34">
        <v>1.2E-5</v>
      </c>
      <c r="J1378" s="11">
        <f t="shared" si="50"/>
        <v>1.2E-5</v>
      </c>
      <c r="K1378" s="6" t="s">
        <v>1416</v>
      </c>
      <c r="L1378" s="20" t="s">
        <v>1422</v>
      </c>
      <c r="M1378" s="7">
        <f>IF(ISBLANK($B1378),_xlfn.XLOOKUP($A1378,'2. TEUs &amp; Activities - EF'!$A$9:$A$190,'2. TEUs &amp; Activities - EF'!$J$9:$J$190),_xlfn.XLOOKUP($B1378,'2. TEUs &amp; Activities - EF'!$B$9:$B$190,'2. TEUs &amp; Activities - EF'!$J$9:$J$190))*'3. Pollutant Emissions - EF'!$I1378*IF(OR(ISBLANK($E1378),$G1378="Yes"),1,$E1378)*IF($H1378="Yes",1,(1-$F1378))</f>
        <v>2.8856470588235289E-4</v>
      </c>
      <c r="N1378" s="5">
        <f>IF(ISBLANK($B1378),_xlfn.XLOOKUP($A1378,'2. TEUs &amp; Activities - EF'!$A$9:$A$190,'2. TEUs &amp; Activities - EF'!$M$9:$M$190),_xlfn.XLOOKUP($B1378,'2. TEUs &amp; Activities - EF'!$B$9:$B$190,'2. TEUs &amp; Activities - EF'!$M$9:$M$190))*'3. Pollutant Emissions - EF'!$J1378*IF(OR(ISBLANK($E1378),$G1378="Yes"),1,$E1378)*IF($H1378="Yes",1,(1-$F1378))</f>
        <v>7.9058823529411757E-7</v>
      </c>
      <c r="O1378" s="130"/>
    </row>
    <row r="1379" spans="1:15" ht="15" x14ac:dyDescent="0.25">
      <c r="A1379" s="5" t="s">
        <v>1621</v>
      </c>
      <c r="B1379" s="7"/>
      <c r="C1379" s="13" t="s">
        <v>56</v>
      </c>
      <c r="D1379" s="19" t="str">
        <f>IFERROR(IF(C1379="No CAS","",INDEX('DEQ Pollutant List'!$B$7:$B$611,MATCH('3. Pollutant Emissions - EF'!C1379,'DEQ Pollutant List'!$A$7:$A$611,0))),"")</f>
        <v>Cadmium and compounds</v>
      </c>
      <c r="E1379" s="23">
        <v>0</v>
      </c>
      <c r="F1379" s="21">
        <v>0</v>
      </c>
      <c r="G1379" s="23" t="s">
        <v>1415</v>
      </c>
      <c r="H1379" s="21" t="s">
        <v>1415</v>
      </c>
      <c r="I1379" s="34">
        <v>1.1000000000000001E-3</v>
      </c>
      <c r="J1379" s="11">
        <f t="shared" si="50"/>
        <v>1.1000000000000001E-3</v>
      </c>
      <c r="K1379" s="6" t="s">
        <v>1416</v>
      </c>
      <c r="L1379" s="20" t="s">
        <v>1422</v>
      </c>
      <c r="M1379" s="7">
        <f>IF(ISBLANK($B1379),_xlfn.XLOOKUP($A1379,'2. TEUs &amp; Activities - EF'!$A$9:$A$190,'2. TEUs &amp; Activities - EF'!$J$9:$J$190),_xlfn.XLOOKUP($B1379,'2. TEUs &amp; Activities - EF'!$B$9:$B$190,'2. TEUs &amp; Activities - EF'!$J$9:$J$190))*'3. Pollutant Emissions - EF'!$I1379*IF(OR(ISBLANK($E1379),$G1379="Yes"),1,$E1379)*IF($H1379="Yes",1,(1-$F1379))</f>
        <v>2.6451764705882352E-2</v>
      </c>
      <c r="N1379" s="5">
        <f>IF(ISBLANK($B1379),_xlfn.XLOOKUP($A1379,'2. TEUs &amp; Activities - EF'!$A$9:$A$190,'2. TEUs &amp; Activities - EF'!$M$9:$M$190),_xlfn.XLOOKUP($B1379,'2. TEUs &amp; Activities - EF'!$B$9:$B$190,'2. TEUs &amp; Activities - EF'!$M$9:$M$190))*'3. Pollutant Emissions - EF'!$J1379*IF(OR(ISBLANK($E1379),$G1379="Yes"),1,$E1379)*IF($H1379="Yes",1,(1-$F1379))</f>
        <v>7.2470588235294109E-5</v>
      </c>
      <c r="O1379" s="130"/>
    </row>
    <row r="1380" spans="1:15" ht="15" x14ac:dyDescent="0.25">
      <c r="A1380" s="5" t="s">
        <v>1621</v>
      </c>
      <c r="B1380" s="7"/>
      <c r="C1380" s="13" t="s">
        <v>57</v>
      </c>
      <c r="D1380" s="19" t="str">
        <f>IFERROR(IF(C1380="No CAS","",INDEX('DEQ Pollutant List'!$B$7:$B$611,MATCH('3. Pollutant Emissions - EF'!C1380,'DEQ Pollutant List'!$A$7:$A$611,0))),"")</f>
        <v>Chromium VI, chromate and dichromate particulate</v>
      </c>
      <c r="E1380" s="23">
        <v>0</v>
      </c>
      <c r="F1380" s="21">
        <v>0</v>
      </c>
      <c r="G1380" s="23" t="s">
        <v>1415</v>
      </c>
      <c r="H1380" s="21" t="s">
        <v>1415</v>
      </c>
      <c r="I1380" s="34">
        <v>1.4E-3</v>
      </c>
      <c r="J1380" s="11">
        <f t="shared" si="50"/>
        <v>1.4E-3</v>
      </c>
      <c r="K1380" s="6" t="s">
        <v>1416</v>
      </c>
      <c r="L1380" s="20" t="s">
        <v>1422</v>
      </c>
      <c r="M1380" s="7">
        <f>IF(ISBLANK($B1380),_xlfn.XLOOKUP($A1380,'2. TEUs &amp; Activities - EF'!$A$9:$A$190,'2. TEUs &amp; Activities - EF'!$J$9:$J$190),_xlfn.XLOOKUP($B1380,'2. TEUs &amp; Activities - EF'!$B$9:$B$190,'2. TEUs &amp; Activities - EF'!$J$9:$J$190))*'3. Pollutant Emissions - EF'!$I1380*IF(OR(ISBLANK($E1380),$G1380="Yes"),1,$E1380)*IF($H1380="Yes",1,(1-$F1380))</f>
        <v>3.366588235294117E-2</v>
      </c>
      <c r="N1380" s="5">
        <f>IF(ISBLANK($B1380),_xlfn.XLOOKUP($A1380,'2. TEUs &amp; Activities - EF'!$A$9:$A$190,'2. TEUs &amp; Activities - EF'!$M$9:$M$190),_xlfn.XLOOKUP($B1380,'2. TEUs &amp; Activities - EF'!$B$9:$B$190,'2. TEUs &amp; Activities - EF'!$M$9:$M$190))*'3. Pollutant Emissions - EF'!$J1380*IF(OR(ISBLANK($E1380),$G1380="Yes"),1,$E1380)*IF($H1380="Yes",1,(1-$F1380))</f>
        <v>9.223529411764704E-5</v>
      </c>
      <c r="O1380" s="130"/>
    </row>
    <row r="1381" spans="1:15" ht="15" x14ac:dyDescent="0.25">
      <c r="A1381" s="5" t="s">
        <v>1621</v>
      </c>
      <c r="B1381" s="7"/>
      <c r="C1381" s="13" t="s">
        <v>58</v>
      </c>
      <c r="D1381" s="19" t="str">
        <f>IFERROR(IF(C1381="No CAS","",INDEX('DEQ Pollutant List'!$B$7:$B$611,MATCH('3. Pollutant Emissions - EF'!C1381,'DEQ Pollutant List'!$A$7:$A$611,0))),"")</f>
        <v>Cobalt and compounds</v>
      </c>
      <c r="E1381" s="23">
        <v>0</v>
      </c>
      <c r="F1381" s="21">
        <v>0</v>
      </c>
      <c r="G1381" s="23" t="s">
        <v>1415</v>
      </c>
      <c r="H1381" s="21" t="s">
        <v>1415</v>
      </c>
      <c r="I1381" s="34">
        <v>8.3999999999999995E-5</v>
      </c>
      <c r="J1381" s="11">
        <f t="shared" si="50"/>
        <v>8.3999999999999995E-5</v>
      </c>
      <c r="K1381" s="6" t="s">
        <v>1416</v>
      </c>
      <c r="L1381" s="20" t="s">
        <v>1422</v>
      </c>
      <c r="M1381" s="7">
        <f>IF(ISBLANK($B1381),_xlfn.XLOOKUP($A1381,'2. TEUs &amp; Activities - EF'!$A$9:$A$190,'2. TEUs &amp; Activities - EF'!$J$9:$J$190),_xlfn.XLOOKUP($B1381,'2. TEUs &amp; Activities - EF'!$B$9:$B$190,'2. TEUs &amp; Activities - EF'!$J$9:$J$190))*'3. Pollutant Emissions - EF'!$I1381*IF(OR(ISBLANK($E1381),$G1381="Yes"),1,$E1381)*IF($H1381="Yes",1,(1-$F1381))</f>
        <v>2.0199529411764703E-3</v>
      </c>
      <c r="N1381" s="5">
        <f>IF(ISBLANK($B1381),_xlfn.XLOOKUP($A1381,'2. TEUs &amp; Activities - EF'!$A$9:$A$190,'2. TEUs &amp; Activities - EF'!$M$9:$M$190),_xlfn.XLOOKUP($B1381,'2. TEUs &amp; Activities - EF'!$B$9:$B$190,'2. TEUs &amp; Activities - EF'!$M$9:$M$190))*'3. Pollutant Emissions - EF'!$J1381*IF(OR(ISBLANK($E1381),$G1381="Yes"),1,$E1381)*IF($H1381="Yes",1,(1-$F1381))</f>
        <v>5.5341176470588225E-6</v>
      </c>
      <c r="O1381" s="130"/>
    </row>
    <row r="1382" spans="1:15" ht="15" x14ac:dyDescent="0.25">
      <c r="A1382" s="5" t="s">
        <v>1621</v>
      </c>
      <c r="B1382" s="7"/>
      <c r="C1382" s="13" t="s">
        <v>59</v>
      </c>
      <c r="D1382" s="19" t="str">
        <f>IFERROR(IF(C1382="No CAS","",INDEX('DEQ Pollutant List'!$B$7:$B$611,MATCH('3. Pollutant Emissions - EF'!C1382,'DEQ Pollutant List'!$A$7:$A$611,0))),"")</f>
        <v>Copper and compounds</v>
      </c>
      <c r="E1382" s="23">
        <v>0</v>
      </c>
      <c r="F1382" s="21">
        <v>0</v>
      </c>
      <c r="G1382" s="23" t="s">
        <v>1415</v>
      </c>
      <c r="H1382" s="21" t="s">
        <v>1415</v>
      </c>
      <c r="I1382" s="34">
        <v>8.4999999999999995E-4</v>
      </c>
      <c r="J1382" s="11">
        <f t="shared" si="50"/>
        <v>8.4999999999999995E-4</v>
      </c>
      <c r="K1382" s="6" t="s">
        <v>1416</v>
      </c>
      <c r="L1382" s="20" t="s">
        <v>1422</v>
      </c>
      <c r="M1382" s="7">
        <f>IF(ISBLANK($B1382),_xlfn.XLOOKUP($A1382,'2. TEUs &amp; Activities - EF'!$A$9:$A$190,'2. TEUs &amp; Activities - EF'!$J$9:$J$190),_xlfn.XLOOKUP($B1382,'2. TEUs &amp; Activities - EF'!$B$9:$B$190,'2. TEUs &amp; Activities - EF'!$J$9:$J$190))*'3. Pollutant Emissions - EF'!$I1382*IF(OR(ISBLANK($E1382),$G1382="Yes"),1,$E1382)*IF($H1382="Yes",1,(1-$F1382))</f>
        <v>2.0439999999999996E-2</v>
      </c>
      <c r="N1382" s="5">
        <f>IF(ISBLANK($B1382),_xlfn.XLOOKUP($A1382,'2. TEUs &amp; Activities - EF'!$A$9:$A$190,'2. TEUs &amp; Activities - EF'!$M$9:$M$190),_xlfn.XLOOKUP($B1382,'2. TEUs &amp; Activities - EF'!$B$9:$B$190,'2. TEUs &amp; Activities - EF'!$M$9:$M$190))*'3. Pollutant Emissions - EF'!$J1382*IF(OR(ISBLANK($E1382),$G1382="Yes"),1,$E1382)*IF($H1382="Yes",1,(1-$F1382))</f>
        <v>5.5999999999999992E-5</v>
      </c>
      <c r="O1382" s="130"/>
    </row>
    <row r="1383" spans="1:15" ht="15" x14ac:dyDescent="0.25">
      <c r="A1383" s="5" t="s">
        <v>1621</v>
      </c>
      <c r="B1383" s="7"/>
      <c r="C1383" s="13" t="s">
        <v>60</v>
      </c>
      <c r="D1383" s="19" t="str">
        <f>IFERROR(IF(C1383="No CAS","",INDEX('DEQ Pollutant List'!$B$7:$B$611,MATCH('3. Pollutant Emissions - EF'!C1383,'DEQ Pollutant List'!$A$7:$A$611,0))),"")</f>
        <v>Ethyl benzene</v>
      </c>
      <c r="E1383" s="23">
        <v>0</v>
      </c>
      <c r="F1383" s="21">
        <v>0</v>
      </c>
      <c r="G1383" s="23" t="s">
        <v>1415</v>
      </c>
      <c r="H1383" s="21" t="s">
        <v>1415</v>
      </c>
      <c r="I1383" s="34">
        <v>9.4999999999999998E-3</v>
      </c>
      <c r="J1383" s="11">
        <f t="shared" si="50"/>
        <v>9.4999999999999998E-3</v>
      </c>
      <c r="K1383" s="6" t="s">
        <v>1416</v>
      </c>
      <c r="L1383" s="20" t="s">
        <v>1422</v>
      </c>
      <c r="M1383" s="7">
        <f>IF(ISBLANK($B1383),_xlfn.XLOOKUP($A1383,'2. TEUs &amp; Activities - EF'!$A$9:$A$190,'2. TEUs &amp; Activities - EF'!$J$9:$J$190),_xlfn.XLOOKUP($B1383,'2. TEUs &amp; Activities - EF'!$B$9:$B$190,'2. TEUs &amp; Activities - EF'!$J$9:$J$190))*'3. Pollutant Emissions - EF'!$I1383*IF(OR(ISBLANK($E1383),$G1383="Yes"),1,$E1383)*IF($H1383="Yes",1,(1-$F1383))</f>
        <v>0.22844705882352936</v>
      </c>
      <c r="N1383" s="5">
        <f>IF(ISBLANK($B1383),_xlfn.XLOOKUP($A1383,'2. TEUs &amp; Activities - EF'!$A$9:$A$190,'2. TEUs &amp; Activities - EF'!$M$9:$M$190),_xlfn.XLOOKUP($B1383,'2. TEUs &amp; Activities - EF'!$B$9:$B$190,'2. TEUs &amp; Activities - EF'!$M$9:$M$190))*'3. Pollutant Emissions - EF'!$J1383*IF(OR(ISBLANK($E1383),$G1383="Yes"),1,$E1383)*IF($H1383="Yes",1,(1-$F1383))</f>
        <v>6.2588235294117642E-4</v>
      </c>
      <c r="O1383" s="130"/>
    </row>
    <row r="1384" spans="1:15" ht="15" x14ac:dyDescent="0.25">
      <c r="A1384" s="5" t="s">
        <v>1621</v>
      </c>
      <c r="B1384" s="7"/>
      <c r="C1384" s="13" t="s">
        <v>47</v>
      </c>
      <c r="D1384" s="19" t="str">
        <f>IFERROR(IF(C1384="No CAS","",INDEX('DEQ Pollutant List'!$B$7:$B$611,MATCH('3. Pollutant Emissions - EF'!C1384,'DEQ Pollutant List'!$A$7:$A$611,0))),"")</f>
        <v>Formaldehyde</v>
      </c>
      <c r="E1384" s="23">
        <v>0</v>
      </c>
      <c r="F1384" s="21">
        <v>0</v>
      </c>
      <c r="G1384" s="23" t="s">
        <v>1415</v>
      </c>
      <c r="H1384" s="21" t="s">
        <v>1415</v>
      </c>
      <c r="I1384" s="34">
        <v>1.7000000000000001E-2</v>
      </c>
      <c r="J1384" s="11">
        <f t="shared" si="50"/>
        <v>1.7000000000000001E-2</v>
      </c>
      <c r="K1384" s="6" t="s">
        <v>1416</v>
      </c>
      <c r="L1384" s="20" t="s">
        <v>1422</v>
      </c>
      <c r="M1384" s="7">
        <f>IF(ISBLANK($B1384),_xlfn.XLOOKUP($A1384,'2. TEUs &amp; Activities - EF'!$A$9:$A$190,'2. TEUs &amp; Activities - EF'!$J$9:$J$190),_xlfn.XLOOKUP($B1384,'2. TEUs &amp; Activities - EF'!$B$9:$B$190,'2. TEUs &amp; Activities - EF'!$J$9:$J$190))*'3. Pollutant Emissions - EF'!$I1384*IF(OR(ISBLANK($E1384),$G1384="Yes"),1,$E1384)*IF($H1384="Yes",1,(1-$F1384))</f>
        <v>0.40879999999999994</v>
      </c>
      <c r="N1384" s="5">
        <f>IF(ISBLANK($B1384),_xlfn.XLOOKUP($A1384,'2. TEUs &amp; Activities - EF'!$A$9:$A$190,'2. TEUs &amp; Activities - EF'!$M$9:$M$190),_xlfn.XLOOKUP($B1384,'2. TEUs &amp; Activities - EF'!$B$9:$B$190,'2. TEUs &amp; Activities - EF'!$M$9:$M$190))*'3. Pollutant Emissions - EF'!$J1384*IF(OR(ISBLANK($E1384),$G1384="Yes"),1,$E1384)*IF($H1384="Yes",1,(1-$F1384))</f>
        <v>1.1199999999999999E-3</v>
      </c>
      <c r="O1384" s="130"/>
    </row>
    <row r="1385" spans="1:15" ht="15" x14ac:dyDescent="0.25">
      <c r="A1385" s="5" t="s">
        <v>1621</v>
      </c>
      <c r="B1385" s="7"/>
      <c r="C1385" s="13" t="s">
        <v>61</v>
      </c>
      <c r="D1385" s="19" t="str">
        <f>IFERROR(IF(C1385="No CAS","",INDEX('DEQ Pollutant List'!$B$7:$B$611,MATCH('3. Pollutant Emissions - EF'!C1385,'DEQ Pollutant List'!$A$7:$A$611,0))),"")</f>
        <v>Hexane</v>
      </c>
      <c r="E1385" s="23">
        <v>0</v>
      </c>
      <c r="F1385" s="21">
        <v>0</v>
      </c>
      <c r="G1385" s="23" t="s">
        <v>1415</v>
      </c>
      <c r="H1385" s="21" t="s">
        <v>1415</v>
      </c>
      <c r="I1385" s="34">
        <v>6.3E-3</v>
      </c>
      <c r="J1385" s="11">
        <f t="shared" si="50"/>
        <v>6.3E-3</v>
      </c>
      <c r="K1385" s="6" t="s">
        <v>1416</v>
      </c>
      <c r="L1385" s="20" t="s">
        <v>1422</v>
      </c>
      <c r="M1385" s="7">
        <f>IF(ISBLANK($B1385),_xlfn.XLOOKUP($A1385,'2. TEUs &amp; Activities - EF'!$A$9:$A$190,'2. TEUs &amp; Activities - EF'!$J$9:$J$190),_xlfn.XLOOKUP($B1385,'2. TEUs &amp; Activities - EF'!$B$9:$B$190,'2. TEUs &amp; Activities - EF'!$J$9:$J$190))*'3. Pollutant Emissions - EF'!$I1385*IF(OR(ISBLANK($E1385),$G1385="Yes"),1,$E1385)*IF($H1385="Yes",1,(1-$F1385))</f>
        <v>0.15149647058823526</v>
      </c>
      <c r="N1385" s="5">
        <f>IF(ISBLANK($B1385),_xlfn.XLOOKUP($A1385,'2. TEUs &amp; Activities - EF'!$A$9:$A$190,'2. TEUs &amp; Activities - EF'!$M$9:$M$190),_xlfn.XLOOKUP($B1385,'2. TEUs &amp; Activities - EF'!$B$9:$B$190,'2. TEUs &amp; Activities - EF'!$M$9:$M$190))*'3. Pollutant Emissions - EF'!$J1385*IF(OR(ISBLANK($E1385),$G1385="Yes"),1,$E1385)*IF($H1385="Yes",1,(1-$F1385))</f>
        <v>4.1505882352941171E-4</v>
      </c>
      <c r="O1385" s="130"/>
    </row>
    <row r="1386" spans="1:15" ht="15" x14ac:dyDescent="0.25">
      <c r="A1386" s="5" t="s">
        <v>1621</v>
      </c>
      <c r="B1386" s="7"/>
      <c r="C1386" s="13" t="s">
        <v>62</v>
      </c>
      <c r="D1386" s="19" t="str">
        <f>IFERROR(IF(C1386="No CAS","",INDEX('DEQ Pollutant List'!$B$7:$B$611,MATCH('3. Pollutant Emissions - EF'!C1386,'DEQ Pollutant List'!$A$7:$A$611,0))),"")</f>
        <v>Lead and compounds</v>
      </c>
      <c r="E1386" s="23">
        <v>0</v>
      </c>
      <c r="F1386" s="21">
        <v>0</v>
      </c>
      <c r="G1386" s="23" t="s">
        <v>1415</v>
      </c>
      <c r="H1386" s="21" t="s">
        <v>1415</v>
      </c>
      <c r="I1386" s="34">
        <v>5.0000000000000001E-4</v>
      </c>
      <c r="J1386" s="11">
        <f t="shared" si="50"/>
        <v>5.0000000000000001E-4</v>
      </c>
      <c r="K1386" s="6" t="s">
        <v>1416</v>
      </c>
      <c r="L1386" s="20" t="s">
        <v>1422</v>
      </c>
      <c r="M1386" s="7">
        <f>IF(ISBLANK($B1386),_xlfn.XLOOKUP($A1386,'2. TEUs &amp; Activities - EF'!$A$9:$A$190,'2. TEUs &amp; Activities - EF'!$J$9:$J$190),_xlfn.XLOOKUP($B1386,'2. TEUs &amp; Activities - EF'!$B$9:$B$190,'2. TEUs &amp; Activities - EF'!$J$9:$J$190))*'3. Pollutant Emissions - EF'!$I1386*IF(OR(ISBLANK($E1386),$G1386="Yes"),1,$E1386)*IF($H1386="Yes",1,(1-$F1386))</f>
        <v>1.2023529411764704E-2</v>
      </c>
      <c r="N1386" s="5">
        <f>IF(ISBLANK($B1386),_xlfn.XLOOKUP($A1386,'2. TEUs &amp; Activities - EF'!$A$9:$A$190,'2. TEUs &amp; Activities - EF'!$M$9:$M$190),_xlfn.XLOOKUP($B1386,'2. TEUs &amp; Activities - EF'!$B$9:$B$190,'2. TEUs &amp; Activities - EF'!$M$9:$M$190))*'3. Pollutant Emissions - EF'!$J1386*IF(OR(ISBLANK($E1386),$G1386="Yes"),1,$E1386)*IF($H1386="Yes",1,(1-$F1386))</f>
        <v>3.2941176470588232E-5</v>
      </c>
      <c r="O1386" s="130"/>
    </row>
    <row r="1387" spans="1:15" ht="15" x14ac:dyDescent="0.25">
      <c r="A1387" s="5" t="s">
        <v>1621</v>
      </c>
      <c r="B1387" s="7"/>
      <c r="C1387" s="13" t="s">
        <v>63</v>
      </c>
      <c r="D1387" s="19" t="str">
        <f>IFERROR(IF(C1387="No CAS","",INDEX('DEQ Pollutant List'!$B$7:$B$611,MATCH('3. Pollutant Emissions - EF'!C1387,'DEQ Pollutant List'!$A$7:$A$611,0))),"")</f>
        <v>Manganese and compounds</v>
      </c>
      <c r="E1387" s="23">
        <v>0</v>
      </c>
      <c r="F1387" s="21">
        <v>0</v>
      </c>
      <c r="G1387" s="23" t="s">
        <v>1415</v>
      </c>
      <c r="H1387" s="21" t="s">
        <v>1415</v>
      </c>
      <c r="I1387" s="34">
        <v>3.8000000000000002E-4</v>
      </c>
      <c r="J1387" s="11">
        <f t="shared" si="50"/>
        <v>3.8000000000000002E-4</v>
      </c>
      <c r="K1387" s="6" t="s">
        <v>1416</v>
      </c>
      <c r="L1387" s="20" t="s">
        <v>1422</v>
      </c>
      <c r="M1387" s="7">
        <f>IF(ISBLANK($B1387),_xlfn.XLOOKUP($A1387,'2. TEUs &amp; Activities - EF'!$A$9:$A$190,'2. TEUs &amp; Activities - EF'!$J$9:$J$190),_xlfn.XLOOKUP($B1387,'2. TEUs &amp; Activities - EF'!$B$9:$B$190,'2. TEUs &amp; Activities - EF'!$J$9:$J$190))*'3. Pollutant Emissions - EF'!$I1387*IF(OR(ISBLANK($E1387),$G1387="Yes"),1,$E1387)*IF($H1387="Yes",1,(1-$F1387))</f>
        <v>9.1378823529411762E-3</v>
      </c>
      <c r="N1387" s="5">
        <f>IF(ISBLANK($B1387),_xlfn.XLOOKUP($A1387,'2. TEUs &amp; Activities - EF'!$A$9:$A$190,'2. TEUs &amp; Activities - EF'!$M$9:$M$190),_xlfn.XLOOKUP($B1387,'2. TEUs &amp; Activities - EF'!$B$9:$B$190,'2. TEUs &amp; Activities - EF'!$M$9:$M$190))*'3. Pollutant Emissions - EF'!$J1387*IF(OR(ISBLANK($E1387),$G1387="Yes"),1,$E1387)*IF($H1387="Yes",1,(1-$F1387))</f>
        <v>2.5035294117647056E-5</v>
      </c>
      <c r="O1387" s="130"/>
    </row>
    <row r="1388" spans="1:15" ht="15" x14ac:dyDescent="0.25">
      <c r="A1388" s="5" t="s">
        <v>1621</v>
      </c>
      <c r="B1388" s="7"/>
      <c r="C1388" s="13" t="s">
        <v>64</v>
      </c>
      <c r="D1388" s="19" t="str">
        <f>IFERROR(IF(C1388="No CAS","",INDEX('DEQ Pollutant List'!$B$7:$B$611,MATCH('3. Pollutant Emissions - EF'!C1388,'DEQ Pollutant List'!$A$7:$A$611,0))),"")</f>
        <v>Mercury and compounds</v>
      </c>
      <c r="E1388" s="23">
        <v>0</v>
      </c>
      <c r="F1388" s="21">
        <v>0</v>
      </c>
      <c r="G1388" s="23" t="s">
        <v>1415</v>
      </c>
      <c r="H1388" s="21" t="s">
        <v>1415</v>
      </c>
      <c r="I1388" s="34">
        <v>2.5999999999999998E-4</v>
      </c>
      <c r="J1388" s="11">
        <f t="shared" si="50"/>
        <v>2.5999999999999998E-4</v>
      </c>
      <c r="K1388" s="6" t="s">
        <v>1416</v>
      </c>
      <c r="L1388" s="20" t="s">
        <v>1422</v>
      </c>
      <c r="M1388" s="7">
        <f>IF(ISBLANK($B1388),_xlfn.XLOOKUP($A1388,'2. TEUs &amp; Activities - EF'!$A$9:$A$190,'2. TEUs &amp; Activities - EF'!$J$9:$J$190),_xlfn.XLOOKUP($B1388,'2. TEUs &amp; Activities - EF'!$B$9:$B$190,'2. TEUs &amp; Activities - EF'!$J$9:$J$190))*'3. Pollutant Emissions - EF'!$I1388*IF(OR(ISBLANK($E1388),$G1388="Yes"),1,$E1388)*IF($H1388="Yes",1,(1-$F1388))</f>
        <v>6.2522352941176453E-3</v>
      </c>
      <c r="N1388" s="5">
        <f>IF(ISBLANK($B1388),_xlfn.XLOOKUP($A1388,'2. TEUs &amp; Activities - EF'!$A$9:$A$190,'2. TEUs &amp; Activities - EF'!$M$9:$M$190),_xlfn.XLOOKUP($B1388,'2. TEUs &amp; Activities - EF'!$B$9:$B$190,'2. TEUs &amp; Activities - EF'!$M$9:$M$190))*'3. Pollutant Emissions - EF'!$J1388*IF(OR(ISBLANK($E1388),$G1388="Yes"),1,$E1388)*IF($H1388="Yes",1,(1-$F1388))</f>
        <v>1.7129411764705877E-5</v>
      </c>
      <c r="O1388" s="130"/>
    </row>
    <row r="1389" spans="1:15" ht="15" x14ac:dyDescent="0.25">
      <c r="A1389" s="5" t="s">
        <v>1621</v>
      </c>
      <c r="B1389" s="7"/>
      <c r="C1389" s="13" t="s">
        <v>65</v>
      </c>
      <c r="D1389" s="19" t="str">
        <f>IFERROR(IF(C1389="No CAS","",INDEX('DEQ Pollutant List'!$B$7:$B$611,MATCH('3. Pollutant Emissions - EF'!C1389,'DEQ Pollutant List'!$A$7:$A$611,0))),"")</f>
        <v>Molybdenum trioxide</v>
      </c>
      <c r="E1389" s="23">
        <v>0</v>
      </c>
      <c r="F1389" s="21">
        <v>0</v>
      </c>
      <c r="G1389" s="23" t="s">
        <v>1415</v>
      </c>
      <c r="H1389" s="21" t="s">
        <v>1415</v>
      </c>
      <c r="I1389" s="34">
        <v>1.65E-3</v>
      </c>
      <c r="J1389" s="11">
        <f t="shared" si="50"/>
        <v>1.65E-3</v>
      </c>
      <c r="K1389" s="6" t="s">
        <v>1416</v>
      </c>
      <c r="L1389" s="20" t="s">
        <v>1422</v>
      </c>
      <c r="M1389" s="7">
        <f>IF(ISBLANK($B1389),_xlfn.XLOOKUP($A1389,'2. TEUs &amp; Activities - EF'!$A$9:$A$190,'2. TEUs &amp; Activities - EF'!$J$9:$J$190),_xlfn.XLOOKUP($B1389,'2. TEUs &amp; Activities - EF'!$B$9:$B$190,'2. TEUs &amp; Activities - EF'!$J$9:$J$190))*'3. Pollutant Emissions - EF'!$I1389*IF(OR(ISBLANK($E1389),$G1389="Yes"),1,$E1389)*IF($H1389="Yes",1,(1-$F1389))</f>
        <v>3.9677647058823526E-2</v>
      </c>
      <c r="N1389" s="5">
        <f>IF(ISBLANK($B1389),_xlfn.XLOOKUP($A1389,'2. TEUs &amp; Activities - EF'!$A$9:$A$190,'2. TEUs &amp; Activities - EF'!$M$9:$M$190),_xlfn.XLOOKUP($B1389,'2. TEUs &amp; Activities - EF'!$B$9:$B$190,'2. TEUs &amp; Activities - EF'!$M$9:$M$190))*'3. Pollutant Emissions - EF'!$J1389*IF(OR(ISBLANK($E1389),$G1389="Yes"),1,$E1389)*IF($H1389="Yes",1,(1-$F1389))</f>
        <v>1.0870588235294116E-4</v>
      </c>
      <c r="O1389" s="130"/>
    </row>
    <row r="1390" spans="1:15" ht="15" x14ac:dyDescent="0.25">
      <c r="A1390" s="5" t="s">
        <v>1621</v>
      </c>
      <c r="B1390" s="7"/>
      <c r="C1390" s="13" t="s">
        <v>49</v>
      </c>
      <c r="D1390" s="19" t="str">
        <f>IFERROR(IF(C1390="No CAS","",INDEX('DEQ Pollutant List'!$B$7:$B$611,MATCH('3. Pollutant Emissions - EF'!C1390,'DEQ Pollutant List'!$A$7:$A$611,0))),"")</f>
        <v>Naphthalene</v>
      </c>
      <c r="E1390" s="23">
        <v>0</v>
      </c>
      <c r="F1390" s="21">
        <v>0</v>
      </c>
      <c r="G1390" s="23" t="s">
        <v>1415</v>
      </c>
      <c r="H1390" s="21" t="s">
        <v>1415</v>
      </c>
      <c r="I1390" s="34">
        <v>2.9999999999999997E-4</v>
      </c>
      <c r="J1390" s="11">
        <f t="shared" si="50"/>
        <v>2.9999999999999997E-4</v>
      </c>
      <c r="K1390" s="6" t="s">
        <v>1416</v>
      </c>
      <c r="L1390" s="20" t="s">
        <v>1422</v>
      </c>
      <c r="M1390" s="7">
        <f>IF(ISBLANK($B1390),_xlfn.XLOOKUP($A1390,'2. TEUs &amp; Activities - EF'!$A$9:$A$190,'2. TEUs &amp; Activities - EF'!$J$9:$J$190),_xlfn.XLOOKUP($B1390,'2. TEUs &amp; Activities - EF'!$B$9:$B$190,'2. TEUs &amp; Activities - EF'!$J$9:$J$190))*'3. Pollutant Emissions - EF'!$I1390*IF(OR(ISBLANK($E1390),$G1390="Yes"),1,$E1390)*IF($H1390="Yes",1,(1-$F1390))</f>
        <v>7.2141176470588214E-3</v>
      </c>
      <c r="N1390" s="5">
        <f>IF(ISBLANK($B1390),_xlfn.XLOOKUP($A1390,'2. TEUs &amp; Activities - EF'!$A$9:$A$190,'2. TEUs &amp; Activities - EF'!$M$9:$M$190),_xlfn.XLOOKUP($B1390,'2. TEUs &amp; Activities - EF'!$B$9:$B$190,'2. TEUs &amp; Activities - EF'!$M$9:$M$190))*'3. Pollutant Emissions - EF'!$J1390*IF(OR(ISBLANK($E1390),$G1390="Yes"),1,$E1390)*IF($H1390="Yes",1,(1-$F1390))</f>
        <v>1.9764705882352938E-5</v>
      </c>
      <c r="O1390" s="130"/>
    </row>
    <row r="1391" spans="1:15" ht="15" x14ac:dyDescent="0.25">
      <c r="A1391" s="5" t="s">
        <v>1621</v>
      </c>
      <c r="B1391" s="7"/>
      <c r="C1391" s="13" t="s">
        <v>66</v>
      </c>
      <c r="D1391" s="19" t="str">
        <f>IFERROR(IF(C1391="No CAS","",INDEX('DEQ Pollutant List'!$B$7:$B$611,MATCH('3. Pollutant Emissions - EF'!C1391,'DEQ Pollutant List'!$A$7:$A$611,0))),"")</f>
        <v>Nickel and compounds</v>
      </c>
      <c r="E1391" s="23">
        <v>0</v>
      </c>
      <c r="F1391" s="21">
        <v>0</v>
      </c>
      <c r="G1391" s="23" t="s">
        <v>1415</v>
      </c>
      <c r="H1391" s="21" t="s">
        <v>1415</v>
      </c>
      <c r="I1391" s="34">
        <v>2.0999999999999999E-3</v>
      </c>
      <c r="J1391" s="11">
        <f t="shared" si="50"/>
        <v>2.0999999999999999E-3</v>
      </c>
      <c r="K1391" s="6" t="s">
        <v>1416</v>
      </c>
      <c r="L1391" s="20" t="s">
        <v>1422</v>
      </c>
      <c r="M1391" s="7">
        <f>IF(ISBLANK($B1391),_xlfn.XLOOKUP($A1391,'2. TEUs &amp; Activities - EF'!$A$9:$A$190,'2. TEUs &amp; Activities - EF'!$J$9:$J$190),_xlfn.XLOOKUP($B1391,'2. TEUs &amp; Activities - EF'!$B$9:$B$190,'2. TEUs &amp; Activities - EF'!$J$9:$J$190))*'3. Pollutant Emissions - EF'!$I1391*IF(OR(ISBLANK($E1391),$G1391="Yes"),1,$E1391)*IF($H1391="Yes",1,(1-$F1391))</f>
        <v>5.0498823529411756E-2</v>
      </c>
      <c r="N1391" s="5">
        <f>IF(ISBLANK($B1391),_xlfn.XLOOKUP($A1391,'2. TEUs &amp; Activities - EF'!$A$9:$A$190,'2. TEUs &amp; Activities - EF'!$M$9:$M$190),_xlfn.XLOOKUP($B1391,'2. TEUs &amp; Activities - EF'!$B$9:$B$190,'2. TEUs &amp; Activities - EF'!$M$9:$M$190))*'3. Pollutant Emissions - EF'!$J1391*IF(OR(ISBLANK($E1391),$G1391="Yes"),1,$E1391)*IF($H1391="Yes",1,(1-$F1391))</f>
        <v>1.3835294117647056E-4</v>
      </c>
      <c r="O1391" s="130"/>
    </row>
    <row r="1392" spans="1:15" ht="15" x14ac:dyDescent="0.25">
      <c r="A1392" s="5" t="s">
        <v>1621</v>
      </c>
      <c r="B1392" s="7"/>
      <c r="C1392" s="13">
        <v>401</v>
      </c>
      <c r="D1392" s="19" t="str">
        <f>IFERROR(IF(C1392="No CAS","",INDEX('DEQ Pollutant List'!$B$7:$B$611,MATCH('3. Pollutant Emissions - EF'!C1392,'DEQ Pollutant List'!$A$7:$A$611,0))),"")</f>
        <v>Polycyclic aromatic hydrocarbons (PAHs)</v>
      </c>
      <c r="E1392" s="23">
        <v>0</v>
      </c>
      <c r="F1392" s="21">
        <v>0</v>
      </c>
      <c r="G1392" s="23" t="s">
        <v>1415</v>
      </c>
      <c r="H1392" s="21" t="s">
        <v>1415</v>
      </c>
      <c r="I1392" s="34">
        <v>1E-4</v>
      </c>
      <c r="J1392" s="11">
        <f t="shared" si="50"/>
        <v>1E-4</v>
      </c>
      <c r="K1392" s="6" t="s">
        <v>1416</v>
      </c>
      <c r="L1392" s="20" t="s">
        <v>1422</v>
      </c>
      <c r="M1392" s="7">
        <f>IF(ISBLANK($B1392),_xlfn.XLOOKUP($A1392,'2. TEUs &amp; Activities - EF'!$A$9:$A$190,'2. TEUs &amp; Activities - EF'!$J$9:$J$190),_xlfn.XLOOKUP($B1392,'2. TEUs &amp; Activities - EF'!$B$9:$B$190,'2. TEUs &amp; Activities - EF'!$J$9:$J$190))*'3. Pollutant Emissions - EF'!$I1392*IF(OR(ISBLANK($E1392),$G1392="Yes"),1,$E1392)*IF($H1392="Yes",1,(1-$F1392))</f>
        <v>2.4047058823529407E-3</v>
      </c>
      <c r="N1392" s="5">
        <f>IF(ISBLANK($B1392),_xlfn.XLOOKUP($A1392,'2. TEUs &amp; Activities - EF'!$A$9:$A$190,'2. TEUs &amp; Activities - EF'!$M$9:$M$190),_xlfn.XLOOKUP($B1392,'2. TEUs &amp; Activities - EF'!$B$9:$B$190,'2. TEUs &amp; Activities - EF'!$M$9:$M$190))*'3. Pollutant Emissions - EF'!$J1392*IF(OR(ISBLANK($E1392),$G1392="Yes"),1,$E1392)*IF($H1392="Yes",1,(1-$F1392))</f>
        <v>6.5882352941176463E-6</v>
      </c>
      <c r="O1392" s="130"/>
    </row>
    <row r="1393" spans="1:15" ht="15" x14ac:dyDescent="0.25">
      <c r="A1393" s="5" t="s">
        <v>1621</v>
      </c>
      <c r="B1393" s="7"/>
      <c r="C1393" s="13" t="s">
        <v>67</v>
      </c>
      <c r="D1393" s="19" t="str">
        <f>IFERROR(IF(C1393="No CAS","",INDEX('DEQ Pollutant List'!$B$7:$B$611,MATCH('3. Pollutant Emissions - EF'!C1393,'DEQ Pollutant List'!$A$7:$A$611,0))),"")</f>
        <v>Selenium and compounds</v>
      </c>
      <c r="E1393" s="23">
        <v>0</v>
      </c>
      <c r="F1393" s="21">
        <v>0</v>
      </c>
      <c r="G1393" s="23" t="s">
        <v>1415</v>
      </c>
      <c r="H1393" s="21" t="s">
        <v>1415</v>
      </c>
      <c r="I1393" s="34">
        <v>2.4000000000000001E-5</v>
      </c>
      <c r="J1393" s="11">
        <f t="shared" si="50"/>
        <v>2.4000000000000001E-5</v>
      </c>
      <c r="K1393" s="6" t="s">
        <v>1416</v>
      </c>
      <c r="L1393" s="20" t="s">
        <v>1422</v>
      </c>
      <c r="M1393" s="7">
        <f>IF(ISBLANK($B1393),_xlfn.XLOOKUP($A1393,'2. TEUs &amp; Activities - EF'!$A$9:$A$190,'2. TEUs &amp; Activities - EF'!$J$9:$J$190),_xlfn.XLOOKUP($B1393,'2. TEUs &amp; Activities - EF'!$B$9:$B$190,'2. TEUs &amp; Activities - EF'!$J$9:$J$190))*'3. Pollutant Emissions - EF'!$I1393*IF(OR(ISBLANK($E1393),$G1393="Yes"),1,$E1393)*IF($H1393="Yes",1,(1-$F1393))</f>
        <v>5.7712941176470578E-4</v>
      </c>
      <c r="N1393" s="5">
        <f>IF(ISBLANK($B1393),_xlfn.XLOOKUP($A1393,'2. TEUs &amp; Activities - EF'!$A$9:$A$190,'2. TEUs &amp; Activities - EF'!$M$9:$M$190),_xlfn.XLOOKUP($B1393,'2. TEUs &amp; Activities - EF'!$B$9:$B$190,'2. TEUs &amp; Activities - EF'!$M$9:$M$190))*'3. Pollutant Emissions - EF'!$J1393*IF(OR(ISBLANK($E1393),$G1393="Yes"),1,$E1393)*IF($H1393="Yes",1,(1-$F1393))</f>
        <v>1.5811764705882351E-6</v>
      </c>
      <c r="O1393" s="130"/>
    </row>
    <row r="1394" spans="1:15" ht="15" x14ac:dyDescent="0.25">
      <c r="A1394" s="5" t="s">
        <v>1621</v>
      </c>
      <c r="B1394" s="7"/>
      <c r="C1394" s="13" t="s">
        <v>68</v>
      </c>
      <c r="D1394" s="19" t="str">
        <f>IFERROR(IF(C1394="No CAS","",INDEX('DEQ Pollutant List'!$B$7:$B$611,MATCH('3. Pollutant Emissions - EF'!C1394,'DEQ Pollutant List'!$A$7:$A$611,0))),"")</f>
        <v>Toluene</v>
      </c>
      <c r="E1394" s="23">
        <v>0</v>
      </c>
      <c r="F1394" s="21">
        <v>0</v>
      </c>
      <c r="G1394" s="23" t="s">
        <v>1415</v>
      </c>
      <c r="H1394" s="21" t="s">
        <v>1415</v>
      </c>
      <c r="I1394" s="34">
        <v>3.6600000000000001E-2</v>
      </c>
      <c r="J1394" s="11">
        <f t="shared" si="50"/>
        <v>3.6600000000000001E-2</v>
      </c>
      <c r="K1394" s="6" t="s">
        <v>1416</v>
      </c>
      <c r="L1394" s="20" t="s">
        <v>1422</v>
      </c>
      <c r="M1394" s="7">
        <f>IF(ISBLANK($B1394),_xlfn.XLOOKUP($A1394,'2. TEUs &amp; Activities - EF'!$A$9:$A$190,'2. TEUs &amp; Activities - EF'!$J$9:$J$190),_xlfn.XLOOKUP($B1394,'2. TEUs &amp; Activities - EF'!$B$9:$B$190,'2. TEUs &amp; Activities - EF'!$J$9:$J$190))*'3. Pollutant Emissions - EF'!$I1394*IF(OR(ISBLANK($E1394),$G1394="Yes"),1,$E1394)*IF($H1394="Yes",1,(1-$F1394))</f>
        <v>0.88012235294117636</v>
      </c>
      <c r="N1394" s="5">
        <f>IF(ISBLANK($B1394),_xlfn.XLOOKUP($A1394,'2. TEUs &amp; Activities - EF'!$A$9:$A$190,'2. TEUs &amp; Activities - EF'!$M$9:$M$190),_xlfn.XLOOKUP($B1394,'2. TEUs &amp; Activities - EF'!$B$9:$B$190,'2. TEUs &amp; Activities - EF'!$M$9:$M$190))*'3. Pollutant Emissions - EF'!$J1394*IF(OR(ISBLANK($E1394),$G1394="Yes"),1,$E1394)*IF($H1394="Yes",1,(1-$F1394))</f>
        <v>2.4112941176470584E-3</v>
      </c>
      <c r="O1394" s="130"/>
    </row>
    <row r="1395" spans="1:15" ht="15" x14ac:dyDescent="0.25">
      <c r="A1395" s="5" t="s">
        <v>1621</v>
      </c>
      <c r="B1395" s="7"/>
      <c r="C1395" s="13" t="s">
        <v>69</v>
      </c>
      <c r="D1395" s="19" t="str">
        <f>IFERROR(IF(C1395="No CAS","",INDEX('DEQ Pollutant List'!$B$7:$B$611,MATCH('3. Pollutant Emissions - EF'!C1395,'DEQ Pollutant List'!$A$7:$A$611,0))),"")</f>
        <v>Vanadium (fume or dust)</v>
      </c>
      <c r="E1395" s="23">
        <v>0</v>
      </c>
      <c r="F1395" s="21">
        <v>0</v>
      </c>
      <c r="G1395" s="23" t="s">
        <v>1415</v>
      </c>
      <c r="H1395" s="21" t="s">
        <v>1415</v>
      </c>
      <c r="I1395" s="34">
        <v>2.3E-3</v>
      </c>
      <c r="J1395" s="11">
        <f t="shared" si="50"/>
        <v>2.3E-3</v>
      </c>
      <c r="K1395" s="6" t="s">
        <v>1416</v>
      </c>
      <c r="L1395" s="20" t="s">
        <v>1422</v>
      </c>
      <c r="M1395" s="7">
        <f>IF(ISBLANK($B1395),_xlfn.XLOOKUP($A1395,'2. TEUs &amp; Activities - EF'!$A$9:$A$190,'2. TEUs &amp; Activities - EF'!$J$9:$J$190),_xlfn.XLOOKUP($B1395,'2. TEUs &amp; Activities - EF'!$B$9:$B$190,'2. TEUs &amp; Activities - EF'!$J$9:$J$190))*'3. Pollutant Emissions - EF'!$I1395*IF(OR(ISBLANK($E1395),$G1395="Yes"),1,$E1395)*IF($H1395="Yes",1,(1-$F1395))</f>
        <v>5.5308235294117637E-2</v>
      </c>
      <c r="N1395" s="5">
        <f>IF(ISBLANK($B1395),_xlfn.XLOOKUP($A1395,'2. TEUs &amp; Activities - EF'!$A$9:$A$190,'2. TEUs &amp; Activities - EF'!$M$9:$M$190),_xlfn.XLOOKUP($B1395,'2. TEUs &amp; Activities - EF'!$B$9:$B$190,'2. TEUs &amp; Activities - EF'!$M$9:$M$190))*'3. Pollutant Emissions - EF'!$J1395*IF(OR(ISBLANK($E1395),$G1395="Yes"),1,$E1395)*IF($H1395="Yes",1,(1-$F1395))</f>
        <v>1.5152941176470585E-4</v>
      </c>
      <c r="O1395" s="130"/>
    </row>
    <row r="1396" spans="1:15" ht="15" x14ac:dyDescent="0.25">
      <c r="A1396" s="5" t="s">
        <v>1621</v>
      </c>
      <c r="B1396" s="7"/>
      <c r="C1396" s="13" t="s">
        <v>70</v>
      </c>
      <c r="D1396" s="19" t="str">
        <f>IFERROR(IF(C1396="No CAS","",INDEX('DEQ Pollutant List'!$B$7:$B$611,MATCH('3. Pollutant Emissions - EF'!C1396,'DEQ Pollutant List'!$A$7:$A$611,0))),"")</f>
        <v>Xylene (mixture), including m-xylene, o-xylene, p-xylene</v>
      </c>
      <c r="E1396" s="23">
        <v>0</v>
      </c>
      <c r="F1396" s="21">
        <v>0</v>
      </c>
      <c r="G1396" s="23" t="s">
        <v>1415</v>
      </c>
      <c r="H1396" s="21" t="s">
        <v>1415</v>
      </c>
      <c r="I1396" s="34">
        <v>2.7199999999999998E-2</v>
      </c>
      <c r="J1396" s="11">
        <f t="shared" si="50"/>
        <v>2.7199999999999998E-2</v>
      </c>
      <c r="K1396" s="6" t="s">
        <v>1416</v>
      </c>
      <c r="L1396" s="20" t="s">
        <v>1422</v>
      </c>
      <c r="M1396" s="7">
        <f>IF(ISBLANK($B1396),_xlfn.XLOOKUP($A1396,'2. TEUs &amp; Activities - EF'!$A$9:$A$190,'2. TEUs &amp; Activities - EF'!$J$9:$J$190),_xlfn.XLOOKUP($B1396,'2. TEUs &amp; Activities - EF'!$B$9:$B$190,'2. TEUs &amp; Activities - EF'!$J$9:$J$190))*'3. Pollutant Emissions - EF'!$I1396*IF(OR(ISBLANK($E1396),$G1396="Yes"),1,$E1396)*IF($H1396="Yes",1,(1-$F1396))</f>
        <v>0.65407999999999988</v>
      </c>
      <c r="N1396" s="5">
        <f>IF(ISBLANK($B1396),_xlfn.XLOOKUP($A1396,'2. TEUs &amp; Activities - EF'!$A$9:$A$190,'2. TEUs &amp; Activities - EF'!$M$9:$M$190),_xlfn.XLOOKUP($B1396,'2. TEUs &amp; Activities - EF'!$B$9:$B$190,'2. TEUs &amp; Activities - EF'!$M$9:$M$190))*'3. Pollutant Emissions - EF'!$J1396*IF(OR(ISBLANK($E1396),$G1396="Yes"),1,$E1396)*IF($H1396="Yes",1,(1-$F1396))</f>
        <v>1.7919999999999998E-3</v>
      </c>
      <c r="O1396" s="130"/>
    </row>
    <row r="1397" spans="1:15" ht="15" x14ac:dyDescent="0.25">
      <c r="A1397" s="5" t="s">
        <v>1621</v>
      </c>
      <c r="B1397" s="7"/>
      <c r="C1397" s="13" t="s">
        <v>71</v>
      </c>
      <c r="D1397" s="19" t="str">
        <f>IFERROR(IF(C1397="No CAS","",INDEX('DEQ Pollutant List'!$B$7:$B$611,MATCH('3. Pollutant Emissions - EF'!C1397,'DEQ Pollutant List'!$A$7:$A$611,0))),"")</f>
        <v>Zinc and compounds</v>
      </c>
      <c r="E1397" s="23">
        <v>0</v>
      </c>
      <c r="F1397" s="21">
        <v>0</v>
      </c>
      <c r="G1397" s="23" t="s">
        <v>1415</v>
      </c>
      <c r="H1397" s="21" t="s">
        <v>1415</v>
      </c>
      <c r="I1397" s="34">
        <v>2.9000000000000001E-2</v>
      </c>
      <c r="J1397" s="11">
        <f t="shared" si="50"/>
        <v>2.9000000000000001E-2</v>
      </c>
      <c r="K1397" s="6" t="s">
        <v>1416</v>
      </c>
      <c r="L1397" s="20" t="s">
        <v>1422</v>
      </c>
      <c r="M1397" s="7">
        <f>IF(ISBLANK($B1397),_xlfn.XLOOKUP($A1397,'2. TEUs &amp; Activities - EF'!$A$9:$A$190,'2. TEUs &amp; Activities - EF'!$J$9:$J$190),_xlfn.XLOOKUP($B1397,'2. TEUs &amp; Activities - EF'!$B$9:$B$190,'2. TEUs &amp; Activities - EF'!$J$9:$J$190))*'3. Pollutant Emissions - EF'!$I1397*IF(OR(ISBLANK($E1397),$G1397="Yes"),1,$E1397)*IF($H1397="Yes",1,(1-$F1397))</f>
        <v>0.69736470588235289</v>
      </c>
      <c r="N1397" s="5">
        <f>IF(ISBLANK($B1397),_xlfn.XLOOKUP($A1397,'2. TEUs &amp; Activities - EF'!$A$9:$A$190,'2. TEUs &amp; Activities - EF'!$M$9:$M$190),_xlfn.XLOOKUP($B1397,'2. TEUs &amp; Activities - EF'!$B$9:$B$190,'2. TEUs &amp; Activities - EF'!$M$9:$M$190))*'3. Pollutant Emissions - EF'!$J1397*IF(OR(ISBLANK($E1397),$G1397="Yes"),1,$E1397)*IF($H1397="Yes",1,(1-$F1397))</f>
        <v>1.9105882352941175E-3</v>
      </c>
      <c r="O1397" s="130"/>
    </row>
    <row r="1398" spans="1:15" ht="15" x14ac:dyDescent="0.25">
      <c r="A1398" s="5"/>
      <c r="B1398" s="7"/>
      <c r="C1398" s="13"/>
      <c r="D1398" s="19" t="str">
        <f>IFERROR(IF(C1398="No CAS","",INDEX('DEQ Pollutant List'!$B$7:$B$611,MATCH('3. Pollutant Emissions - EF'!C1398,'DEQ Pollutant List'!$A$7:$A$611,0))),"")</f>
        <v/>
      </c>
      <c r="E1398" s="23"/>
      <c r="F1398" s="21"/>
      <c r="G1398" s="23"/>
      <c r="H1398" s="21"/>
      <c r="I1398" s="34"/>
      <c r="J1398" s="11"/>
      <c r="K1398" s="6"/>
      <c r="L1398" s="20"/>
      <c r="M1398" s="7">
        <f>IF(ISBLANK($B1398),_xlfn.XLOOKUP($A1398,'2. TEUs &amp; Activities - EF'!$A$9:$A$190,'2. TEUs &amp; Activities - EF'!$J$9:$J$190),_xlfn.XLOOKUP($B1398,'2. TEUs &amp; Activities - EF'!$B$9:$B$190,'2. TEUs &amp; Activities - EF'!$J$9:$J$190))*'3. Pollutant Emissions - EF'!$I1398*IF(OR(ISBLANK($E1398),$G1398="Yes"),1,$E1398)*IF($H1398="Yes",1,(1-$F1398))</f>
        <v>0</v>
      </c>
      <c r="N1398" s="5">
        <f>IF(ISBLANK($B1398),_xlfn.XLOOKUP($A1398,'2. TEUs &amp; Activities - EF'!$A$9:$A$190,'2. TEUs &amp; Activities - EF'!$M$9:$M$190),_xlfn.XLOOKUP($B1398,'2. TEUs &amp; Activities - EF'!$B$9:$B$190,'2. TEUs &amp; Activities - EF'!$M$9:$M$190))*'3. Pollutant Emissions - EF'!$J1398*IF(OR(ISBLANK($E1398),$G1398="Yes"),1,$E1398)*IF($H1398="Yes",1,(1-$F1398))</f>
        <v>0</v>
      </c>
      <c r="O1398" s="130"/>
    </row>
    <row r="1399" spans="1:15" ht="15" x14ac:dyDescent="0.25">
      <c r="A1399" s="5" t="s">
        <v>1622</v>
      </c>
      <c r="B1399" s="7"/>
      <c r="C1399" s="13" t="s">
        <v>48</v>
      </c>
      <c r="D1399" s="19" t="str">
        <f>IFERROR(IF(C1399="No CAS","",INDEX('DEQ Pollutant List'!$B$7:$B$611,MATCH('3. Pollutant Emissions - EF'!C1399,'DEQ Pollutant List'!$A$7:$A$611,0))),"")</f>
        <v>Benzo[a]pyrene</v>
      </c>
      <c r="E1399" s="23">
        <v>0</v>
      </c>
      <c r="F1399" s="21">
        <v>0</v>
      </c>
      <c r="G1399" s="23" t="s">
        <v>1415</v>
      </c>
      <c r="H1399" s="21" t="s">
        <v>1415</v>
      </c>
      <c r="I1399" s="34">
        <v>1.1999999999999999E-6</v>
      </c>
      <c r="J1399" s="11">
        <f t="shared" ref="J1399:J1425" si="51">I1399</f>
        <v>1.1999999999999999E-6</v>
      </c>
      <c r="K1399" s="6" t="s">
        <v>1416</v>
      </c>
      <c r="L1399" s="20" t="s">
        <v>1422</v>
      </c>
      <c r="M1399" s="7">
        <f>IF(ISBLANK($B1399),_xlfn.XLOOKUP($A1399,'2. TEUs &amp; Activities - EF'!$A$9:$A$190,'2. TEUs &amp; Activities - EF'!$J$9:$J$190),_xlfn.XLOOKUP($B1399,'2. TEUs &amp; Activities - EF'!$B$9:$B$190,'2. TEUs &amp; Activities - EF'!$J$9:$J$190))*'3. Pollutant Emissions - EF'!$I1399*IF(OR(ISBLANK($E1399),$G1399="Yes"),1,$E1399)*IF($H1399="Yes",1,(1-$F1399))</f>
        <v>2.885647058823529E-5</v>
      </c>
      <c r="N1399" s="5">
        <f>IF(ISBLANK($B1399),_xlfn.XLOOKUP($A1399,'2. TEUs &amp; Activities - EF'!$A$9:$A$190,'2. TEUs &amp; Activities - EF'!$M$9:$M$190),_xlfn.XLOOKUP($B1399,'2. TEUs &amp; Activities - EF'!$B$9:$B$190,'2. TEUs &amp; Activities - EF'!$M$9:$M$190))*'3. Pollutant Emissions - EF'!$J1399*IF(OR(ISBLANK($E1399),$G1399="Yes"),1,$E1399)*IF($H1399="Yes",1,(1-$F1399))</f>
        <v>7.9058823529411752E-8</v>
      </c>
      <c r="O1399" s="130"/>
    </row>
    <row r="1400" spans="1:15" ht="15" x14ac:dyDescent="0.25">
      <c r="A1400" s="5" t="s">
        <v>1622</v>
      </c>
      <c r="B1400" s="7"/>
      <c r="C1400" s="13" t="s">
        <v>50</v>
      </c>
      <c r="D1400" s="19" t="str">
        <f>IFERROR(IF(C1400="No CAS","",INDEX('DEQ Pollutant List'!$B$7:$B$611,MATCH('3. Pollutant Emissions - EF'!C1400,'DEQ Pollutant List'!$A$7:$A$611,0))),"")</f>
        <v>Acetaldehyde</v>
      </c>
      <c r="E1400" s="23">
        <v>0</v>
      </c>
      <c r="F1400" s="21">
        <v>0</v>
      </c>
      <c r="G1400" s="23" t="s">
        <v>1415</v>
      </c>
      <c r="H1400" s="21" t="s">
        <v>1415</v>
      </c>
      <c r="I1400" s="34">
        <v>4.3E-3</v>
      </c>
      <c r="J1400" s="11">
        <f t="shared" si="51"/>
        <v>4.3E-3</v>
      </c>
      <c r="K1400" s="6" t="s">
        <v>1416</v>
      </c>
      <c r="L1400" s="20" t="s">
        <v>1422</v>
      </c>
      <c r="M1400" s="7">
        <f>IF(ISBLANK($B1400),_xlfn.XLOOKUP($A1400,'2. TEUs &amp; Activities - EF'!$A$9:$A$190,'2. TEUs &amp; Activities - EF'!$J$9:$J$190),_xlfn.XLOOKUP($B1400,'2. TEUs &amp; Activities - EF'!$B$9:$B$190,'2. TEUs &amp; Activities - EF'!$J$9:$J$190))*'3. Pollutant Emissions - EF'!$I1400*IF(OR(ISBLANK($E1400),$G1400="Yes"),1,$E1400)*IF($H1400="Yes",1,(1-$F1400))</f>
        <v>0.10340235294117646</v>
      </c>
      <c r="N1400" s="5">
        <f>IF(ISBLANK($B1400),_xlfn.XLOOKUP($A1400,'2. TEUs &amp; Activities - EF'!$A$9:$A$190,'2. TEUs &amp; Activities - EF'!$M$9:$M$190),_xlfn.XLOOKUP($B1400,'2. TEUs &amp; Activities - EF'!$B$9:$B$190,'2. TEUs &amp; Activities - EF'!$M$9:$M$190))*'3. Pollutant Emissions - EF'!$J1400*IF(OR(ISBLANK($E1400),$G1400="Yes"),1,$E1400)*IF($H1400="Yes",1,(1-$F1400))</f>
        <v>2.8329411764705878E-4</v>
      </c>
      <c r="O1400" s="130"/>
    </row>
    <row r="1401" spans="1:15" ht="15" x14ac:dyDescent="0.25">
      <c r="A1401" s="5" t="s">
        <v>1622</v>
      </c>
      <c r="B1401" s="7"/>
      <c r="C1401" s="13" t="s">
        <v>51</v>
      </c>
      <c r="D1401" s="19" t="str">
        <f>IFERROR(IF(C1401="No CAS","",INDEX('DEQ Pollutant List'!$B$7:$B$611,MATCH('3. Pollutant Emissions - EF'!C1401,'DEQ Pollutant List'!$A$7:$A$611,0))),"")</f>
        <v>Acrolein</v>
      </c>
      <c r="E1401" s="23">
        <v>0</v>
      </c>
      <c r="F1401" s="21">
        <v>0</v>
      </c>
      <c r="G1401" s="23" t="s">
        <v>1415</v>
      </c>
      <c r="H1401" s="21" t="s">
        <v>1415</v>
      </c>
      <c r="I1401" s="34">
        <v>2.7000000000000001E-3</v>
      </c>
      <c r="J1401" s="11">
        <f t="shared" si="51"/>
        <v>2.7000000000000001E-3</v>
      </c>
      <c r="K1401" s="6" t="s">
        <v>1416</v>
      </c>
      <c r="L1401" s="20" t="s">
        <v>1422</v>
      </c>
      <c r="M1401" s="7">
        <f>IF(ISBLANK($B1401),_xlfn.XLOOKUP($A1401,'2. TEUs &amp; Activities - EF'!$A$9:$A$190,'2. TEUs &amp; Activities - EF'!$J$9:$J$190),_xlfn.XLOOKUP($B1401,'2. TEUs &amp; Activities - EF'!$B$9:$B$190,'2. TEUs &amp; Activities - EF'!$J$9:$J$190))*'3. Pollutant Emissions - EF'!$I1401*IF(OR(ISBLANK($E1401),$G1401="Yes"),1,$E1401)*IF($H1401="Yes",1,(1-$F1401))</f>
        <v>6.4927058823529407E-2</v>
      </c>
      <c r="N1401" s="5">
        <f>IF(ISBLANK($B1401),_xlfn.XLOOKUP($A1401,'2. TEUs &amp; Activities - EF'!$A$9:$A$190,'2. TEUs &amp; Activities - EF'!$M$9:$M$190),_xlfn.XLOOKUP($B1401,'2. TEUs &amp; Activities - EF'!$B$9:$B$190,'2. TEUs &amp; Activities - EF'!$M$9:$M$190))*'3. Pollutant Emissions - EF'!$J1401*IF(OR(ISBLANK($E1401),$G1401="Yes"),1,$E1401)*IF($H1401="Yes",1,(1-$F1401))</f>
        <v>1.7788235294117645E-4</v>
      </c>
      <c r="O1401" s="130"/>
    </row>
    <row r="1402" spans="1:15" ht="15" x14ac:dyDescent="0.25">
      <c r="A1402" s="5" t="s">
        <v>1622</v>
      </c>
      <c r="B1402" s="7"/>
      <c r="C1402" s="13" t="s">
        <v>52</v>
      </c>
      <c r="D1402" s="19" t="str">
        <f>IFERROR(IF(C1402="No CAS","",INDEX('DEQ Pollutant List'!$B$7:$B$611,MATCH('3. Pollutant Emissions - EF'!C1402,'DEQ Pollutant List'!$A$7:$A$611,0))),"")</f>
        <v>Ammonia</v>
      </c>
      <c r="E1402" s="23">
        <v>0</v>
      </c>
      <c r="F1402" s="21">
        <v>0</v>
      </c>
      <c r="G1402" s="23" t="s">
        <v>1415</v>
      </c>
      <c r="H1402" s="21" t="s">
        <v>1415</v>
      </c>
      <c r="I1402" s="34">
        <v>3.2</v>
      </c>
      <c r="J1402" s="11">
        <f t="shared" si="51"/>
        <v>3.2</v>
      </c>
      <c r="K1402" s="6" t="s">
        <v>1416</v>
      </c>
      <c r="L1402" s="20" t="s">
        <v>1586</v>
      </c>
      <c r="M1402" s="7">
        <f>IF(ISBLANK($B1402),_xlfn.XLOOKUP($A1402,'2. TEUs &amp; Activities - EF'!$A$9:$A$190,'2. TEUs &amp; Activities - EF'!$J$9:$J$190),_xlfn.XLOOKUP($B1402,'2. TEUs &amp; Activities - EF'!$B$9:$B$190,'2. TEUs &amp; Activities - EF'!$J$9:$J$190))*'3. Pollutant Emissions - EF'!$I1402*IF(OR(ISBLANK($E1402),$G1402="Yes"),1,$E1402)*IF($H1402="Yes",1,(1-$F1402))</f>
        <v>76.950588235294106</v>
      </c>
      <c r="N1402" s="5">
        <f>IF(ISBLANK($B1402),_xlfn.XLOOKUP($A1402,'2. TEUs &amp; Activities - EF'!$A$9:$A$190,'2. TEUs &amp; Activities - EF'!$M$9:$M$190),_xlfn.XLOOKUP($B1402,'2. TEUs &amp; Activities - EF'!$B$9:$B$190,'2. TEUs &amp; Activities - EF'!$M$9:$M$190))*'3. Pollutant Emissions - EF'!$J1402*IF(OR(ISBLANK($E1402),$G1402="Yes"),1,$E1402)*IF($H1402="Yes",1,(1-$F1402))</f>
        <v>0.21082352941176469</v>
      </c>
      <c r="O1402" s="130"/>
    </row>
    <row r="1403" spans="1:15" ht="15" x14ac:dyDescent="0.25">
      <c r="A1403" s="5" t="s">
        <v>1622</v>
      </c>
      <c r="B1403" s="7"/>
      <c r="C1403" s="13" t="s">
        <v>53</v>
      </c>
      <c r="D1403" s="19" t="str">
        <f>IFERROR(IF(C1403="No CAS","",INDEX('DEQ Pollutant List'!$B$7:$B$611,MATCH('3. Pollutant Emissions - EF'!C1403,'DEQ Pollutant List'!$A$7:$A$611,0))),"")</f>
        <v>Arsenic and compounds</v>
      </c>
      <c r="E1403" s="23">
        <v>0</v>
      </c>
      <c r="F1403" s="21">
        <v>0</v>
      </c>
      <c r="G1403" s="23" t="s">
        <v>1415</v>
      </c>
      <c r="H1403" s="21" t="s">
        <v>1415</v>
      </c>
      <c r="I1403" s="34">
        <v>2.0000000000000001E-4</v>
      </c>
      <c r="J1403" s="11">
        <f t="shared" si="51"/>
        <v>2.0000000000000001E-4</v>
      </c>
      <c r="K1403" s="6" t="s">
        <v>1416</v>
      </c>
      <c r="L1403" s="20" t="s">
        <v>1422</v>
      </c>
      <c r="M1403" s="7">
        <f>IF(ISBLANK($B1403),_xlfn.XLOOKUP($A1403,'2. TEUs &amp; Activities - EF'!$A$9:$A$190,'2. TEUs &amp; Activities - EF'!$J$9:$J$190),_xlfn.XLOOKUP($B1403,'2. TEUs &amp; Activities - EF'!$B$9:$B$190,'2. TEUs &amp; Activities - EF'!$J$9:$J$190))*'3. Pollutant Emissions - EF'!$I1403*IF(OR(ISBLANK($E1403),$G1403="Yes"),1,$E1403)*IF($H1403="Yes",1,(1-$F1403))</f>
        <v>4.8094117647058815E-3</v>
      </c>
      <c r="N1403" s="5">
        <f>IF(ISBLANK($B1403),_xlfn.XLOOKUP($A1403,'2. TEUs &amp; Activities - EF'!$A$9:$A$190,'2. TEUs &amp; Activities - EF'!$M$9:$M$190),_xlfn.XLOOKUP($B1403,'2. TEUs &amp; Activities - EF'!$B$9:$B$190,'2. TEUs &amp; Activities - EF'!$M$9:$M$190))*'3. Pollutant Emissions - EF'!$J1403*IF(OR(ISBLANK($E1403),$G1403="Yes"),1,$E1403)*IF($H1403="Yes",1,(1-$F1403))</f>
        <v>1.3176470588235293E-5</v>
      </c>
      <c r="O1403" s="130"/>
    </row>
    <row r="1404" spans="1:15" ht="15" x14ac:dyDescent="0.25">
      <c r="A1404" s="5" t="s">
        <v>1622</v>
      </c>
      <c r="B1404" s="7"/>
      <c r="C1404" s="13" t="s">
        <v>54</v>
      </c>
      <c r="D1404" s="19" t="str">
        <f>IFERROR(IF(C1404="No CAS","",INDEX('DEQ Pollutant List'!$B$7:$B$611,MATCH('3. Pollutant Emissions - EF'!C1404,'DEQ Pollutant List'!$A$7:$A$611,0))),"")</f>
        <v>Barium and compounds</v>
      </c>
      <c r="E1404" s="23">
        <v>0</v>
      </c>
      <c r="F1404" s="21">
        <v>0</v>
      </c>
      <c r="G1404" s="23" t="s">
        <v>1415</v>
      </c>
      <c r="H1404" s="21" t="s">
        <v>1415</v>
      </c>
      <c r="I1404" s="34">
        <v>4.4000000000000003E-3</v>
      </c>
      <c r="J1404" s="11">
        <f t="shared" si="51"/>
        <v>4.4000000000000003E-3</v>
      </c>
      <c r="K1404" s="6" t="s">
        <v>1416</v>
      </c>
      <c r="L1404" s="20" t="s">
        <v>1422</v>
      </c>
      <c r="M1404" s="7">
        <f>IF(ISBLANK($B1404),_xlfn.XLOOKUP($A1404,'2. TEUs &amp; Activities - EF'!$A$9:$A$190,'2. TEUs &amp; Activities - EF'!$J$9:$J$190),_xlfn.XLOOKUP($B1404,'2. TEUs &amp; Activities - EF'!$B$9:$B$190,'2. TEUs &amp; Activities - EF'!$J$9:$J$190))*'3. Pollutant Emissions - EF'!$I1404*IF(OR(ISBLANK($E1404),$G1404="Yes"),1,$E1404)*IF($H1404="Yes",1,(1-$F1404))</f>
        <v>0.10580705882352941</v>
      </c>
      <c r="N1404" s="5">
        <f>IF(ISBLANK($B1404),_xlfn.XLOOKUP($A1404,'2. TEUs &amp; Activities - EF'!$A$9:$A$190,'2. TEUs &amp; Activities - EF'!$M$9:$M$190),_xlfn.XLOOKUP($B1404,'2. TEUs &amp; Activities - EF'!$B$9:$B$190,'2. TEUs &amp; Activities - EF'!$M$9:$M$190))*'3. Pollutant Emissions - EF'!$J1404*IF(OR(ISBLANK($E1404),$G1404="Yes"),1,$E1404)*IF($H1404="Yes",1,(1-$F1404))</f>
        <v>2.8988235294117643E-4</v>
      </c>
      <c r="O1404" s="130"/>
    </row>
    <row r="1405" spans="1:15" ht="15" x14ac:dyDescent="0.25">
      <c r="A1405" s="5" t="s">
        <v>1622</v>
      </c>
      <c r="B1405" s="7"/>
      <c r="C1405" s="13" t="s">
        <v>46</v>
      </c>
      <c r="D1405" s="19" t="str">
        <f>IFERROR(IF(C1405="No CAS","",INDEX('DEQ Pollutant List'!$B$7:$B$611,MATCH('3. Pollutant Emissions - EF'!C1405,'DEQ Pollutant List'!$A$7:$A$611,0))),"")</f>
        <v>Benzene</v>
      </c>
      <c r="E1405" s="23">
        <v>0</v>
      </c>
      <c r="F1405" s="21">
        <v>0</v>
      </c>
      <c r="G1405" s="23" t="s">
        <v>1415</v>
      </c>
      <c r="H1405" s="21" t="s">
        <v>1415</v>
      </c>
      <c r="I1405" s="34">
        <v>8.0000000000000002E-3</v>
      </c>
      <c r="J1405" s="11">
        <f t="shared" si="51"/>
        <v>8.0000000000000002E-3</v>
      </c>
      <c r="K1405" s="6" t="s">
        <v>1416</v>
      </c>
      <c r="L1405" s="20" t="s">
        <v>1422</v>
      </c>
      <c r="M1405" s="7">
        <f>IF(ISBLANK($B1405),_xlfn.XLOOKUP($A1405,'2. TEUs &amp; Activities - EF'!$A$9:$A$190,'2. TEUs &amp; Activities - EF'!$J$9:$J$190),_xlfn.XLOOKUP($B1405,'2. TEUs &amp; Activities - EF'!$B$9:$B$190,'2. TEUs &amp; Activities - EF'!$J$9:$J$190))*'3. Pollutant Emissions - EF'!$I1405*IF(OR(ISBLANK($E1405),$G1405="Yes"),1,$E1405)*IF($H1405="Yes",1,(1-$F1405))</f>
        <v>0.19237647058823526</v>
      </c>
      <c r="N1405" s="5">
        <f>IF(ISBLANK($B1405),_xlfn.XLOOKUP($A1405,'2. TEUs &amp; Activities - EF'!$A$9:$A$190,'2. TEUs &amp; Activities - EF'!$M$9:$M$190),_xlfn.XLOOKUP($B1405,'2. TEUs &amp; Activities - EF'!$B$9:$B$190,'2. TEUs &amp; Activities - EF'!$M$9:$M$190))*'3. Pollutant Emissions - EF'!$J1405*IF(OR(ISBLANK($E1405),$G1405="Yes"),1,$E1405)*IF($H1405="Yes",1,(1-$F1405))</f>
        <v>5.2705882352941172E-4</v>
      </c>
      <c r="O1405" s="130"/>
    </row>
    <row r="1406" spans="1:15" ht="15" x14ac:dyDescent="0.25">
      <c r="A1406" s="5" t="s">
        <v>1622</v>
      </c>
      <c r="B1406" s="7"/>
      <c r="C1406" s="13" t="s">
        <v>55</v>
      </c>
      <c r="D1406" s="19" t="str">
        <f>IFERROR(IF(C1406="No CAS","",INDEX('DEQ Pollutant List'!$B$7:$B$611,MATCH('3. Pollutant Emissions - EF'!C1406,'DEQ Pollutant List'!$A$7:$A$611,0))),"")</f>
        <v>Beryllium and compounds</v>
      </c>
      <c r="E1406" s="23">
        <v>0</v>
      </c>
      <c r="F1406" s="21">
        <v>0</v>
      </c>
      <c r="G1406" s="23" t="s">
        <v>1415</v>
      </c>
      <c r="H1406" s="21" t="s">
        <v>1415</v>
      </c>
      <c r="I1406" s="34">
        <v>1.2E-5</v>
      </c>
      <c r="J1406" s="11">
        <f t="shared" si="51"/>
        <v>1.2E-5</v>
      </c>
      <c r="K1406" s="6" t="s">
        <v>1416</v>
      </c>
      <c r="L1406" s="20" t="s">
        <v>1422</v>
      </c>
      <c r="M1406" s="7">
        <f>IF(ISBLANK($B1406),_xlfn.XLOOKUP($A1406,'2. TEUs &amp; Activities - EF'!$A$9:$A$190,'2. TEUs &amp; Activities - EF'!$J$9:$J$190),_xlfn.XLOOKUP($B1406,'2. TEUs &amp; Activities - EF'!$B$9:$B$190,'2. TEUs &amp; Activities - EF'!$J$9:$J$190))*'3. Pollutant Emissions - EF'!$I1406*IF(OR(ISBLANK($E1406),$G1406="Yes"),1,$E1406)*IF($H1406="Yes",1,(1-$F1406))</f>
        <v>2.8856470588235289E-4</v>
      </c>
      <c r="N1406" s="5">
        <f>IF(ISBLANK($B1406),_xlfn.XLOOKUP($A1406,'2. TEUs &amp; Activities - EF'!$A$9:$A$190,'2. TEUs &amp; Activities - EF'!$M$9:$M$190),_xlfn.XLOOKUP($B1406,'2. TEUs &amp; Activities - EF'!$B$9:$B$190,'2. TEUs &amp; Activities - EF'!$M$9:$M$190))*'3. Pollutant Emissions - EF'!$J1406*IF(OR(ISBLANK($E1406),$G1406="Yes"),1,$E1406)*IF($H1406="Yes",1,(1-$F1406))</f>
        <v>7.9058823529411757E-7</v>
      </c>
      <c r="O1406" s="130"/>
    </row>
    <row r="1407" spans="1:15" ht="15" x14ac:dyDescent="0.25">
      <c r="A1407" s="5" t="s">
        <v>1622</v>
      </c>
      <c r="B1407" s="7"/>
      <c r="C1407" s="13" t="s">
        <v>56</v>
      </c>
      <c r="D1407" s="19" t="str">
        <f>IFERROR(IF(C1407="No CAS","",INDEX('DEQ Pollutant List'!$B$7:$B$611,MATCH('3. Pollutant Emissions - EF'!C1407,'DEQ Pollutant List'!$A$7:$A$611,0))),"")</f>
        <v>Cadmium and compounds</v>
      </c>
      <c r="E1407" s="23">
        <v>0</v>
      </c>
      <c r="F1407" s="21">
        <v>0</v>
      </c>
      <c r="G1407" s="23" t="s">
        <v>1415</v>
      </c>
      <c r="H1407" s="21" t="s">
        <v>1415</v>
      </c>
      <c r="I1407" s="34">
        <v>1.1000000000000001E-3</v>
      </c>
      <c r="J1407" s="11">
        <f t="shared" si="51"/>
        <v>1.1000000000000001E-3</v>
      </c>
      <c r="K1407" s="6" t="s">
        <v>1416</v>
      </c>
      <c r="L1407" s="20" t="s">
        <v>1422</v>
      </c>
      <c r="M1407" s="7">
        <f>IF(ISBLANK($B1407),_xlfn.XLOOKUP($A1407,'2. TEUs &amp; Activities - EF'!$A$9:$A$190,'2. TEUs &amp; Activities - EF'!$J$9:$J$190),_xlfn.XLOOKUP($B1407,'2. TEUs &amp; Activities - EF'!$B$9:$B$190,'2. TEUs &amp; Activities - EF'!$J$9:$J$190))*'3. Pollutant Emissions - EF'!$I1407*IF(OR(ISBLANK($E1407),$G1407="Yes"),1,$E1407)*IF($H1407="Yes",1,(1-$F1407))</f>
        <v>2.6451764705882352E-2</v>
      </c>
      <c r="N1407" s="5">
        <f>IF(ISBLANK($B1407),_xlfn.XLOOKUP($A1407,'2. TEUs &amp; Activities - EF'!$A$9:$A$190,'2. TEUs &amp; Activities - EF'!$M$9:$M$190),_xlfn.XLOOKUP($B1407,'2. TEUs &amp; Activities - EF'!$B$9:$B$190,'2. TEUs &amp; Activities - EF'!$M$9:$M$190))*'3. Pollutant Emissions - EF'!$J1407*IF(OR(ISBLANK($E1407),$G1407="Yes"),1,$E1407)*IF($H1407="Yes",1,(1-$F1407))</f>
        <v>7.2470588235294109E-5</v>
      </c>
      <c r="O1407" s="130"/>
    </row>
    <row r="1408" spans="1:15" ht="15" x14ac:dyDescent="0.25">
      <c r="A1408" s="5" t="s">
        <v>1622</v>
      </c>
      <c r="B1408" s="7"/>
      <c r="C1408" s="13" t="s">
        <v>57</v>
      </c>
      <c r="D1408" s="19" t="str">
        <f>IFERROR(IF(C1408="No CAS","",INDEX('DEQ Pollutant List'!$B$7:$B$611,MATCH('3. Pollutant Emissions - EF'!C1408,'DEQ Pollutant List'!$A$7:$A$611,0))),"")</f>
        <v>Chromium VI, chromate and dichromate particulate</v>
      </c>
      <c r="E1408" s="23">
        <v>0</v>
      </c>
      <c r="F1408" s="21">
        <v>0</v>
      </c>
      <c r="G1408" s="23" t="s">
        <v>1415</v>
      </c>
      <c r="H1408" s="21" t="s">
        <v>1415</v>
      </c>
      <c r="I1408" s="34">
        <v>1.4E-3</v>
      </c>
      <c r="J1408" s="11">
        <f t="shared" si="51"/>
        <v>1.4E-3</v>
      </c>
      <c r="K1408" s="6" t="s">
        <v>1416</v>
      </c>
      <c r="L1408" s="20" t="s">
        <v>1422</v>
      </c>
      <c r="M1408" s="7">
        <f>IF(ISBLANK($B1408),_xlfn.XLOOKUP($A1408,'2. TEUs &amp; Activities - EF'!$A$9:$A$190,'2. TEUs &amp; Activities - EF'!$J$9:$J$190),_xlfn.XLOOKUP($B1408,'2. TEUs &amp; Activities - EF'!$B$9:$B$190,'2. TEUs &amp; Activities - EF'!$J$9:$J$190))*'3. Pollutant Emissions - EF'!$I1408*IF(OR(ISBLANK($E1408),$G1408="Yes"),1,$E1408)*IF($H1408="Yes",1,(1-$F1408))</f>
        <v>3.366588235294117E-2</v>
      </c>
      <c r="N1408" s="5">
        <f>IF(ISBLANK($B1408),_xlfn.XLOOKUP($A1408,'2. TEUs &amp; Activities - EF'!$A$9:$A$190,'2. TEUs &amp; Activities - EF'!$M$9:$M$190),_xlfn.XLOOKUP($B1408,'2. TEUs &amp; Activities - EF'!$B$9:$B$190,'2. TEUs &amp; Activities - EF'!$M$9:$M$190))*'3. Pollutant Emissions - EF'!$J1408*IF(OR(ISBLANK($E1408),$G1408="Yes"),1,$E1408)*IF($H1408="Yes",1,(1-$F1408))</f>
        <v>9.223529411764704E-5</v>
      </c>
      <c r="O1408" s="130"/>
    </row>
    <row r="1409" spans="1:15" ht="15" x14ac:dyDescent="0.25">
      <c r="A1409" s="5" t="s">
        <v>1622</v>
      </c>
      <c r="B1409" s="7"/>
      <c r="C1409" s="13" t="s">
        <v>58</v>
      </c>
      <c r="D1409" s="19" t="str">
        <f>IFERROR(IF(C1409="No CAS","",INDEX('DEQ Pollutant List'!$B$7:$B$611,MATCH('3. Pollutant Emissions - EF'!C1409,'DEQ Pollutant List'!$A$7:$A$611,0))),"")</f>
        <v>Cobalt and compounds</v>
      </c>
      <c r="E1409" s="23">
        <v>0</v>
      </c>
      <c r="F1409" s="21">
        <v>0</v>
      </c>
      <c r="G1409" s="23" t="s">
        <v>1415</v>
      </c>
      <c r="H1409" s="21" t="s">
        <v>1415</v>
      </c>
      <c r="I1409" s="34">
        <v>8.3999999999999995E-5</v>
      </c>
      <c r="J1409" s="11">
        <f t="shared" si="51"/>
        <v>8.3999999999999995E-5</v>
      </c>
      <c r="K1409" s="6" t="s">
        <v>1416</v>
      </c>
      <c r="L1409" s="20" t="s">
        <v>1422</v>
      </c>
      <c r="M1409" s="7">
        <f>IF(ISBLANK($B1409),_xlfn.XLOOKUP($A1409,'2. TEUs &amp; Activities - EF'!$A$9:$A$190,'2. TEUs &amp; Activities - EF'!$J$9:$J$190),_xlfn.XLOOKUP($B1409,'2. TEUs &amp; Activities - EF'!$B$9:$B$190,'2. TEUs &amp; Activities - EF'!$J$9:$J$190))*'3. Pollutant Emissions - EF'!$I1409*IF(OR(ISBLANK($E1409),$G1409="Yes"),1,$E1409)*IF($H1409="Yes",1,(1-$F1409))</f>
        <v>2.0199529411764703E-3</v>
      </c>
      <c r="N1409" s="5">
        <f>IF(ISBLANK($B1409),_xlfn.XLOOKUP($A1409,'2. TEUs &amp; Activities - EF'!$A$9:$A$190,'2. TEUs &amp; Activities - EF'!$M$9:$M$190),_xlfn.XLOOKUP($B1409,'2. TEUs &amp; Activities - EF'!$B$9:$B$190,'2. TEUs &amp; Activities - EF'!$M$9:$M$190))*'3. Pollutant Emissions - EF'!$J1409*IF(OR(ISBLANK($E1409),$G1409="Yes"),1,$E1409)*IF($H1409="Yes",1,(1-$F1409))</f>
        <v>5.5341176470588225E-6</v>
      </c>
      <c r="O1409" s="130"/>
    </row>
    <row r="1410" spans="1:15" ht="15" x14ac:dyDescent="0.25">
      <c r="A1410" s="5" t="s">
        <v>1622</v>
      </c>
      <c r="B1410" s="7"/>
      <c r="C1410" s="13" t="s">
        <v>59</v>
      </c>
      <c r="D1410" s="19" t="str">
        <f>IFERROR(IF(C1410="No CAS","",INDEX('DEQ Pollutant List'!$B$7:$B$611,MATCH('3. Pollutant Emissions - EF'!C1410,'DEQ Pollutant List'!$A$7:$A$611,0))),"")</f>
        <v>Copper and compounds</v>
      </c>
      <c r="E1410" s="23">
        <v>0</v>
      </c>
      <c r="F1410" s="21">
        <v>0</v>
      </c>
      <c r="G1410" s="23" t="s">
        <v>1415</v>
      </c>
      <c r="H1410" s="21" t="s">
        <v>1415</v>
      </c>
      <c r="I1410" s="34">
        <v>8.4999999999999995E-4</v>
      </c>
      <c r="J1410" s="11">
        <f t="shared" si="51"/>
        <v>8.4999999999999995E-4</v>
      </c>
      <c r="K1410" s="6" t="s">
        <v>1416</v>
      </c>
      <c r="L1410" s="20" t="s">
        <v>1422</v>
      </c>
      <c r="M1410" s="7">
        <f>IF(ISBLANK($B1410),_xlfn.XLOOKUP($A1410,'2. TEUs &amp; Activities - EF'!$A$9:$A$190,'2. TEUs &amp; Activities - EF'!$J$9:$J$190),_xlfn.XLOOKUP($B1410,'2. TEUs &amp; Activities - EF'!$B$9:$B$190,'2. TEUs &amp; Activities - EF'!$J$9:$J$190))*'3. Pollutant Emissions - EF'!$I1410*IF(OR(ISBLANK($E1410),$G1410="Yes"),1,$E1410)*IF($H1410="Yes",1,(1-$F1410))</f>
        <v>2.0439999999999996E-2</v>
      </c>
      <c r="N1410" s="5">
        <f>IF(ISBLANK($B1410),_xlfn.XLOOKUP($A1410,'2. TEUs &amp; Activities - EF'!$A$9:$A$190,'2. TEUs &amp; Activities - EF'!$M$9:$M$190),_xlfn.XLOOKUP($B1410,'2. TEUs &amp; Activities - EF'!$B$9:$B$190,'2. TEUs &amp; Activities - EF'!$M$9:$M$190))*'3. Pollutant Emissions - EF'!$J1410*IF(OR(ISBLANK($E1410),$G1410="Yes"),1,$E1410)*IF($H1410="Yes",1,(1-$F1410))</f>
        <v>5.5999999999999992E-5</v>
      </c>
      <c r="O1410" s="130"/>
    </row>
    <row r="1411" spans="1:15" ht="15" x14ac:dyDescent="0.25">
      <c r="A1411" s="5" t="s">
        <v>1622</v>
      </c>
      <c r="B1411" s="7"/>
      <c r="C1411" s="13" t="s">
        <v>60</v>
      </c>
      <c r="D1411" s="19" t="str">
        <f>IFERROR(IF(C1411="No CAS","",INDEX('DEQ Pollutant List'!$B$7:$B$611,MATCH('3. Pollutant Emissions - EF'!C1411,'DEQ Pollutant List'!$A$7:$A$611,0))),"")</f>
        <v>Ethyl benzene</v>
      </c>
      <c r="E1411" s="23">
        <v>0</v>
      </c>
      <c r="F1411" s="21">
        <v>0</v>
      </c>
      <c r="G1411" s="23" t="s">
        <v>1415</v>
      </c>
      <c r="H1411" s="21" t="s">
        <v>1415</v>
      </c>
      <c r="I1411" s="34">
        <v>9.4999999999999998E-3</v>
      </c>
      <c r="J1411" s="11">
        <f t="shared" si="51"/>
        <v>9.4999999999999998E-3</v>
      </c>
      <c r="K1411" s="6" t="s">
        <v>1416</v>
      </c>
      <c r="L1411" s="20" t="s">
        <v>1422</v>
      </c>
      <c r="M1411" s="7">
        <f>IF(ISBLANK($B1411),_xlfn.XLOOKUP($A1411,'2. TEUs &amp; Activities - EF'!$A$9:$A$190,'2. TEUs &amp; Activities - EF'!$J$9:$J$190),_xlfn.XLOOKUP($B1411,'2. TEUs &amp; Activities - EF'!$B$9:$B$190,'2. TEUs &amp; Activities - EF'!$J$9:$J$190))*'3. Pollutant Emissions - EF'!$I1411*IF(OR(ISBLANK($E1411),$G1411="Yes"),1,$E1411)*IF($H1411="Yes",1,(1-$F1411))</f>
        <v>0.22844705882352936</v>
      </c>
      <c r="N1411" s="5">
        <f>IF(ISBLANK($B1411),_xlfn.XLOOKUP($A1411,'2. TEUs &amp; Activities - EF'!$A$9:$A$190,'2. TEUs &amp; Activities - EF'!$M$9:$M$190),_xlfn.XLOOKUP($B1411,'2. TEUs &amp; Activities - EF'!$B$9:$B$190,'2. TEUs &amp; Activities - EF'!$M$9:$M$190))*'3. Pollutant Emissions - EF'!$J1411*IF(OR(ISBLANK($E1411),$G1411="Yes"),1,$E1411)*IF($H1411="Yes",1,(1-$F1411))</f>
        <v>6.2588235294117642E-4</v>
      </c>
      <c r="O1411" s="130"/>
    </row>
    <row r="1412" spans="1:15" ht="15" x14ac:dyDescent="0.25">
      <c r="A1412" s="5" t="s">
        <v>1622</v>
      </c>
      <c r="B1412" s="7"/>
      <c r="C1412" s="13" t="s">
        <v>47</v>
      </c>
      <c r="D1412" s="19" t="str">
        <f>IFERROR(IF(C1412="No CAS","",INDEX('DEQ Pollutant List'!$B$7:$B$611,MATCH('3. Pollutant Emissions - EF'!C1412,'DEQ Pollutant List'!$A$7:$A$611,0))),"")</f>
        <v>Formaldehyde</v>
      </c>
      <c r="E1412" s="23">
        <v>0</v>
      </c>
      <c r="F1412" s="21">
        <v>0</v>
      </c>
      <c r="G1412" s="23" t="s">
        <v>1415</v>
      </c>
      <c r="H1412" s="21" t="s">
        <v>1415</v>
      </c>
      <c r="I1412" s="34">
        <v>1.7000000000000001E-2</v>
      </c>
      <c r="J1412" s="11">
        <f t="shared" si="51"/>
        <v>1.7000000000000001E-2</v>
      </c>
      <c r="K1412" s="6" t="s">
        <v>1416</v>
      </c>
      <c r="L1412" s="20" t="s">
        <v>1422</v>
      </c>
      <c r="M1412" s="7">
        <f>IF(ISBLANK($B1412),_xlfn.XLOOKUP($A1412,'2. TEUs &amp; Activities - EF'!$A$9:$A$190,'2. TEUs &amp; Activities - EF'!$J$9:$J$190),_xlfn.XLOOKUP($B1412,'2. TEUs &amp; Activities - EF'!$B$9:$B$190,'2. TEUs &amp; Activities - EF'!$J$9:$J$190))*'3. Pollutant Emissions - EF'!$I1412*IF(OR(ISBLANK($E1412),$G1412="Yes"),1,$E1412)*IF($H1412="Yes",1,(1-$F1412))</f>
        <v>0.40879999999999994</v>
      </c>
      <c r="N1412" s="5">
        <f>IF(ISBLANK($B1412),_xlfn.XLOOKUP($A1412,'2. TEUs &amp; Activities - EF'!$A$9:$A$190,'2. TEUs &amp; Activities - EF'!$M$9:$M$190),_xlfn.XLOOKUP($B1412,'2. TEUs &amp; Activities - EF'!$B$9:$B$190,'2. TEUs &amp; Activities - EF'!$M$9:$M$190))*'3. Pollutant Emissions - EF'!$J1412*IF(OR(ISBLANK($E1412),$G1412="Yes"),1,$E1412)*IF($H1412="Yes",1,(1-$F1412))</f>
        <v>1.1199999999999999E-3</v>
      </c>
      <c r="O1412" s="130"/>
    </row>
    <row r="1413" spans="1:15" ht="15" x14ac:dyDescent="0.25">
      <c r="A1413" s="5" t="s">
        <v>1622</v>
      </c>
      <c r="B1413" s="7"/>
      <c r="C1413" s="13" t="s">
        <v>61</v>
      </c>
      <c r="D1413" s="19" t="str">
        <f>IFERROR(IF(C1413="No CAS","",INDEX('DEQ Pollutant List'!$B$7:$B$611,MATCH('3. Pollutant Emissions - EF'!C1413,'DEQ Pollutant List'!$A$7:$A$611,0))),"")</f>
        <v>Hexane</v>
      </c>
      <c r="E1413" s="23">
        <v>0</v>
      </c>
      <c r="F1413" s="21">
        <v>0</v>
      </c>
      <c r="G1413" s="23" t="s">
        <v>1415</v>
      </c>
      <c r="H1413" s="21" t="s">
        <v>1415</v>
      </c>
      <c r="I1413" s="34">
        <v>6.3E-3</v>
      </c>
      <c r="J1413" s="11">
        <f t="shared" si="51"/>
        <v>6.3E-3</v>
      </c>
      <c r="K1413" s="6" t="s">
        <v>1416</v>
      </c>
      <c r="L1413" s="20" t="s">
        <v>1422</v>
      </c>
      <c r="M1413" s="7">
        <f>IF(ISBLANK($B1413),_xlfn.XLOOKUP($A1413,'2. TEUs &amp; Activities - EF'!$A$9:$A$190,'2. TEUs &amp; Activities - EF'!$J$9:$J$190),_xlfn.XLOOKUP($B1413,'2. TEUs &amp; Activities - EF'!$B$9:$B$190,'2. TEUs &amp; Activities - EF'!$J$9:$J$190))*'3. Pollutant Emissions - EF'!$I1413*IF(OR(ISBLANK($E1413),$G1413="Yes"),1,$E1413)*IF($H1413="Yes",1,(1-$F1413))</f>
        <v>0.15149647058823526</v>
      </c>
      <c r="N1413" s="5">
        <f>IF(ISBLANK($B1413),_xlfn.XLOOKUP($A1413,'2. TEUs &amp; Activities - EF'!$A$9:$A$190,'2. TEUs &amp; Activities - EF'!$M$9:$M$190),_xlfn.XLOOKUP($B1413,'2. TEUs &amp; Activities - EF'!$B$9:$B$190,'2. TEUs &amp; Activities - EF'!$M$9:$M$190))*'3. Pollutant Emissions - EF'!$J1413*IF(OR(ISBLANK($E1413),$G1413="Yes"),1,$E1413)*IF($H1413="Yes",1,(1-$F1413))</f>
        <v>4.1505882352941171E-4</v>
      </c>
      <c r="O1413" s="130"/>
    </row>
    <row r="1414" spans="1:15" ht="15" x14ac:dyDescent="0.25">
      <c r="A1414" s="5" t="s">
        <v>1622</v>
      </c>
      <c r="B1414" s="7"/>
      <c r="C1414" s="13" t="s">
        <v>62</v>
      </c>
      <c r="D1414" s="19" t="str">
        <f>IFERROR(IF(C1414="No CAS","",INDEX('DEQ Pollutant List'!$B$7:$B$611,MATCH('3. Pollutant Emissions - EF'!C1414,'DEQ Pollutant List'!$A$7:$A$611,0))),"")</f>
        <v>Lead and compounds</v>
      </c>
      <c r="E1414" s="23">
        <v>0</v>
      </c>
      <c r="F1414" s="21">
        <v>0</v>
      </c>
      <c r="G1414" s="23" t="s">
        <v>1415</v>
      </c>
      <c r="H1414" s="21" t="s">
        <v>1415</v>
      </c>
      <c r="I1414" s="34">
        <v>5.0000000000000001E-4</v>
      </c>
      <c r="J1414" s="11">
        <f t="shared" si="51"/>
        <v>5.0000000000000001E-4</v>
      </c>
      <c r="K1414" s="6" t="s">
        <v>1416</v>
      </c>
      <c r="L1414" s="20" t="s">
        <v>1422</v>
      </c>
      <c r="M1414" s="7">
        <f>IF(ISBLANK($B1414),_xlfn.XLOOKUP($A1414,'2. TEUs &amp; Activities - EF'!$A$9:$A$190,'2. TEUs &amp; Activities - EF'!$J$9:$J$190),_xlfn.XLOOKUP($B1414,'2. TEUs &amp; Activities - EF'!$B$9:$B$190,'2. TEUs &amp; Activities - EF'!$J$9:$J$190))*'3. Pollutant Emissions - EF'!$I1414*IF(OR(ISBLANK($E1414),$G1414="Yes"),1,$E1414)*IF($H1414="Yes",1,(1-$F1414))</f>
        <v>1.2023529411764704E-2</v>
      </c>
      <c r="N1414" s="5">
        <f>IF(ISBLANK($B1414),_xlfn.XLOOKUP($A1414,'2. TEUs &amp; Activities - EF'!$A$9:$A$190,'2. TEUs &amp; Activities - EF'!$M$9:$M$190),_xlfn.XLOOKUP($B1414,'2. TEUs &amp; Activities - EF'!$B$9:$B$190,'2. TEUs &amp; Activities - EF'!$M$9:$M$190))*'3. Pollutant Emissions - EF'!$J1414*IF(OR(ISBLANK($E1414),$G1414="Yes"),1,$E1414)*IF($H1414="Yes",1,(1-$F1414))</f>
        <v>3.2941176470588232E-5</v>
      </c>
      <c r="O1414" s="130"/>
    </row>
    <row r="1415" spans="1:15" ht="15" x14ac:dyDescent="0.25">
      <c r="A1415" s="5" t="s">
        <v>1622</v>
      </c>
      <c r="B1415" s="7"/>
      <c r="C1415" s="13" t="s">
        <v>63</v>
      </c>
      <c r="D1415" s="19" t="str">
        <f>IFERROR(IF(C1415="No CAS","",INDEX('DEQ Pollutant List'!$B$7:$B$611,MATCH('3. Pollutant Emissions - EF'!C1415,'DEQ Pollutant List'!$A$7:$A$611,0))),"")</f>
        <v>Manganese and compounds</v>
      </c>
      <c r="E1415" s="23">
        <v>0</v>
      </c>
      <c r="F1415" s="21">
        <v>0</v>
      </c>
      <c r="G1415" s="23" t="s">
        <v>1415</v>
      </c>
      <c r="H1415" s="21" t="s">
        <v>1415</v>
      </c>
      <c r="I1415" s="34">
        <v>3.8000000000000002E-4</v>
      </c>
      <c r="J1415" s="11">
        <f t="shared" si="51"/>
        <v>3.8000000000000002E-4</v>
      </c>
      <c r="K1415" s="6" t="s">
        <v>1416</v>
      </c>
      <c r="L1415" s="20" t="s">
        <v>1422</v>
      </c>
      <c r="M1415" s="7">
        <f>IF(ISBLANK($B1415),_xlfn.XLOOKUP($A1415,'2. TEUs &amp; Activities - EF'!$A$9:$A$190,'2. TEUs &amp; Activities - EF'!$J$9:$J$190),_xlfn.XLOOKUP($B1415,'2. TEUs &amp; Activities - EF'!$B$9:$B$190,'2. TEUs &amp; Activities - EF'!$J$9:$J$190))*'3. Pollutant Emissions - EF'!$I1415*IF(OR(ISBLANK($E1415),$G1415="Yes"),1,$E1415)*IF($H1415="Yes",1,(1-$F1415))</f>
        <v>9.1378823529411762E-3</v>
      </c>
      <c r="N1415" s="5">
        <f>IF(ISBLANK($B1415),_xlfn.XLOOKUP($A1415,'2. TEUs &amp; Activities - EF'!$A$9:$A$190,'2. TEUs &amp; Activities - EF'!$M$9:$M$190),_xlfn.XLOOKUP($B1415,'2. TEUs &amp; Activities - EF'!$B$9:$B$190,'2. TEUs &amp; Activities - EF'!$M$9:$M$190))*'3. Pollutant Emissions - EF'!$J1415*IF(OR(ISBLANK($E1415),$G1415="Yes"),1,$E1415)*IF($H1415="Yes",1,(1-$F1415))</f>
        <v>2.5035294117647056E-5</v>
      </c>
      <c r="O1415" s="130"/>
    </row>
    <row r="1416" spans="1:15" ht="15" x14ac:dyDescent="0.25">
      <c r="A1416" s="5" t="s">
        <v>1622</v>
      </c>
      <c r="B1416" s="7"/>
      <c r="C1416" s="13" t="s">
        <v>64</v>
      </c>
      <c r="D1416" s="19" t="str">
        <f>IFERROR(IF(C1416="No CAS","",INDEX('DEQ Pollutant List'!$B$7:$B$611,MATCH('3. Pollutant Emissions - EF'!C1416,'DEQ Pollutant List'!$A$7:$A$611,0))),"")</f>
        <v>Mercury and compounds</v>
      </c>
      <c r="E1416" s="23">
        <v>0</v>
      </c>
      <c r="F1416" s="21">
        <v>0</v>
      </c>
      <c r="G1416" s="23" t="s">
        <v>1415</v>
      </c>
      <c r="H1416" s="21" t="s">
        <v>1415</v>
      </c>
      <c r="I1416" s="34">
        <v>2.5999999999999998E-4</v>
      </c>
      <c r="J1416" s="11">
        <f t="shared" si="51"/>
        <v>2.5999999999999998E-4</v>
      </c>
      <c r="K1416" s="6" t="s">
        <v>1416</v>
      </c>
      <c r="L1416" s="20" t="s">
        <v>1422</v>
      </c>
      <c r="M1416" s="7">
        <f>IF(ISBLANK($B1416),_xlfn.XLOOKUP($A1416,'2. TEUs &amp; Activities - EF'!$A$9:$A$190,'2. TEUs &amp; Activities - EF'!$J$9:$J$190),_xlfn.XLOOKUP($B1416,'2. TEUs &amp; Activities - EF'!$B$9:$B$190,'2. TEUs &amp; Activities - EF'!$J$9:$J$190))*'3. Pollutant Emissions - EF'!$I1416*IF(OR(ISBLANK($E1416),$G1416="Yes"),1,$E1416)*IF($H1416="Yes",1,(1-$F1416))</f>
        <v>6.2522352941176453E-3</v>
      </c>
      <c r="N1416" s="5">
        <f>IF(ISBLANK($B1416),_xlfn.XLOOKUP($A1416,'2. TEUs &amp; Activities - EF'!$A$9:$A$190,'2. TEUs &amp; Activities - EF'!$M$9:$M$190),_xlfn.XLOOKUP($B1416,'2. TEUs &amp; Activities - EF'!$B$9:$B$190,'2. TEUs &amp; Activities - EF'!$M$9:$M$190))*'3. Pollutant Emissions - EF'!$J1416*IF(OR(ISBLANK($E1416),$G1416="Yes"),1,$E1416)*IF($H1416="Yes",1,(1-$F1416))</f>
        <v>1.7129411764705877E-5</v>
      </c>
      <c r="O1416" s="130"/>
    </row>
    <row r="1417" spans="1:15" ht="15" x14ac:dyDescent="0.25">
      <c r="A1417" s="5" t="s">
        <v>1622</v>
      </c>
      <c r="B1417" s="7"/>
      <c r="C1417" s="13" t="s">
        <v>65</v>
      </c>
      <c r="D1417" s="19" t="str">
        <f>IFERROR(IF(C1417="No CAS","",INDEX('DEQ Pollutant List'!$B$7:$B$611,MATCH('3. Pollutant Emissions - EF'!C1417,'DEQ Pollutant List'!$A$7:$A$611,0))),"")</f>
        <v>Molybdenum trioxide</v>
      </c>
      <c r="E1417" s="23">
        <v>0</v>
      </c>
      <c r="F1417" s="21">
        <v>0</v>
      </c>
      <c r="G1417" s="23" t="s">
        <v>1415</v>
      </c>
      <c r="H1417" s="21" t="s">
        <v>1415</v>
      </c>
      <c r="I1417" s="34">
        <v>1.65E-3</v>
      </c>
      <c r="J1417" s="11">
        <f t="shared" si="51"/>
        <v>1.65E-3</v>
      </c>
      <c r="K1417" s="6" t="s">
        <v>1416</v>
      </c>
      <c r="L1417" s="20" t="s">
        <v>1422</v>
      </c>
      <c r="M1417" s="7">
        <f>IF(ISBLANK($B1417),_xlfn.XLOOKUP($A1417,'2. TEUs &amp; Activities - EF'!$A$9:$A$190,'2. TEUs &amp; Activities - EF'!$J$9:$J$190),_xlfn.XLOOKUP($B1417,'2. TEUs &amp; Activities - EF'!$B$9:$B$190,'2. TEUs &amp; Activities - EF'!$J$9:$J$190))*'3. Pollutant Emissions - EF'!$I1417*IF(OR(ISBLANK($E1417),$G1417="Yes"),1,$E1417)*IF($H1417="Yes",1,(1-$F1417))</f>
        <v>3.9677647058823526E-2</v>
      </c>
      <c r="N1417" s="5">
        <f>IF(ISBLANK($B1417),_xlfn.XLOOKUP($A1417,'2. TEUs &amp; Activities - EF'!$A$9:$A$190,'2. TEUs &amp; Activities - EF'!$M$9:$M$190),_xlfn.XLOOKUP($B1417,'2. TEUs &amp; Activities - EF'!$B$9:$B$190,'2. TEUs &amp; Activities - EF'!$M$9:$M$190))*'3. Pollutant Emissions - EF'!$J1417*IF(OR(ISBLANK($E1417),$G1417="Yes"),1,$E1417)*IF($H1417="Yes",1,(1-$F1417))</f>
        <v>1.0870588235294116E-4</v>
      </c>
      <c r="O1417" s="130"/>
    </row>
    <row r="1418" spans="1:15" ht="15" x14ac:dyDescent="0.25">
      <c r="A1418" s="5" t="s">
        <v>1622</v>
      </c>
      <c r="B1418" s="7"/>
      <c r="C1418" s="13" t="s">
        <v>49</v>
      </c>
      <c r="D1418" s="19" t="str">
        <f>IFERROR(IF(C1418="No CAS","",INDEX('DEQ Pollutant List'!$B$7:$B$611,MATCH('3. Pollutant Emissions - EF'!C1418,'DEQ Pollutant List'!$A$7:$A$611,0))),"")</f>
        <v>Naphthalene</v>
      </c>
      <c r="E1418" s="23">
        <v>0</v>
      </c>
      <c r="F1418" s="21">
        <v>0</v>
      </c>
      <c r="G1418" s="23" t="s">
        <v>1415</v>
      </c>
      <c r="H1418" s="21" t="s">
        <v>1415</v>
      </c>
      <c r="I1418" s="34">
        <v>2.9999999999999997E-4</v>
      </c>
      <c r="J1418" s="11">
        <f t="shared" si="51"/>
        <v>2.9999999999999997E-4</v>
      </c>
      <c r="K1418" s="6" t="s">
        <v>1416</v>
      </c>
      <c r="L1418" s="20" t="s">
        <v>1422</v>
      </c>
      <c r="M1418" s="7">
        <f>IF(ISBLANK($B1418),_xlfn.XLOOKUP($A1418,'2. TEUs &amp; Activities - EF'!$A$9:$A$190,'2. TEUs &amp; Activities - EF'!$J$9:$J$190),_xlfn.XLOOKUP($B1418,'2. TEUs &amp; Activities - EF'!$B$9:$B$190,'2. TEUs &amp; Activities - EF'!$J$9:$J$190))*'3. Pollutant Emissions - EF'!$I1418*IF(OR(ISBLANK($E1418),$G1418="Yes"),1,$E1418)*IF($H1418="Yes",1,(1-$F1418))</f>
        <v>7.2141176470588214E-3</v>
      </c>
      <c r="N1418" s="5">
        <f>IF(ISBLANK($B1418),_xlfn.XLOOKUP($A1418,'2. TEUs &amp; Activities - EF'!$A$9:$A$190,'2. TEUs &amp; Activities - EF'!$M$9:$M$190),_xlfn.XLOOKUP($B1418,'2. TEUs &amp; Activities - EF'!$B$9:$B$190,'2. TEUs &amp; Activities - EF'!$M$9:$M$190))*'3. Pollutant Emissions - EF'!$J1418*IF(OR(ISBLANK($E1418),$G1418="Yes"),1,$E1418)*IF($H1418="Yes",1,(1-$F1418))</f>
        <v>1.9764705882352938E-5</v>
      </c>
      <c r="O1418" s="130"/>
    </row>
    <row r="1419" spans="1:15" ht="15" x14ac:dyDescent="0.25">
      <c r="A1419" s="5" t="s">
        <v>1622</v>
      </c>
      <c r="B1419" s="7"/>
      <c r="C1419" s="13" t="s">
        <v>66</v>
      </c>
      <c r="D1419" s="19" t="str">
        <f>IFERROR(IF(C1419="No CAS","",INDEX('DEQ Pollutant List'!$B$7:$B$611,MATCH('3. Pollutant Emissions - EF'!C1419,'DEQ Pollutant List'!$A$7:$A$611,0))),"")</f>
        <v>Nickel and compounds</v>
      </c>
      <c r="E1419" s="23">
        <v>0</v>
      </c>
      <c r="F1419" s="21">
        <v>0</v>
      </c>
      <c r="G1419" s="23" t="s">
        <v>1415</v>
      </c>
      <c r="H1419" s="21" t="s">
        <v>1415</v>
      </c>
      <c r="I1419" s="34">
        <v>2.0999999999999999E-3</v>
      </c>
      <c r="J1419" s="11">
        <f t="shared" si="51"/>
        <v>2.0999999999999999E-3</v>
      </c>
      <c r="K1419" s="6" t="s">
        <v>1416</v>
      </c>
      <c r="L1419" s="20" t="s">
        <v>1422</v>
      </c>
      <c r="M1419" s="7">
        <f>IF(ISBLANK($B1419),_xlfn.XLOOKUP($A1419,'2. TEUs &amp; Activities - EF'!$A$9:$A$190,'2. TEUs &amp; Activities - EF'!$J$9:$J$190),_xlfn.XLOOKUP($B1419,'2. TEUs &amp; Activities - EF'!$B$9:$B$190,'2. TEUs &amp; Activities - EF'!$J$9:$J$190))*'3. Pollutant Emissions - EF'!$I1419*IF(OR(ISBLANK($E1419),$G1419="Yes"),1,$E1419)*IF($H1419="Yes",1,(1-$F1419))</f>
        <v>5.0498823529411756E-2</v>
      </c>
      <c r="N1419" s="5">
        <f>IF(ISBLANK($B1419),_xlfn.XLOOKUP($A1419,'2. TEUs &amp; Activities - EF'!$A$9:$A$190,'2. TEUs &amp; Activities - EF'!$M$9:$M$190),_xlfn.XLOOKUP($B1419,'2. TEUs &amp; Activities - EF'!$B$9:$B$190,'2. TEUs &amp; Activities - EF'!$M$9:$M$190))*'3. Pollutant Emissions - EF'!$J1419*IF(OR(ISBLANK($E1419),$G1419="Yes"),1,$E1419)*IF($H1419="Yes",1,(1-$F1419))</f>
        <v>1.3835294117647056E-4</v>
      </c>
      <c r="O1419" s="130"/>
    </row>
    <row r="1420" spans="1:15" ht="15" x14ac:dyDescent="0.25">
      <c r="A1420" s="5" t="s">
        <v>1622</v>
      </c>
      <c r="B1420" s="7"/>
      <c r="C1420" s="13">
        <v>401</v>
      </c>
      <c r="D1420" s="19" t="str">
        <f>IFERROR(IF(C1420="No CAS","",INDEX('DEQ Pollutant List'!$B$7:$B$611,MATCH('3. Pollutant Emissions - EF'!C1420,'DEQ Pollutant List'!$A$7:$A$611,0))),"")</f>
        <v>Polycyclic aromatic hydrocarbons (PAHs)</v>
      </c>
      <c r="E1420" s="23">
        <v>0</v>
      </c>
      <c r="F1420" s="21">
        <v>0</v>
      </c>
      <c r="G1420" s="23" t="s">
        <v>1415</v>
      </c>
      <c r="H1420" s="21" t="s">
        <v>1415</v>
      </c>
      <c r="I1420" s="34">
        <v>1E-4</v>
      </c>
      <c r="J1420" s="11">
        <f t="shared" si="51"/>
        <v>1E-4</v>
      </c>
      <c r="K1420" s="6" t="s">
        <v>1416</v>
      </c>
      <c r="L1420" s="20" t="s">
        <v>1422</v>
      </c>
      <c r="M1420" s="7">
        <f>IF(ISBLANK($B1420),_xlfn.XLOOKUP($A1420,'2. TEUs &amp; Activities - EF'!$A$9:$A$190,'2. TEUs &amp; Activities - EF'!$J$9:$J$190),_xlfn.XLOOKUP($B1420,'2. TEUs &amp; Activities - EF'!$B$9:$B$190,'2. TEUs &amp; Activities - EF'!$J$9:$J$190))*'3. Pollutant Emissions - EF'!$I1420*IF(OR(ISBLANK($E1420),$G1420="Yes"),1,$E1420)*IF($H1420="Yes",1,(1-$F1420))</f>
        <v>2.4047058823529407E-3</v>
      </c>
      <c r="N1420" s="5">
        <f>IF(ISBLANK($B1420),_xlfn.XLOOKUP($A1420,'2. TEUs &amp; Activities - EF'!$A$9:$A$190,'2. TEUs &amp; Activities - EF'!$M$9:$M$190),_xlfn.XLOOKUP($B1420,'2. TEUs &amp; Activities - EF'!$B$9:$B$190,'2. TEUs &amp; Activities - EF'!$M$9:$M$190))*'3. Pollutant Emissions - EF'!$J1420*IF(OR(ISBLANK($E1420),$G1420="Yes"),1,$E1420)*IF($H1420="Yes",1,(1-$F1420))</f>
        <v>6.5882352941176463E-6</v>
      </c>
      <c r="O1420" s="130"/>
    </row>
    <row r="1421" spans="1:15" ht="15" x14ac:dyDescent="0.25">
      <c r="A1421" s="5" t="s">
        <v>1622</v>
      </c>
      <c r="B1421" s="7"/>
      <c r="C1421" s="13" t="s">
        <v>67</v>
      </c>
      <c r="D1421" s="19" t="str">
        <f>IFERROR(IF(C1421="No CAS","",INDEX('DEQ Pollutant List'!$B$7:$B$611,MATCH('3. Pollutant Emissions - EF'!C1421,'DEQ Pollutant List'!$A$7:$A$611,0))),"")</f>
        <v>Selenium and compounds</v>
      </c>
      <c r="E1421" s="23">
        <v>0</v>
      </c>
      <c r="F1421" s="21">
        <v>0</v>
      </c>
      <c r="G1421" s="23" t="s">
        <v>1415</v>
      </c>
      <c r="H1421" s="21" t="s">
        <v>1415</v>
      </c>
      <c r="I1421" s="34">
        <v>2.4000000000000001E-5</v>
      </c>
      <c r="J1421" s="11">
        <f t="shared" si="51"/>
        <v>2.4000000000000001E-5</v>
      </c>
      <c r="K1421" s="6" t="s">
        <v>1416</v>
      </c>
      <c r="L1421" s="20" t="s">
        <v>1422</v>
      </c>
      <c r="M1421" s="7">
        <f>IF(ISBLANK($B1421),_xlfn.XLOOKUP($A1421,'2. TEUs &amp; Activities - EF'!$A$9:$A$190,'2. TEUs &amp; Activities - EF'!$J$9:$J$190),_xlfn.XLOOKUP($B1421,'2. TEUs &amp; Activities - EF'!$B$9:$B$190,'2. TEUs &amp; Activities - EF'!$J$9:$J$190))*'3. Pollutant Emissions - EF'!$I1421*IF(OR(ISBLANK($E1421),$G1421="Yes"),1,$E1421)*IF($H1421="Yes",1,(1-$F1421))</f>
        <v>5.7712941176470578E-4</v>
      </c>
      <c r="N1421" s="5">
        <f>IF(ISBLANK($B1421),_xlfn.XLOOKUP($A1421,'2. TEUs &amp; Activities - EF'!$A$9:$A$190,'2. TEUs &amp; Activities - EF'!$M$9:$M$190),_xlfn.XLOOKUP($B1421,'2. TEUs &amp; Activities - EF'!$B$9:$B$190,'2. TEUs &amp; Activities - EF'!$M$9:$M$190))*'3. Pollutant Emissions - EF'!$J1421*IF(OR(ISBLANK($E1421),$G1421="Yes"),1,$E1421)*IF($H1421="Yes",1,(1-$F1421))</f>
        <v>1.5811764705882351E-6</v>
      </c>
      <c r="O1421" s="130"/>
    </row>
    <row r="1422" spans="1:15" ht="15" x14ac:dyDescent="0.25">
      <c r="A1422" s="5" t="s">
        <v>1622</v>
      </c>
      <c r="B1422" s="7"/>
      <c r="C1422" s="13" t="s">
        <v>68</v>
      </c>
      <c r="D1422" s="19" t="str">
        <f>IFERROR(IF(C1422="No CAS","",INDEX('DEQ Pollutant List'!$B$7:$B$611,MATCH('3. Pollutant Emissions - EF'!C1422,'DEQ Pollutant List'!$A$7:$A$611,0))),"")</f>
        <v>Toluene</v>
      </c>
      <c r="E1422" s="23">
        <v>0</v>
      </c>
      <c r="F1422" s="21">
        <v>0</v>
      </c>
      <c r="G1422" s="23" t="s">
        <v>1415</v>
      </c>
      <c r="H1422" s="21" t="s">
        <v>1415</v>
      </c>
      <c r="I1422" s="34">
        <v>3.6600000000000001E-2</v>
      </c>
      <c r="J1422" s="11">
        <f t="shared" si="51"/>
        <v>3.6600000000000001E-2</v>
      </c>
      <c r="K1422" s="6" t="s">
        <v>1416</v>
      </c>
      <c r="L1422" s="20" t="s">
        <v>1422</v>
      </c>
      <c r="M1422" s="7">
        <f>IF(ISBLANK($B1422),_xlfn.XLOOKUP($A1422,'2. TEUs &amp; Activities - EF'!$A$9:$A$190,'2. TEUs &amp; Activities - EF'!$J$9:$J$190),_xlfn.XLOOKUP($B1422,'2. TEUs &amp; Activities - EF'!$B$9:$B$190,'2. TEUs &amp; Activities - EF'!$J$9:$J$190))*'3. Pollutant Emissions - EF'!$I1422*IF(OR(ISBLANK($E1422),$G1422="Yes"),1,$E1422)*IF($H1422="Yes",1,(1-$F1422))</f>
        <v>0.88012235294117636</v>
      </c>
      <c r="N1422" s="5">
        <f>IF(ISBLANK($B1422),_xlfn.XLOOKUP($A1422,'2. TEUs &amp; Activities - EF'!$A$9:$A$190,'2. TEUs &amp; Activities - EF'!$M$9:$M$190),_xlfn.XLOOKUP($B1422,'2. TEUs &amp; Activities - EF'!$B$9:$B$190,'2. TEUs &amp; Activities - EF'!$M$9:$M$190))*'3. Pollutant Emissions - EF'!$J1422*IF(OR(ISBLANK($E1422),$G1422="Yes"),1,$E1422)*IF($H1422="Yes",1,(1-$F1422))</f>
        <v>2.4112941176470584E-3</v>
      </c>
      <c r="O1422" s="130"/>
    </row>
    <row r="1423" spans="1:15" ht="15" x14ac:dyDescent="0.25">
      <c r="A1423" s="5" t="s">
        <v>1622</v>
      </c>
      <c r="B1423" s="7"/>
      <c r="C1423" s="13" t="s">
        <v>69</v>
      </c>
      <c r="D1423" s="19" t="str">
        <f>IFERROR(IF(C1423="No CAS","",INDEX('DEQ Pollutant List'!$B$7:$B$611,MATCH('3. Pollutant Emissions - EF'!C1423,'DEQ Pollutant List'!$A$7:$A$611,0))),"")</f>
        <v>Vanadium (fume or dust)</v>
      </c>
      <c r="E1423" s="23">
        <v>0</v>
      </c>
      <c r="F1423" s="21">
        <v>0</v>
      </c>
      <c r="G1423" s="23" t="s">
        <v>1415</v>
      </c>
      <c r="H1423" s="21" t="s">
        <v>1415</v>
      </c>
      <c r="I1423" s="34">
        <v>2.3E-3</v>
      </c>
      <c r="J1423" s="11">
        <f t="shared" si="51"/>
        <v>2.3E-3</v>
      </c>
      <c r="K1423" s="6" t="s">
        <v>1416</v>
      </c>
      <c r="L1423" s="20" t="s">
        <v>1422</v>
      </c>
      <c r="M1423" s="7">
        <f>IF(ISBLANK($B1423),_xlfn.XLOOKUP($A1423,'2. TEUs &amp; Activities - EF'!$A$9:$A$190,'2. TEUs &amp; Activities - EF'!$J$9:$J$190),_xlfn.XLOOKUP($B1423,'2. TEUs &amp; Activities - EF'!$B$9:$B$190,'2. TEUs &amp; Activities - EF'!$J$9:$J$190))*'3. Pollutant Emissions - EF'!$I1423*IF(OR(ISBLANK($E1423),$G1423="Yes"),1,$E1423)*IF($H1423="Yes",1,(1-$F1423))</f>
        <v>5.5308235294117637E-2</v>
      </c>
      <c r="N1423" s="5">
        <f>IF(ISBLANK($B1423),_xlfn.XLOOKUP($A1423,'2. TEUs &amp; Activities - EF'!$A$9:$A$190,'2. TEUs &amp; Activities - EF'!$M$9:$M$190),_xlfn.XLOOKUP($B1423,'2. TEUs &amp; Activities - EF'!$B$9:$B$190,'2. TEUs &amp; Activities - EF'!$M$9:$M$190))*'3. Pollutant Emissions - EF'!$J1423*IF(OR(ISBLANK($E1423),$G1423="Yes"),1,$E1423)*IF($H1423="Yes",1,(1-$F1423))</f>
        <v>1.5152941176470585E-4</v>
      </c>
      <c r="O1423" s="130"/>
    </row>
    <row r="1424" spans="1:15" ht="15" x14ac:dyDescent="0.25">
      <c r="A1424" s="5" t="s">
        <v>1622</v>
      </c>
      <c r="B1424" s="7"/>
      <c r="C1424" s="13" t="s">
        <v>70</v>
      </c>
      <c r="D1424" s="19" t="str">
        <f>IFERROR(IF(C1424="No CAS","",INDEX('DEQ Pollutant List'!$B$7:$B$611,MATCH('3. Pollutant Emissions - EF'!C1424,'DEQ Pollutant List'!$A$7:$A$611,0))),"")</f>
        <v>Xylene (mixture), including m-xylene, o-xylene, p-xylene</v>
      </c>
      <c r="E1424" s="23">
        <v>0</v>
      </c>
      <c r="F1424" s="21">
        <v>0</v>
      </c>
      <c r="G1424" s="23" t="s">
        <v>1415</v>
      </c>
      <c r="H1424" s="21" t="s">
        <v>1415</v>
      </c>
      <c r="I1424" s="34">
        <v>2.7199999999999998E-2</v>
      </c>
      <c r="J1424" s="11">
        <f t="shared" si="51"/>
        <v>2.7199999999999998E-2</v>
      </c>
      <c r="K1424" s="6" t="s">
        <v>1416</v>
      </c>
      <c r="L1424" s="20" t="s">
        <v>1422</v>
      </c>
      <c r="M1424" s="7">
        <f>IF(ISBLANK($B1424),_xlfn.XLOOKUP($A1424,'2. TEUs &amp; Activities - EF'!$A$9:$A$190,'2. TEUs &amp; Activities - EF'!$J$9:$J$190),_xlfn.XLOOKUP($B1424,'2. TEUs &amp; Activities - EF'!$B$9:$B$190,'2. TEUs &amp; Activities - EF'!$J$9:$J$190))*'3. Pollutant Emissions - EF'!$I1424*IF(OR(ISBLANK($E1424),$G1424="Yes"),1,$E1424)*IF($H1424="Yes",1,(1-$F1424))</f>
        <v>0.65407999999999988</v>
      </c>
      <c r="N1424" s="5">
        <f>IF(ISBLANK($B1424),_xlfn.XLOOKUP($A1424,'2. TEUs &amp; Activities - EF'!$A$9:$A$190,'2. TEUs &amp; Activities - EF'!$M$9:$M$190),_xlfn.XLOOKUP($B1424,'2. TEUs &amp; Activities - EF'!$B$9:$B$190,'2. TEUs &amp; Activities - EF'!$M$9:$M$190))*'3. Pollutant Emissions - EF'!$J1424*IF(OR(ISBLANK($E1424),$G1424="Yes"),1,$E1424)*IF($H1424="Yes",1,(1-$F1424))</f>
        <v>1.7919999999999998E-3</v>
      </c>
      <c r="O1424" s="130"/>
    </row>
    <row r="1425" spans="1:15" ht="15" x14ac:dyDescent="0.25">
      <c r="A1425" s="5" t="s">
        <v>1622</v>
      </c>
      <c r="B1425" s="7"/>
      <c r="C1425" s="13" t="s">
        <v>71</v>
      </c>
      <c r="D1425" s="19" t="str">
        <f>IFERROR(IF(C1425="No CAS","",INDEX('DEQ Pollutant List'!$B$7:$B$611,MATCH('3. Pollutant Emissions - EF'!C1425,'DEQ Pollutant List'!$A$7:$A$611,0))),"")</f>
        <v>Zinc and compounds</v>
      </c>
      <c r="E1425" s="23">
        <v>0</v>
      </c>
      <c r="F1425" s="21">
        <v>0</v>
      </c>
      <c r="G1425" s="23" t="s">
        <v>1415</v>
      </c>
      <c r="H1425" s="21" t="s">
        <v>1415</v>
      </c>
      <c r="I1425" s="34">
        <v>2.9000000000000001E-2</v>
      </c>
      <c r="J1425" s="11">
        <f t="shared" si="51"/>
        <v>2.9000000000000001E-2</v>
      </c>
      <c r="K1425" s="6" t="s">
        <v>1416</v>
      </c>
      <c r="L1425" s="20" t="s">
        <v>1422</v>
      </c>
      <c r="M1425" s="7">
        <f>IF(ISBLANK($B1425),_xlfn.XLOOKUP($A1425,'2. TEUs &amp; Activities - EF'!$A$9:$A$190,'2. TEUs &amp; Activities - EF'!$J$9:$J$190),_xlfn.XLOOKUP($B1425,'2. TEUs &amp; Activities - EF'!$B$9:$B$190,'2. TEUs &amp; Activities - EF'!$J$9:$J$190))*'3. Pollutant Emissions - EF'!$I1425*IF(OR(ISBLANK($E1425),$G1425="Yes"),1,$E1425)*IF($H1425="Yes",1,(1-$F1425))</f>
        <v>0.69736470588235289</v>
      </c>
      <c r="N1425" s="5">
        <f>IF(ISBLANK($B1425),_xlfn.XLOOKUP($A1425,'2. TEUs &amp; Activities - EF'!$A$9:$A$190,'2. TEUs &amp; Activities - EF'!$M$9:$M$190),_xlfn.XLOOKUP($B1425,'2. TEUs &amp; Activities - EF'!$B$9:$B$190,'2. TEUs &amp; Activities - EF'!$M$9:$M$190))*'3. Pollutant Emissions - EF'!$J1425*IF(OR(ISBLANK($E1425),$G1425="Yes"),1,$E1425)*IF($H1425="Yes",1,(1-$F1425))</f>
        <v>1.9105882352941175E-3</v>
      </c>
      <c r="O1425" s="130"/>
    </row>
    <row r="1426" spans="1:15" ht="15" x14ac:dyDescent="0.25">
      <c r="A1426" s="5"/>
      <c r="B1426" s="7"/>
      <c r="C1426" s="13"/>
      <c r="D1426" s="19" t="str">
        <f>IFERROR(IF(C1426="No CAS","",INDEX('DEQ Pollutant List'!$B$7:$B$611,MATCH('3. Pollutant Emissions - EF'!C1426,'DEQ Pollutant List'!$A$7:$A$611,0))),"")</f>
        <v/>
      </c>
      <c r="E1426" s="23"/>
      <c r="F1426" s="21"/>
      <c r="G1426" s="23"/>
      <c r="H1426" s="21"/>
      <c r="I1426" s="34"/>
      <c r="J1426" s="11"/>
      <c r="K1426" s="6"/>
      <c r="L1426" s="20"/>
      <c r="M1426" s="7">
        <f>IF(ISBLANK($B1426),_xlfn.XLOOKUP($A1426,'2. TEUs &amp; Activities - EF'!$A$9:$A$190,'2. TEUs &amp; Activities - EF'!$J$9:$J$190),_xlfn.XLOOKUP($B1426,'2. TEUs &amp; Activities - EF'!$B$9:$B$190,'2. TEUs &amp; Activities - EF'!$J$9:$J$190))*'3. Pollutant Emissions - EF'!$I1426*IF(OR(ISBLANK($E1426),$G1426="Yes"),1,$E1426)*IF($H1426="Yes",1,(1-$F1426))</f>
        <v>0</v>
      </c>
      <c r="N1426" s="5">
        <f>IF(ISBLANK($B1426),_xlfn.XLOOKUP($A1426,'2. TEUs &amp; Activities - EF'!$A$9:$A$190,'2. TEUs &amp; Activities - EF'!$M$9:$M$190),_xlfn.XLOOKUP($B1426,'2. TEUs &amp; Activities - EF'!$B$9:$B$190,'2. TEUs &amp; Activities - EF'!$M$9:$M$190))*'3. Pollutant Emissions - EF'!$J1426*IF(OR(ISBLANK($E1426),$G1426="Yes"),1,$E1426)*IF($H1426="Yes",1,(1-$F1426))</f>
        <v>0</v>
      </c>
      <c r="O1426" s="130"/>
    </row>
    <row r="1427" spans="1:15" ht="15" x14ac:dyDescent="0.25">
      <c r="A1427" s="5" t="s">
        <v>1623</v>
      </c>
      <c r="B1427" s="7"/>
      <c r="C1427" s="13" t="s">
        <v>48</v>
      </c>
      <c r="D1427" s="19" t="str">
        <f>IFERROR(IF(C1427="No CAS","",INDEX('DEQ Pollutant List'!$B$7:$B$611,MATCH('3. Pollutant Emissions - EF'!C1427,'DEQ Pollutant List'!$A$7:$A$611,0))),"")</f>
        <v>Benzo[a]pyrene</v>
      </c>
      <c r="E1427" s="23">
        <v>0</v>
      </c>
      <c r="F1427" s="21">
        <v>0</v>
      </c>
      <c r="G1427" s="23" t="s">
        <v>1415</v>
      </c>
      <c r="H1427" s="21" t="s">
        <v>1415</v>
      </c>
      <c r="I1427" s="34">
        <v>1.1999999999999999E-6</v>
      </c>
      <c r="J1427" s="11">
        <f t="shared" ref="J1427:J1453" si="52">I1427</f>
        <v>1.1999999999999999E-6</v>
      </c>
      <c r="K1427" s="6" t="s">
        <v>1416</v>
      </c>
      <c r="L1427" s="20" t="s">
        <v>1422</v>
      </c>
      <c r="M1427" s="7">
        <f>IF(ISBLANK($B1427),_xlfn.XLOOKUP($A1427,'2. TEUs &amp; Activities - EF'!$A$9:$A$190,'2. TEUs &amp; Activities - EF'!$J$9:$J$190),_xlfn.XLOOKUP($B1427,'2. TEUs &amp; Activities - EF'!$B$9:$B$190,'2. TEUs &amp; Activities - EF'!$J$9:$J$190))*'3. Pollutant Emissions - EF'!$I1427*IF(OR(ISBLANK($E1427),$G1427="Yes"),1,$E1427)*IF($H1427="Yes",1,(1-$F1427))</f>
        <v>2.885647058823529E-5</v>
      </c>
      <c r="N1427" s="5">
        <f>IF(ISBLANK($B1427),_xlfn.XLOOKUP($A1427,'2. TEUs &amp; Activities - EF'!$A$9:$A$190,'2. TEUs &amp; Activities - EF'!$M$9:$M$190),_xlfn.XLOOKUP($B1427,'2. TEUs &amp; Activities - EF'!$B$9:$B$190,'2. TEUs &amp; Activities - EF'!$M$9:$M$190))*'3. Pollutant Emissions - EF'!$J1427*IF(OR(ISBLANK($E1427),$G1427="Yes"),1,$E1427)*IF($H1427="Yes",1,(1-$F1427))</f>
        <v>7.9058823529411752E-8</v>
      </c>
      <c r="O1427" s="130"/>
    </row>
    <row r="1428" spans="1:15" ht="15" x14ac:dyDescent="0.25">
      <c r="A1428" s="5" t="s">
        <v>1623</v>
      </c>
      <c r="B1428" s="7"/>
      <c r="C1428" s="13" t="s">
        <v>50</v>
      </c>
      <c r="D1428" s="19" t="str">
        <f>IFERROR(IF(C1428="No CAS","",INDEX('DEQ Pollutant List'!$B$7:$B$611,MATCH('3. Pollutant Emissions - EF'!C1428,'DEQ Pollutant List'!$A$7:$A$611,0))),"")</f>
        <v>Acetaldehyde</v>
      </c>
      <c r="E1428" s="23">
        <v>0</v>
      </c>
      <c r="F1428" s="21">
        <v>0</v>
      </c>
      <c r="G1428" s="23" t="s">
        <v>1415</v>
      </c>
      <c r="H1428" s="21" t="s">
        <v>1415</v>
      </c>
      <c r="I1428" s="34">
        <v>4.3E-3</v>
      </c>
      <c r="J1428" s="11">
        <f t="shared" si="52"/>
        <v>4.3E-3</v>
      </c>
      <c r="K1428" s="6" t="s">
        <v>1416</v>
      </c>
      <c r="L1428" s="20" t="s">
        <v>1422</v>
      </c>
      <c r="M1428" s="7">
        <f>IF(ISBLANK($B1428),_xlfn.XLOOKUP($A1428,'2. TEUs &amp; Activities - EF'!$A$9:$A$190,'2. TEUs &amp; Activities - EF'!$J$9:$J$190),_xlfn.XLOOKUP($B1428,'2. TEUs &amp; Activities - EF'!$B$9:$B$190,'2. TEUs &amp; Activities - EF'!$J$9:$J$190))*'3. Pollutant Emissions - EF'!$I1428*IF(OR(ISBLANK($E1428),$G1428="Yes"),1,$E1428)*IF($H1428="Yes",1,(1-$F1428))</f>
        <v>0.10340235294117646</v>
      </c>
      <c r="N1428" s="5">
        <f>IF(ISBLANK($B1428),_xlfn.XLOOKUP($A1428,'2. TEUs &amp; Activities - EF'!$A$9:$A$190,'2. TEUs &amp; Activities - EF'!$M$9:$M$190),_xlfn.XLOOKUP($B1428,'2. TEUs &amp; Activities - EF'!$B$9:$B$190,'2. TEUs &amp; Activities - EF'!$M$9:$M$190))*'3. Pollutant Emissions - EF'!$J1428*IF(OR(ISBLANK($E1428),$G1428="Yes"),1,$E1428)*IF($H1428="Yes",1,(1-$F1428))</f>
        <v>2.8329411764705878E-4</v>
      </c>
      <c r="O1428" s="130"/>
    </row>
    <row r="1429" spans="1:15" ht="15" x14ac:dyDescent="0.25">
      <c r="A1429" s="5" t="s">
        <v>1623</v>
      </c>
      <c r="B1429" s="7"/>
      <c r="C1429" s="13" t="s">
        <v>51</v>
      </c>
      <c r="D1429" s="19" t="str">
        <f>IFERROR(IF(C1429="No CAS","",INDEX('DEQ Pollutant List'!$B$7:$B$611,MATCH('3. Pollutant Emissions - EF'!C1429,'DEQ Pollutant List'!$A$7:$A$611,0))),"")</f>
        <v>Acrolein</v>
      </c>
      <c r="E1429" s="23">
        <v>0</v>
      </c>
      <c r="F1429" s="21">
        <v>0</v>
      </c>
      <c r="G1429" s="23" t="s">
        <v>1415</v>
      </c>
      <c r="H1429" s="21" t="s">
        <v>1415</v>
      </c>
      <c r="I1429" s="34">
        <v>2.7000000000000001E-3</v>
      </c>
      <c r="J1429" s="11">
        <f t="shared" si="52"/>
        <v>2.7000000000000001E-3</v>
      </c>
      <c r="K1429" s="6" t="s">
        <v>1416</v>
      </c>
      <c r="L1429" s="20" t="s">
        <v>1422</v>
      </c>
      <c r="M1429" s="7">
        <f>IF(ISBLANK($B1429),_xlfn.XLOOKUP($A1429,'2. TEUs &amp; Activities - EF'!$A$9:$A$190,'2. TEUs &amp; Activities - EF'!$J$9:$J$190),_xlfn.XLOOKUP($B1429,'2. TEUs &amp; Activities - EF'!$B$9:$B$190,'2. TEUs &amp; Activities - EF'!$J$9:$J$190))*'3. Pollutant Emissions - EF'!$I1429*IF(OR(ISBLANK($E1429),$G1429="Yes"),1,$E1429)*IF($H1429="Yes",1,(1-$F1429))</f>
        <v>6.4927058823529407E-2</v>
      </c>
      <c r="N1429" s="5">
        <f>IF(ISBLANK($B1429),_xlfn.XLOOKUP($A1429,'2. TEUs &amp; Activities - EF'!$A$9:$A$190,'2. TEUs &amp; Activities - EF'!$M$9:$M$190),_xlfn.XLOOKUP($B1429,'2. TEUs &amp; Activities - EF'!$B$9:$B$190,'2. TEUs &amp; Activities - EF'!$M$9:$M$190))*'3. Pollutant Emissions - EF'!$J1429*IF(OR(ISBLANK($E1429),$G1429="Yes"),1,$E1429)*IF($H1429="Yes",1,(1-$F1429))</f>
        <v>1.7788235294117645E-4</v>
      </c>
      <c r="O1429" s="130"/>
    </row>
    <row r="1430" spans="1:15" ht="15" x14ac:dyDescent="0.25">
      <c r="A1430" s="5" t="s">
        <v>1623</v>
      </c>
      <c r="B1430" s="7"/>
      <c r="C1430" s="13" t="s">
        <v>52</v>
      </c>
      <c r="D1430" s="19" t="str">
        <f>IFERROR(IF(C1430="No CAS","",INDEX('DEQ Pollutant List'!$B$7:$B$611,MATCH('3. Pollutant Emissions - EF'!C1430,'DEQ Pollutant List'!$A$7:$A$611,0))),"")</f>
        <v>Ammonia</v>
      </c>
      <c r="E1430" s="23">
        <v>0</v>
      </c>
      <c r="F1430" s="21">
        <v>0</v>
      </c>
      <c r="G1430" s="23" t="s">
        <v>1415</v>
      </c>
      <c r="H1430" s="21" t="s">
        <v>1415</v>
      </c>
      <c r="I1430" s="34">
        <v>3.2</v>
      </c>
      <c r="J1430" s="11">
        <f t="shared" si="52"/>
        <v>3.2</v>
      </c>
      <c r="K1430" s="6" t="s">
        <v>1416</v>
      </c>
      <c r="L1430" s="20" t="s">
        <v>1586</v>
      </c>
      <c r="M1430" s="7">
        <f>IF(ISBLANK($B1430),_xlfn.XLOOKUP($A1430,'2. TEUs &amp; Activities - EF'!$A$9:$A$190,'2. TEUs &amp; Activities - EF'!$J$9:$J$190),_xlfn.XLOOKUP($B1430,'2. TEUs &amp; Activities - EF'!$B$9:$B$190,'2. TEUs &amp; Activities - EF'!$J$9:$J$190))*'3. Pollutant Emissions - EF'!$I1430*IF(OR(ISBLANK($E1430),$G1430="Yes"),1,$E1430)*IF($H1430="Yes",1,(1-$F1430))</f>
        <v>76.950588235294106</v>
      </c>
      <c r="N1430" s="5">
        <f>IF(ISBLANK($B1430),_xlfn.XLOOKUP($A1430,'2. TEUs &amp; Activities - EF'!$A$9:$A$190,'2. TEUs &amp; Activities - EF'!$M$9:$M$190),_xlfn.XLOOKUP($B1430,'2. TEUs &amp; Activities - EF'!$B$9:$B$190,'2. TEUs &amp; Activities - EF'!$M$9:$M$190))*'3. Pollutant Emissions - EF'!$J1430*IF(OR(ISBLANK($E1430),$G1430="Yes"),1,$E1430)*IF($H1430="Yes",1,(1-$F1430))</f>
        <v>0.21082352941176469</v>
      </c>
      <c r="O1430" s="130"/>
    </row>
    <row r="1431" spans="1:15" ht="15" x14ac:dyDescent="0.25">
      <c r="A1431" s="5" t="s">
        <v>1623</v>
      </c>
      <c r="B1431" s="7"/>
      <c r="C1431" s="13" t="s">
        <v>53</v>
      </c>
      <c r="D1431" s="19" t="str">
        <f>IFERROR(IF(C1431="No CAS","",INDEX('DEQ Pollutant List'!$B$7:$B$611,MATCH('3. Pollutant Emissions - EF'!C1431,'DEQ Pollutant List'!$A$7:$A$611,0))),"")</f>
        <v>Arsenic and compounds</v>
      </c>
      <c r="E1431" s="23">
        <v>0</v>
      </c>
      <c r="F1431" s="21">
        <v>0</v>
      </c>
      <c r="G1431" s="23" t="s">
        <v>1415</v>
      </c>
      <c r="H1431" s="21" t="s">
        <v>1415</v>
      </c>
      <c r="I1431" s="34">
        <v>2.0000000000000001E-4</v>
      </c>
      <c r="J1431" s="11">
        <f t="shared" si="52"/>
        <v>2.0000000000000001E-4</v>
      </c>
      <c r="K1431" s="6" t="s">
        <v>1416</v>
      </c>
      <c r="L1431" s="20" t="s">
        <v>1422</v>
      </c>
      <c r="M1431" s="7">
        <f>IF(ISBLANK($B1431),_xlfn.XLOOKUP($A1431,'2. TEUs &amp; Activities - EF'!$A$9:$A$190,'2. TEUs &amp; Activities - EF'!$J$9:$J$190),_xlfn.XLOOKUP($B1431,'2. TEUs &amp; Activities - EF'!$B$9:$B$190,'2. TEUs &amp; Activities - EF'!$J$9:$J$190))*'3. Pollutant Emissions - EF'!$I1431*IF(OR(ISBLANK($E1431),$G1431="Yes"),1,$E1431)*IF($H1431="Yes",1,(1-$F1431))</f>
        <v>4.8094117647058815E-3</v>
      </c>
      <c r="N1431" s="5">
        <f>IF(ISBLANK($B1431),_xlfn.XLOOKUP($A1431,'2. TEUs &amp; Activities - EF'!$A$9:$A$190,'2. TEUs &amp; Activities - EF'!$M$9:$M$190),_xlfn.XLOOKUP($B1431,'2. TEUs &amp; Activities - EF'!$B$9:$B$190,'2. TEUs &amp; Activities - EF'!$M$9:$M$190))*'3. Pollutant Emissions - EF'!$J1431*IF(OR(ISBLANK($E1431),$G1431="Yes"),1,$E1431)*IF($H1431="Yes",1,(1-$F1431))</f>
        <v>1.3176470588235293E-5</v>
      </c>
      <c r="O1431" s="130"/>
    </row>
    <row r="1432" spans="1:15" ht="15" x14ac:dyDescent="0.25">
      <c r="A1432" s="5" t="s">
        <v>1623</v>
      </c>
      <c r="B1432" s="7"/>
      <c r="C1432" s="13" t="s">
        <v>54</v>
      </c>
      <c r="D1432" s="19" t="str">
        <f>IFERROR(IF(C1432="No CAS","",INDEX('DEQ Pollutant List'!$B$7:$B$611,MATCH('3. Pollutant Emissions - EF'!C1432,'DEQ Pollutant List'!$A$7:$A$611,0))),"")</f>
        <v>Barium and compounds</v>
      </c>
      <c r="E1432" s="23">
        <v>0</v>
      </c>
      <c r="F1432" s="21">
        <v>0</v>
      </c>
      <c r="G1432" s="23" t="s">
        <v>1415</v>
      </c>
      <c r="H1432" s="21" t="s">
        <v>1415</v>
      </c>
      <c r="I1432" s="34">
        <v>4.4000000000000003E-3</v>
      </c>
      <c r="J1432" s="11">
        <f t="shared" si="52"/>
        <v>4.4000000000000003E-3</v>
      </c>
      <c r="K1432" s="6" t="s">
        <v>1416</v>
      </c>
      <c r="L1432" s="20" t="s">
        <v>1422</v>
      </c>
      <c r="M1432" s="7">
        <f>IF(ISBLANK($B1432),_xlfn.XLOOKUP($A1432,'2. TEUs &amp; Activities - EF'!$A$9:$A$190,'2. TEUs &amp; Activities - EF'!$J$9:$J$190),_xlfn.XLOOKUP($B1432,'2. TEUs &amp; Activities - EF'!$B$9:$B$190,'2. TEUs &amp; Activities - EF'!$J$9:$J$190))*'3. Pollutant Emissions - EF'!$I1432*IF(OR(ISBLANK($E1432),$G1432="Yes"),1,$E1432)*IF($H1432="Yes",1,(1-$F1432))</f>
        <v>0.10580705882352941</v>
      </c>
      <c r="N1432" s="5">
        <f>IF(ISBLANK($B1432),_xlfn.XLOOKUP($A1432,'2. TEUs &amp; Activities - EF'!$A$9:$A$190,'2. TEUs &amp; Activities - EF'!$M$9:$M$190),_xlfn.XLOOKUP($B1432,'2. TEUs &amp; Activities - EF'!$B$9:$B$190,'2. TEUs &amp; Activities - EF'!$M$9:$M$190))*'3. Pollutant Emissions - EF'!$J1432*IF(OR(ISBLANK($E1432),$G1432="Yes"),1,$E1432)*IF($H1432="Yes",1,(1-$F1432))</f>
        <v>2.8988235294117643E-4</v>
      </c>
      <c r="O1432" s="130"/>
    </row>
    <row r="1433" spans="1:15" ht="15" x14ac:dyDescent="0.25">
      <c r="A1433" s="5" t="s">
        <v>1623</v>
      </c>
      <c r="B1433" s="7"/>
      <c r="C1433" s="13" t="s">
        <v>46</v>
      </c>
      <c r="D1433" s="19" t="str">
        <f>IFERROR(IF(C1433="No CAS","",INDEX('DEQ Pollutant List'!$B$7:$B$611,MATCH('3. Pollutant Emissions - EF'!C1433,'DEQ Pollutant List'!$A$7:$A$611,0))),"")</f>
        <v>Benzene</v>
      </c>
      <c r="E1433" s="23">
        <v>0</v>
      </c>
      <c r="F1433" s="21">
        <v>0</v>
      </c>
      <c r="G1433" s="23" t="s">
        <v>1415</v>
      </c>
      <c r="H1433" s="21" t="s">
        <v>1415</v>
      </c>
      <c r="I1433" s="34">
        <v>8.0000000000000002E-3</v>
      </c>
      <c r="J1433" s="11">
        <f t="shared" si="52"/>
        <v>8.0000000000000002E-3</v>
      </c>
      <c r="K1433" s="6" t="s">
        <v>1416</v>
      </c>
      <c r="L1433" s="20" t="s">
        <v>1422</v>
      </c>
      <c r="M1433" s="7">
        <f>IF(ISBLANK($B1433),_xlfn.XLOOKUP($A1433,'2. TEUs &amp; Activities - EF'!$A$9:$A$190,'2. TEUs &amp; Activities - EF'!$J$9:$J$190),_xlfn.XLOOKUP($B1433,'2. TEUs &amp; Activities - EF'!$B$9:$B$190,'2. TEUs &amp; Activities - EF'!$J$9:$J$190))*'3. Pollutant Emissions - EF'!$I1433*IF(OR(ISBLANK($E1433),$G1433="Yes"),1,$E1433)*IF($H1433="Yes",1,(1-$F1433))</f>
        <v>0.19237647058823526</v>
      </c>
      <c r="N1433" s="5">
        <f>IF(ISBLANK($B1433),_xlfn.XLOOKUP($A1433,'2. TEUs &amp; Activities - EF'!$A$9:$A$190,'2. TEUs &amp; Activities - EF'!$M$9:$M$190),_xlfn.XLOOKUP($B1433,'2. TEUs &amp; Activities - EF'!$B$9:$B$190,'2. TEUs &amp; Activities - EF'!$M$9:$M$190))*'3. Pollutant Emissions - EF'!$J1433*IF(OR(ISBLANK($E1433),$G1433="Yes"),1,$E1433)*IF($H1433="Yes",1,(1-$F1433))</f>
        <v>5.2705882352941172E-4</v>
      </c>
      <c r="O1433" s="130"/>
    </row>
    <row r="1434" spans="1:15" ht="15" x14ac:dyDescent="0.25">
      <c r="A1434" s="5" t="s">
        <v>1623</v>
      </c>
      <c r="B1434" s="7"/>
      <c r="C1434" s="13" t="s">
        <v>55</v>
      </c>
      <c r="D1434" s="19" t="str">
        <f>IFERROR(IF(C1434="No CAS","",INDEX('DEQ Pollutant List'!$B$7:$B$611,MATCH('3. Pollutant Emissions - EF'!C1434,'DEQ Pollutant List'!$A$7:$A$611,0))),"")</f>
        <v>Beryllium and compounds</v>
      </c>
      <c r="E1434" s="23">
        <v>0</v>
      </c>
      <c r="F1434" s="21">
        <v>0</v>
      </c>
      <c r="G1434" s="23" t="s">
        <v>1415</v>
      </c>
      <c r="H1434" s="21" t="s">
        <v>1415</v>
      </c>
      <c r="I1434" s="34">
        <v>1.2E-5</v>
      </c>
      <c r="J1434" s="11">
        <f t="shared" si="52"/>
        <v>1.2E-5</v>
      </c>
      <c r="K1434" s="6" t="s">
        <v>1416</v>
      </c>
      <c r="L1434" s="20" t="s">
        <v>1422</v>
      </c>
      <c r="M1434" s="7">
        <f>IF(ISBLANK($B1434),_xlfn.XLOOKUP($A1434,'2. TEUs &amp; Activities - EF'!$A$9:$A$190,'2. TEUs &amp; Activities - EF'!$J$9:$J$190),_xlfn.XLOOKUP($B1434,'2. TEUs &amp; Activities - EF'!$B$9:$B$190,'2. TEUs &amp; Activities - EF'!$J$9:$J$190))*'3. Pollutant Emissions - EF'!$I1434*IF(OR(ISBLANK($E1434),$G1434="Yes"),1,$E1434)*IF($H1434="Yes",1,(1-$F1434))</f>
        <v>2.8856470588235289E-4</v>
      </c>
      <c r="N1434" s="5">
        <f>IF(ISBLANK($B1434),_xlfn.XLOOKUP($A1434,'2. TEUs &amp; Activities - EF'!$A$9:$A$190,'2. TEUs &amp; Activities - EF'!$M$9:$M$190),_xlfn.XLOOKUP($B1434,'2. TEUs &amp; Activities - EF'!$B$9:$B$190,'2. TEUs &amp; Activities - EF'!$M$9:$M$190))*'3. Pollutant Emissions - EF'!$J1434*IF(OR(ISBLANK($E1434),$G1434="Yes"),1,$E1434)*IF($H1434="Yes",1,(1-$F1434))</f>
        <v>7.9058823529411757E-7</v>
      </c>
      <c r="O1434" s="130"/>
    </row>
    <row r="1435" spans="1:15" ht="15" x14ac:dyDescent="0.25">
      <c r="A1435" s="5" t="s">
        <v>1623</v>
      </c>
      <c r="B1435" s="7"/>
      <c r="C1435" s="13" t="s">
        <v>56</v>
      </c>
      <c r="D1435" s="19" t="str">
        <f>IFERROR(IF(C1435="No CAS","",INDEX('DEQ Pollutant List'!$B$7:$B$611,MATCH('3. Pollutant Emissions - EF'!C1435,'DEQ Pollutant List'!$A$7:$A$611,0))),"")</f>
        <v>Cadmium and compounds</v>
      </c>
      <c r="E1435" s="23">
        <v>0</v>
      </c>
      <c r="F1435" s="21">
        <v>0</v>
      </c>
      <c r="G1435" s="23" t="s">
        <v>1415</v>
      </c>
      <c r="H1435" s="21" t="s">
        <v>1415</v>
      </c>
      <c r="I1435" s="34">
        <v>1.1000000000000001E-3</v>
      </c>
      <c r="J1435" s="11">
        <f t="shared" si="52"/>
        <v>1.1000000000000001E-3</v>
      </c>
      <c r="K1435" s="6" t="s">
        <v>1416</v>
      </c>
      <c r="L1435" s="20" t="s">
        <v>1422</v>
      </c>
      <c r="M1435" s="7">
        <f>IF(ISBLANK($B1435),_xlfn.XLOOKUP($A1435,'2. TEUs &amp; Activities - EF'!$A$9:$A$190,'2. TEUs &amp; Activities - EF'!$J$9:$J$190),_xlfn.XLOOKUP($B1435,'2. TEUs &amp; Activities - EF'!$B$9:$B$190,'2. TEUs &amp; Activities - EF'!$J$9:$J$190))*'3. Pollutant Emissions - EF'!$I1435*IF(OR(ISBLANK($E1435),$G1435="Yes"),1,$E1435)*IF($H1435="Yes",1,(1-$F1435))</f>
        <v>2.6451764705882352E-2</v>
      </c>
      <c r="N1435" s="5">
        <f>IF(ISBLANK($B1435),_xlfn.XLOOKUP($A1435,'2. TEUs &amp; Activities - EF'!$A$9:$A$190,'2. TEUs &amp; Activities - EF'!$M$9:$M$190),_xlfn.XLOOKUP($B1435,'2. TEUs &amp; Activities - EF'!$B$9:$B$190,'2. TEUs &amp; Activities - EF'!$M$9:$M$190))*'3. Pollutant Emissions - EF'!$J1435*IF(OR(ISBLANK($E1435),$G1435="Yes"),1,$E1435)*IF($H1435="Yes",1,(1-$F1435))</f>
        <v>7.2470588235294109E-5</v>
      </c>
      <c r="O1435" s="130"/>
    </row>
    <row r="1436" spans="1:15" ht="15" x14ac:dyDescent="0.25">
      <c r="A1436" s="5" t="s">
        <v>1623</v>
      </c>
      <c r="B1436" s="7"/>
      <c r="C1436" s="13" t="s">
        <v>57</v>
      </c>
      <c r="D1436" s="19" t="str">
        <f>IFERROR(IF(C1436="No CAS","",INDEX('DEQ Pollutant List'!$B$7:$B$611,MATCH('3. Pollutant Emissions - EF'!C1436,'DEQ Pollutant List'!$A$7:$A$611,0))),"")</f>
        <v>Chromium VI, chromate and dichromate particulate</v>
      </c>
      <c r="E1436" s="23">
        <v>0</v>
      </c>
      <c r="F1436" s="21">
        <v>0</v>
      </c>
      <c r="G1436" s="23" t="s">
        <v>1415</v>
      </c>
      <c r="H1436" s="21" t="s">
        <v>1415</v>
      </c>
      <c r="I1436" s="34">
        <v>1.4E-3</v>
      </c>
      <c r="J1436" s="11">
        <f t="shared" si="52"/>
        <v>1.4E-3</v>
      </c>
      <c r="K1436" s="6" t="s">
        <v>1416</v>
      </c>
      <c r="L1436" s="20" t="s">
        <v>1422</v>
      </c>
      <c r="M1436" s="7">
        <f>IF(ISBLANK($B1436),_xlfn.XLOOKUP($A1436,'2. TEUs &amp; Activities - EF'!$A$9:$A$190,'2. TEUs &amp; Activities - EF'!$J$9:$J$190),_xlfn.XLOOKUP($B1436,'2. TEUs &amp; Activities - EF'!$B$9:$B$190,'2. TEUs &amp; Activities - EF'!$J$9:$J$190))*'3. Pollutant Emissions - EF'!$I1436*IF(OR(ISBLANK($E1436),$G1436="Yes"),1,$E1436)*IF($H1436="Yes",1,(1-$F1436))</f>
        <v>3.366588235294117E-2</v>
      </c>
      <c r="N1436" s="5">
        <f>IF(ISBLANK($B1436),_xlfn.XLOOKUP($A1436,'2. TEUs &amp; Activities - EF'!$A$9:$A$190,'2. TEUs &amp; Activities - EF'!$M$9:$M$190),_xlfn.XLOOKUP($B1436,'2. TEUs &amp; Activities - EF'!$B$9:$B$190,'2. TEUs &amp; Activities - EF'!$M$9:$M$190))*'3. Pollutant Emissions - EF'!$J1436*IF(OR(ISBLANK($E1436),$G1436="Yes"),1,$E1436)*IF($H1436="Yes",1,(1-$F1436))</f>
        <v>9.223529411764704E-5</v>
      </c>
      <c r="O1436" s="130"/>
    </row>
    <row r="1437" spans="1:15" ht="15" x14ac:dyDescent="0.25">
      <c r="A1437" s="5" t="s">
        <v>1623</v>
      </c>
      <c r="B1437" s="7"/>
      <c r="C1437" s="13" t="s">
        <v>58</v>
      </c>
      <c r="D1437" s="19" t="str">
        <f>IFERROR(IF(C1437="No CAS","",INDEX('DEQ Pollutant List'!$B$7:$B$611,MATCH('3. Pollutant Emissions - EF'!C1437,'DEQ Pollutant List'!$A$7:$A$611,0))),"")</f>
        <v>Cobalt and compounds</v>
      </c>
      <c r="E1437" s="23">
        <v>0</v>
      </c>
      <c r="F1437" s="21">
        <v>0</v>
      </c>
      <c r="G1437" s="23" t="s">
        <v>1415</v>
      </c>
      <c r="H1437" s="21" t="s">
        <v>1415</v>
      </c>
      <c r="I1437" s="34">
        <v>8.3999999999999995E-5</v>
      </c>
      <c r="J1437" s="11">
        <f t="shared" si="52"/>
        <v>8.3999999999999995E-5</v>
      </c>
      <c r="K1437" s="6" t="s">
        <v>1416</v>
      </c>
      <c r="L1437" s="20" t="s">
        <v>1422</v>
      </c>
      <c r="M1437" s="7">
        <f>IF(ISBLANK($B1437),_xlfn.XLOOKUP($A1437,'2. TEUs &amp; Activities - EF'!$A$9:$A$190,'2. TEUs &amp; Activities - EF'!$J$9:$J$190),_xlfn.XLOOKUP($B1437,'2. TEUs &amp; Activities - EF'!$B$9:$B$190,'2. TEUs &amp; Activities - EF'!$J$9:$J$190))*'3. Pollutant Emissions - EF'!$I1437*IF(OR(ISBLANK($E1437),$G1437="Yes"),1,$E1437)*IF($H1437="Yes",1,(1-$F1437))</f>
        <v>2.0199529411764703E-3</v>
      </c>
      <c r="N1437" s="5">
        <f>IF(ISBLANK($B1437),_xlfn.XLOOKUP($A1437,'2. TEUs &amp; Activities - EF'!$A$9:$A$190,'2. TEUs &amp; Activities - EF'!$M$9:$M$190),_xlfn.XLOOKUP($B1437,'2. TEUs &amp; Activities - EF'!$B$9:$B$190,'2. TEUs &amp; Activities - EF'!$M$9:$M$190))*'3. Pollutant Emissions - EF'!$J1437*IF(OR(ISBLANK($E1437),$G1437="Yes"),1,$E1437)*IF($H1437="Yes",1,(1-$F1437))</f>
        <v>5.5341176470588225E-6</v>
      </c>
      <c r="O1437" s="130"/>
    </row>
    <row r="1438" spans="1:15" ht="15" x14ac:dyDescent="0.25">
      <c r="A1438" s="5" t="s">
        <v>1623</v>
      </c>
      <c r="B1438" s="7"/>
      <c r="C1438" s="13" t="s">
        <v>59</v>
      </c>
      <c r="D1438" s="19" t="str">
        <f>IFERROR(IF(C1438="No CAS","",INDEX('DEQ Pollutant List'!$B$7:$B$611,MATCH('3. Pollutant Emissions - EF'!C1438,'DEQ Pollutant List'!$A$7:$A$611,0))),"")</f>
        <v>Copper and compounds</v>
      </c>
      <c r="E1438" s="23">
        <v>0</v>
      </c>
      <c r="F1438" s="21">
        <v>0</v>
      </c>
      <c r="G1438" s="23" t="s">
        <v>1415</v>
      </c>
      <c r="H1438" s="21" t="s">
        <v>1415</v>
      </c>
      <c r="I1438" s="34">
        <v>8.4999999999999995E-4</v>
      </c>
      <c r="J1438" s="11">
        <f t="shared" si="52"/>
        <v>8.4999999999999995E-4</v>
      </c>
      <c r="K1438" s="6" t="s">
        <v>1416</v>
      </c>
      <c r="L1438" s="20" t="s">
        <v>1422</v>
      </c>
      <c r="M1438" s="7">
        <f>IF(ISBLANK($B1438),_xlfn.XLOOKUP($A1438,'2. TEUs &amp; Activities - EF'!$A$9:$A$190,'2. TEUs &amp; Activities - EF'!$J$9:$J$190),_xlfn.XLOOKUP($B1438,'2. TEUs &amp; Activities - EF'!$B$9:$B$190,'2. TEUs &amp; Activities - EF'!$J$9:$J$190))*'3. Pollutant Emissions - EF'!$I1438*IF(OR(ISBLANK($E1438),$G1438="Yes"),1,$E1438)*IF($H1438="Yes",1,(1-$F1438))</f>
        <v>2.0439999999999996E-2</v>
      </c>
      <c r="N1438" s="5">
        <f>IF(ISBLANK($B1438),_xlfn.XLOOKUP($A1438,'2. TEUs &amp; Activities - EF'!$A$9:$A$190,'2. TEUs &amp; Activities - EF'!$M$9:$M$190),_xlfn.XLOOKUP($B1438,'2. TEUs &amp; Activities - EF'!$B$9:$B$190,'2. TEUs &amp; Activities - EF'!$M$9:$M$190))*'3. Pollutant Emissions - EF'!$J1438*IF(OR(ISBLANK($E1438),$G1438="Yes"),1,$E1438)*IF($H1438="Yes",1,(1-$F1438))</f>
        <v>5.5999999999999992E-5</v>
      </c>
      <c r="O1438" s="130"/>
    </row>
    <row r="1439" spans="1:15" ht="15" x14ac:dyDescent="0.25">
      <c r="A1439" s="5" t="s">
        <v>1623</v>
      </c>
      <c r="B1439" s="7"/>
      <c r="C1439" s="13" t="s">
        <v>60</v>
      </c>
      <c r="D1439" s="19" t="str">
        <f>IFERROR(IF(C1439="No CAS","",INDEX('DEQ Pollutant List'!$B$7:$B$611,MATCH('3. Pollutant Emissions - EF'!C1439,'DEQ Pollutant List'!$A$7:$A$611,0))),"")</f>
        <v>Ethyl benzene</v>
      </c>
      <c r="E1439" s="23">
        <v>0</v>
      </c>
      <c r="F1439" s="21">
        <v>0</v>
      </c>
      <c r="G1439" s="23" t="s">
        <v>1415</v>
      </c>
      <c r="H1439" s="21" t="s">
        <v>1415</v>
      </c>
      <c r="I1439" s="34">
        <v>9.4999999999999998E-3</v>
      </c>
      <c r="J1439" s="11">
        <f t="shared" si="52"/>
        <v>9.4999999999999998E-3</v>
      </c>
      <c r="K1439" s="6" t="s">
        <v>1416</v>
      </c>
      <c r="L1439" s="20" t="s">
        <v>1422</v>
      </c>
      <c r="M1439" s="7">
        <f>IF(ISBLANK($B1439),_xlfn.XLOOKUP($A1439,'2. TEUs &amp; Activities - EF'!$A$9:$A$190,'2. TEUs &amp; Activities - EF'!$J$9:$J$190),_xlfn.XLOOKUP($B1439,'2. TEUs &amp; Activities - EF'!$B$9:$B$190,'2. TEUs &amp; Activities - EF'!$J$9:$J$190))*'3. Pollutant Emissions - EF'!$I1439*IF(OR(ISBLANK($E1439),$G1439="Yes"),1,$E1439)*IF($H1439="Yes",1,(1-$F1439))</f>
        <v>0.22844705882352936</v>
      </c>
      <c r="N1439" s="5">
        <f>IF(ISBLANK($B1439),_xlfn.XLOOKUP($A1439,'2. TEUs &amp; Activities - EF'!$A$9:$A$190,'2. TEUs &amp; Activities - EF'!$M$9:$M$190),_xlfn.XLOOKUP($B1439,'2. TEUs &amp; Activities - EF'!$B$9:$B$190,'2. TEUs &amp; Activities - EF'!$M$9:$M$190))*'3. Pollutant Emissions - EF'!$J1439*IF(OR(ISBLANK($E1439),$G1439="Yes"),1,$E1439)*IF($H1439="Yes",1,(1-$F1439))</f>
        <v>6.2588235294117642E-4</v>
      </c>
      <c r="O1439" s="130"/>
    </row>
    <row r="1440" spans="1:15" ht="15" x14ac:dyDescent="0.25">
      <c r="A1440" s="5" t="s">
        <v>1623</v>
      </c>
      <c r="B1440" s="7"/>
      <c r="C1440" s="13" t="s">
        <v>47</v>
      </c>
      <c r="D1440" s="19" t="str">
        <f>IFERROR(IF(C1440="No CAS","",INDEX('DEQ Pollutant List'!$B$7:$B$611,MATCH('3. Pollutant Emissions - EF'!C1440,'DEQ Pollutant List'!$A$7:$A$611,0))),"")</f>
        <v>Formaldehyde</v>
      </c>
      <c r="E1440" s="23">
        <v>0</v>
      </c>
      <c r="F1440" s="21">
        <v>0</v>
      </c>
      <c r="G1440" s="23" t="s">
        <v>1415</v>
      </c>
      <c r="H1440" s="21" t="s">
        <v>1415</v>
      </c>
      <c r="I1440" s="34">
        <v>1.7000000000000001E-2</v>
      </c>
      <c r="J1440" s="11">
        <f t="shared" si="52"/>
        <v>1.7000000000000001E-2</v>
      </c>
      <c r="K1440" s="6" t="s">
        <v>1416</v>
      </c>
      <c r="L1440" s="20" t="s">
        <v>1422</v>
      </c>
      <c r="M1440" s="7">
        <f>IF(ISBLANK($B1440),_xlfn.XLOOKUP($A1440,'2. TEUs &amp; Activities - EF'!$A$9:$A$190,'2. TEUs &amp; Activities - EF'!$J$9:$J$190),_xlfn.XLOOKUP($B1440,'2. TEUs &amp; Activities - EF'!$B$9:$B$190,'2. TEUs &amp; Activities - EF'!$J$9:$J$190))*'3. Pollutant Emissions - EF'!$I1440*IF(OR(ISBLANK($E1440),$G1440="Yes"),1,$E1440)*IF($H1440="Yes",1,(1-$F1440))</f>
        <v>0.40879999999999994</v>
      </c>
      <c r="N1440" s="5">
        <f>IF(ISBLANK($B1440),_xlfn.XLOOKUP($A1440,'2. TEUs &amp; Activities - EF'!$A$9:$A$190,'2. TEUs &amp; Activities - EF'!$M$9:$M$190),_xlfn.XLOOKUP($B1440,'2. TEUs &amp; Activities - EF'!$B$9:$B$190,'2. TEUs &amp; Activities - EF'!$M$9:$M$190))*'3. Pollutant Emissions - EF'!$J1440*IF(OR(ISBLANK($E1440),$G1440="Yes"),1,$E1440)*IF($H1440="Yes",1,(1-$F1440))</f>
        <v>1.1199999999999999E-3</v>
      </c>
      <c r="O1440" s="130"/>
    </row>
    <row r="1441" spans="1:15" ht="15" x14ac:dyDescent="0.25">
      <c r="A1441" s="5" t="s">
        <v>1623</v>
      </c>
      <c r="B1441" s="7"/>
      <c r="C1441" s="13" t="s">
        <v>61</v>
      </c>
      <c r="D1441" s="19" t="str">
        <f>IFERROR(IF(C1441="No CAS","",INDEX('DEQ Pollutant List'!$B$7:$B$611,MATCH('3. Pollutant Emissions - EF'!C1441,'DEQ Pollutant List'!$A$7:$A$611,0))),"")</f>
        <v>Hexane</v>
      </c>
      <c r="E1441" s="23">
        <v>0</v>
      </c>
      <c r="F1441" s="21">
        <v>0</v>
      </c>
      <c r="G1441" s="23" t="s">
        <v>1415</v>
      </c>
      <c r="H1441" s="21" t="s">
        <v>1415</v>
      </c>
      <c r="I1441" s="34">
        <v>6.3E-3</v>
      </c>
      <c r="J1441" s="11">
        <f t="shared" si="52"/>
        <v>6.3E-3</v>
      </c>
      <c r="K1441" s="6" t="s">
        <v>1416</v>
      </c>
      <c r="L1441" s="20" t="s">
        <v>1422</v>
      </c>
      <c r="M1441" s="7">
        <f>IF(ISBLANK($B1441),_xlfn.XLOOKUP($A1441,'2. TEUs &amp; Activities - EF'!$A$9:$A$190,'2. TEUs &amp; Activities - EF'!$J$9:$J$190),_xlfn.XLOOKUP($B1441,'2. TEUs &amp; Activities - EF'!$B$9:$B$190,'2. TEUs &amp; Activities - EF'!$J$9:$J$190))*'3. Pollutant Emissions - EF'!$I1441*IF(OR(ISBLANK($E1441),$G1441="Yes"),1,$E1441)*IF($H1441="Yes",1,(1-$F1441))</f>
        <v>0.15149647058823526</v>
      </c>
      <c r="N1441" s="5">
        <f>IF(ISBLANK($B1441),_xlfn.XLOOKUP($A1441,'2. TEUs &amp; Activities - EF'!$A$9:$A$190,'2. TEUs &amp; Activities - EF'!$M$9:$M$190),_xlfn.XLOOKUP($B1441,'2. TEUs &amp; Activities - EF'!$B$9:$B$190,'2. TEUs &amp; Activities - EF'!$M$9:$M$190))*'3. Pollutant Emissions - EF'!$J1441*IF(OR(ISBLANK($E1441),$G1441="Yes"),1,$E1441)*IF($H1441="Yes",1,(1-$F1441))</f>
        <v>4.1505882352941171E-4</v>
      </c>
      <c r="O1441" s="130"/>
    </row>
    <row r="1442" spans="1:15" ht="15" x14ac:dyDescent="0.25">
      <c r="A1442" s="5" t="s">
        <v>1623</v>
      </c>
      <c r="B1442" s="7"/>
      <c r="C1442" s="13" t="s">
        <v>62</v>
      </c>
      <c r="D1442" s="19" t="str">
        <f>IFERROR(IF(C1442="No CAS","",INDEX('DEQ Pollutant List'!$B$7:$B$611,MATCH('3. Pollutant Emissions - EF'!C1442,'DEQ Pollutant List'!$A$7:$A$611,0))),"")</f>
        <v>Lead and compounds</v>
      </c>
      <c r="E1442" s="23">
        <v>0</v>
      </c>
      <c r="F1442" s="21">
        <v>0</v>
      </c>
      <c r="G1442" s="23" t="s">
        <v>1415</v>
      </c>
      <c r="H1442" s="21" t="s">
        <v>1415</v>
      </c>
      <c r="I1442" s="34">
        <v>5.0000000000000001E-4</v>
      </c>
      <c r="J1442" s="11">
        <f t="shared" si="52"/>
        <v>5.0000000000000001E-4</v>
      </c>
      <c r="K1442" s="6" t="s">
        <v>1416</v>
      </c>
      <c r="L1442" s="20" t="s">
        <v>1422</v>
      </c>
      <c r="M1442" s="7">
        <f>IF(ISBLANK($B1442),_xlfn.XLOOKUP($A1442,'2. TEUs &amp; Activities - EF'!$A$9:$A$190,'2. TEUs &amp; Activities - EF'!$J$9:$J$190),_xlfn.XLOOKUP($B1442,'2. TEUs &amp; Activities - EF'!$B$9:$B$190,'2. TEUs &amp; Activities - EF'!$J$9:$J$190))*'3. Pollutant Emissions - EF'!$I1442*IF(OR(ISBLANK($E1442),$G1442="Yes"),1,$E1442)*IF($H1442="Yes",1,(1-$F1442))</f>
        <v>1.2023529411764704E-2</v>
      </c>
      <c r="N1442" s="5">
        <f>IF(ISBLANK($B1442),_xlfn.XLOOKUP($A1442,'2. TEUs &amp; Activities - EF'!$A$9:$A$190,'2. TEUs &amp; Activities - EF'!$M$9:$M$190),_xlfn.XLOOKUP($B1442,'2. TEUs &amp; Activities - EF'!$B$9:$B$190,'2. TEUs &amp; Activities - EF'!$M$9:$M$190))*'3. Pollutant Emissions - EF'!$J1442*IF(OR(ISBLANK($E1442),$G1442="Yes"),1,$E1442)*IF($H1442="Yes",1,(1-$F1442))</f>
        <v>3.2941176470588232E-5</v>
      </c>
      <c r="O1442" s="130"/>
    </row>
    <row r="1443" spans="1:15" ht="15" x14ac:dyDescent="0.25">
      <c r="A1443" s="5" t="s">
        <v>1623</v>
      </c>
      <c r="B1443" s="7"/>
      <c r="C1443" s="13" t="s">
        <v>63</v>
      </c>
      <c r="D1443" s="19" t="str">
        <f>IFERROR(IF(C1443="No CAS","",INDEX('DEQ Pollutant List'!$B$7:$B$611,MATCH('3. Pollutant Emissions - EF'!C1443,'DEQ Pollutant List'!$A$7:$A$611,0))),"")</f>
        <v>Manganese and compounds</v>
      </c>
      <c r="E1443" s="23">
        <v>0</v>
      </c>
      <c r="F1443" s="21">
        <v>0</v>
      </c>
      <c r="G1443" s="23" t="s">
        <v>1415</v>
      </c>
      <c r="H1443" s="21" t="s">
        <v>1415</v>
      </c>
      <c r="I1443" s="34">
        <v>3.8000000000000002E-4</v>
      </c>
      <c r="J1443" s="11">
        <f t="shared" si="52"/>
        <v>3.8000000000000002E-4</v>
      </c>
      <c r="K1443" s="6" t="s">
        <v>1416</v>
      </c>
      <c r="L1443" s="20" t="s">
        <v>1422</v>
      </c>
      <c r="M1443" s="7">
        <f>IF(ISBLANK($B1443),_xlfn.XLOOKUP($A1443,'2. TEUs &amp; Activities - EF'!$A$9:$A$190,'2. TEUs &amp; Activities - EF'!$J$9:$J$190),_xlfn.XLOOKUP($B1443,'2. TEUs &amp; Activities - EF'!$B$9:$B$190,'2. TEUs &amp; Activities - EF'!$J$9:$J$190))*'3. Pollutant Emissions - EF'!$I1443*IF(OR(ISBLANK($E1443),$G1443="Yes"),1,$E1443)*IF($H1443="Yes",1,(1-$F1443))</f>
        <v>9.1378823529411762E-3</v>
      </c>
      <c r="N1443" s="5">
        <f>IF(ISBLANK($B1443),_xlfn.XLOOKUP($A1443,'2. TEUs &amp; Activities - EF'!$A$9:$A$190,'2. TEUs &amp; Activities - EF'!$M$9:$M$190),_xlfn.XLOOKUP($B1443,'2. TEUs &amp; Activities - EF'!$B$9:$B$190,'2. TEUs &amp; Activities - EF'!$M$9:$M$190))*'3. Pollutant Emissions - EF'!$J1443*IF(OR(ISBLANK($E1443),$G1443="Yes"),1,$E1443)*IF($H1443="Yes",1,(1-$F1443))</f>
        <v>2.5035294117647056E-5</v>
      </c>
      <c r="O1443" s="130"/>
    </row>
    <row r="1444" spans="1:15" ht="15" x14ac:dyDescent="0.25">
      <c r="A1444" s="5" t="s">
        <v>1623</v>
      </c>
      <c r="B1444" s="7"/>
      <c r="C1444" s="13" t="s">
        <v>64</v>
      </c>
      <c r="D1444" s="19" t="str">
        <f>IFERROR(IF(C1444="No CAS","",INDEX('DEQ Pollutant List'!$B$7:$B$611,MATCH('3. Pollutant Emissions - EF'!C1444,'DEQ Pollutant List'!$A$7:$A$611,0))),"")</f>
        <v>Mercury and compounds</v>
      </c>
      <c r="E1444" s="23">
        <v>0</v>
      </c>
      <c r="F1444" s="21">
        <v>0</v>
      </c>
      <c r="G1444" s="23" t="s">
        <v>1415</v>
      </c>
      <c r="H1444" s="21" t="s">
        <v>1415</v>
      </c>
      <c r="I1444" s="34">
        <v>2.5999999999999998E-4</v>
      </c>
      <c r="J1444" s="11">
        <f t="shared" si="52"/>
        <v>2.5999999999999998E-4</v>
      </c>
      <c r="K1444" s="6" t="s">
        <v>1416</v>
      </c>
      <c r="L1444" s="20" t="s">
        <v>1422</v>
      </c>
      <c r="M1444" s="7">
        <f>IF(ISBLANK($B1444),_xlfn.XLOOKUP($A1444,'2. TEUs &amp; Activities - EF'!$A$9:$A$190,'2. TEUs &amp; Activities - EF'!$J$9:$J$190),_xlfn.XLOOKUP($B1444,'2. TEUs &amp; Activities - EF'!$B$9:$B$190,'2. TEUs &amp; Activities - EF'!$J$9:$J$190))*'3. Pollutant Emissions - EF'!$I1444*IF(OR(ISBLANK($E1444),$G1444="Yes"),1,$E1444)*IF($H1444="Yes",1,(1-$F1444))</f>
        <v>6.2522352941176453E-3</v>
      </c>
      <c r="N1444" s="5">
        <f>IF(ISBLANK($B1444),_xlfn.XLOOKUP($A1444,'2. TEUs &amp; Activities - EF'!$A$9:$A$190,'2. TEUs &amp; Activities - EF'!$M$9:$M$190),_xlfn.XLOOKUP($B1444,'2. TEUs &amp; Activities - EF'!$B$9:$B$190,'2. TEUs &amp; Activities - EF'!$M$9:$M$190))*'3. Pollutant Emissions - EF'!$J1444*IF(OR(ISBLANK($E1444),$G1444="Yes"),1,$E1444)*IF($H1444="Yes",1,(1-$F1444))</f>
        <v>1.7129411764705877E-5</v>
      </c>
      <c r="O1444" s="130"/>
    </row>
    <row r="1445" spans="1:15" ht="15" x14ac:dyDescent="0.25">
      <c r="A1445" s="5" t="s">
        <v>1623</v>
      </c>
      <c r="B1445" s="7"/>
      <c r="C1445" s="13" t="s">
        <v>65</v>
      </c>
      <c r="D1445" s="19" t="str">
        <f>IFERROR(IF(C1445="No CAS","",INDEX('DEQ Pollutant List'!$B$7:$B$611,MATCH('3. Pollutant Emissions - EF'!C1445,'DEQ Pollutant List'!$A$7:$A$611,0))),"")</f>
        <v>Molybdenum trioxide</v>
      </c>
      <c r="E1445" s="23">
        <v>0</v>
      </c>
      <c r="F1445" s="21">
        <v>0</v>
      </c>
      <c r="G1445" s="23" t="s">
        <v>1415</v>
      </c>
      <c r="H1445" s="21" t="s">
        <v>1415</v>
      </c>
      <c r="I1445" s="34">
        <v>1.65E-3</v>
      </c>
      <c r="J1445" s="11">
        <f t="shared" si="52"/>
        <v>1.65E-3</v>
      </c>
      <c r="K1445" s="6" t="s">
        <v>1416</v>
      </c>
      <c r="L1445" s="20" t="s">
        <v>1422</v>
      </c>
      <c r="M1445" s="7">
        <f>IF(ISBLANK($B1445),_xlfn.XLOOKUP($A1445,'2. TEUs &amp; Activities - EF'!$A$9:$A$190,'2. TEUs &amp; Activities - EF'!$J$9:$J$190),_xlfn.XLOOKUP($B1445,'2. TEUs &amp; Activities - EF'!$B$9:$B$190,'2. TEUs &amp; Activities - EF'!$J$9:$J$190))*'3. Pollutant Emissions - EF'!$I1445*IF(OR(ISBLANK($E1445),$G1445="Yes"),1,$E1445)*IF($H1445="Yes",1,(1-$F1445))</f>
        <v>3.9677647058823526E-2</v>
      </c>
      <c r="N1445" s="5">
        <f>IF(ISBLANK($B1445),_xlfn.XLOOKUP($A1445,'2. TEUs &amp; Activities - EF'!$A$9:$A$190,'2. TEUs &amp; Activities - EF'!$M$9:$M$190),_xlfn.XLOOKUP($B1445,'2. TEUs &amp; Activities - EF'!$B$9:$B$190,'2. TEUs &amp; Activities - EF'!$M$9:$M$190))*'3. Pollutant Emissions - EF'!$J1445*IF(OR(ISBLANK($E1445),$G1445="Yes"),1,$E1445)*IF($H1445="Yes",1,(1-$F1445))</f>
        <v>1.0870588235294116E-4</v>
      </c>
      <c r="O1445" s="130"/>
    </row>
    <row r="1446" spans="1:15" ht="15" x14ac:dyDescent="0.25">
      <c r="A1446" s="5" t="s">
        <v>1623</v>
      </c>
      <c r="B1446" s="7"/>
      <c r="C1446" s="13" t="s">
        <v>49</v>
      </c>
      <c r="D1446" s="19" t="str">
        <f>IFERROR(IF(C1446="No CAS","",INDEX('DEQ Pollutant List'!$B$7:$B$611,MATCH('3. Pollutant Emissions - EF'!C1446,'DEQ Pollutant List'!$A$7:$A$611,0))),"")</f>
        <v>Naphthalene</v>
      </c>
      <c r="E1446" s="23">
        <v>0</v>
      </c>
      <c r="F1446" s="21">
        <v>0</v>
      </c>
      <c r="G1446" s="23" t="s">
        <v>1415</v>
      </c>
      <c r="H1446" s="21" t="s">
        <v>1415</v>
      </c>
      <c r="I1446" s="34">
        <v>2.9999999999999997E-4</v>
      </c>
      <c r="J1446" s="11">
        <f t="shared" si="52"/>
        <v>2.9999999999999997E-4</v>
      </c>
      <c r="K1446" s="6" t="s">
        <v>1416</v>
      </c>
      <c r="L1446" s="20" t="s">
        <v>1422</v>
      </c>
      <c r="M1446" s="7">
        <f>IF(ISBLANK($B1446),_xlfn.XLOOKUP($A1446,'2. TEUs &amp; Activities - EF'!$A$9:$A$190,'2. TEUs &amp; Activities - EF'!$J$9:$J$190),_xlfn.XLOOKUP($B1446,'2. TEUs &amp; Activities - EF'!$B$9:$B$190,'2. TEUs &amp; Activities - EF'!$J$9:$J$190))*'3. Pollutant Emissions - EF'!$I1446*IF(OR(ISBLANK($E1446),$G1446="Yes"),1,$E1446)*IF($H1446="Yes",1,(1-$F1446))</f>
        <v>7.2141176470588214E-3</v>
      </c>
      <c r="N1446" s="5">
        <f>IF(ISBLANK($B1446),_xlfn.XLOOKUP($A1446,'2. TEUs &amp; Activities - EF'!$A$9:$A$190,'2. TEUs &amp; Activities - EF'!$M$9:$M$190),_xlfn.XLOOKUP($B1446,'2. TEUs &amp; Activities - EF'!$B$9:$B$190,'2. TEUs &amp; Activities - EF'!$M$9:$M$190))*'3. Pollutant Emissions - EF'!$J1446*IF(OR(ISBLANK($E1446),$G1446="Yes"),1,$E1446)*IF($H1446="Yes",1,(1-$F1446))</f>
        <v>1.9764705882352938E-5</v>
      </c>
      <c r="O1446" s="130"/>
    </row>
    <row r="1447" spans="1:15" ht="15" x14ac:dyDescent="0.25">
      <c r="A1447" s="5" t="s">
        <v>1623</v>
      </c>
      <c r="B1447" s="7"/>
      <c r="C1447" s="13" t="s">
        <v>66</v>
      </c>
      <c r="D1447" s="19" t="str">
        <f>IFERROR(IF(C1447="No CAS","",INDEX('DEQ Pollutant List'!$B$7:$B$611,MATCH('3. Pollutant Emissions - EF'!C1447,'DEQ Pollutant List'!$A$7:$A$611,0))),"")</f>
        <v>Nickel and compounds</v>
      </c>
      <c r="E1447" s="23">
        <v>0</v>
      </c>
      <c r="F1447" s="21">
        <v>0</v>
      </c>
      <c r="G1447" s="23" t="s">
        <v>1415</v>
      </c>
      <c r="H1447" s="21" t="s">
        <v>1415</v>
      </c>
      <c r="I1447" s="34">
        <v>2.0999999999999999E-3</v>
      </c>
      <c r="J1447" s="11">
        <f t="shared" si="52"/>
        <v>2.0999999999999999E-3</v>
      </c>
      <c r="K1447" s="6" t="s">
        <v>1416</v>
      </c>
      <c r="L1447" s="20" t="s">
        <v>1422</v>
      </c>
      <c r="M1447" s="7">
        <f>IF(ISBLANK($B1447),_xlfn.XLOOKUP($A1447,'2. TEUs &amp; Activities - EF'!$A$9:$A$190,'2. TEUs &amp; Activities - EF'!$J$9:$J$190),_xlfn.XLOOKUP($B1447,'2. TEUs &amp; Activities - EF'!$B$9:$B$190,'2. TEUs &amp; Activities - EF'!$J$9:$J$190))*'3. Pollutant Emissions - EF'!$I1447*IF(OR(ISBLANK($E1447),$G1447="Yes"),1,$E1447)*IF($H1447="Yes",1,(1-$F1447))</f>
        <v>5.0498823529411756E-2</v>
      </c>
      <c r="N1447" s="5">
        <f>IF(ISBLANK($B1447),_xlfn.XLOOKUP($A1447,'2. TEUs &amp; Activities - EF'!$A$9:$A$190,'2. TEUs &amp; Activities - EF'!$M$9:$M$190),_xlfn.XLOOKUP($B1447,'2. TEUs &amp; Activities - EF'!$B$9:$B$190,'2. TEUs &amp; Activities - EF'!$M$9:$M$190))*'3. Pollutant Emissions - EF'!$J1447*IF(OR(ISBLANK($E1447),$G1447="Yes"),1,$E1447)*IF($H1447="Yes",1,(1-$F1447))</f>
        <v>1.3835294117647056E-4</v>
      </c>
      <c r="O1447" s="130"/>
    </row>
    <row r="1448" spans="1:15" ht="15" x14ac:dyDescent="0.25">
      <c r="A1448" s="5" t="s">
        <v>1623</v>
      </c>
      <c r="B1448" s="7"/>
      <c r="C1448" s="13">
        <v>401</v>
      </c>
      <c r="D1448" s="19" t="str">
        <f>IFERROR(IF(C1448="No CAS","",INDEX('DEQ Pollutant List'!$B$7:$B$611,MATCH('3. Pollutant Emissions - EF'!C1448,'DEQ Pollutant List'!$A$7:$A$611,0))),"")</f>
        <v>Polycyclic aromatic hydrocarbons (PAHs)</v>
      </c>
      <c r="E1448" s="23">
        <v>0</v>
      </c>
      <c r="F1448" s="21">
        <v>0</v>
      </c>
      <c r="G1448" s="23" t="s">
        <v>1415</v>
      </c>
      <c r="H1448" s="21" t="s">
        <v>1415</v>
      </c>
      <c r="I1448" s="34">
        <v>1E-4</v>
      </c>
      <c r="J1448" s="11">
        <f t="shared" si="52"/>
        <v>1E-4</v>
      </c>
      <c r="K1448" s="6" t="s">
        <v>1416</v>
      </c>
      <c r="L1448" s="20" t="s">
        <v>1422</v>
      </c>
      <c r="M1448" s="7">
        <f>IF(ISBLANK($B1448),_xlfn.XLOOKUP($A1448,'2. TEUs &amp; Activities - EF'!$A$9:$A$190,'2. TEUs &amp; Activities - EF'!$J$9:$J$190),_xlfn.XLOOKUP($B1448,'2. TEUs &amp; Activities - EF'!$B$9:$B$190,'2. TEUs &amp; Activities - EF'!$J$9:$J$190))*'3. Pollutant Emissions - EF'!$I1448*IF(OR(ISBLANK($E1448),$G1448="Yes"),1,$E1448)*IF($H1448="Yes",1,(1-$F1448))</f>
        <v>2.4047058823529407E-3</v>
      </c>
      <c r="N1448" s="5">
        <f>IF(ISBLANK($B1448),_xlfn.XLOOKUP($A1448,'2. TEUs &amp; Activities - EF'!$A$9:$A$190,'2. TEUs &amp; Activities - EF'!$M$9:$M$190),_xlfn.XLOOKUP($B1448,'2. TEUs &amp; Activities - EF'!$B$9:$B$190,'2. TEUs &amp; Activities - EF'!$M$9:$M$190))*'3. Pollutant Emissions - EF'!$J1448*IF(OR(ISBLANK($E1448),$G1448="Yes"),1,$E1448)*IF($H1448="Yes",1,(1-$F1448))</f>
        <v>6.5882352941176463E-6</v>
      </c>
      <c r="O1448" s="130"/>
    </row>
    <row r="1449" spans="1:15" ht="15" x14ac:dyDescent="0.25">
      <c r="A1449" s="5" t="s">
        <v>1623</v>
      </c>
      <c r="B1449" s="7"/>
      <c r="C1449" s="13" t="s">
        <v>67</v>
      </c>
      <c r="D1449" s="19" t="str">
        <f>IFERROR(IF(C1449="No CAS","",INDEX('DEQ Pollutant List'!$B$7:$B$611,MATCH('3. Pollutant Emissions - EF'!C1449,'DEQ Pollutant List'!$A$7:$A$611,0))),"")</f>
        <v>Selenium and compounds</v>
      </c>
      <c r="E1449" s="23">
        <v>0</v>
      </c>
      <c r="F1449" s="21">
        <v>0</v>
      </c>
      <c r="G1449" s="23" t="s">
        <v>1415</v>
      </c>
      <c r="H1449" s="21" t="s">
        <v>1415</v>
      </c>
      <c r="I1449" s="34">
        <v>2.4000000000000001E-5</v>
      </c>
      <c r="J1449" s="11">
        <f t="shared" si="52"/>
        <v>2.4000000000000001E-5</v>
      </c>
      <c r="K1449" s="6" t="s">
        <v>1416</v>
      </c>
      <c r="L1449" s="20" t="s">
        <v>1422</v>
      </c>
      <c r="M1449" s="7">
        <f>IF(ISBLANK($B1449),_xlfn.XLOOKUP($A1449,'2. TEUs &amp; Activities - EF'!$A$9:$A$190,'2. TEUs &amp; Activities - EF'!$J$9:$J$190),_xlfn.XLOOKUP($B1449,'2. TEUs &amp; Activities - EF'!$B$9:$B$190,'2. TEUs &amp; Activities - EF'!$J$9:$J$190))*'3. Pollutant Emissions - EF'!$I1449*IF(OR(ISBLANK($E1449),$G1449="Yes"),1,$E1449)*IF($H1449="Yes",1,(1-$F1449))</f>
        <v>5.7712941176470578E-4</v>
      </c>
      <c r="N1449" s="5">
        <f>IF(ISBLANK($B1449),_xlfn.XLOOKUP($A1449,'2. TEUs &amp; Activities - EF'!$A$9:$A$190,'2. TEUs &amp; Activities - EF'!$M$9:$M$190),_xlfn.XLOOKUP($B1449,'2. TEUs &amp; Activities - EF'!$B$9:$B$190,'2. TEUs &amp; Activities - EF'!$M$9:$M$190))*'3. Pollutant Emissions - EF'!$J1449*IF(OR(ISBLANK($E1449),$G1449="Yes"),1,$E1449)*IF($H1449="Yes",1,(1-$F1449))</f>
        <v>1.5811764705882351E-6</v>
      </c>
      <c r="O1449" s="130"/>
    </row>
    <row r="1450" spans="1:15" ht="15" x14ac:dyDescent="0.25">
      <c r="A1450" s="5" t="s">
        <v>1623</v>
      </c>
      <c r="B1450" s="7"/>
      <c r="C1450" s="13" t="s">
        <v>68</v>
      </c>
      <c r="D1450" s="19" t="str">
        <f>IFERROR(IF(C1450="No CAS","",INDEX('DEQ Pollutant List'!$B$7:$B$611,MATCH('3. Pollutant Emissions - EF'!C1450,'DEQ Pollutant List'!$A$7:$A$611,0))),"")</f>
        <v>Toluene</v>
      </c>
      <c r="E1450" s="23">
        <v>0</v>
      </c>
      <c r="F1450" s="21">
        <v>0</v>
      </c>
      <c r="G1450" s="23" t="s">
        <v>1415</v>
      </c>
      <c r="H1450" s="21" t="s">
        <v>1415</v>
      </c>
      <c r="I1450" s="34">
        <v>3.6600000000000001E-2</v>
      </c>
      <c r="J1450" s="11">
        <f t="shared" si="52"/>
        <v>3.6600000000000001E-2</v>
      </c>
      <c r="K1450" s="6" t="s">
        <v>1416</v>
      </c>
      <c r="L1450" s="20" t="s">
        <v>1422</v>
      </c>
      <c r="M1450" s="7">
        <f>IF(ISBLANK($B1450),_xlfn.XLOOKUP($A1450,'2. TEUs &amp; Activities - EF'!$A$9:$A$190,'2. TEUs &amp; Activities - EF'!$J$9:$J$190),_xlfn.XLOOKUP($B1450,'2. TEUs &amp; Activities - EF'!$B$9:$B$190,'2. TEUs &amp; Activities - EF'!$J$9:$J$190))*'3. Pollutant Emissions - EF'!$I1450*IF(OR(ISBLANK($E1450),$G1450="Yes"),1,$E1450)*IF($H1450="Yes",1,(1-$F1450))</f>
        <v>0.88012235294117636</v>
      </c>
      <c r="N1450" s="5">
        <f>IF(ISBLANK($B1450),_xlfn.XLOOKUP($A1450,'2. TEUs &amp; Activities - EF'!$A$9:$A$190,'2. TEUs &amp; Activities - EF'!$M$9:$M$190),_xlfn.XLOOKUP($B1450,'2. TEUs &amp; Activities - EF'!$B$9:$B$190,'2. TEUs &amp; Activities - EF'!$M$9:$M$190))*'3. Pollutant Emissions - EF'!$J1450*IF(OR(ISBLANK($E1450),$G1450="Yes"),1,$E1450)*IF($H1450="Yes",1,(1-$F1450))</f>
        <v>2.4112941176470584E-3</v>
      </c>
      <c r="O1450" s="130"/>
    </row>
    <row r="1451" spans="1:15" ht="15" x14ac:dyDescent="0.25">
      <c r="A1451" s="5" t="s">
        <v>1623</v>
      </c>
      <c r="B1451" s="7"/>
      <c r="C1451" s="13" t="s">
        <v>69</v>
      </c>
      <c r="D1451" s="19" t="str">
        <f>IFERROR(IF(C1451="No CAS","",INDEX('DEQ Pollutant List'!$B$7:$B$611,MATCH('3. Pollutant Emissions - EF'!C1451,'DEQ Pollutant List'!$A$7:$A$611,0))),"")</f>
        <v>Vanadium (fume or dust)</v>
      </c>
      <c r="E1451" s="23">
        <v>0</v>
      </c>
      <c r="F1451" s="21">
        <v>0</v>
      </c>
      <c r="G1451" s="23" t="s">
        <v>1415</v>
      </c>
      <c r="H1451" s="21" t="s">
        <v>1415</v>
      </c>
      <c r="I1451" s="34">
        <v>2.3E-3</v>
      </c>
      <c r="J1451" s="11">
        <f t="shared" si="52"/>
        <v>2.3E-3</v>
      </c>
      <c r="K1451" s="6" t="s">
        <v>1416</v>
      </c>
      <c r="L1451" s="20" t="s">
        <v>1422</v>
      </c>
      <c r="M1451" s="7">
        <f>IF(ISBLANK($B1451),_xlfn.XLOOKUP($A1451,'2. TEUs &amp; Activities - EF'!$A$9:$A$190,'2. TEUs &amp; Activities - EF'!$J$9:$J$190),_xlfn.XLOOKUP($B1451,'2. TEUs &amp; Activities - EF'!$B$9:$B$190,'2. TEUs &amp; Activities - EF'!$J$9:$J$190))*'3. Pollutant Emissions - EF'!$I1451*IF(OR(ISBLANK($E1451),$G1451="Yes"),1,$E1451)*IF($H1451="Yes",1,(1-$F1451))</f>
        <v>5.5308235294117637E-2</v>
      </c>
      <c r="N1451" s="5">
        <f>IF(ISBLANK($B1451),_xlfn.XLOOKUP($A1451,'2. TEUs &amp; Activities - EF'!$A$9:$A$190,'2. TEUs &amp; Activities - EF'!$M$9:$M$190),_xlfn.XLOOKUP($B1451,'2. TEUs &amp; Activities - EF'!$B$9:$B$190,'2. TEUs &amp; Activities - EF'!$M$9:$M$190))*'3. Pollutant Emissions - EF'!$J1451*IF(OR(ISBLANK($E1451),$G1451="Yes"),1,$E1451)*IF($H1451="Yes",1,(1-$F1451))</f>
        <v>1.5152941176470585E-4</v>
      </c>
      <c r="O1451" s="130"/>
    </row>
    <row r="1452" spans="1:15" ht="15" x14ac:dyDescent="0.25">
      <c r="A1452" s="5" t="s">
        <v>1623</v>
      </c>
      <c r="B1452" s="7"/>
      <c r="C1452" s="13" t="s">
        <v>70</v>
      </c>
      <c r="D1452" s="19" t="str">
        <f>IFERROR(IF(C1452="No CAS","",INDEX('DEQ Pollutant List'!$B$7:$B$611,MATCH('3. Pollutant Emissions - EF'!C1452,'DEQ Pollutant List'!$A$7:$A$611,0))),"")</f>
        <v>Xylene (mixture), including m-xylene, o-xylene, p-xylene</v>
      </c>
      <c r="E1452" s="23">
        <v>0</v>
      </c>
      <c r="F1452" s="21">
        <v>0</v>
      </c>
      <c r="G1452" s="23" t="s">
        <v>1415</v>
      </c>
      <c r="H1452" s="21" t="s">
        <v>1415</v>
      </c>
      <c r="I1452" s="34">
        <v>2.7199999999999998E-2</v>
      </c>
      <c r="J1452" s="11">
        <f t="shared" si="52"/>
        <v>2.7199999999999998E-2</v>
      </c>
      <c r="K1452" s="6" t="s">
        <v>1416</v>
      </c>
      <c r="L1452" s="20" t="s">
        <v>1422</v>
      </c>
      <c r="M1452" s="7">
        <f>IF(ISBLANK($B1452),_xlfn.XLOOKUP($A1452,'2. TEUs &amp; Activities - EF'!$A$9:$A$190,'2. TEUs &amp; Activities - EF'!$J$9:$J$190),_xlfn.XLOOKUP($B1452,'2. TEUs &amp; Activities - EF'!$B$9:$B$190,'2. TEUs &amp; Activities - EF'!$J$9:$J$190))*'3. Pollutant Emissions - EF'!$I1452*IF(OR(ISBLANK($E1452),$G1452="Yes"),1,$E1452)*IF($H1452="Yes",1,(1-$F1452))</f>
        <v>0.65407999999999988</v>
      </c>
      <c r="N1452" s="5">
        <f>IF(ISBLANK($B1452),_xlfn.XLOOKUP($A1452,'2. TEUs &amp; Activities - EF'!$A$9:$A$190,'2. TEUs &amp; Activities - EF'!$M$9:$M$190),_xlfn.XLOOKUP($B1452,'2. TEUs &amp; Activities - EF'!$B$9:$B$190,'2. TEUs &amp; Activities - EF'!$M$9:$M$190))*'3. Pollutant Emissions - EF'!$J1452*IF(OR(ISBLANK($E1452),$G1452="Yes"),1,$E1452)*IF($H1452="Yes",1,(1-$F1452))</f>
        <v>1.7919999999999998E-3</v>
      </c>
      <c r="O1452" s="130"/>
    </row>
    <row r="1453" spans="1:15" ht="15" x14ac:dyDescent="0.25">
      <c r="A1453" s="5" t="s">
        <v>1623</v>
      </c>
      <c r="B1453" s="7"/>
      <c r="C1453" s="13" t="s">
        <v>71</v>
      </c>
      <c r="D1453" s="19" t="str">
        <f>IFERROR(IF(C1453="No CAS","",INDEX('DEQ Pollutant List'!$B$7:$B$611,MATCH('3. Pollutant Emissions - EF'!C1453,'DEQ Pollutant List'!$A$7:$A$611,0))),"")</f>
        <v>Zinc and compounds</v>
      </c>
      <c r="E1453" s="23">
        <v>0</v>
      </c>
      <c r="F1453" s="21">
        <v>0</v>
      </c>
      <c r="G1453" s="23" t="s">
        <v>1415</v>
      </c>
      <c r="H1453" s="21" t="s">
        <v>1415</v>
      </c>
      <c r="I1453" s="34">
        <v>2.9000000000000001E-2</v>
      </c>
      <c r="J1453" s="11">
        <f t="shared" si="52"/>
        <v>2.9000000000000001E-2</v>
      </c>
      <c r="K1453" s="6" t="s">
        <v>1416</v>
      </c>
      <c r="L1453" s="20" t="s">
        <v>1422</v>
      </c>
      <c r="M1453" s="7">
        <f>IF(ISBLANK($B1453),_xlfn.XLOOKUP($A1453,'2. TEUs &amp; Activities - EF'!$A$9:$A$190,'2. TEUs &amp; Activities - EF'!$J$9:$J$190),_xlfn.XLOOKUP($B1453,'2. TEUs &amp; Activities - EF'!$B$9:$B$190,'2. TEUs &amp; Activities - EF'!$J$9:$J$190))*'3. Pollutant Emissions - EF'!$I1453*IF(OR(ISBLANK($E1453),$G1453="Yes"),1,$E1453)*IF($H1453="Yes",1,(1-$F1453))</f>
        <v>0.69736470588235289</v>
      </c>
      <c r="N1453" s="5">
        <f>IF(ISBLANK($B1453),_xlfn.XLOOKUP($A1453,'2. TEUs &amp; Activities - EF'!$A$9:$A$190,'2. TEUs &amp; Activities - EF'!$M$9:$M$190),_xlfn.XLOOKUP($B1453,'2. TEUs &amp; Activities - EF'!$B$9:$B$190,'2. TEUs &amp; Activities - EF'!$M$9:$M$190))*'3. Pollutant Emissions - EF'!$J1453*IF(OR(ISBLANK($E1453),$G1453="Yes"),1,$E1453)*IF($H1453="Yes",1,(1-$F1453))</f>
        <v>1.9105882352941175E-3</v>
      </c>
      <c r="O1453" s="130"/>
    </row>
    <row r="1454" spans="1:15" ht="15" x14ac:dyDescent="0.25">
      <c r="A1454" s="5"/>
      <c r="B1454" s="7"/>
      <c r="C1454" s="13"/>
      <c r="D1454" s="19" t="str">
        <f>IFERROR(IF(C1454="No CAS","",INDEX('DEQ Pollutant List'!$B$7:$B$611,MATCH('3. Pollutant Emissions - EF'!C1454,'DEQ Pollutant List'!$A$7:$A$611,0))),"")</f>
        <v/>
      </c>
      <c r="E1454" s="23"/>
      <c r="F1454" s="21"/>
      <c r="G1454" s="23"/>
      <c r="H1454" s="21"/>
      <c r="I1454" s="34"/>
      <c r="J1454" s="11"/>
      <c r="K1454" s="6"/>
      <c r="L1454" s="20"/>
      <c r="M1454" s="7">
        <f>IF(ISBLANK($B1454),_xlfn.XLOOKUP($A1454,'2. TEUs &amp; Activities - EF'!$A$9:$A$190,'2. TEUs &amp; Activities - EF'!$J$9:$J$190),_xlfn.XLOOKUP($B1454,'2. TEUs &amp; Activities - EF'!$B$9:$B$190,'2. TEUs &amp; Activities - EF'!$J$9:$J$190))*'3. Pollutant Emissions - EF'!$I1454*IF(OR(ISBLANK($E1454),$G1454="Yes"),1,$E1454)*IF($H1454="Yes",1,(1-$F1454))</f>
        <v>0</v>
      </c>
      <c r="N1454" s="5">
        <f>IF(ISBLANK($B1454),_xlfn.XLOOKUP($A1454,'2. TEUs &amp; Activities - EF'!$A$9:$A$190,'2. TEUs &amp; Activities - EF'!$M$9:$M$190),_xlfn.XLOOKUP($B1454,'2. TEUs &amp; Activities - EF'!$B$9:$B$190,'2. TEUs &amp; Activities - EF'!$M$9:$M$190))*'3. Pollutant Emissions - EF'!$J1454*IF(OR(ISBLANK($E1454),$G1454="Yes"),1,$E1454)*IF($H1454="Yes",1,(1-$F1454))</f>
        <v>0</v>
      </c>
      <c r="O1454" s="130"/>
    </row>
    <row r="1455" spans="1:15" ht="15" x14ac:dyDescent="0.25">
      <c r="A1455" s="5" t="s">
        <v>1624</v>
      </c>
      <c r="B1455" s="7"/>
      <c r="C1455" s="13" t="s">
        <v>48</v>
      </c>
      <c r="D1455" s="19" t="str">
        <f>IFERROR(IF(C1455="No CAS","",INDEX('DEQ Pollutant List'!$B$7:$B$611,MATCH('3. Pollutant Emissions - EF'!C1455,'DEQ Pollutant List'!$A$7:$A$611,0))),"")</f>
        <v>Benzo[a]pyrene</v>
      </c>
      <c r="E1455" s="23">
        <v>0</v>
      </c>
      <c r="F1455" s="21">
        <v>0</v>
      </c>
      <c r="G1455" s="23" t="s">
        <v>1415</v>
      </c>
      <c r="H1455" s="21" t="s">
        <v>1415</v>
      </c>
      <c r="I1455" s="34">
        <v>1.1999999999999999E-6</v>
      </c>
      <c r="J1455" s="11">
        <f t="shared" ref="J1455:J1481" si="53">I1455</f>
        <v>1.1999999999999999E-6</v>
      </c>
      <c r="K1455" s="6" t="s">
        <v>1416</v>
      </c>
      <c r="L1455" s="20" t="s">
        <v>1422</v>
      </c>
      <c r="M1455" s="7">
        <f>IF(ISBLANK($B1455),_xlfn.XLOOKUP($A1455,'2. TEUs &amp; Activities - EF'!$A$9:$A$190,'2. TEUs &amp; Activities - EF'!$J$9:$J$190),_xlfn.XLOOKUP($B1455,'2. TEUs &amp; Activities - EF'!$B$9:$B$190,'2. TEUs &amp; Activities - EF'!$J$9:$J$190))*'3. Pollutant Emissions - EF'!$I1455*IF(OR(ISBLANK($E1455),$G1455="Yes"),1,$E1455)*IF($H1455="Yes",1,(1-$F1455))</f>
        <v>2.885647058823529E-5</v>
      </c>
      <c r="N1455" s="5">
        <f>IF(ISBLANK($B1455),_xlfn.XLOOKUP($A1455,'2. TEUs &amp; Activities - EF'!$A$9:$A$190,'2. TEUs &amp; Activities - EF'!$M$9:$M$190),_xlfn.XLOOKUP($B1455,'2. TEUs &amp; Activities - EF'!$B$9:$B$190,'2. TEUs &amp; Activities - EF'!$M$9:$M$190))*'3. Pollutant Emissions - EF'!$J1455*IF(OR(ISBLANK($E1455),$G1455="Yes"),1,$E1455)*IF($H1455="Yes",1,(1-$F1455))</f>
        <v>7.9058823529411752E-8</v>
      </c>
      <c r="O1455" s="130"/>
    </row>
    <row r="1456" spans="1:15" ht="15" x14ac:dyDescent="0.25">
      <c r="A1456" s="5" t="s">
        <v>1624</v>
      </c>
      <c r="B1456" s="7"/>
      <c r="C1456" s="13" t="s">
        <v>50</v>
      </c>
      <c r="D1456" s="19" t="str">
        <f>IFERROR(IF(C1456="No CAS","",INDEX('DEQ Pollutant List'!$B$7:$B$611,MATCH('3. Pollutant Emissions - EF'!C1456,'DEQ Pollutant List'!$A$7:$A$611,0))),"")</f>
        <v>Acetaldehyde</v>
      </c>
      <c r="E1456" s="23">
        <v>0</v>
      </c>
      <c r="F1456" s="21">
        <v>0</v>
      </c>
      <c r="G1456" s="23" t="s">
        <v>1415</v>
      </c>
      <c r="H1456" s="21" t="s">
        <v>1415</v>
      </c>
      <c r="I1456" s="34">
        <v>4.3E-3</v>
      </c>
      <c r="J1456" s="11">
        <f t="shared" si="53"/>
        <v>4.3E-3</v>
      </c>
      <c r="K1456" s="6" t="s">
        <v>1416</v>
      </c>
      <c r="L1456" s="20" t="s">
        <v>1422</v>
      </c>
      <c r="M1456" s="7">
        <f>IF(ISBLANK($B1456),_xlfn.XLOOKUP($A1456,'2. TEUs &amp; Activities - EF'!$A$9:$A$190,'2. TEUs &amp; Activities - EF'!$J$9:$J$190),_xlfn.XLOOKUP($B1456,'2. TEUs &amp; Activities - EF'!$B$9:$B$190,'2. TEUs &amp; Activities - EF'!$J$9:$J$190))*'3. Pollutant Emissions - EF'!$I1456*IF(OR(ISBLANK($E1456),$G1456="Yes"),1,$E1456)*IF($H1456="Yes",1,(1-$F1456))</f>
        <v>0.10340235294117646</v>
      </c>
      <c r="N1456" s="5">
        <f>IF(ISBLANK($B1456),_xlfn.XLOOKUP($A1456,'2. TEUs &amp; Activities - EF'!$A$9:$A$190,'2. TEUs &amp; Activities - EF'!$M$9:$M$190),_xlfn.XLOOKUP($B1456,'2. TEUs &amp; Activities - EF'!$B$9:$B$190,'2. TEUs &amp; Activities - EF'!$M$9:$M$190))*'3. Pollutant Emissions - EF'!$J1456*IF(OR(ISBLANK($E1456),$G1456="Yes"),1,$E1456)*IF($H1456="Yes",1,(1-$F1456))</f>
        <v>2.8329411764705878E-4</v>
      </c>
      <c r="O1456" s="130"/>
    </row>
    <row r="1457" spans="1:15" ht="15" x14ac:dyDescent="0.25">
      <c r="A1457" s="5" t="s">
        <v>1624</v>
      </c>
      <c r="B1457" s="7"/>
      <c r="C1457" s="13" t="s">
        <v>51</v>
      </c>
      <c r="D1457" s="19" t="str">
        <f>IFERROR(IF(C1457="No CAS","",INDEX('DEQ Pollutant List'!$B$7:$B$611,MATCH('3. Pollutant Emissions - EF'!C1457,'DEQ Pollutant List'!$A$7:$A$611,0))),"")</f>
        <v>Acrolein</v>
      </c>
      <c r="E1457" s="23">
        <v>0</v>
      </c>
      <c r="F1457" s="21">
        <v>0</v>
      </c>
      <c r="G1457" s="23" t="s">
        <v>1415</v>
      </c>
      <c r="H1457" s="21" t="s">
        <v>1415</v>
      </c>
      <c r="I1457" s="34">
        <v>2.7000000000000001E-3</v>
      </c>
      <c r="J1457" s="11">
        <f t="shared" si="53"/>
        <v>2.7000000000000001E-3</v>
      </c>
      <c r="K1457" s="6" t="s">
        <v>1416</v>
      </c>
      <c r="L1457" s="20" t="s">
        <v>1422</v>
      </c>
      <c r="M1457" s="7">
        <f>IF(ISBLANK($B1457),_xlfn.XLOOKUP($A1457,'2. TEUs &amp; Activities - EF'!$A$9:$A$190,'2. TEUs &amp; Activities - EF'!$J$9:$J$190),_xlfn.XLOOKUP($B1457,'2. TEUs &amp; Activities - EF'!$B$9:$B$190,'2. TEUs &amp; Activities - EF'!$J$9:$J$190))*'3. Pollutant Emissions - EF'!$I1457*IF(OR(ISBLANK($E1457),$G1457="Yes"),1,$E1457)*IF($H1457="Yes",1,(1-$F1457))</f>
        <v>6.4927058823529407E-2</v>
      </c>
      <c r="N1457" s="5">
        <f>IF(ISBLANK($B1457),_xlfn.XLOOKUP($A1457,'2. TEUs &amp; Activities - EF'!$A$9:$A$190,'2. TEUs &amp; Activities - EF'!$M$9:$M$190),_xlfn.XLOOKUP($B1457,'2. TEUs &amp; Activities - EF'!$B$9:$B$190,'2. TEUs &amp; Activities - EF'!$M$9:$M$190))*'3. Pollutant Emissions - EF'!$J1457*IF(OR(ISBLANK($E1457),$G1457="Yes"),1,$E1457)*IF($H1457="Yes",1,(1-$F1457))</f>
        <v>1.7788235294117645E-4</v>
      </c>
      <c r="O1457" s="130"/>
    </row>
    <row r="1458" spans="1:15" ht="15" x14ac:dyDescent="0.25">
      <c r="A1458" s="5" t="s">
        <v>1624</v>
      </c>
      <c r="B1458" s="7"/>
      <c r="C1458" s="13" t="s">
        <v>52</v>
      </c>
      <c r="D1458" s="19" t="str">
        <f>IFERROR(IF(C1458="No CAS","",INDEX('DEQ Pollutant List'!$B$7:$B$611,MATCH('3. Pollutant Emissions - EF'!C1458,'DEQ Pollutant List'!$A$7:$A$611,0))),"")</f>
        <v>Ammonia</v>
      </c>
      <c r="E1458" s="23">
        <v>0</v>
      </c>
      <c r="F1458" s="21">
        <v>0</v>
      </c>
      <c r="G1458" s="23" t="s">
        <v>1415</v>
      </c>
      <c r="H1458" s="21" t="s">
        <v>1415</v>
      </c>
      <c r="I1458" s="34">
        <v>3.2</v>
      </c>
      <c r="J1458" s="11">
        <f t="shared" si="53"/>
        <v>3.2</v>
      </c>
      <c r="K1458" s="6" t="s">
        <v>1416</v>
      </c>
      <c r="L1458" s="20" t="s">
        <v>1586</v>
      </c>
      <c r="M1458" s="7">
        <f>IF(ISBLANK($B1458),_xlfn.XLOOKUP($A1458,'2. TEUs &amp; Activities - EF'!$A$9:$A$190,'2. TEUs &amp; Activities - EF'!$J$9:$J$190),_xlfn.XLOOKUP($B1458,'2. TEUs &amp; Activities - EF'!$B$9:$B$190,'2. TEUs &amp; Activities - EF'!$J$9:$J$190))*'3. Pollutant Emissions - EF'!$I1458*IF(OR(ISBLANK($E1458),$G1458="Yes"),1,$E1458)*IF($H1458="Yes",1,(1-$F1458))</f>
        <v>76.950588235294106</v>
      </c>
      <c r="N1458" s="5">
        <f>IF(ISBLANK($B1458),_xlfn.XLOOKUP($A1458,'2. TEUs &amp; Activities - EF'!$A$9:$A$190,'2. TEUs &amp; Activities - EF'!$M$9:$M$190),_xlfn.XLOOKUP($B1458,'2. TEUs &amp; Activities - EF'!$B$9:$B$190,'2. TEUs &amp; Activities - EF'!$M$9:$M$190))*'3. Pollutant Emissions - EF'!$J1458*IF(OR(ISBLANK($E1458),$G1458="Yes"),1,$E1458)*IF($H1458="Yes",1,(1-$F1458))</f>
        <v>0.21082352941176469</v>
      </c>
      <c r="O1458" s="130"/>
    </row>
    <row r="1459" spans="1:15" ht="15" x14ac:dyDescent="0.25">
      <c r="A1459" s="5" t="s">
        <v>1624</v>
      </c>
      <c r="B1459" s="7"/>
      <c r="C1459" s="13" t="s">
        <v>53</v>
      </c>
      <c r="D1459" s="19" t="str">
        <f>IFERROR(IF(C1459="No CAS","",INDEX('DEQ Pollutant List'!$B$7:$B$611,MATCH('3. Pollutant Emissions - EF'!C1459,'DEQ Pollutant List'!$A$7:$A$611,0))),"")</f>
        <v>Arsenic and compounds</v>
      </c>
      <c r="E1459" s="23">
        <v>0</v>
      </c>
      <c r="F1459" s="21">
        <v>0</v>
      </c>
      <c r="G1459" s="23" t="s">
        <v>1415</v>
      </c>
      <c r="H1459" s="21" t="s">
        <v>1415</v>
      </c>
      <c r="I1459" s="34">
        <v>2.0000000000000001E-4</v>
      </c>
      <c r="J1459" s="11">
        <f t="shared" si="53"/>
        <v>2.0000000000000001E-4</v>
      </c>
      <c r="K1459" s="6" t="s">
        <v>1416</v>
      </c>
      <c r="L1459" s="20" t="s">
        <v>1422</v>
      </c>
      <c r="M1459" s="7">
        <f>IF(ISBLANK($B1459),_xlfn.XLOOKUP($A1459,'2. TEUs &amp; Activities - EF'!$A$9:$A$190,'2. TEUs &amp; Activities - EF'!$J$9:$J$190),_xlfn.XLOOKUP($B1459,'2. TEUs &amp; Activities - EF'!$B$9:$B$190,'2. TEUs &amp; Activities - EF'!$J$9:$J$190))*'3. Pollutant Emissions - EF'!$I1459*IF(OR(ISBLANK($E1459),$G1459="Yes"),1,$E1459)*IF($H1459="Yes",1,(1-$F1459))</f>
        <v>4.8094117647058815E-3</v>
      </c>
      <c r="N1459" s="5">
        <f>IF(ISBLANK($B1459),_xlfn.XLOOKUP($A1459,'2. TEUs &amp; Activities - EF'!$A$9:$A$190,'2. TEUs &amp; Activities - EF'!$M$9:$M$190),_xlfn.XLOOKUP($B1459,'2. TEUs &amp; Activities - EF'!$B$9:$B$190,'2. TEUs &amp; Activities - EF'!$M$9:$M$190))*'3. Pollutant Emissions - EF'!$J1459*IF(OR(ISBLANK($E1459),$G1459="Yes"),1,$E1459)*IF($H1459="Yes",1,(1-$F1459))</f>
        <v>1.3176470588235293E-5</v>
      </c>
      <c r="O1459" s="130"/>
    </row>
    <row r="1460" spans="1:15" ht="15" x14ac:dyDescent="0.25">
      <c r="A1460" s="5" t="s">
        <v>1624</v>
      </c>
      <c r="B1460" s="7"/>
      <c r="C1460" s="13" t="s">
        <v>54</v>
      </c>
      <c r="D1460" s="19" t="str">
        <f>IFERROR(IF(C1460="No CAS","",INDEX('DEQ Pollutant List'!$B$7:$B$611,MATCH('3. Pollutant Emissions - EF'!C1460,'DEQ Pollutant List'!$A$7:$A$611,0))),"")</f>
        <v>Barium and compounds</v>
      </c>
      <c r="E1460" s="23">
        <v>0</v>
      </c>
      <c r="F1460" s="21">
        <v>0</v>
      </c>
      <c r="G1460" s="23" t="s">
        <v>1415</v>
      </c>
      <c r="H1460" s="21" t="s">
        <v>1415</v>
      </c>
      <c r="I1460" s="34">
        <v>4.4000000000000003E-3</v>
      </c>
      <c r="J1460" s="11">
        <f t="shared" si="53"/>
        <v>4.4000000000000003E-3</v>
      </c>
      <c r="K1460" s="6" t="s">
        <v>1416</v>
      </c>
      <c r="L1460" s="20" t="s">
        <v>1422</v>
      </c>
      <c r="M1460" s="7">
        <f>IF(ISBLANK($B1460),_xlfn.XLOOKUP($A1460,'2. TEUs &amp; Activities - EF'!$A$9:$A$190,'2. TEUs &amp; Activities - EF'!$J$9:$J$190),_xlfn.XLOOKUP($B1460,'2. TEUs &amp; Activities - EF'!$B$9:$B$190,'2. TEUs &amp; Activities - EF'!$J$9:$J$190))*'3. Pollutant Emissions - EF'!$I1460*IF(OR(ISBLANK($E1460),$G1460="Yes"),1,$E1460)*IF($H1460="Yes",1,(1-$F1460))</f>
        <v>0.10580705882352941</v>
      </c>
      <c r="N1460" s="5">
        <f>IF(ISBLANK($B1460),_xlfn.XLOOKUP($A1460,'2. TEUs &amp; Activities - EF'!$A$9:$A$190,'2. TEUs &amp; Activities - EF'!$M$9:$M$190),_xlfn.XLOOKUP($B1460,'2. TEUs &amp; Activities - EF'!$B$9:$B$190,'2. TEUs &amp; Activities - EF'!$M$9:$M$190))*'3. Pollutant Emissions - EF'!$J1460*IF(OR(ISBLANK($E1460),$G1460="Yes"),1,$E1460)*IF($H1460="Yes",1,(1-$F1460))</f>
        <v>2.8988235294117643E-4</v>
      </c>
      <c r="O1460" s="130"/>
    </row>
    <row r="1461" spans="1:15" ht="15" x14ac:dyDescent="0.25">
      <c r="A1461" s="5" t="s">
        <v>1624</v>
      </c>
      <c r="B1461" s="7"/>
      <c r="C1461" s="13" t="s">
        <v>46</v>
      </c>
      <c r="D1461" s="19" t="str">
        <f>IFERROR(IF(C1461="No CAS","",INDEX('DEQ Pollutant List'!$B$7:$B$611,MATCH('3. Pollutant Emissions - EF'!C1461,'DEQ Pollutant List'!$A$7:$A$611,0))),"")</f>
        <v>Benzene</v>
      </c>
      <c r="E1461" s="23">
        <v>0</v>
      </c>
      <c r="F1461" s="21">
        <v>0</v>
      </c>
      <c r="G1461" s="23" t="s">
        <v>1415</v>
      </c>
      <c r="H1461" s="21" t="s">
        <v>1415</v>
      </c>
      <c r="I1461" s="34">
        <v>8.0000000000000002E-3</v>
      </c>
      <c r="J1461" s="11">
        <f t="shared" si="53"/>
        <v>8.0000000000000002E-3</v>
      </c>
      <c r="K1461" s="6" t="s">
        <v>1416</v>
      </c>
      <c r="L1461" s="20" t="s">
        <v>1422</v>
      </c>
      <c r="M1461" s="7">
        <f>IF(ISBLANK($B1461),_xlfn.XLOOKUP($A1461,'2. TEUs &amp; Activities - EF'!$A$9:$A$190,'2. TEUs &amp; Activities - EF'!$J$9:$J$190),_xlfn.XLOOKUP($B1461,'2. TEUs &amp; Activities - EF'!$B$9:$B$190,'2. TEUs &amp; Activities - EF'!$J$9:$J$190))*'3. Pollutant Emissions - EF'!$I1461*IF(OR(ISBLANK($E1461),$G1461="Yes"),1,$E1461)*IF($H1461="Yes",1,(1-$F1461))</f>
        <v>0.19237647058823526</v>
      </c>
      <c r="N1461" s="5">
        <f>IF(ISBLANK($B1461),_xlfn.XLOOKUP($A1461,'2. TEUs &amp; Activities - EF'!$A$9:$A$190,'2. TEUs &amp; Activities - EF'!$M$9:$M$190),_xlfn.XLOOKUP($B1461,'2. TEUs &amp; Activities - EF'!$B$9:$B$190,'2. TEUs &amp; Activities - EF'!$M$9:$M$190))*'3. Pollutant Emissions - EF'!$J1461*IF(OR(ISBLANK($E1461),$G1461="Yes"),1,$E1461)*IF($H1461="Yes",1,(1-$F1461))</f>
        <v>5.2705882352941172E-4</v>
      </c>
      <c r="O1461" s="130"/>
    </row>
    <row r="1462" spans="1:15" ht="15" x14ac:dyDescent="0.25">
      <c r="A1462" s="5" t="s">
        <v>1624</v>
      </c>
      <c r="B1462" s="7"/>
      <c r="C1462" s="13" t="s">
        <v>55</v>
      </c>
      <c r="D1462" s="19" t="str">
        <f>IFERROR(IF(C1462="No CAS","",INDEX('DEQ Pollutant List'!$B$7:$B$611,MATCH('3. Pollutant Emissions - EF'!C1462,'DEQ Pollutant List'!$A$7:$A$611,0))),"")</f>
        <v>Beryllium and compounds</v>
      </c>
      <c r="E1462" s="23">
        <v>0</v>
      </c>
      <c r="F1462" s="21">
        <v>0</v>
      </c>
      <c r="G1462" s="23" t="s">
        <v>1415</v>
      </c>
      <c r="H1462" s="21" t="s">
        <v>1415</v>
      </c>
      <c r="I1462" s="34">
        <v>1.2E-5</v>
      </c>
      <c r="J1462" s="11">
        <f t="shared" si="53"/>
        <v>1.2E-5</v>
      </c>
      <c r="K1462" s="6" t="s">
        <v>1416</v>
      </c>
      <c r="L1462" s="20" t="s">
        <v>1422</v>
      </c>
      <c r="M1462" s="7">
        <f>IF(ISBLANK($B1462),_xlfn.XLOOKUP($A1462,'2. TEUs &amp; Activities - EF'!$A$9:$A$190,'2. TEUs &amp; Activities - EF'!$J$9:$J$190),_xlfn.XLOOKUP($B1462,'2. TEUs &amp; Activities - EF'!$B$9:$B$190,'2. TEUs &amp; Activities - EF'!$J$9:$J$190))*'3. Pollutant Emissions - EF'!$I1462*IF(OR(ISBLANK($E1462),$G1462="Yes"),1,$E1462)*IF($H1462="Yes",1,(1-$F1462))</f>
        <v>2.8856470588235289E-4</v>
      </c>
      <c r="N1462" s="5">
        <f>IF(ISBLANK($B1462),_xlfn.XLOOKUP($A1462,'2. TEUs &amp; Activities - EF'!$A$9:$A$190,'2. TEUs &amp; Activities - EF'!$M$9:$M$190),_xlfn.XLOOKUP($B1462,'2. TEUs &amp; Activities - EF'!$B$9:$B$190,'2. TEUs &amp; Activities - EF'!$M$9:$M$190))*'3. Pollutant Emissions - EF'!$J1462*IF(OR(ISBLANK($E1462),$G1462="Yes"),1,$E1462)*IF($H1462="Yes",1,(1-$F1462))</f>
        <v>7.9058823529411757E-7</v>
      </c>
      <c r="O1462" s="130"/>
    </row>
    <row r="1463" spans="1:15" ht="15" x14ac:dyDescent="0.25">
      <c r="A1463" s="5" t="s">
        <v>1624</v>
      </c>
      <c r="B1463" s="7"/>
      <c r="C1463" s="13" t="s">
        <v>56</v>
      </c>
      <c r="D1463" s="19" t="str">
        <f>IFERROR(IF(C1463="No CAS","",INDEX('DEQ Pollutant List'!$B$7:$B$611,MATCH('3. Pollutant Emissions - EF'!C1463,'DEQ Pollutant List'!$A$7:$A$611,0))),"")</f>
        <v>Cadmium and compounds</v>
      </c>
      <c r="E1463" s="23">
        <v>0</v>
      </c>
      <c r="F1463" s="21">
        <v>0</v>
      </c>
      <c r="G1463" s="23" t="s">
        <v>1415</v>
      </c>
      <c r="H1463" s="21" t="s">
        <v>1415</v>
      </c>
      <c r="I1463" s="34">
        <v>1.1000000000000001E-3</v>
      </c>
      <c r="J1463" s="11">
        <f t="shared" si="53"/>
        <v>1.1000000000000001E-3</v>
      </c>
      <c r="K1463" s="6" t="s">
        <v>1416</v>
      </c>
      <c r="L1463" s="20" t="s">
        <v>1422</v>
      </c>
      <c r="M1463" s="7">
        <f>IF(ISBLANK($B1463),_xlfn.XLOOKUP($A1463,'2. TEUs &amp; Activities - EF'!$A$9:$A$190,'2. TEUs &amp; Activities - EF'!$J$9:$J$190),_xlfn.XLOOKUP($B1463,'2. TEUs &amp; Activities - EF'!$B$9:$B$190,'2. TEUs &amp; Activities - EF'!$J$9:$J$190))*'3. Pollutant Emissions - EF'!$I1463*IF(OR(ISBLANK($E1463),$G1463="Yes"),1,$E1463)*IF($H1463="Yes",1,(1-$F1463))</f>
        <v>2.6451764705882352E-2</v>
      </c>
      <c r="N1463" s="5">
        <f>IF(ISBLANK($B1463),_xlfn.XLOOKUP($A1463,'2. TEUs &amp; Activities - EF'!$A$9:$A$190,'2. TEUs &amp; Activities - EF'!$M$9:$M$190),_xlfn.XLOOKUP($B1463,'2. TEUs &amp; Activities - EF'!$B$9:$B$190,'2. TEUs &amp; Activities - EF'!$M$9:$M$190))*'3. Pollutant Emissions - EF'!$J1463*IF(OR(ISBLANK($E1463),$G1463="Yes"),1,$E1463)*IF($H1463="Yes",1,(1-$F1463))</f>
        <v>7.2470588235294109E-5</v>
      </c>
      <c r="O1463" s="130"/>
    </row>
    <row r="1464" spans="1:15" ht="15" x14ac:dyDescent="0.25">
      <c r="A1464" s="5" t="s">
        <v>1624</v>
      </c>
      <c r="B1464" s="7"/>
      <c r="C1464" s="13" t="s">
        <v>57</v>
      </c>
      <c r="D1464" s="19" t="str">
        <f>IFERROR(IF(C1464="No CAS","",INDEX('DEQ Pollutant List'!$B$7:$B$611,MATCH('3. Pollutant Emissions - EF'!C1464,'DEQ Pollutant List'!$A$7:$A$611,0))),"")</f>
        <v>Chromium VI, chromate and dichromate particulate</v>
      </c>
      <c r="E1464" s="23">
        <v>0</v>
      </c>
      <c r="F1464" s="21">
        <v>0</v>
      </c>
      <c r="G1464" s="23" t="s">
        <v>1415</v>
      </c>
      <c r="H1464" s="21" t="s">
        <v>1415</v>
      </c>
      <c r="I1464" s="34">
        <v>1.4E-3</v>
      </c>
      <c r="J1464" s="11">
        <f t="shared" si="53"/>
        <v>1.4E-3</v>
      </c>
      <c r="K1464" s="6" t="s">
        <v>1416</v>
      </c>
      <c r="L1464" s="20" t="s">
        <v>1422</v>
      </c>
      <c r="M1464" s="7">
        <f>IF(ISBLANK($B1464),_xlfn.XLOOKUP($A1464,'2. TEUs &amp; Activities - EF'!$A$9:$A$190,'2. TEUs &amp; Activities - EF'!$J$9:$J$190),_xlfn.XLOOKUP($B1464,'2. TEUs &amp; Activities - EF'!$B$9:$B$190,'2. TEUs &amp; Activities - EF'!$J$9:$J$190))*'3. Pollutant Emissions - EF'!$I1464*IF(OR(ISBLANK($E1464),$G1464="Yes"),1,$E1464)*IF($H1464="Yes",1,(1-$F1464))</f>
        <v>3.366588235294117E-2</v>
      </c>
      <c r="N1464" s="5">
        <f>IF(ISBLANK($B1464),_xlfn.XLOOKUP($A1464,'2. TEUs &amp; Activities - EF'!$A$9:$A$190,'2. TEUs &amp; Activities - EF'!$M$9:$M$190),_xlfn.XLOOKUP($B1464,'2. TEUs &amp; Activities - EF'!$B$9:$B$190,'2. TEUs &amp; Activities - EF'!$M$9:$M$190))*'3. Pollutant Emissions - EF'!$J1464*IF(OR(ISBLANK($E1464),$G1464="Yes"),1,$E1464)*IF($H1464="Yes",1,(1-$F1464))</f>
        <v>9.223529411764704E-5</v>
      </c>
      <c r="O1464" s="130"/>
    </row>
    <row r="1465" spans="1:15" ht="15" x14ac:dyDescent="0.25">
      <c r="A1465" s="5" t="s">
        <v>1624</v>
      </c>
      <c r="B1465" s="7"/>
      <c r="C1465" s="13" t="s">
        <v>58</v>
      </c>
      <c r="D1465" s="19" t="str">
        <f>IFERROR(IF(C1465="No CAS","",INDEX('DEQ Pollutant List'!$B$7:$B$611,MATCH('3. Pollutant Emissions - EF'!C1465,'DEQ Pollutant List'!$A$7:$A$611,0))),"")</f>
        <v>Cobalt and compounds</v>
      </c>
      <c r="E1465" s="23">
        <v>0</v>
      </c>
      <c r="F1465" s="21">
        <v>0</v>
      </c>
      <c r="G1465" s="23" t="s">
        <v>1415</v>
      </c>
      <c r="H1465" s="21" t="s">
        <v>1415</v>
      </c>
      <c r="I1465" s="34">
        <v>8.3999999999999995E-5</v>
      </c>
      <c r="J1465" s="11">
        <f t="shared" si="53"/>
        <v>8.3999999999999995E-5</v>
      </c>
      <c r="K1465" s="6" t="s">
        <v>1416</v>
      </c>
      <c r="L1465" s="20" t="s">
        <v>1422</v>
      </c>
      <c r="M1465" s="7">
        <f>IF(ISBLANK($B1465),_xlfn.XLOOKUP($A1465,'2. TEUs &amp; Activities - EF'!$A$9:$A$190,'2. TEUs &amp; Activities - EF'!$J$9:$J$190),_xlfn.XLOOKUP($B1465,'2. TEUs &amp; Activities - EF'!$B$9:$B$190,'2. TEUs &amp; Activities - EF'!$J$9:$J$190))*'3. Pollutant Emissions - EF'!$I1465*IF(OR(ISBLANK($E1465),$G1465="Yes"),1,$E1465)*IF($H1465="Yes",1,(1-$F1465))</f>
        <v>2.0199529411764703E-3</v>
      </c>
      <c r="N1465" s="5">
        <f>IF(ISBLANK($B1465),_xlfn.XLOOKUP($A1465,'2. TEUs &amp; Activities - EF'!$A$9:$A$190,'2. TEUs &amp; Activities - EF'!$M$9:$M$190),_xlfn.XLOOKUP($B1465,'2. TEUs &amp; Activities - EF'!$B$9:$B$190,'2. TEUs &amp; Activities - EF'!$M$9:$M$190))*'3. Pollutant Emissions - EF'!$J1465*IF(OR(ISBLANK($E1465),$G1465="Yes"),1,$E1465)*IF($H1465="Yes",1,(1-$F1465))</f>
        <v>5.5341176470588225E-6</v>
      </c>
      <c r="O1465" s="130"/>
    </row>
    <row r="1466" spans="1:15" ht="15" x14ac:dyDescent="0.25">
      <c r="A1466" s="5" t="s">
        <v>1624</v>
      </c>
      <c r="B1466" s="7"/>
      <c r="C1466" s="13" t="s">
        <v>59</v>
      </c>
      <c r="D1466" s="19" t="str">
        <f>IFERROR(IF(C1466="No CAS","",INDEX('DEQ Pollutant List'!$B$7:$B$611,MATCH('3. Pollutant Emissions - EF'!C1466,'DEQ Pollutant List'!$A$7:$A$611,0))),"")</f>
        <v>Copper and compounds</v>
      </c>
      <c r="E1466" s="23">
        <v>0</v>
      </c>
      <c r="F1466" s="21">
        <v>0</v>
      </c>
      <c r="G1466" s="23" t="s">
        <v>1415</v>
      </c>
      <c r="H1466" s="21" t="s">
        <v>1415</v>
      </c>
      <c r="I1466" s="34">
        <v>8.4999999999999995E-4</v>
      </c>
      <c r="J1466" s="11">
        <f t="shared" si="53"/>
        <v>8.4999999999999995E-4</v>
      </c>
      <c r="K1466" s="6" t="s">
        <v>1416</v>
      </c>
      <c r="L1466" s="20" t="s">
        <v>1422</v>
      </c>
      <c r="M1466" s="7">
        <f>IF(ISBLANK($B1466),_xlfn.XLOOKUP($A1466,'2. TEUs &amp; Activities - EF'!$A$9:$A$190,'2. TEUs &amp; Activities - EF'!$J$9:$J$190),_xlfn.XLOOKUP($B1466,'2. TEUs &amp; Activities - EF'!$B$9:$B$190,'2. TEUs &amp; Activities - EF'!$J$9:$J$190))*'3. Pollutant Emissions - EF'!$I1466*IF(OR(ISBLANK($E1466),$G1466="Yes"),1,$E1466)*IF($H1466="Yes",1,(1-$F1466))</f>
        <v>2.0439999999999996E-2</v>
      </c>
      <c r="N1466" s="5">
        <f>IF(ISBLANK($B1466),_xlfn.XLOOKUP($A1466,'2. TEUs &amp; Activities - EF'!$A$9:$A$190,'2. TEUs &amp; Activities - EF'!$M$9:$M$190),_xlfn.XLOOKUP($B1466,'2. TEUs &amp; Activities - EF'!$B$9:$B$190,'2. TEUs &amp; Activities - EF'!$M$9:$M$190))*'3. Pollutant Emissions - EF'!$J1466*IF(OR(ISBLANK($E1466),$G1466="Yes"),1,$E1466)*IF($H1466="Yes",1,(1-$F1466))</f>
        <v>5.5999999999999992E-5</v>
      </c>
      <c r="O1466" s="130"/>
    </row>
    <row r="1467" spans="1:15" ht="15" x14ac:dyDescent="0.25">
      <c r="A1467" s="5" t="s">
        <v>1624</v>
      </c>
      <c r="B1467" s="7"/>
      <c r="C1467" s="13" t="s">
        <v>60</v>
      </c>
      <c r="D1467" s="19" t="str">
        <f>IFERROR(IF(C1467="No CAS","",INDEX('DEQ Pollutant List'!$B$7:$B$611,MATCH('3. Pollutant Emissions - EF'!C1467,'DEQ Pollutant List'!$A$7:$A$611,0))),"")</f>
        <v>Ethyl benzene</v>
      </c>
      <c r="E1467" s="23">
        <v>0</v>
      </c>
      <c r="F1467" s="21">
        <v>0</v>
      </c>
      <c r="G1467" s="23" t="s">
        <v>1415</v>
      </c>
      <c r="H1467" s="21" t="s">
        <v>1415</v>
      </c>
      <c r="I1467" s="34">
        <v>9.4999999999999998E-3</v>
      </c>
      <c r="J1467" s="11">
        <f t="shared" si="53"/>
        <v>9.4999999999999998E-3</v>
      </c>
      <c r="K1467" s="6" t="s">
        <v>1416</v>
      </c>
      <c r="L1467" s="20" t="s">
        <v>1422</v>
      </c>
      <c r="M1467" s="7">
        <f>IF(ISBLANK($B1467),_xlfn.XLOOKUP($A1467,'2. TEUs &amp; Activities - EF'!$A$9:$A$190,'2. TEUs &amp; Activities - EF'!$J$9:$J$190),_xlfn.XLOOKUP($B1467,'2. TEUs &amp; Activities - EF'!$B$9:$B$190,'2. TEUs &amp; Activities - EF'!$J$9:$J$190))*'3. Pollutant Emissions - EF'!$I1467*IF(OR(ISBLANK($E1467),$G1467="Yes"),1,$E1467)*IF($H1467="Yes",1,(1-$F1467))</f>
        <v>0.22844705882352936</v>
      </c>
      <c r="N1467" s="5">
        <f>IF(ISBLANK($B1467),_xlfn.XLOOKUP($A1467,'2. TEUs &amp; Activities - EF'!$A$9:$A$190,'2. TEUs &amp; Activities - EF'!$M$9:$M$190),_xlfn.XLOOKUP($B1467,'2. TEUs &amp; Activities - EF'!$B$9:$B$190,'2. TEUs &amp; Activities - EF'!$M$9:$M$190))*'3. Pollutant Emissions - EF'!$J1467*IF(OR(ISBLANK($E1467),$G1467="Yes"),1,$E1467)*IF($H1467="Yes",1,(1-$F1467))</f>
        <v>6.2588235294117642E-4</v>
      </c>
      <c r="O1467" s="130"/>
    </row>
    <row r="1468" spans="1:15" ht="15" x14ac:dyDescent="0.25">
      <c r="A1468" s="5" t="s">
        <v>1624</v>
      </c>
      <c r="B1468" s="7"/>
      <c r="C1468" s="13" t="s">
        <v>47</v>
      </c>
      <c r="D1468" s="19" t="str">
        <f>IFERROR(IF(C1468="No CAS","",INDEX('DEQ Pollutant List'!$B$7:$B$611,MATCH('3. Pollutant Emissions - EF'!C1468,'DEQ Pollutant List'!$A$7:$A$611,0))),"")</f>
        <v>Formaldehyde</v>
      </c>
      <c r="E1468" s="23">
        <v>0</v>
      </c>
      <c r="F1468" s="21">
        <v>0</v>
      </c>
      <c r="G1468" s="23" t="s">
        <v>1415</v>
      </c>
      <c r="H1468" s="21" t="s">
        <v>1415</v>
      </c>
      <c r="I1468" s="34">
        <v>1.7000000000000001E-2</v>
      </c>
      <c r="J1468" s="11">
        <f t="shared" si="53"/>
        <v>1.7000000000000001E-2</v>
      </c>
      <c r="K1468" s="6" t="s">
        <v>1416</v>
      </c>
      <c r="L1468" s="20" t="s">
        <v>1422</v>
      </c>
      <c r="M1468" s="7">
        <f>IF(ISBLANK($B1468),_xlfn.XLOOKUP($A1468,'2. TEUs &amp; Activities - EF'!$A$9:$A$190,'2. TEUs &amp; Activities - EF'!$J$9:$J$190),_xlfn.XLOOKUP($B1468,'2. TEUs &amp; Activities - EF'!$B$9:$B$190,'2. TEUs &amp; Activities - EF'!$J$9:$J$190))*'3. Pollutant Emissions - EF'!$I1468*IF(OR(ISBLANK($E1468),$G1468="Yes"),1,$E1468)*IF($H1468="Yes",1,(1-$F1468))</f>
        <v>0.40879999999999994</v>
      </c>
      <c r="N1468" s="5">
        <f>IF(ISBLANK($B1468),_xlfn.XLOOKUP($A1468,'2. TEUs &amp; Activities - EF'!$A$9:$A$190,'2. TEUs &amp; Activities - EF'!$M$9:$M$190),_xlfn.XLOOKUP($B1468,'2. TEUs &amp; Activities - EF'!$B$9:$B$190,'2. TEUs &amp; Activities - EF'!$M$9:$M$190))*'3. Pollutant Emissions - EF'!$J1468*IF(OR(ISBLANK($E1468),$G1468="Yes"),1,$E1468)*IF($H1468="Yes",1,(1-$F1468))</f>
        <v>1.1199999999999999E-3</v>
      </c>
      <c r="O1468" s="130"/>
    </row>
    <row r="1469" spans="1:15" ht="15" x14ac:dyDescent="0.25">
      <c r="A1469" s="5" t="s">
        <v>1624</v>
      </c>
      <c r="B1469" s="7"/>
      <c r="C1469" s="13" t="s">
        <v>61</v>
      </c>
      <c r="D1469" s="19" t="str">
        <f>IFERROR(IF(C1469="No CAS","",INDEX('DEQ Pollutant List'!$B$7:$B$611,MATCH('3. Pollutant Emissions - EF'!C1469,'DEQ Pollutant List'!$A$7:$A$611,0))),"")</f>
        <v>Hexane</v>
      </c>
      <c r="E1469" s="23">
        <v>0</v>
      </c>
      <c r="F1469" s="21">
        <v>0</v>
      </c>
      <c r="G1469" s="23" t="s">
        <v>1415</v>
      </c>
      <c r="H1469" s="21" t="s">
        <v>1415</v>
      </c>
      <c r="I1469" s="34">
        <v>6.3E-3</v>
      </c>
      <c r="J1469" s="11">
        <f t="shared" si="53"/>
        <v>6.3E-3</v>
      </c>
      <c r="K1469" s="6" t="s">
        <v>1416</v>
      </c>
      <c r="L1469" s="20" t="s">
        <v>1422</v>
      </c>
      <c r="M1469" s="7">
        <f>IF(ISBLANK($B1469),_xlfn.XLOOKUP($A1469,'2. TEUs &amp; Activities - EF'!$A$9:$A$190,'2. TEUs &amp; Activities - EF'!$J$9:$J$190),_xlfn.XLOOKUP($B1469,'2. TEUs &amp; Activities - EF'!$B$9:$B$190,'2. TEUs &amp; Activities - EF'!$J$9:$J$190))*'3. Pollutant Emissions - EF'!$I1469*IF(OR(ISBLANK($E1469),$G1469="Yes"),1,$E1469)*IF($H1469="Yes",1,(1-$F1469))</f>
        <v>0.15149647058823526</v>
      </c>
      <c r="N1469" s="5">
        <f>IF(ISBLANK($B1469),_xlfn.XLOOKUP($A1469,'2. TEUs &amp; Activities - EF'!$A$9:$A$190,'2. TEUs &amp; Activities - EF'!$M$9:$M$190),_xlfn.XLOOKUP($B1469,'2. TEUs &amp; Activities - EF'!$B$9:$B$190,'2. TEUs &amp; Activities - EF'!$M$9:$M$190))*'3. Pollutant Emissions - EF'!$J1469*IF(OR(ISBLANK($E1469),$G1469="Yes"),1,$E1469)*IF($H1469="Yes",1,(1-$F1469))</f>
        <v>4.1505882352941171E-4</v>
      </c>
      <c r="O1469" s="130"/>
    </row>
    <row r="1470" spans="1:15" ht="15" x14ac:dyDescent="0.25">
      <c r="A1470" s="5" t="s">
        <v>1624</v>
      </c>
      <c r="B1470" s="7"/>
      <c r="C1470" s="13" t="s">
        <v>62</v>
      </c>
      <c r="D1470" s="19" t="str">
        <f>IFERROR(IF(C1470="No CAS","",INDEX('DEQ Pollutant List'!$B$7:$B$611,MATCH('3. Pollutant Emissions - EF'!C1470,'DEQ Pollutant List'!$A$7:$A$611,0))),"")</f>
        <v>Lead and compounds</v>
      </c>
      <c r="E1470" s="23">
        <v>0</v>
      </c>
      <c r="F1470" s="21">
        <v>0</v>
      </c>
      <c r="G1470" s="23" t="s">
        <v>1415</v>
      </c>
      <c r="H1470" s="21" t="s">
        <v>1415</v>
      </c>
      <c r="I1470" s="34">
        <v>5.0000000000000001E-4</v>
      </c>
      <c r="J1470" s="11">
        <f t="shared" si="53"/>
        <v>5.0000000000000001E-4</v>
      </c>
      <c r="K1470" s="6" t="s">
        <v>1416</v>
      </c>
      <c r="L1470" s="20" t="s">
        <v>1422</v>
      </c>
      <c r="M1470" s="7">
        <f>IF(ISBLANK($B1470),_xlfn.XLOOKUP($A1470,'2. TEUs &amp; Activities - EF'!$A$9:$A$190,'2. TEUs &amp; Activities - EF'!$J$9:$J$190),_xlfn.XLOOKUP($B1470,'2. TEUs &amp; Activities - EF'!$B$9:$B$190,'2. TEUs &amp; Activities - EF'!$J$9:$J$190))*'3. Pollutant Emissions - EF'!$I1470*IF(OR(ISBLANK($E1470),$G1470="Yes"),1,$E1470)*IF($H1470="Yes",1,(1-$F1470))</f>
        <v>1.2023529411764704E-2</v>
      </c>
      <c r="N1470" s="5">
        <f>IF(ISBLANK($B1470),_xlfn.XLOOKUP($A1470,'2. TEUs &amp; Activities - EF'!$A$9:$A$190,'2. TEUs &amp; Activities - EF'!$M$9:$M$190),_xlfn.XLOOKUP($B1470,'2. TEUs &amp; Activities - EF'!$B$9:$B$190,'2. TEUs &amp; Activities - EF'!$M$9:$M$190))*'3. Pollutant Emissions - EF'!$J1470*IF(OR(ISBLANK($E1470),$G1470="Yes"),1,$E1470)*IF($H1470="Yes",1,(1-$F1470))</f>
        <v>3.2941176470588232E-5</v>
      </c>
      <c r="O1470" s="130"/>
    </row>
    <row r="1471" spans="1:15" ht="15" x14ac:dyDescent="0.25">
      <c r="A1471" s="5" t="s">
        <v>1624</v>
      </c>
      <c r="B1471" s="7"/>
      <c r="C1471" s="13" t="s">
        <v>63</v>
      </c>
      <c r="D1471" s="19" t="str">
        <f>IFERROR(IF(C1471="No CAS","",INDEX('DEQ Pollutant List'!$B$7:$B$611,MATCH('3. Pollutant Emissions - EF'!C1471,'DEQ Pollutant List'!$A$7:$A$611,0))),"")</f>
        <v>Manganese and compounds</v>
      </c>
      <c r="E1471" s="23">
        <v>0</v>
      </c>
      <c r="F1471" s="21">
        <v>0</v>
      </c>
      <c r="G1471" s="23" t="s">
        <v>1415</v>
      </c>
      <c r="H1471" s="21" t="s">
        <v>1415</v>
      </c>
      <c r="I1471" s="34">
        <v>3.8000000000000002E-4</v>
      </c>
      <c r="J1471" s="11">
        <f t="shared" si="53"/>
        <v>3.8000000000000002E-4</v>
      </c>
      <c r="K1471" s="6" t="s">
        <v>1416</v>
      </c>
      <c r="L1471" s="20" t="s">
        <v>1422</v>
      </c>
      <c r="M1471" s="7">
        <f>IF(ISBLANK($B1471),_xlfn.XLOOKUP($A1471,'2. TEUs &amp; Activities - EF'!$A$9:$A$190,'2. TEUs &amp; Activities - EF'!$J$9:$J$190),_xlfn.XLOOKUP($B1471,'2. TEUs &amp; Activities - EF'!$B$9:$B$190,'2. TEUs &amp; Activities - EF'!$J$9:$J$190))*'3. Pollutant Emissions - EF'!$I1471*IF(OR(ISBLANK($E1471),$G1471="Yes"),1,$E1471)*IF($H1471="Yes",1,(1-$F1471))</f>
        <v>9.1378823529411762E-3</v>
      </c>
      <c r="N1471" s="5">
        <f>IF(ISBLANK($B1471),_xlfn.XLOOKUP($A1471,'2. TEUs &amp; Activities - EF'!$A$9:$A$190,'2. TEUs &amp; Activities - EF'!$M$9:$M$190),_xlfn.XLOOKUP($B1471,'2. TEUs &amp; Activities - EF'!$B$9:$B$190,'2. TEUs &amp; Activities - EF'!$M$9:$M$190))*'3. Pollutant Emissions - EF'!$J1471*IF(OR(ISBLANK($E1471),$G1471="Yes"),1,$E1471)*IF($H1471="Yes",1,(1-$F1471))</f>
        <v>2.5035294117647056E-5</v>
      </c>
      <c r="O1471" s="130"/>
    </row>
    <row r="1472" spans="1:15" ht="15" x14ac:dyDescent="0.25">
      <c r="A1472" s="5" t="s">
        <v>1624</v>
      </c>
      <c r="B1472" s="7"/>
      <c r="C1472" s="13" t="s">
        <v>64</v>
      </c>
      <c r="D1472" s="19" t="str">
        <f>IFERROR(IF(C1472="No CAS","",INDEX('DEQ Pollutant List'!$B$7:$B$611,MATCH('3. Pollutant Emissions - EF'!C1472,'DEQ Pollutant List'!$A$7:$A$611,0))),"")</f>
        <v>Mercury and compounds</v>
      </c>
      <c r="E1472" s="23">
        <v>0</v>
      </c>
      <c r="F1472" s="21">
        <v>0</v>
      </c>
      <c r="G1472" s="23" t="s">
        <v>1415</v>
      </c>
      <c r="H1472" s="21" t="s">
        <v>1415</v>
      </c>
      <c r="I1472" s="34">
        <v>2.5999999999999998E-4</v>
      </c>
      <c r="J1472" s="11">
        <f t="shared" si="53"/>
        <v>2.5999999999999998E-4</v>
      </c>
      <c r="K1472" s="6" t="s">
        <v>1416</v>
      </c>
      <c r="L1472" s="20" t="s">
        <v>1422</v>
      </c>
      <c r="M1472" s="7">
        <f>IF(ISBLANK($B1472),_xlfn.XLOOKUP($A1472,'2. TEUs &amp; Activities - EF'!$A$9:$A$190,'2. TEUs &amp; Activities - EF'!$J$9:$J$190),_xlfn.XLOOKUP($B1472,'2. TEUs &amp; Activities - EF'!$B$9:$B$190,'2. TEUs &amp; Activities - EF'!$J$9:$J$190))*'3. Pollutant Emissions - EF'!$I1472*IF(OR(ISBLANK($E1472),$G1472="Yes"),1,$E1472)*IF($H1472="Yes",1,(1-$F1472))</f>
        <v>6.2522352941176453E-3</v>
      </c>
      <c r="N1472" s="5">
        <f>IF(ISBLANK($B1472),_xlfn.XLOOKUP($A1472,'2. TEUs &amp; Activities - EF'!$A$9:$A$190,'2. TEUs &amp; Activities - EF'!$M$9:$M$190),_xlfn.XLOOKUP($B1472,'2. TEUs &amp; Activities - EF'!$B$9:$B$190,'2. TEUs &amp; Activities - EF'!$M$9:$M$190))*'3. Pollutant Emissions - EF'!$J1472*IF(OR(ISBLANK($E1472),$G1472="Yes"),1,$E1472)*IF($H1472="Yes",1,(1-$F1472))</f>
        <v>1.7129411764705877E-5</v>
      </c>
      <c r="O1472" s="130"/>
    </row>
    <row r="1473" spans="1:15" ht="15" x14ac:dyDescent="0.25">
      <c r="A1473" s="5" t="s">
        <v>1624</v>
      </c>
      <c r="B1473" s="7"/>
      <c r="C1473" s="13" t="s">
        <v>65</v>
      </c>
      <c r="D1473" s="19" t="str">
        <f>IFERROR(IF(C1473="No CAS","",INDEX('DEQ Pollutant List'!$B$7:$B$611,MATCH('3. Pollutant Emissions - EF'!C1473,'DEQ Pollutant List'!$A$7:$A$611,0))),"")</f>
        <v>Molybdenum trioxide</v>
      </c>
      <c r="E1473" s="23">
        <v>0</v>
      </c>
      <c r="F1473" s="21">
        <v>0</v>
      </c>
      <c r="G1473" s="23" t="s">
        <v>1415</v>
      </c>
      <c r="H1473" s="21" t="s">
        <v>1415</v>
      </c>
      <c r="I1473" s="34">
        <v>1.65E-3</v>
      </c>
      <c r="J1473" s="11">
        <f t="shared" si="53"/>
        <v>1.65E-3</v>
      </c>
      <c r="K1473" s="6" t="s">
        <v>1416</v>
      </c>
      <c r="L1473" s="20" t="s">
        <v>1422</v>
      </c>
      <c r="M1473" s="7">
        <f>IF(ISBLANK($B1473),_xlfn.XLOOKUP($A1473,'2. TEUs &amp; Activities - EF'!$A$9:$A$190,'2. TEUs &amp; Activities - EF'!$J$9:$J$190),_xlfn.XLOOKUP($B1473,'2. TEUs &amp; Activities - EF'!$B$9:$B$190,'2. TEUs &amp; Activities - EF'!$J$9:$J$190))*'3. Pollutant Emissions - EF'!$I1473*IF(OR(ISBLANK($E1473),$G1473="Yes"),1,$E1473)*IF($H1473="Yes",1,(1-$F1473))</f>
        <v>3.9677647058823526E-2</v>
      </c>
      <c r="N1473" s="5">
        <f>IF(ISBLANK($B1473),_xlfn.XLOOKUP($A1473,'2. TEUs &amp; Activities - EF'!$A$9:$A$190,'2. TEUs &amp; Activities - EF'!$M$9:$M$190),_xlfn.XLOOKUP($B1473,'2. TEUs &amp; Activities - EF'!$B$9:$B$190,'2. TEUs &amp; Activities - EF'!$M$9:$M$190))*'3. Pollutant Emissions - EF'!$J1473*IF(OR(ISBLANK($E1473),$G1473="Yes"),1,$E1473)*IF($H1473="Yes",1,(1-$F1473))</f>
        <v>1.0870588235294116E-4</v>
      </c>
      <c r="O1473" s="130"/>
    </row>
    <row r="1474" spans="1:15" ht="15" x14ac:dyDescent="0.25">
      <c r="A1474" s="5" t="s">
        <v>1624</v>
      </c>
      <c r="B1474" s="7"/>
      <c r="C1474" s="13" t="s">
        <v>49</v>
      </c>
      <c r="D1474" s="19" t="str">
        <f>IFERROR(IF(C1474="No CAS","",INDEX('DEQ Pollutant List'!$B$7:$B$611,MATCH('3. Pollutant Emissions - EF'!C1474,'DEQ Pollutant List'!$A$7:$A$611,0))),"")</f>
        <v>Naphthalene</v>
      </c>
      <c r="E1474" s="23">
        <v>0</v>
      </c>
      <c r="F1474" s="21">
        <v>0</v>
      </c>
      <c r="G1474" s="23" t="s">
        <v>1415</v>
      </c>
      <c r="H1474" s="21" t="s">
        <v>1415</v>
      </c>
      <c r="I1474" s="34">
        <v>2.9999999999999997E-4</v>
      </c>
      <c r="J1474" s="11">
        <f t="shared" si="53"/>
        <v>2.9999999999999997E-4</v>
      </c>
      <c r="K1474" s="6" t="s">
        <v>1416</v>
      </c>
      <c r="L1474" s="20" t="s">
        <v>1422</v>
      </c>
      <c r="M1474" s="7">
        <f>IF(ISBLANK($B1474),_xlfn.XLOOKUP($A1474,'2. TEUs &amp; Activities - EF'!$A$9:$A$190,'2. TEUs &amp; Activities - EF'!$J$9:$J$190),_xlfn.XLOOKUP($B1474,'2. TEUs &amp; Activities - EF'!$B$9:$B$190,'2. TEUs &amp; Activities - EF'!$J$9:$J$190))*'3. Pollutant Emissions - EF'!$I1474*IF(OR(ISBLANK($E1474),$G1474="Yes"),1,$E1474)*IF($H1474="Yes",1,(1-$F1474))</f>
        <v>7.2141176470588214E-3</v>
      </c>
      <c r="N1474" s="5">
        <f>IF(ISBLANK($B1474),_xlfn.XLOOKUP($A1474,'2. TEUs &amp; Activities - EF'!$A$9:$A$190,'2. TEUs &amp; Activities - EF'!$M$9:$M$190),_xlfn.XLOOKUP($B1474,'2. TEUs &amp; Activities - EF'!$B$9:$B$190,'2. TEUs &amp; Activities - EF'!$M$9:$M$190))*'3. Pollutant Emissions - EF'!$J1474*IF(OR(ISBLANK($E1474),$G1474="Yes"),1,$E1474)*IF($H1474="Yes",1,(1-$F1474))</f>
        <v>1.9764705882352938E-5</v>
      </c>
      <c r="O1474" s="130"/>
    </row>
    <row r="1475" spans="1:15" ht="15" x14ac:dyDescent="0.25">
      <c r="A1475" s="5" t="s">
        <v>1624</v>
      </c>
      <c r="B1475" s="7"/>
      <c r="C1475" s="13" t="s">
        <v>66</v>
      </c>
      <c r="D1475" s="19" t="str">
        <f>IFERROR(IF(C1475="No CAS","",INDEX('DEQ Pollutant List'!$B$7:$B$611,MATCH('3. Pollutant Emissions - EF'!C1475,'DEQ Pollutant List'!$A$7:$A$611,0))),"")</f>
        <v>Nickel and compounds</v>
      </c>
      <c r="E1475" s="23">
        <v>0</v>
      </c>
      <c r="F1475" s="21">
        <v>0</v>
      </c>
      <c r="G1475" s="23" t="s">
        <v>1415</v>
      </c>
      <c r="H1475" s="21" t="s">
        <v>1415</v>
      </c>
      <c r="I1475" s="34">
        <v>2.0999999999999999E-3</v>
      </c>
      <c r="J1475" s="11">
        <f t="shared" si="53"/>
        <v>2.0999999999999999E-3</v>
      </c>
      <c r="K1475" s="6" t="s">
        <v>1416</v>
      </c>
      <c r="L1475" s="20" t="s">
        <v>1422</v>
      </c>
      <c r="M1475" s="7">
        <f>IF(ISBLANK($B1475),_xlfn.XLOOKUP($A1475,'2. TEUs &amp; Activities - EF'!$A$9:$A$190,'2. TEUs &amp; Activities - EF'!$J$9:$J$190),_xlfn.XLOOKUP($B1475,'2. TEUs &amp; Activities - EF'!$B$9:$B$190,'2. TEUs &amp; Activities - EF'!$J$9:$J$190))*'3. Pollutant Emissions - EF'!$I1475*IF(OR(ISBLANK($E1475),$G1475="Yes"),1,$E1475)*IF($H1475="Yes",1,(1-$F1475))</f>
        <v>5.0498823529411756E-2</v>
      </c>
      <c r="N1475" s="5">
        <f>IF(ISBLANK($B1475),_xlfn.XLOOKUP($A1475,'2. TEUs &amp; Activities - EF'!$A$9:$A$190,'2. TEUs &amp; Activities - EF'!$M$9:$M$190),_xlfn.XLOOKUP($B1475,'2. TEUs &amp; Activities - EF'!$B$9:$B$190,'2. TEUs &amp; Activities - EF'!$M$9:$M$190))*'3. Pollutant Emissions - EF'!$J1475*IF(OR(ISBLANK($E1475),$G1475="Yes"),1,$E1475)*IF($H1475="Yes",1,(1-$F1475))</f>
        <v>1.3835294117647056E-4</v>
      </c>
      <c r="O1475" s="130"/>
    </row>
    <row r="1476" spans="1:15" ht="15" x14ac:dyDescent="0.25">
      <c r="A1476" s="5" t="s">
        <v>1624</v>
      </c>
      <c r="B1476" s="7"/>
      <c r="C1476" s="13">
        <v>401</v>
      </c>
      <c r="D1476" s="19" t="str">
        <f>IFERROR(IF(C1476="No CAS","",INDEX('DEQ Pollutant List'!$B$7:$B$611,MATCH('3. Pollutant Emissions - EF'!C1476,'DEQ Pollutant List'!$A$7:$A$611,0))),"")</f>
        <v>Polycyclic aromatic hydrocarbons (PAHs)</v>
      </c>
      <c r="E1476" s="23">
        <v>0</v>
      </c>
      <c r="F1476" s="21">
        <v>0</v>
      </c>
      <c r="G1476" s="23" t="s">
        <v>1415</v>
      </c>
      <c r="H1476" s="21" t="s">
        <v>1415</v>
      </c>
      <c r="I1476" s="34">
        <v>1E-4</v>
      </c>
      <c r="J1476" s="11">
        <f t="shared" si="53"/>
        <v>1E-4</v>
      </c>
      <c r="K1476" s="6" t="s">
        <v>1416</v>
      </c>
      <c r="L1476" s="20" t="s">
        <v>1422</v>
      </c>
      <c r="M1476" s="7">
        <f>IF(ISBLANK($B1476),_xlfn.XLOOKUP($A1476,'2. TEUs &amp; Activities - EF'!$A$9:$A$190,'2. TEUs &amp; Activities - EF'!$J$9:$J$190),_xlfn.XLOOKUP($B1476,'2. TEUs &amp; Activities - EF'!$B$9:$B$190,'2. TEUs &amp; Activities - EF'!$J$9:$J$190))*'3. Pollutant Emissions - EF'!$I1476*IF(OR(ISBLANK($E1476),$G1476="Yes"),1,$E1476)*IF($H1476="Yes",1,(1-$F1476))</f>
        <v>2.4047058823529407E-3</v>
      </c>
      <c r="N1476" s="5">
        <f>IF(ISBLANK($B1476),_xlfn.XLOOKUP($A1476,'2. TEUs &amp; Activities - EF'!$A$9:$A$190,'2. TEUs &amp; Activities - EF'!$M$9:$M$190),_xlfn.XLOOKUP($B1476,'2. TEUs &amp; Activities - EF'!$B$9:$B$190,'2. TEUs &amp; Activities - EF'!$M$9:$M$190))*'3. Pollutant Emissions - EF'!$J1476*IF(OR(ISBLANK($E1476),$G1476="Yes"),1,$E1476)*IF($H1476="Yes",1,(1-$F1476))</f>
        <v>6.5882352941176463E-6</v>
      </c>
      <c r="O1476" s="130"/>
    </row>
    <row r="1477" spans="1:15" ht="15" x14ac:dyDescent="0.25">
      <c r="A1477" s="5" t="s">
        <v>1624</v>
      </c>
      <c r="B1477" s="7"/>
      <c r="C1477" s="13" t="s">
        <v>67</v>
      </c>
      <c r="D1477" s="19" t="str">
        <f>IFERROR(IF(C1477="No CAS","",INDEX('DEQ Pollutant List'!$B$7:$B$611,MATCH('3. Pollutant Emissions - EF'!C1477,'DEQ Pollutant List'!$A$7:$A$611,0))),"")</f>
        <v>Selenium and compounds</v>
      </c>
      <c r="E1477" s="23">
        <v>0</v>
      </c>
      <c r="F1477" s="21">
        <v>0</v>
      </c>
      <c r="G1477" s="23" t="s">
        <v>1415</v>
      </c>
      <c r="H1477" s="21" t="s">
        <v>1415</v>
      </c>
      <c r="I1477" s="34">
        <v>2.4000000000000001E-5</v>
      </c>
      <c r="J1477" s="11">
        <f t="shared" si="53"/>
        <v>2.4000000000000001E-5</v>
      </c>
      <c r="K1477" s="6" t="s">
        <v>1416</v>
      </c>
      <c r="L1477" s="20" t="s">
        <v>1422</v>
      </c>
      <c r="M1477" s="7">
        <f>IF(ISBLANK($B1477),_xlfn.XLOOKUP($A1477,'2. TEUs &amp; Activities - EF'!$A$9:$A$190,'2. TEUs &amp; Activities - EF'!$J$9:$J$190),_xlfn.XLOOKUP($B1477,'2. TEUs &amp; Activities - EF'!$B$9:$B$190,'2. TEUs &amp; Activities - EF'!$J$9:$J$190))*'3. Pollutant Emissions - EF'!$I1477*IF(OR(ISBLANK($E1477),$G1477="Yes"),1,$E1477)*IF($H1477="Yes",1,(1-$F1477))</f>
        <v>5.7712941176470578E-4</v>
      </c>
      <c r="N1477" s="5">
        <f>IF(ISBLANK($B1477),_xlfn.XLOOKUP($A1477,'2. TEUs &amp; Activities - EF'!$A$9:$A$190,'2. TEUs &amp; Activities - EF'!$M$9:$M$190),_xlfn.XLOOKUP($B1477,'2. TEUs &amp; Activities - EF'!$B$9:$B$190,'2. TEUs &amp; Activities - EF'!$M$9:$M$190))*'3. Pollutant Emissions - EF'!$J1477*IF(OR(ISBLANK($E1477),$G1477="Yes"),1,$E1477)*IF($H1477="Yes",1,(1-$F1477))</f>
        <v>1.5811764705882351E-6</v>
      </c>
      <c r="O1477" s="130"/>
    </row>
    <row r="1478" spans="1:15" ht="15" x14ac:dyDescent="0.25">
      <c r="A1478" s="5" t="s">
        <v>1624</v>
      </c>
      <c r="B1478" s="7"/>
      <c r="C1478" s="13" t="s">
        <v>68</v>
      </c>
      <c r="D1478" s="19" t="str">
        <f>IFERROR(IF(C1478="No CAS","",INDEX('DEQ Pollutant List'!$B$7:$B$611,MATCH('3. Pollutant Emissions - EF'!C1478,'DEQ Pollutant List'!$A$7:$A$611,0))),"")</f>
        <v>Toluene</v>
      </c>
      <c r="E1478" s="23">
        <v>0</v>
      </c>
      <c r="F1478" s="21">
        <v>0</v>
      </c>
      <c r="G1478" s="23" t="s">
        <v>1415</v>
      </c>
      <c r="H1478" s="21" t="s">
        <v>1415</v>
      </c>
      <c r="I1478" s="34">
        <v>3.6600000000000001E-2</v>
      </c>
      <c r="J1478" s="11">
        <f t="shared" si="53"/>
        <v>3.6600000000000001E-2</v>
      </c>
      <c r="K1478" s="6" t="s">
        <v>1416</v>
      </c>
      <c r="L1478" s="20" t="s">
        <v>1422</v>
      </c>
      <c r="M1478" s="7">
        <f>IF(ISBLANK($B1478),_xlfn.XLOOKUP($A1478,'2. TEUs &amp; Activities - EF'!$A$9:$A$190,'2. TEUs &amp; Activities - EF'!$J$9:$J$190),_xlfn.XLOOKUP($B1478,'2. TEUs &amp; Activities - EF'!$B$9:$B$190,'2. TEUs &amp; Activities - EF'!$J$9:$J$190))*'3. Pollutant Emissions - EF'!$I1478*IF(OR(ISBLANK($E1478),$G1478="Yes"),1,$E1478)*IF($H1478="Yes",1,(1-$F1478))</f>
        <v>0.88012235294117636</v>
      </c>
      <c r="N1478" s="5">
        <f>IF(ISBLANK($B1478),_xlfn.XLOOKUP($A1478,'2. TEUs &amp; Activities - EF'!$A$9:$A$190,'2. TEUs &amp; Activities - EF'!$M$9:$M$190),_xlfn.XLOOKUP($B1478,'2. TEUs &amp; Activities - EF'!$B$9:$B$190,'2. TEUs &amp; Activities - EF'!$M$9:$M$190))*'3. Pollutant Emissions - EF'!$J1478*IF(OR(ISBLANK($E1478),$G1478="Yes"),1,$E1478)*IF($H1478="Yes",1,(1-$F1478))</f>
        <v>2.4112941176470584E-3</v>
      </c>
      <c r="O1478" s="130"/>
    </row>
    <row r="1479" spans="1:15" ht="15" x14ac:dyDescent="0.25">
      <c r="A1479" s="5" t="s">
        <v>1624</v>
      </c>
      <c r="B1479" s="7"/>
      <c r="C1479" s="13" t="s">
        <v>69</v>
      </c>
      <c r="D1479" s="19" t="str">
        <f>IFERROR(IF(C1479="No CAS","",INDEX('DEQ Pollutant List'!$B$7:$B$611,MATCH('3. Pollutant Emissions - EF'!C1479,'DEQ Pollutant List'!$A$7:$A$611,0))),"")</f>
        <v>Vanadium (fume or dust)</v>
      </c>
      <c r="E1479" s="23">
        <v>0</v>
      </c>
      <c r="F1479" s="21">
        <v>0</v>
      </c>
      <c r="G1479" s="23" t="s">
        <v>1415</v>
      </c>
      <c r="H1479" s="21" t="s">
        <v>1415</v>
      </c>
      <c r="I1479" s="34">
        <v>2.3E-3</v>
      </c>
      <c r="J1479" s="11">
        <f t="shared" si="53"/>
        <v>2.3E-3</v>
      </c>
      <c r="K1479" s="6" t="s">
        <v>1416</v>
      </c>
      <c r="L1479" s="20" t="s">
        <v>1422</v>
      </c>
      <c r="M1479" s="7">
        <f>IF(ISBLANK($B1479),_xlfn.XLOOKUP($A1479,'2. TEUs &amp; Activities - EF'!$A$9:$A$190,'2. TEUs &amp; Activities - EF'!$J$9:$J$190),_xlfn.XLOOKUP($B1479,'2. TEUs &amp; Activities - EF'!$B$9:$B$190,'2. TEUs &amp; Activities - EF'!$J$9:$J$190))*'3. Pollutant Emissions - EF'!$I1479*IF(OR(ISBLANK($E1479),$G1479="Yes"),1,$E1479)*IF($H1479="Yes",1,(1-$F1479))</f>
        <v>5.5308235294117637E-2</v>
      </c>
      <c r="N1479" s="5">
        <f>IF(ISBLANK($B1479),_xlfn.XLOOKUP($A1479,'2. TEUs &amp; Activities - EF'!$A$9:$A$190,'2. TEUs &amp; Activities - EF'!$M$9:$M$190),_xlfn.XLOOKUP($B1479,'2. TEUs &amp; Activities - EF'!$B$9:$B$190,'2. TEUs &amp; Activities - EF'!$M$9:$M$190))*'3. Pollutant Emissions - EF'!$J1479*IF(OR(ISBLANK($E1479),$G1479="Yes"),1,$E1479)*IF($H1479="Yes",1,(1-$F1479))</f>
        <v>1.5152941176470585E-4</v>
      </c>
      <c r="O1479" s="130"/>
    </row>
    <row r="1480" spans="1:15" ht="15" x14ac:dyDescent="0.25">
      <c r="A1480" s="5" t="s">
        <v>1624</v>
      </c>
      <c r="B1480" s="7"/>
      <c r="C1480" s="13" t="s">
        <v>70</v>
      </c>
      <c r="D1480" s="19" t="str">
        <f>IFERROR(IF(C1480="No CAS","",INDEX('DEQ Pollutant List'!$B$7:$B$611,MATCH('3. Pollutant Emissions - EF'!C1480,'DEQ Pollutant List'!$A$7:$A$611,0))),"")</f>
        <v>Xylene (mixture), including m-xylene, o-xylene, p-xylene</v>
      </c>
      <c r="E1480" s="23">
        <v>0</v>
      </c>
      <c r="F1480" s="21">
        <v>0</v>
      </c>
      <c r="G1480" s="23" t="s">
        <v>1415</v>
      </c>
      <c r="H1480" s="21" t="s">
        <v>1415</v>
      </c>
      <c r="I1480" s="34">
        <v>2.7199999999999998E-2</v>
      </c>
      <c r="J1480" s="11">
        <f t="shared" si="53"/>
        <v>2.7199999999999998E-2</v>
      </c>
      <c r="K1480" s="6" t="s">
        <v>1416</v>
      </c>
      <c r="L1480" s="20" t="s">
        <v>1422</v>
      </c>
      <c r="M1480" s="7">
        <f>IF(ISBLANK($B1480),_xlfn.XLOOKUP($A1480,'2. TEUs &amp; Activities - EF'!$A$9:$A$190,'2. TEUs &amp; Activities - EF'!$J$9:$J$190),_xlfn.XLOOKUP($B1480,'2. TEUs &amp; Activities - EF'!$B$9:$B$190,'2. TEUs &amp; Activities - EF'!$J$9:$J$190))*'3. Pollutant Emissions - EF'!$I1480*IF(OR(ISBLANK($E1480),$G1480="Yes"),1,$E1480)*IF($H1480="Yes",1,(1-$F1480))</f>
        <v>0.65407999999999988</v>
      </c>
      <c r="N1480" s="5">
        <f>IF(ISBLANK($B1480),_xlfn.XLOOKUP($A1480,'2. TEUs &amp; Activities - EF'!$A$9:$A$190,'2. TEUs &amp; Activities - EF'!$M$9:$M$190),_xlfn.XLOOKUP($B1480,'2. TEUs &amp; Activities - EF'!$B$9:$B$190,'2. TEUs &amp; Activities - EF'!$M$9:$M$190))*'3. Pollutant Emissions - EF'!$J1480*IF(OR(ISBLANK($E1480),$G1480="Yes"),1,$E1480)*IF($H1480="Yes",1,(1-$F1480))</f>
        <v>1.7919999999999998E-3</v>
      </c>
      <c r="O1480" s="130"/>
    </row>
    <row r="1481" spans="1:15" ht="15" x14ac:dyDescent="0.25">
      <c r="A1481" s="5" t="s">
        <v>1624</v>
      </c>
      <c r="B1481" s="7"/>
      <c r="C1481" s="13" t="s">
        <v>71</v>
      </c>
      <c r="D1481" s="19" t="str">
        <f>IFERROR(IF(C1481="No CAS","",INDEX('DEQ Pollutant List'!$B$7:$B$611,MATCH('3. Pollutant Emissions - EF'!C1481,'DEQ Pollutant List'!$A$7:$A$611,0))),"")</f>
        <v>Zinc and compounds</v>
      </c>
      <c r="E1481" s="23">
        <v>0</v>
      </c>
      <c r="F1481" s="21">
        <v>0</v>
      </c>
      <c r="G1481" s="23" t="s">
        <v>1415</v>
      </c>
      <c r="H1481" s="21" t="s">
        <v>1415</v>
      </c>
      <c r="I1481" s="34">
        <v>2.9000000000000001E-2</v>
      </c>
      <c r="J1481" s="11">
        <f t="shared" si="53"/>
        <v>2.9000000000000001E-2</v>
      </c>
      <c r="K1481" s="6" t="s">
        <v>1416</v>
      </c>
      <c r="L1481" s="20" t="s">
        <v>1422</v>
      </c>
      <c r="M1481" s="7">
        <f>IF(ISBLANK($B1481),_xlfn.XLOOKUP($A1481,'2. TEUs &amp; Activities - EF'!$A$9:$A$190,'2. TEUs &amp; Activities - EF'!$J$9:$J$190),_xlfn.XLOOKUP($B1481,'2. TEUs &amp; Activities - EF'!$B$9:$B$190,'2. TEUs &amp; Activities - EF'!$J$9:$J$190))*'3. Pollutant Emissions - EF'!$I1481*IF(OR(ISBLANK($E1481),$G1481="Yes"),1,$E1481)*IF($H1481="Yes",1,(1-$F1481))</f>
        <v>0.69736470588235289</v>
      </c>
      <c r="N1481" s="5">
        <f>IF(ISBLANK($B1481),_xlfn.XLOOKUP($A1481,'2. TEUs &amp; Activities - EF'!$A$9:$A$190,'2. TEUs &amp; Activities - EF'!$M$9:$M$190),_xlfn.XLOOKUP($B1481,'2. TEUs &amp; Activities - EF'!$B$9:$B$190,'2. TEUs &amp; Activities - EF'!$M$9:$M$190))*'3. Pollutant Emissions - EF'!$J1481*IF(OR(ISBLANK($E1481),$G1481="Yes"),1,$E1481)*IF($H1481="Yes",1,(1-$F1481))</f>
        <v>1.9105882352941175E-3</v>
      </c>
      <c r="O1481" s="130"/>
    </row>
    <row r="1482" spans="1:15" ht="15" x14ac:dyDescent="0.25">
      <c r="A1482" s="5"/>
      <c r="B1482" s="7"/>
      <c r="C1482" s="13"/>
      <c r="D1482" s="19" t="str">
        <f>IFERROR(IF(C1482="No CAS","",INDEX('DEQ Pollutant List'!$B$7:$B$611,MATCH('3. Pollutant Emissions - EF'!C1482,'DEQ Pollutant List'!$A$7:$A$611,0))),"")</f>
        <v/>
      </c>
      <c r="E1482" s="23"/>
      <c r="F1482" s="21"/>
      <c r="G1482" s="23"/>
      <c r="H1482" s="21"/>
      <c r="I1482" s="34"/>
      <c r="J1482" s="11"/>
      <c r="K1482" s="6"/>
      <c r="L1482" s="20"/>
      <c r="M1482" s="7">
        <f>IF(ISBLANK($B1482),_xlfn.XLOOKUP($A1482,'2. TEUs &amp; Activities - EF'!$A$9:$A$190,'2. TEUs &amp; Activities - EF'!$J$9:$J$190),_xlfn.XLOOKUP($B1482,'2. TEUs &amp; Activities - EF'!$B$9:$B$190,'2. TEUs &amp; Activities - EF'!$J$9:$J$190))*'3. Pollutant Emissions - EF'!$I1482*IF(OR(ISBLANK($E1482),$G1482="Yes"),1,$E1482)*IF($H1482="Yes",1,(1-$F1482))</f>
        <v>0</v>
      </c>
      <c r="N1482" s="5">
        <f>IF(ISBLANK($B1482),_xlfn.XLOOKUP($A1482,'2. TEUs &amp; Activities - EF'!$A$9:$A$190,'2. TEUs &amp; Activities - EF'!$M$9:$M$190),_xlfn.XLOOKUP($B1482,'2. TEUs &amp; Activities - EF'!$B$9:$B$190,'2. TEUs &amp; Activities - EF'!$M$9:$M$190))*'3. Pollutant Emissions - EF'!$J1482*IF(OR(ISBLANK($E1482),$G1482="Yes"),1,$E1482)*IF($H1482="Yes",1,(1-$F1482))</f>
        <v>0</v>
      </c>
      <c r="O1482" s="130"/>
    </row>
    <row r="1483" spans="1:15" ht="15" x14ac:dyDescent="0.25">
      <c r="A1483" s="5" t="s">
        <v>1625</v>
      </c>
      <c r="B1483" s="7"/>
      <c r="C1483" s="13" t="s">
        <v>48</v>
      </c>
      <c r="D1483" s="19" t="str">
        <f>IFERROR(IF(C1483="No CAS","",INDEX('DEQ Pollutant List'!$B$7:$B$611,MATCH('3. Pollutant Emissions - EF'!C1483,'DEQ Pollutant List'!$A$7:$A$611,0))),"")</f>
        <v>Benzo[a]pyrene</v>
      </c>
      <c r="E1483" s="23">
        <v>0</v>
      </c>
      <c r="F1483" s="21">
        <v>0</v>
      </c>
      <c r="G1483" s="23" t="s">
        <v>1415</v>
      </c>
      <c r="H1483" s="21" t="s">
        <v>1415</v>
      </c>
      <c r="I1483" s="34">
        <v>1.1999999999999999E-6</v>
      </c>
      <c r="J1483" s="11">
        <f t="shared" ref="J1483:J1509" si="54">I1483</f>
        <v>1.1999999999999999E-6</v>
      </c>
      <c r="K1483" s="6" t="s">
        <v>1416</v>
      </c>
      <c r="L1483" s="20" t="s">
        <v>1422</v>
      </c>
      <c r="M1483" s="7">
        <f>IF(ISBLANK($B1483),_xlfn.XLOOKUP($A1483,'2. TEUs &amp; Activities - EF'!$A$9:$A$190,'2. TEUs &amp; Activities - EF'!$J$9:$J$190),_xlfn.XLOOKUP($B1483,'2. TEUs &amp; Activities - EF'!$B$9:$B$190,'2. TEUs &amp; Activities - EF'!$J$9:$J$190))*'3. Pollutant Emissions - EF'!$I1483*IF(OR(ISBLANK($E1483),$G1483="Yes"),1,$E1483)*IF($H1483="Yes",1,(1-$F1483))</f>
        <v>3.2978823529411767E-5</v>
      </c>
      <c r="N1483" s="5">
        <f>IF(ISBLANK($B1483),_xlfn.XLOOKUP($A1483,'2. TEUs &amp; Activities - EF'!$A$9:$A$190,'2. TEUs &amp; Activities - EF'!$M$9:$M$190),_xlfn.XLOOKUP($B1483,'2. TEUs &amp; Activities - EF'!$B$9:$B$190,'2. TEUs &amp; Activities - EF'!$M$9:$M$190))*'3. Pollutant Emissions - EF'!$J1483*IF(OR(ISBLANK($E1483),$G1483="Yes"),1,$E1483)*IF($H1483="Yes",1,(1-$F1483))</f>
        <v>9.0352941176470592E-8</v>
      </c>
      <c r="O1483" s="130"/>
    </row>
    <row r="1484" spans="1:15" ht="15" x14ac:dyDescent="0.25">
      <c r="A1484" s="5" t="s">
        <v>1625</v>
      </c>
      <c r="B1484" s="7"/>
      <c r="C1484" s="13" t="s">
        <v>50</v>
      </c>
      <c r="D1484" s="19" t="str">
        <f>IFERROR(IF(C1484="No CAS","",INDEX('DEQ Pollutant List'!$B$7:$B$611,MATCH('3. Pollutant Emissions - EF'!C1484,'DEQ Pollutant List'!$A$7:$A$611,0))),"")</f>
        <v>Acetaldehyde</v>
      </c>
      <c r="E1484" s="23">
        <v>0</v>
      </c>
      <c r="F1484" s="21">
        <v>0</v>
      </c>
      <c r="G1484" s="23" t="s">
        <v>1415</v>
      </c>
      <c r="H1484" s="21" t="s">
        <v>1415</v>
      </c>
      <c r="I1484" s="34">
        <v>4.3E-3</v>
      </c>
      <c r="J1484" s="11">
        <f t="shared" si="54"/>
        <v>4.3E-3</v>
      </c>
      <c r="K1484" s="6" t="s">
        <v>1416</v>
      </c>
      <c r="L1484" s="20" t="s">
        <v>1422</v>
      </c>
      <c r="M1484" s="7">
        <f>IF(ISBLANK($B1484),_xlfn.XLOOKUP($A1484,'2. TEUs &amp; Activities - EF'!$A$9:$A$190,'2. TEUs &amp; Activities - EF'!$J$9:$J$190),_xlfn.XLOOKUP($B1484,'2. TEUs &amp; Activities - EF'!$B$9:$B$190,'2. TEUs &amp; Activities - EF'!$J$9:$J$190))*'3. Pollutant Emissions - EF'!$I1484*IF(OR(ISBLANK($E1484),$G1484="Yes"),1,$E1484)*IF($H1484="Yes",1,(1-$F1484))</f>
        <v>0.11817411764705883</v>
      </c>
      <c r="N1484" s="5">
        <f>IF(ISBLANK($B1484),_xlfn.XLOOKUP($A1484,'2. TEUs &amp; Activities - EF'!$A$9:$A$190,'2. TEUs &amp; Activities - EF'!$M$9:$M$190),_xlfn.XLOOKUP($B1484,'2. TEUs &amp; Activities - EF'!$B$9:$B$190,'2. TEUs &amp; Activities - EF'!$M$9:$M$190))*'3. Pollutant Emissions - EF'!$J1484*IF(OR(ISBLANK($E1484),$G1484="Yes"),1,$E1484)*IF($H1484="Yes",1,(1-$F1484))</f>
        <v>3.2376470588235299E-4</v>
      </c>
      <c r="O1484" s="130"/>
    </row>
    <row r="1485" spans="1:15" ht="15" x14ac:dyDescent="0.25">
      <c r="A1485" s="5" t="s">
        <v>1625</v>
      </c>
      <c r="B1485" s="7"/>
      <c r="C1485" s="13" t="s">
        <v>51</v>
      </c>
      <c r="D1485" s="19" t="str">
        <f>IFERROR(IF(C1485="No CAS","",INDEX('DEQ Pollutant List'!$B$7:$B$611,MATCH('3. Pollutant Emissions - EF'!C1485,'DEQ Pollutant List'!$A$7:$A$611,0))),"")</f>
        <v>Acrolein</v>
      </c>
      <c r="E1485" s="23">
        <v>0</v>
      </c>
      <c r="F1485" s="21">
        <v>0</v>
      </c>
      <c r="G1485" s="23" t="s">
        <v>1415</v>
      </c>
      <c r="H1485" s="21" t="s">
        <v>1415</v>
      </c>
      <c r="I1485" s="34">
        <v>2.7000000000000001E-3</v>
      </c>
      <c r="J1485" s="11">
        <f t="shared" si="54"/>
        <v>2.7000000000000001E-3</v>
      </c>
      <c r="K1485" s="6" t="s">
        <v>1416</v>
      </c>
      <c r="L1485" s="20" t="s">
        <v>1422</v>
      </c>
      <c r="M1485" s="7">
        <f>IF(ISBLANK($B1485),_xlfn.XLOOKUP($A1485,'2. TEUs &amp; Activities - EF'!$A$9:$A$190,'2. TEUs &amp; Activities - EF'!$J$9:$J$190),_xlfn.XLOOKUP($B1485,'2. TEUs &amp; Activities - EF'!$B$9:$B$190,'2. TEUs &amp; Activities - EF'!$J$9:$J$190))*'3. Pollutant Emissions - EF'!$I1485*IF(OR(ISBLANK($E1485),$G1485="Yes"),1,$E1485)*IF($H1485="Yes",1,(1-$F1485))</f>
        <v>7.4202352941176483E-2</v>
      </c>
      <c r="N1485" s="5">
        <f>IF(ISBLANK($B1485),_xlfn.XLOOKUP($A1485,'2. TEUs &amp; Activities - EF'!$A$9:$A$190,'2. TEUs &amp; Activities - EF'!$M$9:$M$190),_xlfn.XLOOKUP($B1485,'2. TEUs &amp; Activities - EF'!$B$9:$B$190,'2. TEUs &amp; Activities - EF'!$M$9:$M$190))*'3. Pollutant Emissions - EF'!$J1485*IF(OR(ISBLANK($E1485),$G1485="Yes"),1,$E1485)*IF($H1485="Yes",1,(1-$F1485))</f>
        <v>2.0329411764705887E-4</v>
      </c>
      <c r="O1485" s="130"/>
    </row>
    <row r="1486" spans="1:15" ht="15" x14ac:dyDescent="0.25">
      <c r="A1486" s="5" t="s">
        <v>1625</v>
      </c>
      <c r="B1486" s="7"/>
      <c r="C1486" s="13" t="s">
        <v>52</v>
      </c>
      <c r="D1486" s="19" t="str">
        <f>IFERROR(IF(C1486="No CAS","",INDEX('DEQ Pollutant List'!$B$7:$B$611,MATCH('3. Pollutant Emissions - EF'!C1486,'DEQ Pollutant List'!$A$7:$A$611,0))),"")</f>
        <v>Ammonia</v>
      </c>
      <c r="E1486" s="23">
        <v>0</v>
      </c>
      <c r="F1486" s="21">
        <v>0</v>
      </c>
      <c r="G1486" s="23" t="s">
        <v>1415</v>
      </c>
      <c r="H1486" s="21" t="s">
        <v>1415</v>
      </c>
      <c r="I1486" s="34">
        <v>3.2</v>
      </c>
      <c r="J1486" s="11">
        <f t="shared" si="54"/>
        <v>3.2</v>
      </c>
      <c r="K1486" s="6" t="s">
        <v>1416</v>
      </c>
      <c r="L1486" s="20" t="s">
        <v>1586</v>
      </c>
      <c r="M1486" s="7">
        <f>IF(ISBLANK($B1486),_xlfn.XLOOKUP($A1486,'2. TEUs &amp; Activities - EF'!$A$9:$A$190,'2. TEUs &amp; Activities - EF'!$J$9:$J$190),_xlfn.XLOOKUP($B1486,'2. TEUs &amp; Activities - EF'!$B$9:$B$190,'2. TEUs &amp; Activities - EF'!$J$9:$J$190))*'3. Pollutant Emissions - EF'!$I1486*IF(OR(ISBLANK($E1486),$G1486="Yes"),1,$E1486)*IF($H1486="Yes",1,(1-$F1486))</f>
        <v>87.943529411764715</v>
      </c>
      <c r="N1486" s="5">
        <f>IF(ISBLANK($B1486),_xlfn.XLOOKUP($A1486,'2. TEUs &amp; Activities - EF'!$A$9:$A$190,'2. TEUs &amp; Activities - EF'!$M$9:$M$190),_xlfn.XLOOKUP($B1486,'2. TEUs &amp; Activities - EF'!$B$9:$B$190,'2. TEUs &amp; Activities - EF'!$M$9:$M$190))*'3. Pollutant Emissions - EF'!$J1486*IF(OR(ISBLANK($E1486),$G1486="Yes"),1,$E1486)*IF($H1486="Yes",1,(1-$F1486))</f>
        <v>0.24094117647058827</v>
      </c>
      <c r="O1486" s="130"/>
    </row>
    <row r="1487" spans="1:15" ht="15" x14ac:dyDescent="0.25">
      <c r="A1487" s="5" t="s">
        <v>1625</v>
      </c>
      <c r="B1487" s="7"/>
      <c r="C1487" s="13" t="s">
        <v>53</v>
      </c>
      <c r="D1487" s="19" t="str">
        <f>IFERROR(IF(C1487="No CAS","",INDEX('DEQ Pollutant List'!$B$7:$B$611,MATCH('3. Pollutant Emissions - EF'!C1487,'DEQ Pollutant List'!$A$7:$A$611,0))),"")</f>
        <v>Arsenic and compounds</v>
      </c>
      <c r="E1487" s="23">
        <v>0</v>
      </c>
      <c r="F1487" s="21">
        <v>0</v>
      </c>
      <c r="G1487" s="23" t="s">
        <v>1415</v>
      </c>
      <c r="H1487" s="21" t="s">
        <v>1415</v>
      </c>
      <c r="I1487" s="34">
        <v>2.0000000000000001E-4</v>
      </c>
      <c r="J1487" s="11">
        <f t="shared" si="54"/>
        <v>2.0000000000000001E-4</v>
      </c>
      <c r="K1487" s="6" t="s">
        <v>1416</v>
      </c>
      <c r="L1487" s="20" t="s">
        <v>1422</v>
      </c>
      <c r="M1487" s="7">
        <f>IF(ISBLANK($B1487),_xlfn.XLOOKUP($A1487,'2. TEUs &amp; Activities - EF'!$A$9:$A$190,'2. TEUs &amp; Activities - EF'!$J$9:$J$190),_xlfn.XLOOKUP($B1487,'2. TEUs &amp; Activities - EF'!$B$9:$B$190,'2. TEUs &amp; Activities - EF'!$J$9:$J$190))*'3. Pollutant Emissions - EF'!$I1487*IF(OR(ISBLANK($E1487),$G1487="Yes"),1,$E1487)*IF($H1487="Yes",1,(1-$F1487))</f>
        <v>5.4964705882352945E-3</v>
      </c>
      <c r="N1487" s="5">
        <f>IF(ISBLANK($B1487),_xlfn.XLOOKUP($A1487,'2. TEUs &amp; Activities - EF'!$A$9:$A$190,'2. TEUs &amp; Activities - EF'!$M$9:$M$190),_xlfn.XLOOKUP($B1487,'2. TEUs &amp; Activities - EF'!$B$9:$B$190,'2. TEUs &amp; Activities - EF'!$M$9:$M$190))*'3. Pollutant Emissions - EF'!$J1487*IF(OR(ISBLANK($E1487),$G1487="Yes"),1,$E1487)*IF($H1487="Yes",1,(1-$F1487))</f>
        <v>1.5058823529411767E-5</v>
      </c>
      <c r="O1487" s="130"/>
    </row>
    <row r="1488" spans="1:15" ht="15" x14ac:dyDescent="0.25">
      <c r="A1488" s="5" t="s">
        <v>1625</v>
      </c>
      <c r="B1488" s="7"/>
      <c r="C1488" s="13" t="s">
        <v>54</v>
      </c>
      <c r="D1488" s="19" t="str">
        <f>IFERROR(IF(C1488="No CAS","",INDEX('DEQ Pollutant List'!$B$7:$B$611,MATCH('3. Pollutant Emissions - EF'!C1488,'DEQ Pollutant List'!$A$7:$A$611,0))),"")</f>
        <v>Barium and compounds</v>
      </c>
      <c r="E1488" s="23">
        <v>0</v>
      </c>
      <c r="F1488" s="21">
        <v>0</v>
      </c>
      <c r="G1488" s="23" t="s">
        <v>1415</v>
      </c>
      <c r="H1488" s="21" t="s">
        <v>1415</v>
      </c>
      <c r="I1488" s="34">
        <v>4.4000000000000003E-3</v>
      </c>
      <c r="J1488" s="11">
        <f t="shared" si="54"/>
        <v>4.4000000000000003E-3</v>
      </c>
      <c r="K1488" s="6" t="s">
        <v>1416</v>
      </c>
      <c r="L1488" s="20" t="s">
        <v>1422</v>
      </c>
      <c r="M1488" s="7">
        <f>IF(ISBLANK($B1488),_xlfn.XLOOKUP($A1488,'2. TEUs &amp; Activities - EF'!$A$9:$A$190,'2. TEUs &amp; Activities - EF'!$J$9:$J$190),_xlfn.XLOOKUP($B1488,'2. TEUs &amp; Activities - EF'!$B$9:$B$190,'2. TEUs &amp; Activities - EF'!$J$9:$J$190))*'3. Pollutant Emissions - EF'!$I1488*IF(OR(ISBLANK($E1488),$G1488="Yes"),1,$E1488)*IF($H1488="Yes",1,(1-$F1488))</f>
        <v>0.12092235294117648</v>
      </c>
      <c r="N1488" s="5">
        <f>IF(ISBLANK($B1488),_xlfn.XLOOKUP($A1488,'2. TEUs &amp; Activities - EF'!$A$9:$A$190,'2. TEUs &amp; Activities - EF'!$M$9:$M$190),_xlfn.XLOOKUP($B1488,'2. TEUs &amp; Activities - EF'!$B$9:$B$190,'2. TEUs &amp; Activities - EF'!$M$9:$M$190))*'3. Pollutant Emissions - EF'!$J1488*IF(OR(ISBLANK($E1488),$G1488="Yes"),1,$E1488)*IF($H1488="Yes",1,(1-$F1488))</f>
        <v>3.3129411764705886E-4</v>
      </c>
      <c r="O1488" s="130"/>
    </row>
    <row r="1489" spans="1:15" ht="15" x14ac:dyDescent="0.25">
      <c r="A1489" s="5" t="s">
        <v>1625</v>
      </c>
      <c r="B1489" s="7"/>
      <c r="C1489" s="13" t="s">
        <v>46</v>
      </c>
      <c r="D1489" s="19" t="str">
        <f>IFERROR(IF(C1489="No CAS","",INDEX('DEQ Pollutant List'!$B$7:$B$611,MATCH('3. Pollutant Emissions - EF'!C1489,'DEQ Pollutant List'!$A$7:$A$611,0))),"")</f>
        <v>Benzene</v>
      </c>
      <c r="E1489" s="23">
        <v>0</v>
      </c>
      <c r="F1489" s="21">
        <v>0</v>
      </c>
      <c r="G1489" s="23" t="s">
        <v>1415</v>
      </c>
      <c r="H1489" s="21" t="s">
        <v>1415</v>
      </c>
      <c r="I1489" s="34">
        <v>8.0000000000000002E-3</v>
      </c>
      <c r="J1489" s="11">
        <f t="shared" si="54"/>
        <v>8.0000000000000002E-3</v>
      </c>
      <c r="K1489" s="6" t="s">
        <v>1416</v>
      </c>
      <c r="L1489" s="20" t="s">
        <v>1422</v>
      </c>
      <c r="M1489" s="7">
        <f>IF(ISBLANK($B1489),_xlfn.XLOOKUP($A1489,'2. TEUs &amp; Activities - EF'!$A$9:$A$190,'2. TEUs &amp; Activities - EF'!$J$9:$J$190),_xlfn.XLOOKUP($B1489,'2. TEUs &amp; Activities - EF'!$B$9:$B$190,'2. TEUs &amp; Activities - EF'!$J$9:$J$190))*'3. Pollutant Emissions - EF'!$I1489*IF(OR(ISBLANK($E1489),$G1489="Yes"),1,$E1489)*IF($H1489="Yes",1,(1-$F1489))</f>
        <v>0.21985882352941177</v>
      </c>
      <c r="N1489" s="5">
        <f>IF(ISBLANK($B1489),_xlfn.XLOOKUP($A1489,'2. TEUs &amp; Activities - EF'!$A$9:$A$190,'2. TEUs &amp; Activities - EF'!$M$9:$M$190),_xlfn.XLOOKUP($B1489,'2. TEUs &amp; Activities - EF'!$B$9:$B$190,'2. TEUs &amp; Activities - EF'!$M$9:$M$190))*'3. Pollutant Emissions - EF'!$J1489*IF(OR(ISBLANK($E1489),$G1489="Yes"),1,$E1489)*IF($H1489="Yes",1,(1-$F1489))</f>
        <v>6.0235294117647064E-4</v>
      </c>
      <c r="O1489" s="130"/>
    </row>
    <row r="1490" spans="1:15" ht="15" x14ac:dyDescent="0.25">
      <c r="A1490" s="5" t="s">
        <v>1625</v>
      </c>
      <c r="B1490" s="7"/>
      <c r="C1490" s="13" t="s">
        <v>55</v>
      </c>
      <c r="D1490" s="19" t="str">
        <f>IFERROR(IF(C1490="No CAS","",INDEX('DEQ Pollutant List'!$B$7:$B$611,MATCH('3. Pollutant Emissions - EF'!C1490,'DEQ Pollutant List'!$A$7:$A$611,0))),"")</f>
        <v>Beryllium and compounds</v>
      </c>
      <c r="E1490" s="23">
        <v>0</v>
      </c>
      <c r="F1490" s="21">
        <v>0</v>
      </c>
      <c r="G1490" s="23" t="s">
        <v>1415</v>
      </c>
      <c r="H1490" s="21" t="s">
        <v>1415</v>
      </c>
      <c r="I1490" s="34">
        <v>1.2E-5</v>
      </c>
      <c r="J1490" s="11">
        <f t="shared" si="54"/>
        <v>1.2E-5</v>
      </c>
      <c r="K1490" s="6" t="s">
        <v>1416</v>
      </c>
      <c r="L1490" s="20" t="s">
        <v>1422</v>
      </c>
      <c r="M1490" s="7">
        <f>IF(ISBLANK($B1490),_xlfn.XLOOKUP($A1490,'2. TEUs &amp; Activities - EF'!$A$9:$A$190,'2. TEUs &amp; Activities - EF'!$J$9:$J$190),_xlfn.XLOOKUP($B1490,'2. TEUs &amp; Activities - EF'!$B$9:$B$190,'2. TEUs &amp; Activities - EF'!$J$9:$J$190))*'3. Pollutant Emissions - EF'!$I1490*IF(OR(ISBLANK($E1490),$G1490="Yes"),1,$E1490)*IF($H1490="Yes",1,(1-$F1490))</f>
        <v>3.2978823529411765E-4</v>
      </c>
      <c r="N1490" s="5">
        <f>IF(ISBLANK($B1490),_xlfn.XLOOKUP($A1490,'2. TEUs &amp; Activities - EF'!$A$9:$A$190,'2. TEUs &amp; Activities - EF'!$M$9:$M$190),_xlfn.XLOOKUP($B1490,'2. TEUs &amp; Activities - EF'!$B$9:$B$190,'2. TEUs &amp; Activities - EF'!$M$9:$M$190))*'3. Pollutant Emissions - EF'!$J1490*IF(OR(ISBLANK($E1490),$G1490="Yes"),1,$E1490)*IF($H1490="Yes",1,(1-$F1490))</f>
        <v>9.0352941176470598E-7</v>
      </c>
      <c r="O1490" s="130"/>
    </row>
    <row r="1491" spans="1:15" ht="15" x14ac:dyDescent="0.25">
      <c r="A1491" s="5" t="s">
        <v>1625</v>
      </c>
      <c r="B1491" s="7"/>
      <c r="C1491" s="13" t="s">
        <v>56</v>
      </c>
      <c r="D1491" s="19" t="str">
        <f>IFERROR(IF(C1491="No CAS","",INDEX('DEQ Pollutant List'!$B$7:$B$611,MATCH('3. Pollutant Emissions - EF'!C1491,'DEQ Pollutant List'!$A$7:$A$611,0))),"")</f>
        <v>Cadmium and compounds</v>
      </c>
      <c r="E1491" s="23">
        <v>0</v>
      </c>
      <c r="F1491" s="21">
        <v>0</v>
      </c>
      <c r="G1491" s="23" t="s">
        <v>1415</v>
      </c>
      <c r="H1491" s="21" t="s">
        <v>1415</v>
      </c>
      <c r="I1491" s="34">
        <v>1.1000000000000001E-3</v>
      </c>
      <c r="J1491" s="11">
        <f t="shared" si="54"/>
        <v>1.1000000000000001E-3</v>
      </c>
      <c r="K1491" s="6" t="s">
        <v>1416</v>
      </c>
      <c r="L1491" s="20" t="s">
        <v>1422</v>
      </c>
      <c r="M1491" s="7">
        <f>IF(ISBLANK($B1491),_xlfn.XLOOKUP($A1491,'2. TEUs &amp; Activities - EF'!$A$9:$A$190,'2. TEUs &amp; Activities - EF'!$J$9:$J$190),_xlfn.XLOOKUP($B1491,'2. TEUs &amp; Activities - EF'!$B$9:$B$190,'2. TEUs &amp; Activities - EF'!$J$9:$J$190))*'3. Pollutant Emissions - EF'!$I1491*IF(OR(ISBLANK($E1491),$G1491="Yes"),1,$E1491)*IF($H1491="Yes",1,(1-$F1491))</f>
        <v>3.023058823529412E-2</v>
      </c>
      <c r="N1491" s="5">
        <f>IF(ISBLANK($B1491),_xlfn.XLOOKUP($A1491,'2. TEUs &amp; Activities - EF'!$A$9:$A$190,'2. TEUs &amp; Activities - EF'!$M$9:$M$190),_xlfn.XLOOKUP($B1491,'2. TEUs &amp; Activities - EF'!$B$9:$B$190,'2. TEUs &amp; Activities - EF'!$M$9:$M$190))*'3. Pollutant Emissions - EF'!$J1491*IF(OR(ISBLANK($E1491),$G1491="Yes"),1,$E1491)*IF($H1491="Yes",1,(1-$F1491))</f>
        <v>8.2823529411764715E-5</v>
      </c>
      <c r="O1491" s="130"/>
    </row>
    <row r="1492" spans="1:15" ht="15" x14ac:dyDescent="0.25">
      <c r="A1492" s="5" t="s">
        <v>1625</v>
      </c>
      <c r="B1492" s="7"/>
      <c r="C1492" s="13" t="s">
        <v>57</v>
      </c>
      <c r="D1492" s="19" t="str">
        <f>IFERROR(IF(C1492="No CAS","",INDEX('DEQ Pollutant List'!$B$7:$B$611,MATCH('3. Pollutant Emissions - EF'!C1492,'DEQ Pollutant List'!$A$7:$A$611,0))),"")</f>
        <v>Chromium VI, chromate and dichromate particulate</v>
      </c>
      <c r="E1492" s="23">
        <v>0</v>
      </c>
      <c r="F1492" s="21">
        <v>0</v>
      </c>
      <c r="G1492" s="23" t="s">
        <v>1415</v>
      </c>
      <c r="H1492" s="21" t="s">
        <v>1415</v>
      </c>
      <c r="I1492" s="34">
        <v>1.4E-3</v>
      </c>
      <c r="J1492" s="11">
        <f t="shared" si="54"/>
        <v>1.4E-3</v>
      </c>
      <c r="K1492" s="6" t="s">
        <v>1416</v>
      </c>
      <c r="L1492" s="20" t="s">
        <v>1422</v>
      </c>
      <c r="M1492" s="7">
        <f>IF(ISBLANK($B1492),_xlfn.XLOOKUP($A1492,'2. TEUs &amp; Activities - EF'!$A$9:$A$190,'2. TEUs &amp; Activities - EF'!$J$9:$J$190),_xlfn.XLOOKUP($B1492,'2. TEUs &amp; Activities - EF'!$B$9:$B$190,'2. TEUs &amp; Activities - EF'!$J$9:$J$190))*'3. Pollutant Emissions - EF'!$I1492*IF(OR(ISBLANK($E1492),$G1492="Yes"),1,$E1492)*IF($H1492="Yes",1,(1-$F1492))</f>
        <v>3.8475294117647059E-2</v>
      </c>
      <c r="N1492" s="5">
        <f>IF(ISBLANK($B1492),_xlfn.XLOOKUP($A1492,'2. TEUs &amp; Activities - EF'!$A$9:$A$190,'2. TEUs &amp; Activities - EF'!$M$9:$M$190),_xlfn.XLOOKUP($B1492,'2. TEUs &amp; Activities - EF'!$B$9:$B$190,'2. TEUs &amp; Activities - EF'!$M$9:$M$190))*'3. Pollutant Emissions - EF'!$J1492*IF(OR(ISBLANK($E1492),$G1492="Yes"),1,$E1492)*IF($H1492="Yes",1,(1-$F1492))</f>
        <v>1.0541176470588237E-4</v>
      </c>
      <c r="O1492" s="130"/>
    </row>
    <row r="1493" spans="1:15" ht="15" x14ac:dyDescent="0.25">
      <c r="A1493" s="5" t="s">
        <v>1625</v>
      </c>
      <c r="B1493" s="7"/>
      <c r="C1493" s="13" t="s">
        <v>58</v>
      </c>
      <c r="D1493" s="19" t="str">
        <f>IFERROR(IF(C1493="No CAS","",INDEX('DEQ Pollutant List'!$B$7:$B$611,MATCH('3. Pollutant Emissions - EF'!C1493,'DEQ Pollutant List'!$A$7:$A$611,0))),"")</f>
        <v>Cobalt and compounds</v>
      </c>
      <c r="E1493" s="23">
        <v>0</v>
      </c>
      <c r="F1493" s="21">
        <v>0</v>
      </c>
      <c r="G1493" s="23" t="s">
        <v>1415</v>
      </c>
      <c r="H1493" s="21" t="s">
        <v>1415</v>
      </c>
      <c r="I1493" s="34">
        <v>8.3999999999999995E-5</v>
      </c>
      <c r="J1493" s="11">
        <f t="shared" si="54"/>
        <v>8.3999999999999995E-5</v>
      </c>
      <c r="K1493" s="6" t="s">
        <v>1416</v>
      </c>
      <c r="L1493" s="20" t="s">
        <v>1422</v>
      </c>
      <c r="M1493" s="7">
        <f>IF(ISBLANK($B1493),_xlfn.XLOOKUP($A1493,'2. TEUs &amp; Activities - EF'!$A$9:$A$190,'2. TEUs &amp; Activities - EF'!$J$9:$J$190),_xlfn.XLOOKUP($B1493,'2. TEUs &amp; Activities - EF'!$B$9:$B$190,'2. TEUs &amp; Activities - EF'!$J$9:$J$190))*'3. Pollutant Emissions - EF'!$I1493*IF(OR(ISBLANK($E1493),$G1493="Yes"),1,$E1493)*IF($H1493="Yes",1,(1-$F1493))</f>
        <v>2.3085176470588236E-3</v>
      </c>
      <c r="N1493" s="5">
        <f>IF(ISBLANK($B1493),_xlfn.XLOOKUP($A1493,'2. TEUs &amp; Activities - EF'!$A$9:$A$190,'2. TEUs &amp; Activities - EF'!$M$9:$M$190),_xlfn.XLOOKUP($B1493,'2. TEUs &amp; Activities - EF'!$B$9:$B$190,'2. TEUs &amp; Activities - EF'!$M$9:$M$190))*'3. Pollutant Emissions - EF'!$J1493*IF(OR(ISBLANK($E1493),$G1493="Yes"),1,$E1493)*IF($H1493="Yes",1,(1-$F1493))</f>
        <v>6.3247058823529414E-6</v>
      </c>
      <c r="O1493" s="130"/>
    </row>
    <row r="1494" spans="1:15" ht="15" x14ac:dyDescent="0.25">
      <c r="A1494" s="5" t="s">
        <v>1625</v>
      </c>
      <c r="B1494" s="7"/>
      <c r="C1494" s="13" t="s">
        <v>59</v>
      </c>
      <c r="D1494" s="19" t="str">
        <f>IFERROR(IF(C1494="No CAS","",INDEX('DEQ Pollutant List'!$B$7:$B$611,MATCH('3. Pollutant Emissions - EF'!C1494,'DEQ Pollutant List'!$A$7:$A$611,0))),"")</f>
        <v>Copper and compounds</v>
      </c>
      <c r="E1494" s="23">
        <v>0</v>
      </c>
      <c r="F1494" s="21">
        <v>0</v>
      </c>
      <c r="G1494" s="23" t="s">
        <v>1415</v>
      </c>
      <c r="H1494" s="21" t="s">
        <v>1415</v>
      </c>
      <c r="I1494" s="34">
        <v>8.4999999999999995E-4</v>
      </c>
      <c r="J1494" s="11">
        <f t="shared" si="54"/>
        <v>8.4999999999999995E-4</v>
      </c>
      <c r="K1494" s="6" t="s">
        <v>1416</v>
      </c>
      <c r="L1494" s="20" t="s">
        <v>1422</v>
      </c>
      <c r="M1494" s="7">
        <f>IF(ISBLANK($B1494),_xlfn.XLOOKUP($A1494,'2. TEUs &amp; Activities - EF'!$A$9:$A$190,'2. TEUs &amp; Activities - EF'!$J$9:$J$190),_xlfn.XLOOKUP($B1494,'2. TEUs &amp; Activities - EF'!$B$9:$B$190,'2. TEUs &amp; Activities - EF'!$J$9:$J$190))*'3. Pollutant Emissions - EF'!$I1494*IF(OR(ISBLANK($E1494),$G1494="Yes"),1,$E1494)*IF($H1494="Yes",1,(1-$F1494))</f>
        <v>2.3359999999999999E-2</v>
      </c>
      <c r="N1494" s="5">
        <f>IF(ISBLANK($B1494),_xlfn.XLOOKUP($A1494,'2. TEUs &amp; Activities - EF'!$A$9:$A$190,'2. TEUs &amp; Activities - EF'!$M$9:$M$190),_xlfn.XLOOKUP($B1494,'2. TEUs &amp; Activities - EF'!$B$9:$B$190,'2. TEUs &amp; Activities - EF'!$M$9:$M$190))*'3. Pollutant Emissions - EF'!$J1494*IF(OR(ISBLANK($E1494),$G1494="Yes"),1,$E1494)*IF($H1494="Yes",1,(1-$F1494))</f>
        <v>6.3999999999999997E-5</v>
      </c>
      <c r="O1494" s="130"/>
    </row>
    <row r="1495" spans="1:15" ht="15" x14ac:dyDescent="0.25">
      <c r="A1495" s="5" t="s">
        <v>1625</v>
      </c>
      <c r="B1495" s="7"/>
      <c r="C1495" s="13" t="s">
        <v>60</v>
      </c>
      <c r="D1495" s="19" t="str">
        <f>IFERROR(IF(C1495="No CAS","",INDEX('DEQ Pollutant List'!$B$7:$B$611,MATCH('3. Pollutant Emissions - EF'!C1495,'DEQ Pollutant List'!$A$7:$A$611,0))),"")</f>
        <v>Ethyl benzene</v>
      </c>
      <c r="E1495" s="23">
        <v>0</v>
      </c>
      <c r="F1495" s="21">
        <v>0</v>
      </c>
      <c r="G1495" s="23" t="s">
        <v>1415</v>
      </c>
      <c r="H1495" s="21" t="s">
        <v>1415</v>
      </c>
      <c r="I1495" s="34">
        <v>9.4999999999999998E-3</v>
      </c>
      <c r="J1495" s="11">
        <f t="shared" si="54"/>
        <v>9.4999999999999998E-3</v>
      </c>
      <c r="K1495" s="6" t="s">
        <v>1416</v>
      </c>
      <c r="L1495" s="20" t="s">
        <v>1422</v>
      </c>
      <c r="M1495" s="7">
        <f>IF(ISBLANK($B1495),_xlfn.XLOOKUP($A1495,'2. TEUs &amp; Activities - EF'!$A$9:$A$190,'2. TEUs &amp; Activities - EF'!$J$9:$J$190),_xlfn.XLOOKUP($B1495,'2. TEUs &amp; Activities - EF'!$B$9:$B$190,'2. TEUs &amp; Activities - EF'!$J$9:$J$190))*'3. Pollutant Emissions - EF'!$I1495*IF(OR(ISBLANK($E1495),$G1495="Yes"),1,$E1495)*IF($H1495="Yes",1,(1-$F1495))</f>
        <v>0.26108235294117649</v>
      </c>
      <c r="N1495" s="5">
        <f>IF(ISBLANK($B1495),_xlfn.XLOOKUP($A1495,'2. TEUs &amp; Activities - EF'!$A$9:$A$190,'2. TEUs &amp; Activities - EF'!$M$9:$M$190),_xlfn.XLOOKUP($B1495,'2. TEUs &amp; Activities - EF'!$B$9:$B$190,'2. TEUs &amp; Activities - EF'!$M$9:$M$190))*'3. Pollutant Emissions - EF'!$J1495*IF(OR(ISBLANK($E1495),$G1495="Yes"),1,$E1495)*IF($H1495="Yes",1,(1-$F1495))</f>
        <v>7.1529411764705887E-4</v>
      </c>
      <c r="O1495" s="130"/>
    </row>
    <row r="1496" spans="1:15" ht="15" x14ac:dyDescent="0.25">
      <c r="A1496" s="5" t="s">
        <v>1625</v>
      </c>
      <c r="B1496" s="7"/>
      <c r="C1496" s="13" t="s">
        <v>47</v>
      </c>
      <c r="D1496" s="19" t="str">
        <f>IFERROR(IF(C1496="No CAS","",INDEX('DEQ Pollutant List'!$B$7:$B$611,MATCH('3. Pollutant Emissions - EF'!C1496,'DEQ Pollutant List'!$A$7:$A$611,0))),"")</f>
        <v>Formaldehyde</v>
      </c>
      <c r="E1496" s="23">
        <v>0</v>
      </c>
      <c r="F1496" s="21">
        <v>0</v>
      </c>
      <c r="G1496" s="23" t="s">
        <v>1415</v>
      </c>
      <c r="H1496" s="21" t="s">
        <v>1415</v>
      </c>
      <c r="I1496" s="34">
        <v>1.7000000000000001E-2</v>
      </c>
      <c r="J1496" s="11">
        <f t="shared" si="54"/>
        <v>1.7000000000000001E-2</v>
      </c>
      <c r="K1496" s="6" t="s">
        <v>1416</v>
      </c>
      <c r="L1496" s="20" t="s">
        <v>1422</v>
      </c>
      <c r="M1496" s="7">
        <f>IF(ISBLANK($B1496),_xlfn.XLOOKUP($A1496,'2. TEUs &amp; Activities - EF'!$A$9:$A$190,'2. TEUs &amp; Activities - EF'!$J$9:$J$190),_xlfn.XLOOKUP($B1496,'2. TEUs &amp; Activities - EF'!$B$9:$B$190,'2. TEUs &amp; Activities - EF'!$J$9:$J$190))*'3. Pollutant Emissions - EF'!$I1496*IF(OR(ISBLANK($E1496),$G1496="Yes"),1,$E1496)*IF($H1496="Yes",1,(1-$F1496))</f>
        <v>0.46720000000000006</v>
      </c>
      <c r="N1496" s="5">
        <f>IF(ISBLANK($B1496),_xlfn.XLOOKUP($A1496,'2. TEUs &amp; Activities - EF'!$A$9:$A$190,'2. TEUs &amp; Activities - EF'!$M$9:$M$190),_xlfn.XLOOKUP($B1496,'2. TEUs &amp; Activities - EF'!$B$9:$B$190,'2. TEUs &amp; Activities - EF'!$M$9:$M$190))*'3. Pollutant Emissions - EF'!$J1496*IF(OR(ISBLANK($E1496),$G1496="Yes"),1,$E1496)*IF($H1496="Yes",1,(1-$F1496))</f>
        <v>1.2800000000000003E-3</v>
      </c>
      <c r="O1496" s="130"/>
    </row>
    <row r="1497" spans="1:15" ht="15" x14ac:dyDescent="0.25">
      <c r="A1497" s="5" t="s">
        <v>1625</v>
      </c>
      <c r="B1497" s="7"/>
      <c r="C1497" s="13" t="s">
        <v>61</v>
      </c>
      <c r="D1497" s="19" t="str">
        <f>IFERROR(IF(C1497="No CAS","",INDEX('DEQ Pollutant List'!$B$7:$B$611,MATCH('3. Pollutant Emissions - EF'!C1497,'DEQ Pollutant List'!$A$7:$A$611,0))),"")</f>
        <v>Hexane</v>
      </c>
      <c r="E1497" s="23">
        <v>0</v>
      </c>
      <c r="F1497" s="21">
        <v>0</v>
      </c>
      <c r="G1497" s="23" t="s">
        <v>1415</v>
      </c>
      <c r="H1497" s="21" t="s">
        <v>1415</v>
      </c>
      <c r="I1497" s="34">
        <v>6.3E-3</v>
      </c>
      <c r="J1497" s="11">
        <f t="shared" si="54"/>
        <v>6.3E-3</v>
      </c>
      <c r="K1497" s="6" t="s">
        <v>1416</v>
      </c>
      <c r="L1497" s="20" t="s">
        <v>1422</v>
      </c>
      <c r="M1497" s="7">
        <f>IF(ISBLANK($B1497),_xlfn.XLOOKUP($A1497,'2. TEUs &amp; Activities - EF'!$A$9:$A$190,'2. TEUs &amp; Activities - EF'!$J$9:$J$190),_xlfn.XLOOKUP($B1497,'2. TEUs &amp; Activities - EF'!$B$9:$B$190,'2. TEUs &amp; Activities - EF'!$J$9:$J$190))*'3. Pollutant Emissions - EF'!$I1497*IF(OR(ISBLANK($E1497),$G1497="Yes"),1,$E1497)*IF($H1497="Yes",1,(1-$F1497))</f>
        <v>0.17313882352941179</v>
      </c>
      <c r="N1497" s="5">
        <f>IF(ISBLANK($B1497),_xlfn.XLOOKUP($A1497,'2. TEUs &amp; Activities - EF'!$A$9:$A$190,'2. TEUs &amp; Activities - EF'!$M$9:$M$190),_xlfn.XLOOKUP($B1497,'2. TEUs &amp; Activities - EF'!$B$9:$B$190,'2. TEUs &amp; Activities - EF'!$M$9:$M$190))*'3. Pollutant Emissions - EF'!$J1497*IF(OR(ISBLANK($E1497),$G1497="Yes"),1,$E1497)*IF($H1497="Yes",1,(1-$F1497))</f>
        <v>4.7435294117647062E-4</v>
      </c>
      <c r="O1497" s="130"/>
    </row>
    <row r="1498" spans="1:15" ht="15" x14ac:dyDescent="0.25">
      <c r="A1498" s="5" t="s">
        <v>1625</v>
      </c>
      <c r="B1498" s="7"/>
      <c r="C1498" s="13" t="s">
        <v>62</v>
      </c>
      <c r="D1498" s="19" t="str">
        <f>IFERROR(IF(C1498="No CAS","",INDEX('DEQ Pollutant List'!$B$7:$B$611,MATCH('3. Pollutant Emissions - EF'!C1498,'DEQ Pollutant List'!$A$7:$A$611,0))),"")</f>
        <v>Lead and compounds</v>
      </c>
      <c r="E1498" s="23">
        <v>0</v>
      </c>
      <c r="F1498" s="21">
        <v>0</v>
      </c>
      <c r="G1498" s="23" t="s">
        <v>1415</v>
      </c>
      <c r="H1498" s="21" t="s">
        <v>1415</v>
      </c>
      <c r="I1498" s="34">
        <v>5.0000000000000001E-4</v>
      </c>
      <c r="J1498" s="11">
        <f t="shared" si="54"/>
        <v>5.0000000000000001E-4</v>
      </c>
      <c r="K1498" s="6" t="s">
        <v>1416</v>
      </c>
      <c r="L1498" s="20" t="s">
        <v>1422</v>
      </c>
      <c r="M1498" s="7">
        <f>IF(ISBLANK($B1498),_xlfn.XLOOKUP($A1498,'2. TEUs &amp; Activities - EF'!$A$9:$A$190,'2. TEUs &amp; Activities - EF'!$J$9:$J$190),_xlfn.XLOOKUP($B1498,'2. TEUs &amp; Activities - EF'!$B$9:$B$190,'2. TEUs &amp; Activities - EF'!$J$9:$J$190))*'3. Pollutant Emissions - EF'!$I1498*IF(OR(ISBLANK($E1498),$G1498="Yes"),1,$E1498)*IF($H1498="Yes",1,(1-$F1498))</f>
        <v>1.3741176470588236E-2</v>
      </c>
      <c r="N1498" s="5">
        <f>IF(ISBLANK($B1498),_xlfn.XLOOKUP($A1498,'2. TEUs &amp; Activities - EF'!$A$9:$A$190,'2. TEUs &amp; Activities - EF'!$M$9:$M$190),_xlfn.XLOOKUP($B1498,'2. TEUs &amp; Activities - EF'!$B$9:$B$190,'2. TEUs &amp; Activities - EF'!$M$9:$M$190))*'3. Pollutant Emissions - EF'!$J1498*IF(OR(ISBLANK($E1498),$G1498="Yes"),1,$E1498)*IF($H1498="Yes",1,(1-$F1498))</f>
        <v>3.7647058823529415E-5</v>
      </c>
      <c r="O1498" s="130"/>
    </row>
    <row r="1499" spans="1:15" ht="15" x14ac:dyDescent="0.25">
      <c r="A1499" s="5" t="s">
        <v>1625</v>
      </c>
      <c r="B1499" s="7"/>
      <c r="C1499" s="13" t="s">
        <v>63</v>
      </c>
      <c r="D1499" s="19" t="str">
        <f>IFERROR(IF(C1499="No CAS","",INDEX('DEQ Pollutant List'!$B$7:$B$611,MATCH('3. Pollutant Emissions - EF'!C1499,'DEQ Pollutant List'!$A$7:$A$611,0))),"")</f>
        <v>Manganese and compounds</v>
      </c>
      <c r="E1499" s="23">
        <v>0</v>
      </c>
      <c r="F1499" s="21">
        <v>0</v>
      </c>
      <c r="G1499" s="23" t="s">
        <v>1415</v>
      </c>
      <c r="H1499" s="21" t="s">
        <v>1415</v>
      </c>
      <c r="I1499" s="34">
        <v>3.8000000000000002E-4</v>
      </c>
      <c r="J1499" s="11">
        <f t="shared" si="54"/>
        <v>3.8000000000000002E-4</v>
      </c>
      <c r="K1499" s="6" t="s">
        <v>1416</v>
      </c>
      <c r="L1499" s="20" t="s">
        <v>1422</v>
      </c>
      <c r="M1499" s="7">
        <f>IF(ISBLANK($B1499),_xlfn.XLOOKUP($A1499,'2. TEUs &amp; Activities - EF'!$A$9:$A$190,'2. TEUs &amp; Activities - EF'!$J$9:$J$190),_xlfn.XLOOKUP($B1499,'2. TEUs &amp; Activities - EF'!$B$9:$B$190,'2. TEUs &amp; Activities - EF'!$J$9:$J$190))*'3. Pollutant Emissions - EF'!$I1499*IF(OR(ISBLANK($E1499),$G1499="Yes"),1,$E1499)*IF($H1499="Yes",1,(1-$F1499))</f>
        <v>1.0443294117647059E-2</v>
      </c>
      <c r="N1499" s="5">
        <f>IF(ISBLANK($B1499),_xlfn.XLOOKUP($A1499,'2. TEUs &amp; Activities - EF'!$A$9:$A$190,'2. TEUs &amp; Activities - EF'!$M$9:$M$190),_xlfn.XLOOKUP($B1499,'2. TEUs &amp; Activities - EF'!$B$9:$B$190,'2. TEUs &amp; Activities - EF'!$M$9:$M$190))*'3. Pollutant Emissions - EF'!$J1499*IF(OR(ISBLANK($E1499),$G1499="Yes"),1,$E1499)*IF($H1499="Yes",1,(1-$F1499))</f>
        <v>2.8611764705882358E-5</v>
      </c>
      <c r="O1499" s="130"/>
    </row>
    <row r="1500" spans="1:15" ht="15" x14ac:dyDescent="0.25">
      <c r="A1500" s="5" t="s">
        <v>1625</v>
      </c>
      <c r="B1500" s="7"/>
      <c r="C1500" s="13" t="s">
        <v>64</v>
      </c>
      <c r="D1500" s="19" t="str">
        <f>IFERROR(IF(C1500="No CAS","",INDEX('DEQ Pollutant List'!$B$7:$B$611,MATCH('3. Pollutant Emissions - EF'!C1500,'DEQ Pollutant List'!$A$7:$A$611,0))),"")</f>
        <v>Mercury and compounds</v>
      </c>
      <c r="E1500" s="23">
        <v>0</v>
      </c>
      <c r="F1500" s="21">
        <v>0</v>
      </c>
      <c r="G1500" s="23" t="s">
        <v>1415</v>
      </c>
      <c r="H1500" s="21" t="s">
        <v>1415</v>
      </c>
      <c r="I1500" s="34">
        <v>2.5999999999999998E-4</v>
      </c>
      <c r="J1500" s="11">
        <f t="shared" si="54"/>
        <v>2.5999999999999998E-4</v>
      </c>
      <c r="K1500" s="6" t="s">
        <v>1416</v>
      </c>
      <c r="L1500" s="20" t="s">
        <v>1422</v>
      </c>
      <c r="M1500" s="7">
        <f>IF(ISBLANK($B1500),_xlfn.XLOOKUP($A1500,'2. TEUs &amp; Activities - EF'!$A$9:$A$190,'2. TEUs &amp; Activities - EF'!$J$9:$J$190),_xlfn.XLOOKUP($B1500,'2. TEUs &amp; Activities - EF'!$B$9:$B$190,'2. TEUs &amp; Activities - EF'!$J$9:$J$190))*'3. Pollutant Emissions - EF'!$I1500*IF(OR(ISBLANK($E1500),$G1500="Yes"),1,$E1500)*IF($H1500="Yes",1,(1-$F1500))</f>
        <v>7.1454117647058819E-3</v>
      </c>
      <c r="N1500" s="5">
        <f>IF(ISBLANK($B1500),_xlfn.XLOOKUP($A1500,'2. TEUs &amp; Activities - EF'!$A$9:$A$190,'2. TEUs &amp; Activities - EF'!$M$9:$M$190),_xlfn.XLOOKUP($B1500,'2. TEUs &amp; Activities - EF'!$B$9:$B$190,'2. TEUs &amp; Activities - EF'!$M$9:$M$190))*'3. Pollutant Emissions - EF'!$J1500*IF(OR(ISBLANK($E1500),$G1500="Yes"),1,$E1500)*IF($H1500="Yes",1,(1-$F1500))</f>
        <v>1.9576470588235294E-5</v>
      </c>
      <c r="O1500" s="130"/>
    </row>
    <row r="1501" spans="1:15" ht="15" x14ac:dyDescent="0.25">
      <c r="A1501" s="5" t="s">
        <v>1625</v>
      </c>
      <c r="B1501" s="7"/>
      <c r="C1501" s="13" t="s">
        <v>65</v>
      </c>
      <c r="D1501" s="19" t="str">
        <f>IFERROR(IF(C1501="No CAS","",INDEX('DEQ Pollutant List'!$B$7:$B$611,MATCH('3. Pollutant Emissions - EF'!C1501,'DEQ Pollutant List'!$A$7:$A$611,0))),"")</f>
        <v>Molybdenum trioxide</v>
      </c>
      <c r="E1501" s="23">
        <v>0</v>
      </c>
      <c r="F1501" s="21">
        <v>0</v>
      </c>
      <c r="G1501" s="23" t="s">
        <v>1415</v>
      </c>
      <c r="H1501" s="21" t="s">
        <v>1415</v>
      </c>
      <c r="I1501" s="34">
        <v>1.65E-3</v>
      </c>
      <c r="J1501" s="11">
        <f t="shared" si="54"/>
        <v>1.65E-3</v>
      </c>
      <c r="K1501" s="6" t="s">
        <v>1416</v>
      </c>
      <c r="L1501" s="20" t="s">
        <v>1422</v>
      </c>
      <c r="M1501" s="7">
        <f>IF(ISBLANK($B1501),_xlfn.XLOOKUP($A1501,'2. TEUs &amp; Activities - EF'!$A$9:$A$190,'2. TEUs &amp; Activities - EF'!$J$9:$J$190),_xlfn.XLOOKUP($B1501,'2. TEUs &amp; Activities - EF'!$B$9:$B$190,'2. TEUs &amp; Activities - EF'!$J$9:$J$190))*'3. Pollutant Emissions - EF'!$I1501*IF(OR(ISBLANK($E1501),$G1501="Yes"),1,$E1501)*IF($H1501="Yes",1,(1-$F1501))</f>
        <v>4.534588235294118E-2</v>
      </c>
      <c r="N1501" s="5">
        <f>IF(ISBLANK($B1501),_xlfn.XLOOKUP($A1501,'2. TEUs &amp; Activities - EF'!$A$9:$A$190,'2. TEUs &amp; Activities - EF'!$M$9:$M$190),_xlfn.XLOOKUP($B1501,'2. TEUs &amp; Activities - EF'!$B$9:$B$190,'2. TEUs &amp; Activities - EF'!$M$9:$M$190))*'3. Pollutant Emissions - EF'!$J1501*IF(OR(ISBLANK($E1501),$G1501="Yes"),1,$E1501)*IF($H1501="Yes",1,(1-$F1501))</f>
        <v>1.2423529411764706E-4</v>
      </c>
      <c r="O1501" s="130"/>
    </row>
    <row r="1502" spans="1:15" ht="15" x14ac:dyDescent="0.25">
      <c r="A1502" s="5" t="s">
        <v>1625</v>
      </c>
      <c r="B1502" s="7"/>
      <c r="C1502" s="13" t="s">
        <v>49</v>
      </c>
      <c r="D1502" s="19" t="str">
        <f>IFERROR(IF(C1502="No CAS","",INDEX('DEQ Pollutant List'!$B$7:$B$611,MATCH('3. Pollutant Emissions - EF'!C1502,'DEQ Pollutant List'!$A$7:$A$611,0))),"")</f>
        <v>Naphthalene</v>
      </c>
      <c r="E1502" s="23">
        <v>0</v>
      </c>
      <c r="F1502" s="21">
        <v>0</v>
      </c>
      <c r="G1502" s="23" t="s">
        <v>1415</v>
      </c>
      <c r="H1502" s="21" t="s">
        <v>1415</v>
      </c>
      <c r="I1502" s="34">
        <v>2.9999999999999997E-4</v>
      </c>
      <c r="J1502" s="11">
        <f t="shared" si="54"/>
        <v>2.9999999999999997E-4</v>
      </c>
      <c r="K1502" s="6" t="s">
        <v>1416</v>
      </c>
      <c r="L1502" s="20" t="s">
        <v>1422</v>
      </c>
      <c r="M1502" s="7">
        <f>IF(ISBLANK($B1502),_xlfn.XLOOKUP($A1502,'2. TEUs &amp; Activities - EF'!$A$9:$A$190,'2. TEUs &amp; Activities - EF'!$J$9:$J$190),_xlfn.XLOOKUP($B1502,'2. TEUs &amp; Activities - EF'!$B$9:$B$190,'2. TEUs &amp; Activities - EF'!$J$9:$J$190))*'3. Pollutant Emissions - EF'!$I1502*IF(OR(ISBLANK($E1502),$G1502="Yes"),1,$E1502)*IF($H1502="Yes",1,(1-$F1502))</f>
        <v>8.2447058823529405E-3</v>
      </c>
      <c r="N1502" s="5">
        <f>IF(ISBLANK($B1502),_xlfn.XLOOKUP($A1502,'2. TEUs &amp; Activities - EF'!$A$9:$A$190,'2. TEUs &amp; Activities - EF'!$M$9:$M$190),_xlfn.XLOOKUP($B1502,'2. TEUs &amp; Activities - EF'!$B$9:$B$190,'2. TEUs &amp; Activities - EF'!$M$9:$M$190))*'3. Pollutant Emissions - EF'!$J1502*IF(OR(ISBLANK($E1502),$G1502="Yes"),1,$E1502)*IF($H1502="Yes",1,(1-$F1502))</f>
        <v>2.2588235294117646E-5</v>
      </c>
      <c r="O1502" s="130"/>
    </row>
    <row r="1503" spans="1:15" ht="15" x14ac:dyDescent="0.25">
      <c r="A1503" s="5" t="s">
        <v>1625</v>
      </c>
      <c r="B1503" s="7"/>
      <c r="C1503" s="13" t="s">
        <v>66</v>
      </c>
      <c r="D1503" s="19" t="str">
        <f>IFERROR(IF(C1503="No CAS","",INDEX('DEQ Pollutant List'!$B$7:$B$611,MATCH('3. Pollutant Emissions - EF'!C1503,'DEQ Pollutant List'!$A$7:$A$611,0))),"")</f>
        <v>Nickel and compounds</v>
      </c>
      <c r="E1503" s="23">
        <v>0</v>
      </c>
      <c r="F1503" s="21">
        <v>0</v>
      </c>
      <c r="G1503" s="23" t="s">
        <v>1415</v>
      </c>
      <c r="H1503" s="21" t="s">
        <v>1415</v>
      </c>
      <c r="I1503" s="34">
        <v>2.0999999999999999E-3</v>
      </c>
      <c r="J1503" s="11">
        <f t="shared" si="54"/>
        <v>2.0999999999999999E-3</v>
      </c>
      <c r="K1503" s="6" t="s">
        <v>1416</v>
      </c>
      <c r="L1503" s="20" t="s">
        <v>1422</v>
      </c>
      <c r="M1503" s="7">
        <f>IF(ISBLANK($B1503),_xlfn.XLOOKUP($A1503,'2. TEUs &amp; Activities - EF'!$A$9:$A$190,'2. TEUs &amp; Activities - EF'!$J$9:$J$190),_xlfn.XLOOKUP($B1503,'2. TEUs &amp; Activities - EF'!$B$9:$B$190,'2. TEUs &amp; Activities - EF'!$J$9:$J$190))*'3. Pollutant Emissions - EF'!$I1503*IF(OR(ISBLANK($E1503),$G1503="Yes"),1,$E1503)*IF($H1503="Yes",1,(1-$F1503))</f>
        <v>5.7712941176470592E-2</v>
      </c>
      <c r="N1503" s="5">
        <f>IF(ISBLANK($B1503),_xlfn.XLOOKUP($A1503,'2. TEUs &amp; Activities - EF'!$A$9:$A$190,'2. TEUs &amp; Activities - EF'!$M$9:$M$190),_xlfn.XLOOKUP($B1503,'2. TEUs &amp; Activities - EF'!$B$9:$B$190,'2. TEUs &amp; Activities - EF'!$M$9:$M$190))*'3. Pollutant Emissions - EF'!$J1503*IF(OR(ISBLANK($E1503),$G1503="Yes"),1,$E1503)*IF($H1503="Yes",1,(1-$F1503))</f>
        <v>1.5811764705882353E-4</v>
      </c>
      <c r="O1503" s="130"/>
    </row>
    <row r="1504" spans="1:15" ht="15" x14ac:dyDescent="0.25">
      <c r="A1504" s="5" t="s">
        <v>1625</v>
      </c>
      <c r="B1504" s="7"/>
      <c r="C1504" s="13">
        <v>401</v>
      </c>
      <c r="D1504" s="19" t="str">
        <f>IFERROR(IF(C1504="No CAS","",INDEX('DEQ Pollutant List'!$B$7:$B$611,MATCH('3. Pollutant Emissions - EF'!C1504,'DEQ Pollutant List'!$A$7:$A$611,0))),"")</f>
        <v>Polycyclic aromatic hydrocarbons (PAHs)</v>
      </c>
      <c r="E1504" s="23">
        <v>0</v>
      </c>
      <c r="F1504" s="21">
        <v>0</v>
      </c>
      <c r="G1504" s="23" t="s">
        <v>1415</v>
      </c>
      <c r="H1504" s="21" t="s">
        <v>1415</v>
      </c>
      <c r="I1504" s="34">
        <v>1E-4</v>
      </c>
      <c r="J1504" s="11">
        <f t="shared" si="54"/>
        <v>1E-4</v>
      </c>
      <c r="K1504" s="6" t="s">
        <v>1416</v>
      </c>
      <c r="L1504" s="20" t="s">
        <v>1422</v>
      </c>
      <c r="M1504" s="7">
        <f>IF(ISBLANK($B1504),_xlfn.XLOOKUP($A1504,'2. TEUs &amp; Activities - EF'!$A$9:$A$190,'2. TEUs &amp; Activities - EF'!$J$9:$J$190),_xlfn.XLOOKUP($B1504,'2. TEUs &amp; Activities - EF'!$B$9:$B$190,'2. TEUs &amp; Activities - EF'!$J$9:$J$190))*'3. Pollutant Emissions - EF'!$I1504*IF(OR(ISBLANK($E1504),$G1504="Yes"),1,$E1504)*IF($H1504="Yes",1,(1-$F1504))</f>
        <v>2.7482352941176473E-3</v>
      </c>
      <c r="N1504" s="5">
        <f>IF(ISBLANK($B1504),_xlfn.XLOOKUP($A1504,'2. TEUs &amp; Activities - EF'!$A$9:$A$190,'2. TEUs &amp; Activities - EF'!$M$9:$M$190),_xlfn.XLOOKUP($B1504,'2. TEUs &amp; Activities - EF'!$B$9:$B$190,'2. TEUs &amp; Activities - EF'!$M$9:$M$190))*'3. Pollutant Emissions - EF'!$J1504*IF(OR(ISBLANK($E1504),$G1504="Yes"),1,$E1504)*IF($H1504="Yes",1,(1-$F1504))</f>
        <v>7.5294117647058836E-6</v>
      </c>
      <c r="O1504" s="130"/>
    </row>
    <row r="1505" spans="1:15" ht="15" x14ac:dyDescent="0.25">
      <c r="A1505" s="5" t="s">
        <v>1625</v>
      </c>
      <c r="B1505" s="7"/>
      <c r="C1505" s="13" t="s">
        <v>67</v>
      </c>
      <c r="D1505" s="19" t="str">
        <f>IFERROR(IF(C1505="No CAS","",INDEX('DEQ Pollutant List'!$B$7:$B$611,MATCH('3. Pollutant Emissions - EF'!C1505,'DEQ Pollutant List'!$A$7:$A$611,0))),"")</f>
        <v>Selenium and compounds</v>
      </c>
      <c r="E1505" s="23">
        <v>0</v>
      </c>
      <c r="F1505" s="21">
        <v>0</v>
      </c>
      <c r="G1505" s="23" t="s">
        <v>1415</v>
      </c>
      <c r="H1505" s="21" t="s">
        <v>1415</v>
      </c>
      <c r="I1505" s="34">
        <v>2.4000000000000001E-5</v>
      </c>
      <c r="J1505" s="11">
        <f t="shared" si="54"/>
        <v>2.4000000000000001E-5</v>
      </c>
      <c r="K1505" s="6" t="s">
        <v>1416</v>
      </c>
      <c r="L1505" s="20" t="s">
        <v>1422</v>
      </c>
      <c r="M1505" s="7">
        <f>IF(ISBLANK($B1505),_xlfn.XLOOKUP($A1505,'2. TEUs &amp; Activities - EF'!$A$9:$A$190,'2. TEUs &amp; Activities - EF'!$J$9:$J$190),_xlfn.XLOOKUP($B1505,'2. TEUs &amp; Activities - EF'!$B$9:$B$190,'2. TEUs &amp; Activities - EF'!$J$9:$J$190))*'3. Pollutant Emissions - EF'!$I1505*IF(OR(ISBLANK($E1505),$G1505="Yes"),1,$E1505)*IF($H1505="Yes",1,(1-$F1505))</f>
        <v>6.5957647058823531E-4</v>
      </c>
      <c r="N1505" s="5">
        <f>IF(ISBLANK($B1505),_xlfn.XLOOKUP($A1505,'2. TEUs &amp; Activities - EF'!$A$9:$A$190,'2. TEUs &amp; Activities - EF'!$M$9:$M$190),_xlfn.XLOOKUP($B1505,'2. TEUs &amp; Activities - EF'!$B$9:$B$190,'2. TEUs &amp; Activities - EF'!$M$9:$M$190))*'3. Pollutant Emissions - EF'!$J1505*IF(OR(ISBLANK($E1505),$G1505="Yes"),1,$E1505)*IF($H1505="Yes",1,(1-$F1505))</f>
        <v>1.807058823529412E-6</v>
      </c>
      <c r="O1505" s="130"/>
    </row>
    <row r="1506" spans="1:15" ht="15" x14ac:dyDescent="0.25">
      <c r="A1506" s="5" t="s">
        <v>1625</v>
      </c>
      <c r="B1506" s="7"/>
      <c r="C1506" s="13" t="s">
        <v>68</v>
      </c>
      <c r="D1506" s="19" t="str">
        <f>IFERROR(IF(C1506="No CAS","",INDEX('DEQ Pollutant List'!$B$7:$B$611,MATCH('3. Pollutant Emissions - EF'!C1506,'DEQ Pollutant List'!$A$7:$A$611,0))),"")</f>
        <v>Toluene</v>
      </c>
      <c r="E1506" s="23">
        <v>0</v>
      </c>
      <c r="F1506" s="21">
        <v>0</v>
      </c>
      <c r="G1506" s="23" t="s">
        <v>1415</v>
      </c>
      <c r="H1506" s="21" t="s">
        <v>1415</v>
      </c>
      <c r="I1506" s="34">
        <v>3.6600000000000001E-2</v>
      </c>
      <c r="J1506" s="11">
        <f t="shared" si="54"/>
        <v>3.6600000000000001E-2</v>
      </c>
      <c r="K1506" s="6" t="s">
        <v>1416</v>
      </c>
      <c r="L1506" s="20" t="s">
        <v>1422</v>
      </c>
      <c r="M1506" s="7">
        <f>IF(ISBLANK($B1506),_xlfn.XLOOKUP($A1506,'2. TEUs &amp; Activities - EF'!$A$9:$A$190,'2. TEUs &amp; Activities - EF'!$J$9:$J$190),_xlfn.XLOOKUP($B1506,'2. TEUs &amp; Activities - EF'!$B$9:$B$190,'2. TEUs &amp; Activities - EF'!$J$9:$J$190))*'3. Pollutant Emissions - EF'!$I1506*IF(OR(ISBLANK($E1506),$G1506="Yes"),1,$E1506)*IF($H1506="Yes",1,(1-$F1506))</f>
        <v>1.005854117647059</v>
      </c>
      <c r="N1506" s="5">
        <f>IF(ISBLANK($B1506),_xlfn.XLOOKUP($A1506,'2. TEUs &amp; Activities - EF'!$A$9:$A$190,'2. TEUs &amp; Activities - EF'!$M$9:$M$190),_xlfn.XLOOKUP($B1506,'2. TEUs &amp; Activities - EF'!$B$9:$B$190,'2. TEUs &amp; Activities - EF'!$M$9:$M$190))*'3. Pollutant Emissions - EF'!$J1506*IF(OR(ISBLANK($E1506),$G1506="Yes"),1,$E1506)*IF($H1506="Yes",1,(1-$F1506))</f>
        <v>2.7557647058823534E-3</v>
      </c>
      <c r="O1506" s="130"/>
    </row>
    <row r="1507" spans="1:15" ht="15" x14ac:dyDescent="0.25">
      <c r="A1507" s="5" t="s">
        <v>1625</v>
      </c>
      <c r="B1507" s="7"/>
      <c r="C1507" s="13" t="s">
        <v>69</v>
      </c>
      <c r="D1507" s="19" t="str">
        <f>IFERROR(IF(C1507="No CAS","",INDEX('DEQ Pollutant List'!$B$7:$B$611,MATCH('3. Pollutant Emissions - EF'!C1507,'DEQ Pollutant List'!$A$7:$A$611,0))),"")</f>
        <v>Vanadium (fume or dust)</v>
      </c>
      <c r="E1507" s="23">
        <v>0</v>
      </c>
      <c r="F1507" s="21">
        <v>0</v>
      </c>
      <c r="G1507" s="23" t="s">
        <v>1415</v>
      </c>
      <c r="H1507" s="21" t="s">
        <v>1415</v>
      </c>
      <c r="I1507" s="34">
        <v>2.3E-3</v>
      </c>
      <c r="J1507" s="11">
        <f t="shared" si="54"/>
        <v>2.3E-3</v>
      </c>
      <c r="K1507" s="6" t="s">
        <v>1416</v>
      </c>
      <c r="L1507" s="20" t="s">
        <v>1422</v>
      </c>
      <c r="M1507" s="7">
        <f>IF(ISBLANK($B1507),_xlfn.XLOOKUP($A1507,'2. TEUs &amp; Activities - EF'!$A$9:$A$190,'2. TEUs &amp; Activities - EF'!$J$9:$J$190),_xlfn.XLOOKUP($B1507,'2. TEUs &amp; Activities - EF'!$B$9:$B$190,'2. TEUs &amp; Activities - EF'!$J$9:$J$190))*'3. Pollutant Emissions - EF'!$I1507*IF(OR(ISBLANK($E1507),$G1507="Yes"),1,$E1507)*IF($H1507="Yes",1,(1-$F1507))</f>
        <v>6.3209411764705889E-2</v>
      </c>
      <c r="N1507" s="5">
        <f>IF(ISBLANK($B1507),_xlfn.XLOOKUP($A1507,'2. TEUs &amp; Activities - EF'!$A$9:$A$190,'2. TEUs &amp; Activities - EF'!$M$9:$M$190),_xlfn.XLOOKUP($B1507,'2. TEUs &amp; Activities - EF'!$B$9:$B$190,'2. TEUs &amp; Activities - EF'!$M$9:$M$190))*'3. Pollutant Emissions - EF'!$J1507*IF(OR(ISBLANK($E1507),$G1507="Yes"),1,$E1507)*IF($H1507="Yes",1,(1-$F1507))</f>
        <v>1.731764705882353E-4</v>
      </c>
      <c r="O1507" s="130"/>
    </row>
    <row r="1508" spans="1:15" ht="15" x14ac:dyDescent="0.25">
      <c r="A1508" s="5" t="s">
        <v>1625</v>
      </c>
      <c r="B1508" s="7"/>
      <c r="C1508" s="13" t="s">
        <v>70</v>
      </c>
      <c r="D1508" s="19" t="str">
        <f>IFERROR(IF(C1508="No CAS","",INDEX('DEQ Pollutant List'!$B$7:$B$611,MATCH('3. Pollutant Emissions - EF'!C1508,'DEQ Pollutant List'!$A$7:$A$611,0))),"")</f>
        <v>Xylene (mixture), including m-xylene, o-xylene, p-xylene</v>
      </c>
      <c r="E1508" s="23">
        <v>0</v>
      </c>
      <c r="F1508" s="21">
        <v>0</v>
      </c>
      <c r="G1508" s="23" t="s">
        <v>1415</v>
      </c>
      <c r="H1508" s="21" t="s">
        <v>1415</v>
      </c>
      <c r="I1508" s="34">
        <v>2.7199999999999998E-2</v>
      </c>
      <c r="J1508" s="11">
        <f t="shared" si="54"/>
        <v>2.7199999999999998E-2</v>
      </c>
      <c r="K1508" s="6" t="s">
        <v>1416</v>
      </c>
      <c r="L1508" s="20" t="s">
        <v>1422</v>
      </c>
      <c r="M1508" s="7">
        <f>IF(ISBLANK($B1508),_xlfn.XLOOKUP($A1508,'2. TEUs &amp; Activities - EF'!$A$9:$A$190,'2. TEUs &amp; Activities - EF'!$J$9:$J$190),_xlfn.XLOOKUP($B1508,'2. TEUs &amp; Activities - EF'!$B$9:$B$190,'2. TEUs &amp; Activities - EF'!$J$9:$J$190))*'3. Pollutant Emissions - EF'!$I1508*IF(OR(ISBLANK($E1508),$G1508="Yes"),1,$E1508)*IF($H1508="Yes",1,(1-$F1508))</f>
        <v>0.74751999999999996</v>
      </c>
      <c r="N1508" s="5">
        <f>IF(ISBLANK($B1508),_xlfn.XLOOKUP($A1508,'2. TEUs &amp; Activities - EF'!$A$9:$A$190,'2. TEUs &amp; Activities - EF'!$M$9:$M$190),_xlfn.XLOOKUP($B1508,'2. TEUs &amp; Activities - EF'!$B$9:$B$190,'2. TEUs &amp; Activities - EF'!$M$9:$M$190))*'3. Pollutant Emissions - EF'!$J1508*IF(OR(ISBLANK($E1508),$G1508="Yes"),1,$E1508)*IF($H1508="Yes",1,(1-$F1508))</f>
        <v>2.0479999999999999E-3</v>
      </c>
      <c r="O1508" s="130"/>
    </row>
    <row r="1509" spans="1:15" ht="15" x14ac:dyDescent="0.25">
      <c r="A1509" s="5" t="s">
        <v>1625</v>
      </c>
      <c r="B1509" s="7"/>
      <c r="C1509" s="13" t="s">
        <v>71</v>
      </c>
      <c r="D1509" s="19" t="str">
        <f>IFERROR(IF(C1509="No CAS","",INDEX('DEQ Pollutant List'!$B$7:$B$611,MATCH('3. Pollutant Emissions - EF'!C1509,'DEQ Pollutant List'!$A$7:$A$611,0))),"")</f>
        <v>Zinc and compounds</v>
      </c>
      <c r="E1509" s="23">
        <v>0</v>
      </c>
      <c r="F1509" s="21">
        <v>0</v>
      </c>
      <c r="G1509" s="23" t="s">
        <v>1415</v>
      </c>
      <c r="H1509" s="21" t="s">
        <v>1415</v>
      </c>
      <c r="I1509" s="34">
        <v>2.9000000000000001E-2</v>
      </c>
      <c r="J1509" s="11">
        <f t="shared" si="54"/>
        <v>2.9000000000000001E-2</v>
      </c>
      <c r="K1509" s="6" t="s">
        <v>1416</v>
      </c>
      <c r="L1509" s="20" t="s">
        <v>1422</v>
      </c>
      <c r="M1509" s="7">
        <f>IF(ISBLANK($B1509),_xlfn.XLOOKUP($A1509,'2. TEUs &amp; Activities - EF'!$A$9:$A$190,'2. TEUs &amp; Activities - EF'!$J$9:$J$190),_xlfn.XLOOKUP($B1509,'2. TEUs &amp; Activities - EF'!$B$9:$B$190,'2. TEUs &amp; Activities - EF'!$J$9:$J$190))*'3. Pollutant Emissions - EF'!$I1509*IF(OR(ISBLANK($E1509),$G1509="Yes"),1,$E1509)*IF($H1509="Yes",1,(1-$F1509))</f>
        <v>0.79698823529411777</v>
      </c>
      <c r="N1509" s="5">
        <f>IF(ISBLANK($B1509),_xlfn.XLOOKUP($A1509,'2. TEUs &amp; Activities - EF'!$A$9:$A$190,'2. TEUs &amp; Activities - EF'!$M$9:$M$190),_xlfn.XLOOKUP($B1509,'2. TEUs &amp; Activities - EF'!$B$9:$B$190,'2. TEUs &amp; Activities - EF'!$M$9:$M$190))*'3. Pollutant Emissions - EF'!$J1509*IF(OR(ISBLANK($E1509),$G1509="Yes"),1,$E1509)*IF($H1509="Yes",1,(1-$F1509))</f>
        <v>2.1835294117647061E-3</v>
      </c>
      <c r="O1509" s="130"/>
    </row>
    <row r="1510" spans="1:15" ht="15" x14ac:dyDescent="0.25">
      <c r="A1510" s="5"/>
      <c r="B1510" s="7"/>
      <c r="C1510" s="13"/>
      <c r="D1510" s="19" t="str">
        <f>IFERROR(IF(C1510="No CAS","",INDEX('DEQ Pollutant List'!$B$7:$B$611,MATCH('3. Pollutant Emissions - EF'!C1510,'DEQ Pollutant List'!$A$7:$A$611,0))),"")</f>
        <v/>
      </c>
      <c r="E1510" s="23"/>
      <c r="F1510" s="21"/>
      <c r="G1510" s="23"/>
      <c r="H1510" s="21"/>
      <c r="I1510" s="34"/>
      <c r="J1510" s="11"/>
      <c r="K1510" s="6"/>
      <c r="L1510" s="20"/>
      <c r="M1510" s="7">
        <f>IF(ISBLANK($B1510),_xlfn.XLOOKUP($A1510,'2. TEUs &amp; Activities - EF'!$A$9:$A$190,'2. TEUs &amp; Activities - EF'!$J$9:$J$190),_xlfn.XLOOKUP($B1510,'2. TEUs &amp; Activities - EF'!$B$9:$B$190,'2. TEUs &amp; Activities - EF'!$J$9:$J$190))*'3. Pollutant Emissions - EF'!$I1510*IF(OR(ISBLANK($E1510),$G1510="Yes"),1,$E1510)*IF($H1510="Yes",1,(1-$F1510))</f>
        <v>0</v>
      </c>
      <c r="N1510" s="5">
        <f>IF(ISBLANK($B1510),_xlfn.XLOOKUP($A1510,'2. TEUs &amp; Activities - EF'!$A$9:$A$190,'2. TEUs &amp; Activities - EF'!$M$9:$M$190),_xlfn.XLOOKUP($B1510,'2. TEUs &amp; Activities - EF'!$B$9:$B$190,'2. TEUs &amp; Activities - EF'!$M$9:$M$190))*'3. Pollutant Emissions - EF'!$J1510*IF(OR(ISBLANK($E1510),$G1510="Yes"),1,$E1510)*IF($H1510="Yes",1,(1-$F1510))</f>
        <v>0</v>
      </c>
      <c r="O1510" s="130"/>
    </row>
    <row r="1511" spans="1:15" ht="15" x14ac:dyDescent="0.25">
      <c r="A1511" s="5" t="s">
        <v>1626</v>
      </c>
      <c r="B1511" s="7"/>
      <c r="C1511" s="13" t="s">
        <v>48</v>
      </c>
      <c r="D1511" s="19" t="str">
        <f>IFERROR(IF(C1511="No CAS","",INDEX('DEQ Pollutant List'!$B$7:$B$611,MATCH('3. Pollutant Emissions - EF'!C1511,'DEQ Pollutant List'!$A$7:$A$611,0))),"")</f>
        <v>Benzo[a]pyrene</v>
      </c>
      <c r="E1511" s="23">
        <v>0</v>
      </c>
      <c r="F1511" s="21">
        <v>0</v>
      </c>
      <c r="G1511" s="23" t="s">
        <v>1415</v>
      </c>
      <c r="H1511" s="21" t="s">
        <v>1415</v>
      </c>
      <c r="I1511" s="34">
        <v>1.1999999999999999E-6</v>
      </c>
      <c r="J1511" s="11">
        <f t="shared" ref="J1511:J1537" si="55">I1511</f>
        <v>1.1999999999999999E-6</v>
      </c>
      <c r="K1511" s="6" t="s">
        <v>1416</v>
      </c>
      <c r="L1511" s="20" t="s">
        <v>1422</v>
      </c>
      <c r="M1511" s="7">
        <f>IF(ISBLANK($B1511),_xlfn.XLOOKUP($A1511,'2. TEUs &amp; Activities - EF'!$A$9:$A$190,'2. TEUs &amp; Activities - EF'!$J$9:$J$190),_xlfn.XLOOKUP($B1511,'2. TEUs &amp; Activities - EF'!$B$9:$B$190,'2. TEUs &amp; Activities - EF'!$J$9:$J$190))*'3. Pollutant Emissions - EF'!$I1511*IF(OR(ISBLANK($E1511),$G1511="Yes"),1,$E1511)*IF($H1511="Yes",1,(1-$F1511))</f>
        <v>3.0711529411764703E-5</v>
      </c>
      <c r="N1511" s="5">
        <f>IF(ISBLANK($B1511),_xlfn.XLOOKUP($A1511,'2. TEUs &amp; Activities - EF'!$A$9:$A$190,'2. TEUs &amp; Activities - EF'!$M$9:$M$190),_xlfn.XLOOKUP($B1511,'2. TEUs &amp; Activities - EF'!$B$9:$B$190,'2. TEUs &amp; Activities - EF'!$M$9:$M$190))*'3. Pollutant Emissions - EF'!$J1511*IF(OR(ISBLANK($E1511),$G1511="Yes"),1,$E1511)*IF($H1511="Yes",1,(1-$F1511))</f>
        <v>8.4141176470588241E-8</v>
      </c>
      <c r="O1511" s="130"/>
    </row>
    <row r="1512" spans="1:15" ht="15" x14ac:dyDescent="0.25">
      <c r="A1512" s="5" t="s">
        <v>1626</v>
      </c>
      <c r="B1512" s="7"/>
      <c r="C1512" s="13" t="s">
        <v>50</v>
      </c>
      <c r="D1512" s="19" t="str">
        <f>IFERROR(IF(C1512="No CAS","",INDEX('DEQ Pollutant List'!$B$7:$B$611,MATCH('3. Pollutant Emissions - EF'!C1512,'DEQ Pollutant List'!$A$7:$A$611,0))),"")</f>
        <v>Acetaldehyde</v>
      </c>
      <c r="E1512" s="23">
        <v>0</v>
      </c>
      <c r="F1512" s="21">
        <v>0</v>
      </c>
      <c r="G1512" s="23" t="s">
        <v>1415</v>
      </c>
      <c r="H1512" s="21" t="s">
        <v>1415</v>
      </c>
      <c r="I1512" s="34">
        <v>4.3E-3</v>
      </c>
      <c r="J1512" s="11">
        <f t="shared" si="55"/>
        <v>4.3E-3</v>
      </c>
      <c r="K1512" s="6" t="s">
        <v>1416</v>
      </c>
      <c r="L1512" s="20" t="s">
        <v>1422</v>
      </c>
      <c r="M1512" s="7">
        <f>IF(ISBLANK($B1512),_xlfn.XLOOKUP($A1512,'2. TEUs &amp; Activities - EF'!$A$9:$A$190,'2. TEUs &amp; Activities - EF'!$J$9:$J$190),_xlfn.XLOOKUP($B1512,'2. TEUs &amp; Activities - EF'!$B$9:$B$190,'2. TEUs &amp; Activities - EF'!$J$9:$J$190))*'3. Pollutant Emissions - EF'!$I1512*IF(OR(ISBLANK($E1512),$G1512="Yes"),1,$E1512)*IF($H1512="Yes",1,(1-$F1512))</f>
        <v>0.11004964705882352</v>
      </c>
      <c r="N1512" s="5">
        <f>IF(ISBLANK($B1512),_xlfn.XLOOKUP($A1512,'2. TEUs &amp; Activities - EF'!$A$9:$A$190,'2. TEUs &amp; Activities - EF'!$M$9:$M$190),_xlfn.XLOOKUP($B1512,'2. TEUs &amp; Activities - EF'!$B$9:$B$190,'2. TEUs &amp; Activities - EF'!$M$9:$M$190))*'3. Pollutant Emissions - EF'!$J1512*IF(OR(ISBLANK($E1512),$G1512="Yes"),1,$E1512)*IF($H1512="Yes",1,(1-$F1512))</f>
        <v>3.0150588235294118E-4</v>
      </c>
      <c r="O1512" s="130"/>
    </row>
    <row r="1513" spans="1:15" ht="15" x14ac:dyDescent="0.25">
      <c r="A1513" s="5" t="s">
        <v>1626</v>
      </c>
      <c r="B1513" s="7"/>
      <c r="C1513" s="13" t="s">
        <v>51</v>
      </c>
      <c r="D1513" s="19" t="str">
        <f>IFERROR(IF(C1513="No CAS","",INDEX('DEQ Pollutant List'!$B$7:$B$611,MATCH('3. Pollutant Emissions - EF'!C1513,'DEQ Pollutant List'!$A$7:$A$611,0))),"")</f>
        <v>Acrolein</v>
      </c>
      <c r="E1513" s="23">
        <v>0</v>
      </c>
      <c r="F1513" s="21">
        <v>0</v>
      </c>
      <c r="G1513" s="23" t="s">
        <v>1415</v>
      </c>
      <c r="H1513" s="21" t="s">
        <v>1415</v>
      </c>
      <c r="I1513" s="34">
        <v>2.7000000000000001E-3</v>
      </c>
      <c r="J1513" s="11">
        <f t="shared" si="55"/>
        <v>2.7000000000000001E-3</v>
      </c>
      <c r="K1513" s="6" t="s">
        <v>1416</v>
      </c>
      <c r="L1513" s="20" t="s">
        <v>1422</v>
      </c>
      <c r="M1513" s="7">
        <f>IF(ISBLANK($B1513),_xlfn.XLOOKUP($A1513,'2. TEUs &amp; Activities - EF'!$A$9:$A$190,'2. TEUs &amp; Activities - EF'!$J$9:$J$190),_xlfn.XLOOKUP($B1513,'2. TEUs &amp; Activities - EF'!$B$9:$B$190,'2. TEUs &amp; Activities - EF'!$J$9:$J$190))*'3. Pollutant Emissions - EF'!$I1513*IF(OR(ISBLANK($E1513),$G1513="Yes"),1,$E1513)*IF($H1513="Yes",1,(1-$F1513))</f>
        <v>6.9100941176470587E-2</v>
      </c>
      <c r="N1513" s="5">
        <f>IF(ISBLANK($B1513),_xlfn.XLOOKUP($A1513,'2. TEUs &amp; Activities - EF'!$A$9:$A$190,'2. TEUs &amp; Activities - EF'!$M$9:$M$190),_xlfn.XLOOKUP($B1513,'2. TEUs &amp; Activities - EF'!$B$9:$B$190,'2. TEUs &amp; Activities - EF'!$M$9:$M$190))*'3. Pollutant Emissions - EF'!$J1513*IF(OR(ISBLANK($E1513),$G1513="Yes"),1,$E1513)*IF($H1513="Yes",1,(1-$F1513))</f>
        <v>1.8931764705882356E-4</v>
      </c>
      <c r="O1513" s="130"/>
    </row>
    <row r="1514" spans="1:15" ht="15" x14ac:dyDescent="0.25">
      <c r="A1514" s="5" t="s">
        <v>1626</v>
      </c>
      <c r="B1514" s="7"/>
      <c r="C1514" s="13" t="s">
        <v>52</v>
      </c>
      <c r="D1514" s="19" t="str">
        <f>IFERROR(IF(C1514="No CAS","",INDEX('DEQ Pollutant List'!$B$7:$B$611,MATCH('3. Pollutant Emissions - EF'!C1514,'DEQ Pollutant List'!$A$7:$A$611,0))),"")</f>
        <v>Ammonia</v>
      </c>
      <c r="E1514" s="23">
        <v>0</v>
      </c>
      <c r="F1514" s="21">
        <v>0</v>
      </c>
      <c r="G1514" s="23" t="s">
        <v>1415</v>
      </c>
      <c r="H1514" s="21" t="s">
        <v>1415</v>
      </c>
      <c r="I1514" s="34">
        <v>3.2</v>
      </c>
      <c r="J1514" s="11">
        <f t="shared" si="55"/>
        <v>3.2</v>
      </c>
      <c r="K1514" s="6" t="s">
        <v>1416</v>
      </c>
      <c r="L1514" s="20" t="s">
        <v>1586</v>
      </c>
      <c r="M1514" s="7">
        <f>IF(ISBLANK($B1514),_xlfn.XLOOKUP($A1514,'2. TEUs &amp; Activities - EF'!$A$9:$A$190,'2. TEUs &amp; Activities - EF'!$J$9:$J$190),_xlfn.XLOOKUP($B1514,'2. TEUs &amp; Activities - EF'!$B$9:$B$190,'2. TEUs &amp; Activities - EF'!$J$9:$J$190))*'3. Pollutant Emissions - EF'!$I1514*IF(OR(ISBLANK($E1514),$G1514="Yes"),1,$E1514)*IF($H1514="Yes",1,(1-$F1514))</f>
        <v>81.897411764705879</v>
      </c>
      <c r="N1514" s="5">
        <f>IF(ISBLANK($B1514),_xlfn.XLOOKUP($A1514,'2. TEUs &amp; Activities - EF'!$A$9:$A$190,'2. TEUs &amp; Activities - EF'!$M$9:$M$190),_xlfn.XLOOKUP($B1514,'2. TEUs &amp; Activities - EF'!$B$9:$B$190,'2. TEUs &amp; Activities - EF'!$M$9:$M$190))*'3. Pollutant Emissions - EF'!$J1514*IF(OR(ISBLANK($E1514),$G1514="Yes"),1,$E1514)*IF($H1514="Yes",1,(1-$F1514))</f>
        <v>0.22437647058823532</v>
      </c>
      <c r="O1514" s="130"/>
    </row>
    <row r="1515" spans="1:15" ht="15" x14ac:dyDescent="0.25">
      <c r="A1515" s="5" t="s">
        <v>1626</v>
      </c>
      <c r="B1515" s="7"/>
      <c r="C1515" s="13" t="s">
        <v>53</v>
      </c>
      <c r="D1515" s="19" t="str">
        <f>IFERROR(IF(C1515="No CAS","",INDEX('DEQ Pollutant List'!$B$7:$B$611,MATCH('3. Pollutant Emissions - EF'!C1515,'DEQ Pollutant List'!$A$7:$A$611,0))),"")</f>
        <v>Arsenic and compounds</v>
      </c>
      <c r="E1515" s="23">
        <v>0</v>
      </c>
      <c r="F1515" s="21">
        <v>0</v>
      </c>
      <c r="G1515" s="23" t="s">
        <v>1415</v>
      </c>
      <c r="H1515" s="21" t="s">
        <v>1415</v>
      </c>
      <c r="I1515" s="34">
        <v>2.0000000000000001E-4</v>
      </c>
      <c r="J1515" s="11">
        <f t="shared" si="55"/>
        <v>2.0000000000000001E-4</v>
      </c>
      <c r="K1515" s="6" t="s">
        <v>1416</v>
      </c>
      <c r="L1515" s="20" t="s">
        <v>1422</v>
      </c>
      <c r="M1515" s="7">
        <f>IF(ISBLANK($B1515),_xlfn.XLOOKUP($A1515,'2. TEUs &amp; Activities - EF'!$A$9:$A$190,'2. TEUs &amp; Activities - EF'!$J$9:$J$190),_xlfn.XLOOKUP($B1515,'2. TEUs &amp; Activities - EF'!$B$9:$B$190,'2. TEUs &amp; Activities - EF'!$J$9:$J$190))*'3. Pollutant Emissions - EF'!$I1515*IF(OR(ISBLANK($E1515),$G1515="Yes"),1,$E1515)*IF($H1515="Yes",1,(1-$F1515))</f>
        <v>5.118588235294117E-3</v>
      </c>
      <c r="N1515" s="5">
        <f>IF(ISBLANK($B1515),_xlfn.XLOOKUP($A1515,'2. TEUs &amp; Activities - EF'!$A$9:$A$190,'2. TEUs &amp; Activities - EF'!$M$9:$M$190),_xlfn.XLOOKUP($B1515,'2. TEUs &amp; Activities - EF'!$B$9:$B$190,'2. TEUs &amp; Activities - EF'!$M$9:$M$190))*'3. Pollutant Emissions - EF'!$J1515*IF(OR(ISBLANK($E1515),$G1515="Yes"),1,$E1515)*IF($H1515="Yes",1,(1-$F1515))</f>
        <v>1.4023529411764708E-5</v>
      </c>
      <c r="O1515" s="130"/>
    </row>
    <row r="1516" spans="1:15" ht="15" x14ac:dyDescent="0.25">
      <c r="A1516" s="5" t="s">
        <v>1626</v>
      </c>
      <c r="B1516" s="7"/>
      <c r="C1516" s="13" t="s">
        <v>54</v>
      </c>
      <c r="D1516" s="19" t="str">
        <f>IFERROR(IF(C1516="No CAS","",INDEX('DEQ Pollutant List'!$B$7:$B$611,MATCH('3. Pollutant Emissions - EF'!C1516,'DEQ Pollutant List'!$A$7:$A$611,0))),"")</f>
        <v>Barium and compounds</v>
      </c>
      <c r="E1516" s="23">
        <v>0</v>
      </c>
      <c r="F1516" s="21">
        <v>0</v>
      </c>
      <c r="G1516" s="23" t="s">
        <v>1415</v>
      </c>
      <c r="H1516" s="21" t="s">
        <v>1415</v>
      </c>
      <c r="I1516" s="34">
        <v>4.4000000000000003E-3</v>
      </c>
      <c r="J1516" s="11">
        <f t="shared" si="55"/>
        <v>4.4000000000000003E-3</v>
      </c>
      <c r="K1516" s="6" t="s">
        <v>1416</v>
      </c>
      <c r="L1516" s="20" t="s">
        <v>1422</v>
      </c>
      <c r="M1516" s="7">
        <f>IF(ISBLANK($B1516),_xlfn.XLOOKUP($A1516,'2. TEUs &amp; Activities - EF'!$A$9:$A$190,'2. TEUs &amp; Activities - EF'!$J$9:$J$190),_xlfn.XLOOKUP($B1516,'2. TEUs &amp; Activities - EF'!$B$9:$B$190,'2. TEUs &amp; Activities - EF'!$J$9:$J$190))*'3. Pollutant Emissions - EF'!$I1516*IF(OR(ISBLANK($E1516),$G1516="Yes"),1,$E1516)*IF($H1516="Yes",1,(1-$F1516))</f>
        <v>0.11260894117647058</v>
      </c>
      <c r="N1516" s="5">
        <f>IF(ISBLANK($B1516),_xlfn.XLOOKUP($A1516,'2. TEUs &amp; Activities - EF'!$A$9:$A$190,'2. TEUs &amp; Activities - EF'!$M$9:$M$190),_xlfn.XLOOKUP($B1516,'2. TEUs &amp; Activities - EF'!$B$9:$B$190,'2. TEUs &amp; Activities - EF'!$M$9:$M$190))*'3. Pollutant Emissions - EF'!$J1516*IF(OR(ISBLANK($E1516),$G1516="Yes"),1,$E1516)*IF($H1516="Yes",1,(1-$F1516))</f>
        <v>3.0851764705882358E-4</v>
      </c>
      <c r="O1516" s="130"/>
    </row>
    <row r="1517" spans="1:15" ht="15" x14ac:dyDescent="0.25">
      <c r="A1517" s="5" t="s">
        <v>1626</v>
      </c>
      <c r="B1517" s="7"/>
      <c r="C1517" s="13" t="s">
        <v>46</v>
      </c>
      <c r="D1517" s="19" t="str">
        <f>IFERROR(IF(C1517="No CAS","",INDEX('DEQ Pollutant List'!$B$7:$B$611,MATCH('3. Pollutant Emissions - EF'!C1517,'DEQ Pollutant List'!$A$7:$A$611,0))),"")</f>
        <v>Benzene</v>
      </c>
      <c r="E1517" s="23">
        <v>0</v>
      </c>
      <c r="F1517" s="21">
        <v>0</v>
      </c>
      <c r="G1517" s="23" t="s">
        <v>1415</v>
      </c>
      <c r="H1517" s="21" t="s">
        <v>1415</v>
      </c>
      <c r="I1517" s="34">
        <v>8.0000000000000002E-3</v>
      </c>
      <c r="J1517" s="11">
        <f t="shared" si="55"/>
        <v>8.0000000000000002E-3</v>
      </c>
      <c r="K1517" s="6" t="s">
        <v>1416</v>
      </c>
      <c r="L1517" s="20" t="s">
        <v>1422</v>
      </c>
      <c r="M1517" s="7">
        <f>IF(ISBLANK($B1517),_xlfn.XLOOKUP($A1517,'2. TEUs &amp; Activities - EF'!$A$9:$A$190,'2. TEUs &amp; Activities - EF'!$J$9:$J$190),_xlfn.XLOOKUP($B1517,'2. TEUs &amp; Activities - EF'!$B$9:$B$190,'2. TEUs &amp; Activities - EF'!$J$9:$J$190))*'3. Pollutant Emissions - EF'!$I1517*IF(OR(ISBLANK($E1517),$G1517="Yes"),1,$E1517)*IF($H1517="Yes",1,(1-$F1517))</f>
        <v>0.20474352941176469</v>
      </c>
      <c r="N1517" s="5">
        <f>IF(ISBLANK($B1517),_xlfn.XLOOKUP($A1517,'2. TEUs &amp; Activities - EF'!$A$9:$A$190,'2. TEUs &amp; Activities - EF'!$M$9:$M$190),_xlfn.XLOOKUP($B1517,'2. TEUs &amp; Activities - EF'!$B$9:$B$190,'2. TEUs &amp; Activities - EF'!$M$9:$M$190))*'3. Pollutant Emissions - EF'!$J1517*IF(OR(ISBLANK($E1517),$G1517="Yes"),1,$E1517)*IF($H1517="Yes",1,(1-$F1517))</f>
        <v>5.6094117647058827E-4</v>
      </c>
      <c r="O1517" s="130"/>
    </row>
    <row r="1518" spans="1:15" ht="15" x14ac:dyDescent="0.25">
      <c r="A1518" s="5" t="s">
        <v>1626</v>
      </c>
      <c r="B1518" s="7"/>
      <c r="C1518" s="13" t="s">
        <v>55</v>
      </c>
      <c r="D1518" s="19" t="str">
        <f>IFERROR(IF(C1518="No CAS","",INDEX('DEQ Pollutant List'!$B$7:$B$611,MATCH('3. Pollutant Emissions - EF'!C1518,'DEQ Pollutant List'!$A$7:$A$611,0))),"")</f>
        <v>Beryllium and compounds</v>
      </c>
      <c r="E1518" s="23">
        <v>0</v>
      </c>
      <c r="F1518" s="21">
        <v>0</v>
      </c>
      <c r="G1518" s="23" t="s">
        <v>1415</v>
      </c>
      <c r="H1518" s="21" t="s">
        <v>1415</v>
      </c>
      <c r="I1518" s="34">
        <v>1.2E-5</v>
      </c>
      <c r="J1518" s="11">
        <f t="shared" si="55"/>
        <v>1.2E-5</v>
      </c>
      <c r="K1518" s="6" t="s">
        <v>1416</v>
      </c>
      <c r="L1518" s="20" t="s">
        <v>1422</v>
      </c>
      <c r="M1518" s="7">
        <f>IF(ISBLANK($B1518),_xlfn.XLOOKUP($A1518,'2. TEUs &amp; Activities - EF'!$A$9:$A$190,'2. TEUs &amp; Activities - EF'!$J$9:$J$190),_xlfn.XLOOKUP($B1518,'2. TEUs &amp; Activities - EF'!$B$9:$B$190,'2. TEUs &amp; Activities - EF'!$J$9:$J$190))*'3. Pollutant Emissions - EF'!$I1518*IF(OR(ISBLANK($E1518),$G1518="Yes"),1,$E1518)*IF($H1518="Yes",1,(1-$F1518))</f>
        <v>3.0711529411764702E-4</v>
      </c>
      <c r="N1518" s="5">
        <f>IF(ISBLANK($B1518),_xlfn.XLOOKUP($A1518,'2. TEUs &amp; Activities - EF'!$A$9:$A$190,'2. TEUs &amp; Activities - EF'!$M$9:$M$190),_xlfn.XLOOKUP($B1518,'2. TEUs &amp; Activities - EF'!$B$9:$B$190,'2. TEUs &amp; Activities - EF'!$M$9:$M$190))*'3. Pollutant Emissions - EF'!$J1518*IF(OR(ISBLANK($E1518),$G1518="Yes"),1,$E1518)*IF($H1518="Yes",1,(1-$F1518))</f>
        <v>8.4141176470588243E-7</v>
      </c>
      <c r="O1518" s="130"/>
    </row>
    <row r="1519" spans="1:15" ht="15" x14ac:dyDescent="0.25">
      <c r="A1519" s="5" t="s">
        <v>1626</v>
      </c>
      <c r="B1519" s="7"/>
      <c r="C1519" s="13" t="s">
        <v>56</v>
      </c>
      <c r="D1519" s="19" t="str">
        <f>IFERROR(IF(C1519="No CAS","",INDEX('DEQ Pollutant List'!$B$7:$B$611,MATCH('3. Pollutant Emissions - EF'!C1519,'DEQ Pollutant List'!$A$7:$A$611,0))),"")</f>
        <v>Cadmium and compounds</v>
      </c>
      <c r="E1519" s="23">
        <v>0</v>
      </c>
      <c r="F1519" s="21">
        <v>0</v>
      </c>
      <c r="G1519" s="23" t="s">
        <v>1415</v>
      </c>
      <c r="H1519" s="21" t="s">
        <v>1415</v>
      </c>
      <c r="I1519" s="34">
        <v>1.1000000000000001E-3</v>
      </c>
      <c r="J1519" s="11">
        <f t="shared" si="55"/>
        <v>1.1000000000000001E-3</v>
      </c>
      <c r="K1519" s="6" t="s">
        <v>1416</v>
      </c>
      <c r="L1519" s="20" t="s">
        <v>1422</v>
      </c>
      <c r="M1519" s="7">
        <f>IF(ISBLANK($B1519),_xlfn.XLOOKUP($A1519,'2. TEUs &amp; Activities - EF'!$A$9:$A$190,'2. TEUs &amp; Activities - EF'!$J$9:$J$190),_xlfn.XLOOKUP($B1519,'2. TEUs &amp; Activities - EF'!$B$9:$B$190,'2. TEUs &amp; Activities - EF'!$J$9:$J$190))*'3. Pollutant Emissions - EF'!$I1519*IF(OR(ISBLANK($E1519),$G1519="Yes"),1,$E1519)*IF($H1519="Yes",1,(1-$F1519))</f>
        <v>2.8152235294117645E-2</v>
      </c>
      <c r="N1519" s="5">
        <f>IF(ISBLANK($B1519),_xlfn.XLOOKUP($A1519,'2. TEUs &amp; Activities - EF'!$A$9:$A$190,'2. TEUs &amp; Activities - EF'!$M$9:$M$190),_xlfn.XLOOKUP($B1519,'2. TEUs &amp; Activities - EF'!$B$9:$B$190,'2. TEUs &amp; Activities - EF'!$M$9:$M$190))*'3. Pollutant Emissions - EF'!$J1519*IF(OR(ISBLANK($E1519),$G1519="Yes"),1,$E1519)*IF($H1519="Yes",1,(1-$F1519))</f>
        <v>7.7129411764705896E-5</v>
      </c>
      <c r="O1519" s="130"/>
    </row>
    <row r="1520" spans="1:15" ht="15" x14ac:dyDescent="0.25">
      <c r="A1520" s="5" t="s">
        <v>1626</v>
      </c>
      <c r="B1520" s="7"/>
      <c r="C1520" s="13" t="s">
        <v>57</v>
      </c>
      <c r="D1520" s="19" t="str">
        <f>IFERROR(IF(C1520="No CAS","",INDEX('DEQ Pollutant List'!$B$7:$B$611,MATCH('3. Pollutant Emissions - EF'!C1520,'DEQ Pollutant List'!$A$7:$A$611,0))),"")</f>
        <v>Chromium VI, chromate and dichromate particulate</v>
      </c>
      <c r="E1520" s="23">
        <v>0</v>
      </c>
      <c r="F1520" s="21">
        <v>0</v>
      </c>
      <c r="G1520" s="23" t="s">
        <v>1415</v>
      </c>
      <c r="H1520" s="21" t="s">
        <v>1415</v>
      </c>
      <c r="I1520" s="34">
        <v>1.4E-3</v>
      </c>
      <c r="J1520" s="11">
        <f t="shared" si="55"/>
        <v>1.4E-3</v>
      </c>
      <c r="K1520" s="6" t="s">
        <v>1416</v>
      </c>
      <c r="L1520" s="20" t="s">
        <v>1422</v>
      </c>
      <c r="M1520" s="7">
        <f>IF(ISBLANK($B1520),_xlfn.XLOOKUP($A1520,'2. TEUs &amp; Activities - EF'!$A$9:$A$190,'2. TEUs &amp; Activities - EF'!$J$9:$J$190),_xlfn.XLOOKUP($B1520,'2. TEUs &amp; Activities - EF'!$B$9:$B$190,'2. TEUs &amp; Activities - EF'!$J$9:$J$190))*'3. Pollutant Emissions - EF'!$I1520*IF(OR(ISBLANK($E1520),$G1520="Yes"),1,$E1520)*IF($H1520="Yes",1,(1-$F1520))</f>
        <v>3.5830117647058818E-2</v>
      </c>
      <c r="N1520" s="5">
        <f>IF(ISBLANK($B1520),_xlfn.XLOOKUP($A1520,'2. TEUs &amp; Activities - EF'!$A$9:$A$190,'2. TEUs &amp; Activities - EF'!$M$9:$M$190),_xlfn.XLOOKUP($B1520,'2. TEUs &amp; Activities - EF'!$B$9:$B$190,'2. TEUs &amp; Activities - EF'!$M$9:$M$190))*'3. Pollutant Emissions - EF'!$J1520*IF(OR(ISBLANK($E1520),$G1520="Yes"),1,$E1520)*IF($H1520="Yes",1,(1-$F1520))</f>
        <v>9.8164705882352953E-5</v>
      </c>
      <c r="O1520" s="130"/>
    </row>
    <row r="1521" spans="1:15" ht="15" x14ac:dyDescent="0.25">
      <c r="A1521" s="5" t="s">
        <v>1626</v>
      </c>
      <c r="B1521" s="7"/>
      <c r="C1521" s="13" t="s">
        <v>58</v>
      </c>
      <c r="D1521" s="19" t="str">
        <f>IFERROR(IF(C1521="No CAS","",INDEX('DEQ Pollutant List'!$B$7:$B$611,MATCH('3. Pollutant Emissions - EF'!C1521,'DEQ Pollutant List'!$A$7:$A$611,0))),"")</f>
        <v>Cobalt and compounds</v>
      </c>
      <c r="E1521" s="23">
        <v>0</v>
      </c>
      <c r="F1521" s="21">
        <v>0</v>
      </c>
      <c r="G1521" s="23" t="s">
        <v>1415</v>
      </c>
      <c r="H1521" s="21" t="s">
        <v>1415</v>
      </c>
      <c r="I1521" s="34">
        <v>8.3999999999999995E-5</v>
      </c>
      <c r="J1521" s="11">
        <f t="shared" si="55"/>
        <v>8.3999999999999995E-5</v>
      </c>
      <c r="K1521" s="6" t="s">
        <v>1416</v>
      </c>
      <c r="L1521" s="20" t="s">
        <v>1422</v>
      </c>
      <c r="M1521" s="7">
        <f>IF(ISBLANK($B1521),_xlfn.XLOOKUP($A1521,'2. TEUs &amp; Activities - EF'!$A$9:$A$190,'2. TEUs &amp; Activities - EF'!$J$9:$J$190),_xlfn.XLOOKUP($B1521,'2. TEUs &amp; Activities - EF'!$B$9:$B$190,'2. TEUs &amp; Activities - EF'!$J$9:$J$190))*'3. Pollutant Emissions - EF'!$I1521*IF(OR(ISBLANK($E1521),$G1521="Yes"),1,$E1521)*IF($H1521="Yes",1,(1-$F1521))</f>
        <v>2.1498070588235291E-3</v>
      </c>
      <c r="N1521" s="5">
        <f>IF(ISBLANK($B1521),_xlfn.XLOOKUP($A1521,'2. TEUs &amp; Activities - EF'!$A$9:$A$190,'2. TEUs &amp; Activities - EF'!$M$9:$M$190),_xlfn.XLOOKUP($B1521,'2. TEUs &amp; Activities - EF'!$B$9:$B$190,'2. TEUs &amp; Activities - EF'!$M$9:$M$190))*'3. Pollutant Emissions - EF'!$J1521*IF(OR(ISBLANK($E1521),$G1521="Yes"),1,$E1521)*IF($H1521="Yes",1,(1-$F1521))</f>
        <v>5.8898823529411769E-6</v>
      </c>
      <c r="O1521" s="130"/>
    </row>
    <row r="1522" spans="1:15" ht="15" x14ac:dyDescent="0.25">
      <c r="A1522" s="5" t="s">
        <v>1626</v>
      </c>
      <c r="B1522" s="7"/>
      <c r="C1522" s="13" t="s">
        <v>59</v>
      </c>
      <c r="D1522" s="19" t="str">
        <f>IFERROR(IF(C1522="No CAS","",INDEX('DEQ Pollutant List'!$B$7:$B$611,MATCH('3. Pollutant Emissions - EF'!C1522,'DEQ Pollutant List'!$A$7:$A$611,0))),"")</f>
        <v>Copper and compounds</v>
      </c>
      <c r="E1522" s="23">
        <v>0</v>
      </c>
      <c r="F1522" s="21">
        <v>0</v>
      </c>
      <c r="G1522" s="23" t="s">
        <v>1415</v>
      </c>
      <c r="H1522" s="21" t="s">
        <v>1415</v>
      </c>
      <c r="I1522" s="34">
        <v>8.4999999999999995E-4</v>
      </c>
      <c r="J1522" s="11">
        <f t="shared" si="55"/>
        <v>8.4999999999999995E-4</v>
      </c>
      <c r="K1522" s="6" t="s">
        <v>1416</v>
      </c>
      <c r="L1522" s="20" t="s">
        <v>1422</v>
      </c>
      <c r="M1522" s="7">
        <f>IF(ISBLANK($B1522),_xlfn.XLOOKUP($A1522,'2. TEUs &amp; Activities - EF'!$A$9:$A$190,'2. TEUs &amp; Activities - EF'!$J$9:$J$190),_xlfn.XLOOKUP($B1522,'2. TEUs &amp; Activities - EF'!$B$9:$B$190,'2. TEUs &amp; Activities - EF'!$J$9:$J$190))*'3. Pollutant Emissions - EF'!$I1522*IF(OR(ISBLANK($E1522),$G1522="Yes"),1,$E1522)*IF($H1522="Yes",1,(1-$F1522))</f>
        <v>2.1753999999999996E-2</v>
      </c>
      <c r="N1522" s="5">
        <f>IF(ISBLANK($B1522),_xlfn.XLOOKUP($A1522,'2. TEUs &amp; Activities - EF'!$A$9:$A$190,'2. TEUs &amp; Activities - EF'!$M$9:$M$190),_xlfn.XLOOKUP($B1522,'2. TEUs &amp; Activities - EF'!$B$9:$B$190,'2. TEUs &amp; Activities - EF'!$M$9:$M$190))*'3. Pollutant Emissions - EF'!$J1522*IF(OR(ISBLANK($E1522),$G1522="Yes"),1,$E1522)*IF($H1522="Yes",1,(1-$F1522))</f>
        <v>5.9599999999999999E-5</v>
      </c>
      <c r="O1522" s="130"/>
    </row>
    <row r="1523" spans="1:15" ht="15" x14ac:dyDescent="0.25">
      <c r="A1523" s="5" t="s">
        <v>1626</v>
      </c>
      <c r="B1523" s="7"/>
      <c r="C1523" s="13" t="s">
        <v>60</v>
      </c>
      <c r="D1523" s="19" t="str">
        <f>IFERROR(IF(C1523="No CAS","",INDEX('DEQ Pollutant List'!$B$7:$B$611,MATCH('3. Pollutant Emissions - EF'!C1523,'DEQ Pollutant List'!$A$7:$A$611,0))),"")</f>
        <v>Ethyl benzene</v>
      </c>
      <c r="E1523" s="23">
        <v>0</v>
      </c>
      <c r="F1523" s="21">
        <v>0</v>
      </c>
      <c r="G1523" s="23" t="s">
        <v>1415</v>
      </c>
      <c r="H1523" s="21" t="s">
        <v>1415</v>
      </c>
      <c r="I1523" s="34">
        <v>9.4999999999999998E-3</v>
      </c>
      <c r="J1523" s="11">
        <f t="shared" si="55"/>
        <v>9.4999999999999998E-3</v>
      </c>
      <c r="K1523" s="6" t="s">
        <v>1416</v>
      </c>
      <c r="L1523" s="20" t="s">
        <v>1422</v>
      </c>
      <c r="M1523" s="7">
        <f>IF(ISBLANK($B1523),_xlfn.XLOOKUP($A1523,'2. TEUs &amp; Activities - EF'!$A$9:$A$190,'2. TEUs &amp; Activities - EF'!$J$9:$J$190),_xlfn.XLOOKUP($B1523,'2. TEUs &amp; Activities - EF'!$B$9:$B$190,'2. TEUs &amp; Activities - EF'!$J$9:$J$190))*'3. Pollutant Emissions - EF'!$I1523*IF(OR(ISBLANK($E1523),$G1523="Yes"),1,$E1523)*IF($H1523="Yes",1,(1-$F1523))</f>
        <v>0.24313294117647055</v>
      </c>
      <c r="N1523" s="5">
        <f>IF(ISBLANK($B1523),_xlfn.XLOOKUP($A1523,'2. TEUs &amp; Activities - EF'!$A$9:$A$190,'2. TEUs &amp; Activities - EF'!$M$9:$M$190),_xlfn.XLOOKUP($B1523,'2. TEUs &amp; Activities - EF'!$B$9:$B$190,'2. TEUs &amp; Activities - EF'!$M$9:$M$190))*'3. Pollutant Emissions - EF'!$J1523*IF(OR(ISBLANK($E1523),$G1523="Yes"),1,$E1523)*IF($H1523="Yes",1,(1-$F1523))</f>
        <v>6.6611764705882355E-4</v>
      </c>
      <c r="O1523" s="130"/>
    </row>
    <row r="1524" spans="1:15" ht="15" x14ac:dyDescent="0.25">
      <c r="A1524" s="5" t="s">
        <v>1626</v>
      </c>
      <c r="B1524" s="7"/>
      <c r="C1524" s="13" t="s">
        <v>47</v>
      </c>
      <c r="D1524" s="19" t="str">
        <f>IFERROR(IF(C1524="No CAS","",INDEX('DEQ Pollutant List'!$B$7:$B$611,MATCH('3. Pollutant Emissions - EF'!C1524,'DEQ Pollutant List'!$A$7:$A$611,0))),"")</f>
        <v>Formaldehyde</v>
      </c>
      <c r="E1524" s="23">
        <v>0</v>
      </c>
      <c r="F1524" s="21">
        <v>0</v>
      </c>
      <c r="G1524" s="23" t="s">
        <v>1415</v>
      </c>
      <c r="H1524" s="21" t="s">
        <v>1415</v>
      </c>
      <c r="I1524" s="34">
        <v>1.7000000000000001E-2</v>
      </c>
      <c r="J1524" s="11">
        <f t="shared" si="55"/>
        <v>1.7000000000000001E-2</v>
      </c>
      <c r="K1524" s="6" t="s">
        <v>1416</v>
      </c>
      <c r="L1524" s="20" t="s">
        <v>1422</v>
      </c>
      <c r="M1524" s="7">
        <f>IF(ISBLANK($B1524),_xlfn.XLOOKUP($A1524,'2. TEUs &amp; Activities - EF'!$A$9:$A$190,'2. TEUs &amp; Activities - EF'!$J$9:$J$190),_xlfn.XLOOKUP($B1524,'2. TEUs &amp; Activities - EF'!$B$9:$B$190,'2. TEUs &amp; Activities - EF'!$J$9:$J$190))*'3. Pollutant Emissions - EF'!$I1524*IF(OR(ISBLANK($E1524),$G1524="Yes"),1,$E1524)*IF($H1524="Yes",1,(1-$F1524))</f>
        <v>0.43507999999999997</v>
      </c>
      <c r="N1524" s="5">
        <f>IF(ISBLANK($B1524),_xlfn.XLOOKUP($A1524,'2. TEUs &amp; Activities - EF'!$A$9:$A$190,'2. TEUs &amp; Activities - EF'!$M$9:$M$190),_xlfn.XLOOKUP($B1524,'2. TEUs &amp; Activities - EF'!$B$9:$B$190,'2. TEUs &amp; Activities - EF'!$M$9:$M$190))*'3. Pollutant Emissions - EF'!$J1524*IF(OR(ISBLANK($E1524),$G1524="Yes"),1,$E1524)*IF($H1524="Yes",1,(1-$F1524))</f>
        <v>1.1920000000000001E-3</v>
      </c>
      <c r="O1524" s="130"/>
    </row>
    <row r="1525" spans="1:15" ht="15" x14ac:dyDescent="0.25">
      <c r="A1525" s="5" t="s">
        <v>1626</v>
      </c>
      <c r="B1525" s="7"/>
      <c r="C1525" s="13" t="s">
        <v>61</v>
      </c>
      <c r="D1525" s="19" t="str">
        <f>IFERROR(IF(C1525="No CAS","",INDEX('DEQ Pollutant List'!$B$7:$B$611,MATCH('3. Pollutant Emissions - EF'!C1525,'DEQ Pollutant List'!$A$7:$A$611,0))),"")</f>
        <v>Hexane</v>
      </c>
      <c r="E1525" s="23">
        <v>0</v>
      </c>
      <c r="F1525" s="21">
        <v>0</v>
      </c>
      <c r="G1525" s="23" t="s">
        <v>1415</v>
      </c>
      <c r="H1525" s="21" t="s">
        <v>1415</v>
      </c>
      <c r="I1525" s="34">
        <v>6.3E-3</v>
      </c>
      <c r="J1525" s="11">
        <f t="shared" si="55"/>
        <v>6.3E-3</v>
      </c>
      <c r="K1525" s="6" t="s">
        <v>1416</v>
      </c>
      <c r="L1525" s="20" t="s">
        <v>1422</v>
      </c>
      <c r="M1525" s="7">
        <f>IF(ISBLANK($B1525),_xlfn.XLOOKUP($A1525,'2. TEUs &amp; Activities - EF'!$A$9:$A$190,'2. TEUs &amp; Activities - EF'!$J$9:$J$190),_xlfn.XLOOKUP($B1525,'2. TEUs &amp; Activities - EF'!$B$9:$B$190,'2. TEUs &amp; Activities - EF'!$J$9:$J$190))*'3. Pollutant Emissions - EF'!$I1525*IF(OR(ISBLANK($E1525),$G1525="Yes"),1,$E1525)*IF($H1525="Yes",1,(1-$F1525))</f>
        <v>0.16123552941176469</v>
      </c>
      <c r="N1525" s="5">
        <f>IF(ISBLANK($B1525),_xlfn.XLOOKUP($A1525,'2. TEUs &amp; Activities - EF'!$A$9:$A$190,'2. TEUs &amp; Activities - EF'!$M$9:$M$190),_xlfn.XLOOKUP($B1525,'2. TEUs &amp; Activities - EF'!$B$9:$B$190,'2. TEUs &amp; Activities - EF'!$M$9:$M$190))*'3. Pollutant Emissions - EF'!$J1525*IF(OR(ISBLANK($E1525),$G1525="Yes"),1,$E1525)*IF($H1525="Yes",1,(1-$F1525))</f>
        <v>4.4174117647058825E-4</v>
      </c>
      <c r="O1525" s="130"/>
    </row>
    <row r="1526" spans="1:15" ht="15" x14ac:dyDescent="0.25">
      <c r="A1526" s="5" t="s">
        <v>1626</v>
      </c>
      <c r="B1526" s="7"/>
      <c r="C1526" s="13" t="s">
        <v>62</v>
      </c>
      <c r="D1526" s="19" t="str">
        <f>IFERROR(IF(C1526="No CAS","",INDEX('DEQ Pollutant List'!$B$7:$B$611,MATCH('3. Pollutant Emissions - EF'!C1526,'DEQ Pollutant List'!$A$7:$A$611,0))),"")</f>
        <v>Lead and compounds</v>
      </c>
      <c r="E1526" s="23">
        <v>0</v>
      </c>
      <c r="F1526" s="21">
        <v>0</v>
      </c>
      <c r="G1526" s="23" t="s">
        <v>1415</v>
      </c>
      <c r="H1526" s="21" t="s">
        <v>1415</v>
      </c>
      <c r="I1526" s="34">
        <v>5.0000000000000001E-4</v>
      </c>
      <c r="J1526" s="11">
        <f t="shared" si="55"/>
        <v>5.0000000000000001E-4</v>
      </c>
      <c r="K1526" s="6" t="s">
        <v>1416</v>
      </c>
      <c r="L1526" s="20" t="s">
        <v>1422</v>
      </c>
      <c r="M1526" s="7">
        <f>IF(ISBLANK($B1526),_xlfn.XLOOKUP($A1526,'2. TEUs &amp; Activities - EF'!$A$9:$A$190,'2. TEUs &amp; Activities - EF'!$J$9:$J$190),_xlfn.XLOOKUP($B1526,'2. TEUs &amp; Activities - EF'!$B$9:$B$190,'2. TEUs &amp; Activities - EF'!$J$9:$J$190))*'3. Pollutant Emissions - EF'!$I1526*IF(OR(ISBLANK($E1526),$G1526="Yes"),1,$E1526)*IF($H1526="Yes",1,(1-$F1526))</f>
        <v>1.2796470588235293E-2</v>
      </c>
      <c r="N1526" s="5">
        <f>IF(ISBLANK($B1526),_xlfn.XLOOKUP($A1526,'2. TEUs &amp; Activities - EF'!$A$9:$A$190,'2. TEUs &amp; Activities - EF'!$M$9:$M$190),_xlfn.XLOOKUP($B1526,'2. TEUs &amp; Activities - EF'!$B$9:$B$190,'2. TEUs &amp; Activities - EF'!$M$9:$M$190))*'3. Pollutant Emissions - EF'!$J1526*IF(OR(ISBLANK($E1526),$G1526="Yes"),1,$E1526)*IF($H1526="Yes",1,(1-$F1526))</f>
        <v>3.5058823529411767E-5</v>
      </c>
      <c r="O1526" s="130"/>
    </row>
    <row r="1527" spans="1:15" ht="15" x14ac:dyDescent="0.25">
      <c r="A1527" s="5" t="s">
        <v>1626</v>
      </c>
      <c r="B1527" s="7"/>
      <c r="C1527" s="13" t="s">
        <v>63</v>
      </c>
      <c r="D1527" s="19" t="str">
        <f>IFERROR(IF(C1527="No CAS","",INDEX('DEQ Pollutant List'!$B$7:$B$611,MATCH('3. Pollutant Emissions - EF'!C1527,'DEQ Pollutant List'!$A$7:$A$611,0))),"")</f>
        <v>Manganese and compounds</v>
      </c>
      <c r="E1527" s="23">
        <v>0</v>
      </c>
      <c r="F1527" s="21">
        <v>0</v>
      </c>
      <c r="G1527" s="23" t="s">
        <v>1415</v>
      </c>
      <c r="H1527" s="21" t="s">
        <v>1415</v>
      </c>
      <c r="I1527" s="34">
        <v>3.8000000000000002E-4</v>
      </c>
      <c r="J1527" s="11">
        <f t="shared" si="55"/>
        <v>3.8000000000000002E-4</v>
      </c>
      <c r="K1527" s="6" t="s">
        <v>1416</v>
      </c>
      <c r="L1527" s="20" t="s">
        <v>1422</v>
      </c>
      <c r="M1527" s="7">
        <f>IF(ISBLANK($B1527),_xlfn.XLOOKUP($A1527,'2. TEUs &amp; Activities - EF'!$A$9:$A$190,'2. TEUs &amp; Activities - EF'!$J$9:$J$190),_xlfn.XLOOKUP($B1527,'2. TEUs &amp; Activities - EF'!$B$9:$B$190,'2. TEUs &amp; Activities - EF'!$J$9:$J$190))*'3. Pollutant Emissions - EF'!$I1527*IF(OR(ISBLANK($E1527),$G1527="Yes"),1,$E1527)*IF($H1527="Yes",1,(1-$F1527))</f>
        <v>9.7253176470588221E-3</v>
      </c>
      <c r="N1527" s="5">
        <f>IF(ISBLANK($B1527),_xlfn.XLOOKUP($A1527,'2. TEUs &amp; Activities - EF'!$A$9:$A$190,'2. TEUs &amp; Activities - EF'!$M$9:$M$190),_xlfn.XLOOKUP($B1527,'2. TEUs &amp; Activities - EF'!$B$9:$B$190,'2. TEUs &amp; Activities - EF'!$M$9:$M$190))*'3. Pollutant Emissions - EF'!$J1527*IF(OR(ISBLANK($E1527),$G1527="Yes"),1,$E1527)*IF($H1527="Yes",1,(1-$F1527))</f>
        <v>2.6644705882352943E-5</v>
      </c>
      <c r="O1527" s="130"/>
    </row>
    <row r="1528" spans="1:15" ht="15" x14ac:dyDescent="0.25">
      <c r="A1528" s="5" t="s">
        <v>1626</v>
      </c>
      <c r="B1528" s="7"/>
      <c r="C1528" s="13" t="s">
        <v>64</v>
      </c>
      <c r="D1528" s="19" t="str">
        <f>IFERROR(IF(C1528="No CAS","",INDEX('DEQ Pollutant List'!$B$7:$B$611,MATCH('3. Pollutant Emissions - EF'!C1528,'DEQ Pollutant List'!$A$7:$A$611,0))),"")</f>
        <v>Mercury and compounds</v>
      </c>
      <c r="E1528" s="23">
        <v>0</v>
      </c>
      <c r="F1528" s="21">
        <v>0</v>
      </c>
      <c r="G1528" s="23" t="s">
        <v>1415</v>
      </c>
      <c r="H1528" s="21" t="s">
        <v>1415</v>
      </c>
      <c r="I1528" s="34">
        <v>2.5999999999999998E-4</v>
      </c>
      <c r="J1528" s="11">
        <f t="shared" si="55"/>
        <v>2.5999999999999998E-4</v>
      </c>
      <c r="K1528" s="6" t="s">
        <v>1416</v>
      </c>
      <c r="L1528" s="20" t="s">
        <v>1422</v>
      </c>
      <c r="M1528" s="7">
        <f>IF(ISBLANK($B1528),_xlfn.XLOOKUP($A1528,'2. TEUs &amp; Activities - EF'!$A$9:$A$190,'2. TEUs &amp; Activities - EF'!$J$9:$J$190),_xlfn.XLOOKUP($B1528,'2. TEUs &amp; Activities - EF'!$B$9:$B$190,'2. TEUs &amp; Activities - EF'!$J$9:$J$190))*'3. Pollutant Emissions - EF'!$I1528*IF(OR(ISBLANK($E1528),$G1528="Yes"),1,$E1528)*IF($H1528="Yes",1,(1-$F1528))</f>
        <v>6.6541647058823514E-3</v>
      </c>
      <c r="N1528" s="5">
        <f>IF(ISBLANK($B1528),_xlfn.XLOOKUP($A1528,'2. TEUs &amp; Activities - EF'!$A$9:$A$190,'2. TEUs &amp; Activities - EF'!$M$9:$M$190),_xlfn.XLOOKUP($B1528,'2. TEUs &amp; Activities - EF'!$B$9:$B$190,'2. TEUs &amp; Activities - EF'!$M$9:$M$190))*'3. Pollutant Emissions - EF'!$J1528*IF(OR(ISBLANK($E1528),$G1528="Yes"),1,$E1528)*IF($H1528="Yes",1,(1-$F1528))</f>
        <v>1.8230588235294116E-5</v>
      </c>
      <c r="O1528" s="130"/>
    </row>
    <row r="1529" spans="1:15" ht="15" x14ac:dyDescent="0.25">
      <c r="A1529" s="5" t="s">
        <v>1626</v>
      </c>
      <c r="B1529" s="7"/>
      <c r="C1529" s="13" t="s">
        <v>65</v>
      </c>
      <c r="D1529" s="19" t="str">
        <f>IFERROR(IF(C1529="No CAS","",INDEX('DEQ Pollutant List'!$B$7:$B$611,MATCH('3. Pollutant Emissions - EF'!C1529,'DEQ Pollutant List'!$A$7:$A$611,0))),"")</f>
        <v>Molybdenum trioxide</v>
      </c>
      <c r="E1529" s="23">
        <v>0</v>
      </c>
      <c r="F1529" s="21">
        <v>0</v>
      </c>
      <c r="G1529" s="23" t="s">
        <v>1415</v>
      </c>
      <c r="H1529" s="21" t="s">
        <v>1415</v>
      </c>
      <c r="I1529" s="34">
        <v>1.65E-3</v>
      </c>
      <c r="J1529" s="11">
        <f t="shared" si="55"/>
        <v>1.65E-3</v>
      </c>
      <c r="K1529" s="6" t="s">
        <v>1416</v>
      </c>
      <c r="L1529" s="20" t="s">
        <v>1422</v>
      </c>
      <c r="M1529" s="7">
        <f>IF(ISBLANK($B1529),_xlfn.XLOOKUP($A1529,'2. TEUs &amp; Activities - EF'!$A$9:$A$190,'2. TEUs &amp; Activities - EF'!$J$9:$J$190),_xlfn.XLOOKUP($B1529,'2. TEUs &amp; Activities - EF'!$B$9:$B$190,'2. TEUs &amp; Activities - EF'!$J$9:$J$190))*'3. Pollutant Emissions - EF'!$I1529*IF(OR(ISBLANK($E1529),$G1529="Yes"),1,$E1529)*IF($H1529="Yes",1,(1-$F1529))</f>
        <v>4.2228352941176467E-2</v>
      </c>
      <c r="N1529" s="5">
        <f>IF(ISBLANK($B1529),_xlfn.XLOOKUP($A1529,'2. TEUs &amp; Activities - EF'!$A$9:$A$190,'2. TEUs &amp; Activities - EF'!$M$9:$M$190),_xlfn.XLOOKUP($B1529,'2. TEUs &amp; Activities - EF'!$B$9:$B$190,'2. TEUs &amp; Activities - EF'!$M$9:$M$190))*'3. Pollutant Emissions - EF'!$J1529*IF(OR(ISBLANK($E1529),$G1529="Yes"),1,$E1529)*IF($H1529="Yes",1,(1-$F1529))</f>
        <v>1.1569411764705884E-4</v>
      </c>
      <c r="O1529" s="130"/>
    </row>
    <row r="1530" spans="1:15" ht="15" x14ac:dyDescent="0.25">
      <c r="A1530" s="5" t="s">
        <v>1626</v>
      </c>
      <c r="B1530" s="7"/>
      <c r="C1530" s="13" t="s">
        <v>49</v>
      </c>
      <c r="D1530" s="19" t="str">
        <f>IFERROR(IF(C1530="No CAS","",INDEX('DEQ Pollutant List'!$B$7:$B$611,MATCH('3. Pollutant Emissions - EF'!C1530,'DEQ Pollutant List'!$A$7:$A$611,0))),"")</f>
        <v>Naphthalene</v>
      </c>
      <c r="E1530" s="23">
        <v>0</v>
      </c>
      <c r="F1530" s="21">
        <v>0</v>
      </c>
      <c r="G1530" s="23" t="s">
        <v>1415</v>
      </c>
      <c r="H1530" s="21" t="s">
        <v>1415</v>
      </c>
      <c r="I1530" s="34">
        <v>2.9999999999999997E-4</v>
      </c>
      <c r="J1530" s="11">
        <f t="shared" si="55"/>
        <v>2.9999999999999997E-4</v>
      </c>
      <c r="K1530" s="6" t="s">
        <v>1416</v>
      </c>
      <c r="L1530" s="20" t="s">
        <v>1422</v>
      </c>
      <c r="M1530" s="7">
        <f>IF(ISBLANK($B1530),_xlfn.XLOOKUP($A1530,'2. TEUs &amp; Activities - EF'!$A$9:$A$190,'2. TEUs &amp; Activities - EF'!$J$9:$J$190),_xlfn.XLOOKUP($B1530,'2. TEUs &amp; Activities - EF'!$B$9:$B$190,'2. TEUs &amp; Activities - EF'!$J$9:$J$190))*'3. Pollutant Emissions - EF'!$I1530*IF(OR(ISBLANK($E1530),$G1530="Yes"),1,$E1530)*IF($H1530="Yes",1,(1-$F1530))</f>
        <v>7.677882352941175E-3</v>
      </c>
      <c r="N1530" s="5">
        <f>IF(ISBLANK($B1530),_xlfn.XLOOKUP($A1530,'2. TEUs &amp; Activities - EF'!$A$9:$A$190,'2. TEUs &amp; Activities - EF'!$M$9:$M$190),_xlfn.XLOOKUP($B1530,'2. TEUs &amp; Activities - EF'!$B$9:$B$190,'2. TEUs &amp; Activities - EF'!$M$9:$M$190))*'3. Pollutant Emissions - EF'!$J1530*IF(OR(ISBLANK($E1530),$G1530="Yes"),1,$E1530)*IF($H1530="Yes",1,(1-$F1530))</f>
        <v>2.1035294117647058E-5</v>
      </c>
      <c r="O1530" s="130"/>
    </row>
    <row r="1531" spans="1:15" ht="15" x14ac:dyDescent="0.25">
      <c r="A1531" s="5" t="s">
        <v>1626</v>
      </c>
      <c r="B1531" s="7"/>
      <c r="C1531" s="13" t="s">
        <v>66</v>
      </c>
      <c r="D1531" s="19" t="str">
        <f>IFERROR(IF(C1531="No CAS","",INDEX('DEQ Pollutant List'!$B$7:$B$611,MATCH('3. Pollutant Emissions - EF'!C1531,'DEQ Pollutant List'!$A$7:$A$611,0))),"")</f>
        <v>Nickel and compounds</v>
      </c>
      <c r="E1531" s="23">
        <v>0</v>
      </c>
      <c r="F1531" s="21">
        <v>0</v>
      </c>
      <c r="G1531" s="23" t="s">
        <v>1415</v>
      </c>
      <c r="H1531" s="21" t="s">
        <v>1415</v>
      </c>
      <c r="I1531" s="34">
        <v>2.0999999999999999E-3</v>
      </c>
      <c r="J1531" s="11">
        <f t="shared" si="55"/>
        <v>2.0999999999999999E-3</v>
      </c>
      <c r="K1531" s="6" t="s">
        <v>1416</v>
      </c>
      <c r="L1531" s="20" t="s">
        <v>1422</v>
      </c>
      <c r="M1531" s="7">
        <f>IF(ISBLANK($B1531),_xlfn.XLOOKUP($A1531,'2. TEUs &amp; Activities - EF'!$A$9:$A$190,'2. TEUs &amp; Activities - EF'!$J$9:$J$190),_xlfn.XLOOKUP($B1531,'2. TEUs &amp; Activities - EF'!$B$9:$B$190,'2. TEUs &amp; Activities - EF'!$J$9:$J$190))*'3. Pollutant Emissions - EF'!$I1531*IF(OR(ISBLANK($E1531),$G1531="Yes"),1,$E1531)*IF($H1531="Yes",1,(1-$F1531))</f>
        <v>5.3745176470588227E-2</v>
      </c>
      <c r="N1531" s="5">
        <f>IF(ISBLANK($B1531),_xlfn.XLOOKUP($A1531,'2. TEUs &amp; Activities - EF'!$A$9:$A$190,'2. TEUs &amp; Activities - EF'!$M$9:$M$190),_xlfn.XLOOKUP($B1531,'2. TEUs &amp; Activities - EF'!$B$9:$B$190,'2. TEUs &amp; Activities - EF'!$M$9:$M$190))*'3. Pollutant Emissions - EF'!$J1531*IF(OR(ISBLANK($E1531),$G1531="Yes"),1,$E1531)*IF($H1531="Yes",1,(1-$F1531))</f>
        <v>1.4724705882352942E-4</v>
      </c>
      <c r="O1531" s="130"/>
    </row>
    <row r="1532" spans="1:15" ht="15" x14ac:dyDescent="0.25">
      <c r="A1532" s="5" t="s">
        <v>1626</v>
      </c>
      <c r="B1532" s="7"/>
      <c r="C1532" s="13">
        <v>401</v>
      </c>
      <c r="D1532" s="19" t="str">
        <f>IFERROR(IF(C1532="No CAS","",INDEX('DEQ Pollutant List'!$B$7:$B$611,MATCH('3. Pollutant Emissions - EF'!C1532,'DEQ Pollutant List'!$A$7:$A$611,0))),"")</f>
        <v>Polycyclic aromatic hydrocarbons (PAHs)</v>
      </c>
      <c r="E1532" s="23">
        <v>0</v>
      </c>
      <c r="F1532" s="21">
        <v>0</v>
      </c>
      <c r="G1532" s="23" t="s">
        <v>1415</v>
      </c>
      <c r="H1532" s="21" t="s">
        <v>1415</v>
      </c>
      <c r="I1532" s="34">
        <v>1E-4</v>
      </c>
      <c r="J1532" s="11">
        <f t="shared" si="55"/>
        <v>1E-4</v>
      </c>
      <c r="K1532" s="6" t="s">
        <v>1416</v>
      </c>
      <c r="L1532" s="20" t="s">
        <v>1422</v>
      </c>
      <c r="M1532" s="7">
        <f>IF(ISBLANK($B1532),_xlfn.XLOOKUP($A1532,'2. TEUs &amp; Activities - EF'!$A$9:$A$190,'2. TEUs &amp; Activities - EF'!$J$9:$J$190),_xlfn.XLOOKUP($B1532,'2. TEUs &amp; Activities - EF'!$B$9:$B$190,'2. TEUs &amp; Activities - EF'!$J$9:$J$190))*'3. Pollutant Emissions - EF'!$I1532*IF(OR(ISBLANK($E1532),$G1532="Yes"),1,$E1532)*IF($H1532="Yes",1,(1-$F1532))</f>
        <v>2.5592941176470585E-3</v>
      </c>
      <c r="N1532" s="5">
        <f>IF(ISBLANK($B1532),_xlfn.XLOOKUP($A1532,'2. TEUs &amp; Activities - EF'!$A$9:$A$190,'2. TEUs &amp; Activities - EF'!$M$9:$M$190),_xlfn.XLOOKUP($B1532,'2. TEUs &amp; Activities - EF'!$B$9:$B$190,'2. TEUs &amp; Activities - EF'!$M$9:$M$190))*'3. Pollutant Emissions - EF'!$J1532*IF(OR(ISBLANK($E1532),$G1532="Yes"),1,$E1532)*IF($H1532="Yes",1,(1-$F1532))</f>
        <v>7.0117647058823539E-6</v>
      </c>
      <c r="O1532" s="130"/>
    </row>
    <row r="1533" spans="1:15" ht="15" x14ac:dyDescent="0.25">
      <c r="A1533" s="5" t="s">
        <v>1626</v>
      </c>
      <c r="B1533" s="7"/>
      <c r="C1533" s="13" t="s">
        <v>67</v>
      </c>
      <c r="D1533" s="19" t="str">
        <f>IFERROR(IF(C1533="No CAS","",INDEX('DEQ Pollutant List'!$B$7:$B$611,MATCH('3. Pollutant Emissions - EF'!C1533,'DEQ Pollutant List'!$A$7:$A$611,0))),"")</f>
        <v>Selenium and compounds</v>
      </c>
      <c r="E1533" s="23">
        <v>0</v>
      </c>
      <c r="F1533" s="21">
        <v>0</v>
      </c>
      <c r="G1533" s="23" t="s">
        <v>1415</v>
      </c>
      <c r="H1533" s="21" t="s">
        <v>1415</v>
      </c>
      <c r="I1533" s="34">
        <v>2.4000000000000001E-5</v>
      </c>
      <c r="J1533" s="11">
        <f t="shared" si="55"/>
        <v>2.4000000000000001E-5</v>
      </c>
      <c r="K1533" s="6" t="s">
        <v>1416</v>
      </c>
      <c r="L1533" s="20" t="s">
        <v>1422</v>
      </c>
      <c r="M1533" s="7">
        <f>IF(ISBLANK($B1533),_xlfn.XLOOKUP($A1533,'2. TEUs &amp; Activities - EF'!$A$9:$A$190,'2. TEUs &amp; Activities - EF'!$J$9:$J$190),_xlfn.XLOOKUP($B1533,'2. TEUs &amp; Activities - EF'!$B$9:$B$190,'2. TEUs &amp; Activities - EF'!$J$9:$J$190))*'3. Pollutant Emissions - EF'!$I1533*IF(OR(ISBLANK($E1533),$G1533="Yes"),1,$E1533)*IF($H1533="Yes",1,(1-$F1533))</f>
        <v>6.1423058823529403E-4</v>
      </c>
      <c r="N1533" s="5">
        <f>IF(ISBLANK($B1533),_xlfn.XLOOKUP($A1533,'2. TEUs &amp; Activities - EF'!$A$9:$A$190,'2. TEUs &amp; Activities - EF'!$M$9:$M$190),_xlfn.XLOOKUP($B1533,'2. TEUs &amp; Activities - EF'!$B$9:$B$190,'2. TEUs &amp; Activities - EF'!$M$9:$M$190))*'3. Pollutant Emissions - EF'!$J1533*IF(OR(ISBLANK($E1533),$G1533="Yes"),1,$E1533)*IF($H1533="Yes",1,(1-$F1533))</f>
        <v>1.6828235294117649E-6</v>
      </c>
      <c r="O1533" s="130"/>
    </row>
    <row r="1534" spans="1:15" ht="15" x14ac:dyDescent="0.25">
      <c r="A1534" s="5" t="s">
        <v>1626</v>
      </c>
      <c r="B1534" s="7"/>
      <c r="C1534" s="13" t="s">
        <v>68</v>
      </c>
      <c r="D1534" s="19" t="str">
        <f>IFERROR(IF(C1534="No CAS","",INDEX('DEQ Pollutant List'!$B$7:$B$611,MATCH('3. Pollutant Emissions - EF'!C1534,'DEQ Pollutant List'!$A$7:$A$611,0))),"")</f>
        <v>Toluene</v>
      </c>
      <c r="E1534" s="23">
        <v>0</v>
      </c>
      <c r="F1534" s="21">
        <v>0</v>
      </c>
      <c r="G1534" s="23" t="s">
        <v>1415</v>
      </c>
      <c r="H1534" s="21" t="s">
        <v>1415</v>
      </c>
      <c r="I1534" s="34">
        <v>3.6600000000000001E-2</v>
      </c>
      <c r="J1534" s="11">
        <f t="shared" si="55"/>
        <v>3.6600000000000001E-2</v>
      </c>
      <c r="K1534" s="6" t="s">
        <v>1416</v>
      </c>
      <c r="L1534" s="20" t="s">
        <v>1422</v>
      </c>
      <c r="M1534" s="7">
        <f>IF(ISBLANK($B1534),_xlfn.XLOOKUP($A1534,'2. TEUs &amp; Activities - EF'!$A$9:$A$190,'2. TEUs &amp; Activities - EF'!$J$9:$J$190),_xlfn.XLOOKUP($B1534,'2. TEUs &amp; Activities - EF'!$B$9:$B$190,'2. TEUs &amp; Activities - EF'!$J$9:$J$190))*'3. Pollutant Emissions - EF'!$I1534*IF(OR(ISBLANK($E1534),$G1534="Yes"),1,$E1534)*IF($H1534="Yes",1,(1-$F1534))</f>
        <v>0.93670164705882342</v>
      </c>
      <c r="N1534" s="5">
        <f>IF(ISBLANK($B1534),_xlfn.XLOOKUP($A1534,'2. TEUs &amp; Activities - EF'!$A$9:$A$190,'2. TEUs &amp; Activities - EF'!$M$9:$M$190),_xlfn.XLOOKUP($B1534,'2. TEUs &amp; Activities - EF'!$B$9:$B$190,'2. TEUs &amp; Activities - EF'!$M$9:$M$190))*'3. Pollutant Emissions - EF'!$J1534*IF(OR(ISBLANK($E1534),$G1534="Yes"),1,$E1534)*IF($H1534="Yes",1,(1-$F1534))</f>
        <v>2.5663058823529412E-3</v>
      </c>
      <c r="O1534" s="130"/>
    </row>
    <row r="1535" spans="1:15" ht="15" x14ac:dyDescent="0.25">
      <c r="A1535" s="5" t="s">
        <v>1626</v>
      </c>
      <c r="B1535" s="7"/>
      <c r="C1535" s="13" t="s">
        <v>69</v>
      </c>
      <c r="D1535" s="19" t="str">
        <f>IFERROR(IF(C1535="No CAS","",INDEX('DEQ Pollutant List'!$B$7:$B$611,MATCH('3. Pollutant Emissions - EF'!C1535,'DEQ Pollutant List'!$A$7:$A$611,0))),"")</f>
        <v>Vanadium (fume or dust)</v>
      </c>
      <c r="E1535" s="23">
        <v>0</v>
      </c>
      <c r="F1535" s="21">
        <v>0</v>
      </c>
      <c r="G1535" s="23" t="s">
        <v>1415</v>
      </c>
      <c r="H1535" s="21" t="s">
        <v>1415</v>
      </c>
      <c r="I1535" s="34">
        <v>2.3E-3</v>
      </c>
      <c r="J1535" s="11">
        <f t="shared" si="55"/>
        <v>2.3E-3</v>
      </c>
      <c r="K1535" s="6" t="s">
        <v>1416</v>
      </c>
      <c r="L1535" s="20" t="s">
        <v>1422</v>
      </c>
      <c r="M1535" s="7">
        <f>IF(ISBLANK($B1535),_xlfn.XLOOKUP($A1535,'2. TEUs &amp; Activities - EF'!$A$9:$A$190,'2. TEUs &amp; Activities - EF'!$J$9:$J$190),_xlfn.XLOOKUP($B1535,'2. TEUs &amp; Activities - EF'!$B$9:$B$190,'2. TEUs &amp; Activities - EF'!$J$9:$J$190))*'3. Pollutant Emissions - EF'!$I1535*IF(OR(ISBLANK($E1535),$G1535="Yes"),1,$E1535)*IF($H1535="Yes",1,(1-$F1535))</f>
        <v>5.8863764705882345E-2</v>
      </c>
      <c r="N1535" s="5">
        <f>IF(ISBLANK($B1535),_xlfn.XLOOKUP($A1535,'2. TEUs &amp; Activities - EF'!$A$9:$A$190,'2. TEUs &amp; Activities - EF'!$M$9:$M$190),_xlfn.XLOOKUP($B1535,'2. TEUs &amp; Activities - EF'!$B$9:$B$190,'2. TEUs &amp; Activities - EF'!$M$9:$M$190))*'3. Pollutant Emissions - EF'!$J1535*IF(OR(ISBLANK($E1535),$G1535="Yes"),1,$E1535)*IF($H1535="Yes",1,(1-$F1535))</f>
        <v>1.6127058823529414E-4</v>
      </c>
      <c r="O1535" s="130"/>
    </row>
    <row r="1536" spans="1:15" ht="15" x14ac:dyDescent="0.25">
      <c r="A1536" s="5" t="s">
        <v>1626</v>
      </c>
      <c r="B1536" s="7"/>
      <c r="C1536" s="13" t="s">
        <v>70</v>
      </c>
      <c r="D1536" s="19" t="str">
        <f>IFERROR(IF(C1536="No CAS","",INDEX('DEQ Pollutant List'!$B$7:$B$611,MATCH('3. Pollutant Emissions - EF'!C1536,'DEQ Pollutant List'!$A$7:$A$611,0))),"")</f>
        <v>Xylene (mixture), including m-xylene, o-xylene, p-xylene</v>
      </c>
      <c r="E1536" s="23">
        <v>0</v>
      </c>
      <c r="F1536" s="21">
        <v>0</v>
      </c>
      <c r="G1536" s="23" t="s">
        <v>1415</v>
      </c>
      <c r="H1536" s="21" t="s">
        <v>1415</v>
      </c>
      <c r="I1536" s="34">
        <v>2.7199999999999998E-2</v>
      </c>
      <c r="J1536" s="11">
        <f t="shared" si="55"/>
        <v>2.7199999999999998E-2</v>
      </c>
      <c r="K1536" s="6" t="s">
        <v>1416</v>
      </c>
      <c r="L1536" s="20" t="s">
        <v>1422</v>
      </c>
      <c r="M1536" s="7">
        <f>IF(ISBLANK($B1536),_xlfn.XLOOKUP($A1536,'2. TEUs &amp; Activities - EF'!$A$9:$A$190,'2. TEUs &amp; Activities - EF'!$J$9:$J$190),_xlfn.XLOOKUP($B1536,'2. TEUs &amp; Activities - EF'!$B$9:$B$190,'2. TEUs &amp; Activities - EF'!$J$9:$J$190))*'3. Pollutant Emissions - EF'!$I1536*IF(OR(ISBLANK($E1536),$G1536="Yes"),1,$E1536)*IF($H1536="Yes",1,(1-$F1536))</f>
        <v>0.69612799999999986</v>
      </c>
      <c r="N1536" s="5">
        <f>IF(ISBLANK($B1536),_xlfn.XLOOKUP($A1536,'2. TEUs &amp; Activities - EF'!$A$9:$A$190,'2. TEUs &amp; Activities - EF'!$M$9:$M$190),_xlfn.XLOOKUP($B1536,'2. TEUs &amp; Activities - EF'!$B$9:$B$190,'2. TEUs &amp; Activities - EF'!$M$9:$M$190))*'3. Pollutant Emissions - EF'!$J1536*IF(OR(ISBLANK($E1536),$G1536="Yes"),1,$E1536)*IF($H1536="Yes",1,(1-$F1536))</f>
        <v>1.9072E-3</v>
      </c>
      <c r="O1536" s="130"/>
    </row>
    <row r="1537" spans="1:15" ht="15" x14ac:dyDescent="0.25">
      <c r="A1537" s="5" t="s">
        <v>1626</v>
      </c>
      <c r="B1537" s="7"/>
      <c r="C1537" s="13" t="s">
        <v>71</v>
      </c>
      <c r="D1537" s="19" t="str">
        <f>IFERROR(IF(C1537="No CAS","",INDEX('DEQ Pollutant List'!$B$7:$B$611,MATCH('3. Pollutant Emissions - EF'!C1537,'DEQ Pollutant List'!$A$7:$A$611,0))),"")</f>
        <v>Zinc and compounds</v>
      </c>
      <c r="E1537" s="23">
        <v>0</v>
      </c>
      <c r="F1537" s="21">
        <v>0</v>
      </c>
      <c r="G1537" s="23" t="s">
        <v>1415</v>
      </c>
      <c r="H1537" s="21" t="s">
        <v>1415</v>
      </c>
      <c r="I1537" s="34">
        <v>2.9000000000000001E-2</v>
      </c>
      <c r="J1537" s="11">
        <f t="shared" si="55"/>
        <v>2.9000000000000001E-2</v>
      </c>
      <c r="K1537" s="6" t="s">
        <v>1416</v>
      </c>
      <c r="L1537" s="20" t="s">
        <v>1422</v>
      </c>
      <c r="M1537" s="7">
        <f>IF(ISBLANK($B1537),_xlfn.XLOOKUP($A1537,'2. TEUs &amp; Activities - EF'!$A$9:$A$190,'2. TEUs &amp; Activities - EF'!$J$9:$J$190),_xlfn.XLOOKUP($B1537,'2. TEUs &amp; Activities - EF'!$B$9:$B$190,'2. TEUs &amp; Activities - EF'!$J$9:$J$190))*'3. Pollutant Emissions - EF'!$I1537*IF(OR(ISBLANK($E1537),$G1537="Yes"),1,$E1537)*IF($H1537="Yes",1,(1-$F1537))</f>
        <v>0.74219529411764706</v>
      </c>
      <c r="N1537" s="5">
        <f>IF(ISBLANK($B1537),_xlfn.XLOOKUP($A1537,'2. TEUs &amp; Activities - EF'!$A$9:$A$190,'2. TEUs &amp; Activities - EF'!$M$9:$M$190),_xlfn.XLOOKUP($B1537,'2. TEUs &amp; Activities - EF'!$B$9:$B$190,'2. TEUs &amp; Activities - EF'!$M$9:$M$190))*'3. Pollutant Emissions - EF'!$J1537*IF(OR(ISBLANK($E1537),$G1537="Yes"),1,$E1537)*IF($H1537="Yes",1,(1-$F1537))</f>
        <v>2.0334117647058825E-3</v>
      </c>
      <c r="O1537" s="130"/>
    </row>
    <row r="1538" spans="1:15" ht="15" x14ac:dyDescent="0.25">
      <c r="A1538" s="5"/>
      <c r="B1538" s="7"/>
      <c r="C1538" s="13"/>
      <c r="D1538" s="19" t="str">
        <f>IFERROR(IF(C1538="No CAS","",INDEX('DEQ Pollutant List'!$B$7:$B$611,MATCH('3. Pollutant Emissions - EF'!C1538,'DEQ Pollutant List'!$A$7:$A$611,0))),"")</f>
        <v/>
      </c>
      <c r="E1538" s="23"/>
      <c r="F1538" s="21"/>
      <c r="G1538" s="23"/>
      <c r="H1538" s="21"/>
      <c r="I1538" s="34"/>
      <c r="J1538" s="11"/>
      <c r="K1538" s="6"/>
      <c r="L1538" s="20"/>
      <c r="M1538" s="7">
        <f>IF(ISBLANK($B1538),_xlfn.XLOOKUP($A1538,'2. TEUs &amp; Activities - EF'!$A$9:$A$190,'2. TEUs &amp; Activities - EF'!$J$9:$J$190),_xlfn.XLOOKUP($B1538,'2. TEUs &amp; Activities - EF'!$B$9:$B$190,'2. TEUs &amp; Activities - EF'!$J$9:$J$190))*'3. Pollutant Emissions - EF'!$I1538*IF(OR(ISBLANK($E1538),$G1538="Yes"),1,$E1538)*IF($H1538="Yes",1,(1-$F1538))</f>
        <v>0</v>
      </c>
      <c r="N1538" s="5">
        <f>IF(ISBLANK($B1538),_xlfn.XLOOKUP($A1538,'2. TEUs &amp; Activities - EF'!$A$9:$A$190,'2. TEUs &amp; Activities - EF'!$M$9:$M$190),_xlfn.XLOOKUP($B1538,'2. TEUs &amp; Activities - EF'!$B$9:$B$190,'2. TEUs &amp; Activities - EF'!$M$9:$M$190))*'3. Pollutant Emissions - EF'!$J1538*IF(OR(ISBLANK($E1538),$G1538="Yes"),1,$E1538)*IF($H1538="Yes",1,(1-$F1538))</f>
        <v>0</v>
      </c>
      <c r="O1538" s="130"/>
    </row>
    <row r="1539" spans="1:15" ht="15" x14ac:dyDescent="0.25">
      <c r="A1539" s="5" t="s">
        <v>1627</v>
      </c>
      <c r="B1539" s="7"/>
      <c r="C1539" s="13" t="s">
        <v>48</v>
      </c>
      <c r="D1539" s="19" t="str">
        <f>IFERROR(IF(C1539="No CAS","",INDEX('DEQ Pollutant List'!$B$7:$B$611,MATCH('3. Pollutant Emissions - EF'!C1539,'DEQ Pollutant List'!$A$7:$A$611,0))),"")</f>
        <v>Benzo[a]pyrene</v>
      </c>
      <c r="E1539" s="23">
        <v>0</v>
      </c>
      <c r="F1539" s="21">
        <v>0</v>
      </c>
      <c r="G1539" s="23" t="s">
        <v>1415</v>
      </c>
      <c r="H1539" s="21" t="s">
        <v>1415</v>
      </c>
      <c r="I1539" s="34">
        <v>1.1999999999999999E-6</v>
      </c>
      <c r="J1539" s="11">
        <f t="shared" ref="J1539:J1565" si="56">I1539</f>
        <v>1.1999999999999999E-6</v>
      </c>
      <c r="K1539" s="6" t="s">
        <v>1416</v>
      </c>
      <c r="L1539" s="20" t="s">
        <v>1422</v>
      </c>
      <c r="M1539" s="7">
        <f>IF(ISBLANK($B1539),_xlfn.XLOOKUP($A1539,'2. TEUs &amp; Activities - EF'!$A$9:$A$190,'2. TEUs &amp; Activities - EF'!$J$9:$J$190),_xlfn.XLOOKUP($B1539,'2. TEUs &amp; Activities - EF'!$B$9:$B$190,'2. TEUs &amp; Activities - EF'!$J$9:$J$190))*'3. Pollutant Emissions - EF'!$I1539*IF(OR(ISBLANK($E1539),$G1539="Yes"),1,$E1539)*IF($H1539="Yes",1,(1-$F1539))</f>
        <v>3.0711529411764703E-5</v>
      </c>
      <c r="N1539" s="5">
        <f>IF(ISBLANK($B1539),_xlfn.XLOOKUP($A1539,'2. TEUs &amp; Activities - EF'!$A$9:$A$190,'2. TEUs &amp; Activities - EF'!$M$9:$M$190),_xlfn.XLOOKUP($B1539,'2. TEUs &amp; Activities - EF'!$B$9:$B$190,'2. TEUs &amp; Activities - EF'!$M$9:$M$190))*'3. Pollutant Emissions - EF'!$J1539*IF(OR(ISBLANK($E1539),$G1539="Yes"),1,$E1539)*IF($H1539="Yes",1,(1-$F1539))</f>
        <v>8.4141176470588241E-8</v>
      </c>
      <c r="O1539" s="130"/>
    </row>
    <row r="1540" spans="1:15" ht="15" x14ac:dyDescent="0.25">
      <c r="A1540" s="5" t="s">
        <v>1627</v>
      </c>
      <c r="B1540" s="7"/>
      <c r="C1540" s="13" t="s">
        <v>50</v>
      </c>
      <c r="D1540" s="19" t="str">
        <f>IFERROR(IF(C1540="No CAS","",INDEX('DEQ Pollutant List'!$B$7:$B$611,MATCH('3. Pollutant Emissions - EF'!C1540,'DEQ Pollutant List'!$A$7:$A$611,0))),"")</f>
        <v>Acetaldehyde</v>
      </c>
      <c r="E1540" s="23">
        <v>0</v>
      </c>
      <c r="F1540" s="21">
        <v>0</v>
      </c>
      <c r="G1540" s="23" t="s">
        <v>1415</v>
      </c>
      <c r="H1540" s="21" t="s">
        <v>1415</v>
      </c>
      <c r="I1540" s="34">
        <v>4.3E-3</v>
      </c>
      <c r="J1540" s="11">
        <f t="shared" si="56"/>
        <v>4.3E-3</v>
      </c>
      <c r="K1540" s="6" t="s">
        <v>1416</v>
      </c>
      <c r="L1540" s="20" t="s">
        <v>1422</v>
      </c>
      <c r="M1540" s="7">
        <f>IF(ISBLANK($B1540),_xlfn.XLOOKUP($A1540,'2. TEUs &amp; Activities - EF'!$A$9:$A$190,'2. TEUs &amp; Activities - EF'!$J$9:$J$190),_xlfn.XLOOKUP($B1540,'2. TEUs &amp; Activities - EF'!$B$9:$B$190,'2. TEUs &amp; Activities - EF'!$J$9:$J$190))*'3. Pollutant Emissions - EF'!$I1540*IF(OR(ISBLANK($E1540),$G1540="Yes"),1,$E1540)*IF($H1540="Yes",1,(1-$F1540))</f>
        <v>0.11004964705882352</v>
      </c>
      <c r="N1540" s="5">
        <f>IF(ISBLANK($B1540),_xlfn.XLOOKUP($A1540,'2. TEUs &amp; Activities - EF'!$A$9:$A$190,'2. TEUs &amp; Activities - EF'!$M$9:$M$190),_xlfn.XLOOKUP($B1540,'2. TEUs &amp; Activities - EF'!$B$9:$B$190,'2. TEUs &amp; Activities - EF'!$M$9:$M$190))*'3. Pollutant Emissions - EF'!$J1540*IF(OR(ISBLANK($E1540),$G1540="Yes"),1,$E1540)*IF($H1540="Yes",1,(1-$F1540))</f>
        <v>3.0150588235294118E-4</v>
      </c>
      <c r="O1540" s="130"/>
    </row>
    <row r="1541" spans="1:15" ht="15" x14ac:dyDescent="0.25">
      <c r="A1541" s="5" t="s">
        <v>1627</v>
      </c>
      <c r="B1541" s="7"/>
      <c r="C1541" s="13" t="s">
        <v>51</v>
      </c>
      <c r="D1541" s="19" t="str">
        <f>IFERROR(IF(C1541="No CAS","",INDEX('DEQ Pollutant List'!$B$7:$B$611,MATCH('3. Pollutant Emissions - EF'!C1541,'DEQ Pollutant List'!$A$7:$A$611,0))),"")</f>
        <v>Acrolein</v>
      </c>
      <c r="E1541" s="23">
        <v>0</v>
      </c>
      <c r="F1541" s="21">
        <v>0</v>
      </c>
      <c r="G1541" s="23" t="s">
        <v>1415</v>
      </c>
      <c r="H1541" s="21" t="s">
        <v>1415</v>
      </c>
      <c r="I1541" s="34">
        <v>2.7000000000000001E-3</v>
      </c>
      <c r="J1541" s="11">
        <f t="shared" si="56"/>
        <v>2.7000000000000001E-3</v>
      </c>
      <c r="K1541" s="6" t="s">
        <v>1416</v>
      </c>
      <c r="L1541" s="20" t="s">
        <v>1422</v>
      </c>
      <c r="M1541" s="7">
        <f>IF(ISBLANK($B1541),_xlfn.XLOOKUP($A1541,'2. TEUs &amp; Activities - EF'!$A$9:$A$190,'2. TEUs &amp; Activities - EF'!$J$9:$J$190),_xlfn.XLOOKUP($B1541,'2. TEUs &amp; Activities - EF'!$B$9:$B$190,'2. TEUs &amp; Activities - EF'!$J$9:$J$190))*'3. Pollutant Emissions - EF'!$I1541*IF(OR(ISBLANK($E1541),$G1541="Yes"),1,$E1541)*IF($H1541="Yes",1,(1-$F1541))</f>
        <v>6.9100941176470587E-2</v>
      </c>
      <c r="N1541" s="5">
        <f>IF(ISBLANK($B1541),_xlfn.XLOOKUP($A1541,'2. TEUs &amp; Activities - EF'!$A$9:$A$190,'2. TEUs &amp; Activities - EF'!$M$9:$M$190),_xlfn.XLOOKUP($B1541,'2. TEUs &amp; Activities - EF'!$B$9:$B$190,'2. TEUs &amp; Activities - EF'!$M$9:$M$190))*'3. Pollutant Emissions - EF'!$J1541*IF(OR(ISBLANK($E1541),$G1541="Yes"),1,$E1541)*IF($H1541="Yes",1,(1-$F1541))</f>
        <v>1.8931764705882356E-4</v>
      </c>
      <c r="O1541" s="130"/>
    </row>
    <row r="1542" spans="1:15" ht="15" x14ac:dyDescent="0.25">
      <c r="A1542" s="5" t="s">
        <v>1627</v>
      </c>
      <c r="B1542" s="7"/>
      <c r="C1542" s="13" t="s">
        <v>52</v>
      </c>
      <c r="D1542" s="19" t="str">
        <f>IFERROR(IF(C1542="No CAS","",INDEX('DEQ Pollutant List'!$B$7:$B$611,MATCH('3. Pollutant Emissions - EF'!C1542,'DEQ Pollutant List'!$A$7:$A$611,0))),"")</f>
        <v>Ammonia</v>
      </c>
      <c r="E1542" s="23">
        <v>0</v>
      </c>
      <c r="F1542" s="21">
        <v>0</v>
      </c>
      <c r="G1542" s="23" t="s">
        <v>1415</v>
      </c>
      <c r="H1542" s="21" t="s">
        <v>1415</v>
      </c>
      <c r="I1542" s="34">
        <v>3.2</v>
      </c>
      <c r="J1542" s="11">
        <f t="shared" si="56"/>
        <v>3.2</v>
      </c>
      <c r="K1542" s="6" t="s">
        <v>1416</v>
      </c>
      <c r="L1542" s="20" t="s">
        <v>1586</v>
      </c>
      <c r="M1542" s="7">
        <f>IF(ISBLANK($B1542),_xlfn.XLOOKUP($A1542,'2. TEUs &amp; Activities - EF'!$A$9:$A$190,'2. TEUs &amp; Activities - EF'!$J$9:$J$190),_xlfn.XLOOKUP($B1542,'2. TEUs &amp; Activities - EF'!$B$9:$B$190,'2. TEUs &amp; Activities - EF'!$J$9:$J$190))*'3. Pollutant Emissions - EF'!$I1542*IF(OR(ISBLANK($E1542),$G1542="Yes"),1,$E1542)*IF($H1542="Yes",1,(1-$F1542))</f>
        <v>81.897411764705879</v>
      </c>
      <c r="N1542" s="5">
        <f>IF(ISBLANK($B1542),_xlfn.XLOOKUP($A1542,'2. TEUs &amp; Activities - EF'!$A$9:$A$190,'2. TEUs &amp; Activities - EF'!$M$9:$M$190),_xlfn.XLOOKUP($B1542,'2. TEUs &amp; Activities - EF'!$B$9:$B$190,'2. TEUs &amp; Activities - EF'!$M$9:$M$190))*'3. Pollutant Emissions - EF'!$J1542*IF(OR(ISBLANK($E1542),$G1542="Yes"),1,$E1542)*IF($H1542="Yes",1,(1-$F1542))</f>
        <v>0.22437647058823532</v>
      </c>
      <c r="O1542" s="130"/>
    </row>
    <row r="1543" spans="1:15" ht="15" x14ac:dyDescent="0.25">
      <c r="A1543" s="5" t="s">
        <v>1627</v>
      </c>
      <c r="B1543" s="7"/>
      <c r="C1543" s="13" t="s">
        <v>53</v>
      </c>
      <c r="D1543" s="19" t="str">
        <f>IFERROR(IF(C1543="No CAS","",INDEX('DEQ Pollutant List'!$B$7:$B$611,MATCH('3. Pollutant Emissions - EF'!C1543,'DEQ Pollutant List'!$A$7:$A$611,0))),"")</f>
        <v>Arsenic and compounds</v>
      </c>
      <c r="E1543" s="23">
        <v>0</v>
      </c>
      <c r="F1543" s="21">
        <v>0</v>
      </c>
      <c r="G1543" s="23" t="s">
        <v>1415</v>
      </c>
      <c r="H1543" s="21" t="s">
        <v>1415</v>
      </c>
      <c r="I1543" s="34">
        <v>2.0000000000000001E-4</v>
      </c>
      <c r="J1543" s="11">
        <f t="shared" si="56"/>
        <v>2.0000000000000001E-4</v>
      </c>
      <c r="K1543" s="6" t="s">
        <v>1416</v>
      </c>
      <c r="L1543" s="20" t="s">
        <v>1422</v>
      </c>
      <c r="M1543" s="7">
        <f>IF(ISBLANK($B1543),_xlfn.XLOOKUP($A1543,'2. TEUs &amp; Activities - EF'!$A$9:$A$190,'2. TEUs &amp; Activities - EF'!$J$9:$J$190),_xlfn.XLOOKUP($B1543,'2. TEUs &amp; Activities - EF'!$B$9:$B$190,'2. TEUs &amp; Activities - EF'!$J$9:$J$190))*'3. Pollutant Emissions - EF'!$I1543*IF(OR(ISBLANK($E1543),$G1543="Yes"),1,$E1543)*IF($H1543="Yes",1,(1-$F1543))</f>
        <v>5.118588235294117E-3</v>
      </c>
      <c r="N1543" s="5">
        <f>IF(ISBLANK($B1543),_xlfn.XLOOKUP($A1543,'2. TEUs &amp; Activities - EF'!$A$9:$A$190,'2. TEUs &amp; Activities - EF'!$M$9:$M$190),_xlfn.XLOOKUP($B1543,'2. TEUs &amp; Activities - EF'!$B$9:$B$190,'2. TEUs &amp; Activities - EF'!$M$9:$M$190))*'3. Pollutant Emissions - EF'!$J1543*IF(OR(ISBLANK($E1543),$G1543="Yes"),1,$E1543)*IF($H1543="Yes",1,(1-$F1543))</f>
        <v>1.4023529411764708E-5</v>
      </c>
      <c r="O1543" s="130"/>
    </row>
    <row r="1544" spans="1:15" ht="15" x14ac:dyDescent="0.25">
      <c r="A1544" s="5" t="s">
        <v>1627</v>
      </c>
      <c r="B1544" s="7"/>
      <c r="C1544" s="13" t="s">
        <v>54</v>
      </c>
      <c r="D1544" s="19" t="str">
        <f>IFERROR(IF(C1544="No CAS","",INDEX('DEQ Pollutant List'!$B$7:$B$611,MATCH('3. Pollutant Emissions - EF'!C1544,'DEQ Pollutant List'!$A$7:$A$611,0))),"")</f>
        <v>Barium and compounds</v>
      </c>
      <c r="E1544" s="23">
        <v>0</v>
      </c>
      <c r="F1544" s="21">
        <v>0</v>
      </c>
      <c r="G1544" s="23" t="s">
        <v>1415</v>
      </c>
      <c r="H1544" s="21" t="s">
        <v>1415</v>
      </c>
      <c r="I1544" s="34">
        <v>4.4000000000000003E-3</v>
      </c>
      <c r="J1544" s="11">
        <f t="shared" si="56"/>
        <v>4.4000000000000003E-3</v>
      </c>
      <c r="K1544" s="6" t="s">
        <v>1416</v>
      </c>
      <c r="L1544" s="20" t="s">
        <v>1422</v>
      </c>
      <c r="M1544" s="7">
        <f>IF(ISBLANK($B1544),_xlfn.XLOOKUP($A1544,'2. TEUs &amp; Activities - EF'!$A$9:$A$190,'2. TEUs &amp; Activities - EF'!$J$9:$J$190),_xlfn.XLOOKUP($B1544,'2. TEUs &amp; Activities - EF'!$B$9:$B$190,'2. TEUs &amp; Activities - EF'!$J$9:$J$190))*'3. Pollutant Emissions - EF'!$I1544*IF(OR(ISBLANK($E1544),$G1544="Yes"),1,$E1544)*IF($H1544="Yes",1,(1-$F1544))</f>
        <v>0.11260894117647058</v>
      </c>
      <c r="N1544" s="5">
        <f>IF(ISBLANK($B1544),_xlfn.XLOOKUP($A1544,'2. TEUs &amp; Activities - EF'!$A$9:$A$190,'2. TEUs &amp; Activities - EF'!$M$9:$M$190),_xlfn.XLOOKUP($B1544,'2. TEUs &amp; Activities - EF'!$B$9:$B$190,'2. TEUs &amp; Activities - EF'!$M$9:$M$190))*'3. Pollutant Emissions - EF'!$J1544*IF(OR(ISBLANK($E1544),$G1544="Yes"),1,$E1544)*IF($H1544="Yes",1,(1-$F1544))</f>
        <v>3.0851764705882358E-4</v>
      </c>
      <c r="O1544" s="130"/>
    </row>
    <row r="1545" spans="1:15" ht="15" x14ac:dyDescent="0.25">
      <c r="A1545" s="5" t="s">
        <v>1627</v>
      </c>
      <c r="B1545" s="7"/>
      <c r="C1545" s="13" t="s">
        <v>46</v>
      </c>
      <c r="D1545" s="19" t="str">
        <f>IFERROR(IF(C1545="No CAS","",INDEX('DEQ Pollutant List'!$B$7:$B$611,MATCH('3. Pollutant Emissions - EF'!C1545,'DEQ Pollutant List'!$A$7:$A$611,0))),"")</f>
        <v>Benzene</v>
      </c>
      <c r="E1545" s="23">
        <v>0</v>
      </c>
      <c r="F1545" s="21">
        <v>0</v>
      </c>
      <c r="G1545" s="23" t="s">
        <v>1415</v>
      </c>
      <c r="H1545" s="21" t="s">
        <v>1415</v>
      </c>
      <c r="I1545" s="34">
        <v>8.0000000000000002E-3</v>
      </c>
      <c r="J1545" s="11">
        <f t="shared" si="56"/>
        <v>8.0000000000000002E-3</v>
      </c>
      <c r="K1545" s="6" t="s">
        <v>1416</v>
      </c>
      <c r="L1545" s="20" t="s">
        <v>1422</v>
      </c>
      <c r="M1545" s="7">
        <f>IF(ISBLANK($B1545),_xlfn.XLOOKUP($A1545,'2. TEUs &amp; Activities - EF'!$A$9:$A$190,'2. TEUs &amp; Activities - EF'!$J$9:$J$190),_xlfn.XLOOKUP($B1545,'2. TEUs &amp; Activities - EF'!$B$9:$B$190,'2. TEUs &amp; Activities - EF'!$J$9:$J$190))*'3. Pollutant Emissions - EF'!$I1545*IF(OR(ISBLANK($E1545),$G1545="Yes"),1,$E1545)*IF($H1545="Yes",1,(1-$F1545))</f>
        <v>0.20474352941176469</v>
      </c>
      <c r="N1545" s="5">
        <f>IF(ISBLANK($B1545),_xlfn.XLOOKUP($A1545,'2. TEUs &amp; Activities - EF'!$A$9:$A$190,'2. TEUs &amp; Activities - EF'!$M$9:$M$190),_xlfn.XLOOKUP($B1545,'2. TEUs &amp; Activities - EF'!$B$9:$B$190,'2. TEUs &amp; Activities - EF'!$M$9:$M$190))*'3. Pollutant Emissions - EF'!$J1545*IF(OR(ISBLANK($E1545),$G1545="Yes"),1,$E1545)*IF($H1545="Yes",1,(1-$F1545))</f>
        <v>5.6094117647058827E-4</v>
      </c>
      <c r="O1545" s="130"/>
    </row>
    <row r="1546" spans="1:15" ht="15" x14ac:dyDescent="0.25">
      <c r="A1546" s="5" t="s">
        <v>1627</v>
      </c>
      <c r="B1546" s="7"/>
      <c r="C1546" s="13" t="s">
        <v>55</v>
      </c>
      <c r="D1546" s="19" t="str">
        <f>IFERROR(IF(C1546="No CAS","",INDEX('DEQ Pollutant List'!$B$7:$B$611,MATCH('3. Pollutant Emissions - EF'!C1546,'DEQ Pollutant List'!$A$7:$A$611,0))),"")</f>
        <v>Beryllium and compounds</v>
      </c>
      <c r="E1546" s="23">
        <v>0</v>
      </c>
      <c r="F1546" s="21">
        <v>0</v>
      </c>
      <c r="G1546" s="23" t="s">
        <v>1415</v>
      </c>
      <c r="H1546" s="21" t="s">
        <v>1415</v>
      </c>
      <c r="I1546" s="34">
        <v>1.2E-5</v>
      </c>
      <c r="J1546" s="11">
        <f t="shared" si="56"/>
        <v>1.2E-5</v>
      </c>
      <c r="K1546" s="6" t="s">
        <v>1416</v>
      </c>
      <c r="L1546" s="20" t="s">
        <v>1422</v>
      </c>
      <c r="M1546" s="7">
        <f>IF(ISBLANK($B1546),_xlfn.XLOOKUP($A1546,'2. TEUs &amp; Activities - EF'!$A$9:$A$190,'2. TEUs &amp; Activities - EF'!$J$9:$J$190),_xlfn.XLOOKUP($B1546,'2. TEUs &amp; Activities - EF'!$B$9:$B$190,'2. TEUs &amp; Activities - EF'!$J$9:$J$190))*'3. Pollutant Emissions - EF'!$I1546*IF(OR(ISBLANK($E1546),$G1546="Yes"),1,$E1546)*IF($H1546="Yes",1,(1-$F1546))</f>
        <v>3.0711529411764702E-4</v>
      </c>
      <c r="N1546" s="5">
        <f>IF(ISBLANK($B1546),_xlfn.XLOOKUP($A1546,'2. TEUs &amp; Activities - EF'!$A$9:$A$190,'2. TEUs &amp; Activities - EF'!$M$9:$M$190),_xlfn.XLOOKUP($B1546,'2. TEUs &amp; Activities - EF'!$B$9:$B$190,'2. TEUs &amp; Activities - EF'!$M$9:$M$190))*'3. Pollutant Emissions - EF'!$J1546*IF(OR(ISBLANK($E1546),$G1546="Yes"),1,$E1546)*IF($H1546="Yes",1,(1-$F1546))</f>
        <v>8.4141176470588243E-7</v>
      </c>
      <c r="O1546" s="130"/>
    </row>
    <row r="1547" spans="1:15" ht="15" x14ac:dyDescent="0.25">
      <c r="A1547" s="5" t="s">
        <v>1627</v>
      </c>
      <c r="B1547" s="7"/>
      <c r="C1547" s="13" t="s">
        <v>56</v>
      </c>
      <c r="D1547" s="19" t="str">
        <f>IFERROR(IF(C1547="No CAS","",INDEX('DEQ Pollutant List'!$B$7:$B$611,MATCH('3. Pollutant Emissions - EF'!C1547,'DEQ Pollutant List'!$A$7:$A$611,0))),"")</f>
        <v>Cadmium and compounds</v>
      </c>
      <c r="E1547" s="23">
        <v>0</v>
      </c>
      <c r="F1547" s="21">
        <v>0</v>
      </c>
      <c r="G1547" s="23" t="s">
        <v>1415</v>
      </c>
      <c r="H1547" s="21" t="s">
        <v>1415</v>
      </c>
      <c r="I1547" s="34">
        <v>1.1000000000000001E-3</v>
      </c>
      <c r="J1547" s="11">
        <f t="shared" si="56"/>
        <v>1.1000000000000001E-3</v>
      </c>
      <c r="K1547" s="6" t="s">
        <v>1416</v>
      </c>
      <c r="L1547" s="20" t="s">
        <v>1422</v>
      </c>
      <c r="M1547" s="7">
        <f>IF(ISBLANK($B1547),_xlfn.XLOOKUP($A1547,'2. TEUs &amp; Activities - EF'!$A$9:$A$190,'2. TEUs &amp; Activities - EF'!$J$9:$J$190),_xlfn.XLOOKUP($B1547,'2. TEUs &amp; Activities - EF'!$B$9:$B$190,'2. TEUs &amp; Activities - EF'!$J$9:$J$190))*'3. Pollutant Emissions - EF'!$I1547*IF(OR(ISBLANK($E1547),$G1547="Yes"),1,$E1547)*IF($H1547="Yes",1,(1-$F1547))</f>
        <v>2.8152235294117645E-2</v>
      </c>
      <c r="N1547" s="5">
        <f>IF(ISBLANK($B1547),_xlfn.XLOOKUP($A1547,'2. TEUs &amp; Activities - EF'!$A$9:$A$190,'2. TEUs &amp; Activities - EF'!$M$9:$M$190),_xlfn.XLOOKUP($B1547,'2. TEUs &amp; Activities - EF'!$B$9:$B$190,'2. TEUs &amp; Activities - EF'!$M$9:$M$190))*'3. Pollutant Emissions - EF'!$J1547*IF(OR(ISBLANK($E1547),$G1547="Yes"),1,$E1547)*IF($H1547="Yes",1,(1-$F1547))</f>
        <v>7.7129411764705896E-5</v>
      </c>
      <c r="O1547" s="130"/>
    </row>
    <row r="1548" spans="1:15" ht="15" x14ac:dyDescent="0.25">
      <c r="A1548" s="5" t="s">
        <v>1627</v>
      </c>
      <c r="B1548" s="7"/>
      <c r="C1548" s="13" t="s">
        <v>57</v>
      </c>
      <c r="D1548" s="19" t="str">
        <f>IFERROR(IF(C1548="No CAS","",INDEX('DEQ Pollutant List'!$B$7:$B$611,MATCH('3. Pollutant Emissions - EF'!C1548,'DEQ Pollutant List'!$A$7:$A$611,0))),"")</f>
        <v>Chromium VI, chromate and dichromate particulate</v>
      </c>
      <c r="E1548" s="23">
        <v>0</v>
      </c>
      <c r="F1548" s="21">
        <v>0</v>
      </c>
      <c r="G1548" s="23" t="s">
        <v>1415</v>
      </c>
      <c r="H1548" s="21" t="s">
        <v>1415</v>
      </c>
      <c r="I1548" s="34">
        <v>1.4E-3</v>
      </c>
      <c r="J1548" s="11">
        <f t="shared" si="56"/>
        <v>1.4E-3</v>
      </c>
      <c r="K1548" s="6" t="s">
        <v>1416</v>
      </c>
      <c r="L1548" s="20" t="s">
        <v>1422</v>
      </c>
      <c r="M1548" s="7">
        <f>IF(ISBLANK($B1548),_xlfn.XLOOKUP($A1548,'2. TEUs &amp; Activities - EF'!$A$9:$A$190,'2. TEUs &amp; Activities - EF'!$J$9:$J$190),_xlfn.XLOOKUP($B1548,'2. TEUs &amp; Activities - EF'!$B$9:$B$190,'2. TEUs &amp; Activities - EF'!$J$9:$J$190))*'3. Pollutant Emissions - EF'!$I1548*IF(OR(ISBLANK($E1548),$G1548="Yes"),1,$E1548)*IF($H1548="Yes",1,(1-$F1548))</f>
        <v>3.5830117647058818E-2</v>
      </c>
      <c r="N1548" s="5">
        <f>IF(ISBLANK($B1548),_xlfn.XLOOKUP($A1548,'2. TEUs &amp; Activities - EF'!$A$9:$A$190,'2. TEUs &amp; Activities - EF'!$M$9:$M$190),_xlfn.XLOOKUP($B1548,'2. TEUs &amp; Activities - EF'!$B$9:$B$190,'2. TEUs &amp; Activities - EF'!$M$9:$M$190))*'3. Pollutant Emissions - EF'!$J1548*IF(OR(ISBLANK($E1548),$G1548="Yes"),1,$E1548)*IF($H1548="Yes",1,(1-$F1548))</f>
        <v>9.8164705882352953E-5</v>
      </c>
      <c r="O1548" s="130"/>
    </row>
    <row r="1549" spans="1:15" ht="15" x14ac:dyDescent="0.25">
      <c r="A1549" s="5" t="s">
        <v>1627</v>
      </c>
      <c r="B1549" s="7"/>
      <c r="C1549" s="13" t="s">
        <v>58</v>
      </c>
      <c r="D1549" s="19" t="str">
        <f>IFERROR(IF(C1549="No CAS","",INDEX('DEQ Pollutant List'!$B$7:$B$611,MATCH('3. Pollutant Emissions - EF'!C1549,'DEQ Pollutant List'!$A$7:$A$611,0))),"")</f>
        <v>Cobalt and compounds</v>
      </c>
      <c r="E1549" s="23">
        <v>0</v>
      </c>
      <c r="F1549" s="21">
        <v>0</v>
      </c>
      <c r="G1549" s="23" t="s">
        <v>1415</v>
      </c>
      <c r="H1549" s="21" t="s">
        <v>1415</v>
      </c>
      <c r="I1549" s="34">
        <v>8.3999999999999995E-5</v>
      </c>
      <c r="J1549" s="11">
        <f t="shared" si="56"/>
        <v>8.3999999999999995E-5</v>
      </c>
      <c r="K1549" s="6" t="s">
        <v>1416</v>
      </c>
      <c r="L1549" s="20" t="s">
        <v>1422</v>
      </c>
      <c r="M1549" s="7">
        <f>IF(ISBLANK($B1549),_xlfn.XLOOKUP($A1549,'2. TEUs &amp; Activities - EF'!$A$9:$A$190,'2. TEUs &amp; Activities - EF'!$J$9:$J$190),_xlfn.XLOOKUP($B1549,'2. TEUs &amp; Activities - EF'!$B$9:$B$190,'2. TEUs &amp; Activities - EF'!$J$9:$J$190))*'3. Pollutant Emissions - EF'!$I1549*IF(OR(ISBLANK($E1549),$G1549="Yes"),1,$E1549)*IF($H1549="Yes",1,(1-$F1549))</f>
        <v>2.1498070588235291E-3</v>
      </c>
      <c r="N1549" s="5">
        <f>IF(ISBLANK($B1549),_xlfn.XLOOKUP($A1549,'2. TEUs &amp; Activities - EF'!$A$9:$A$190,'2. TEUs &amp; Activities - EF'!$M$9:$M$190),_xlfn.XLOOKUP($B1549,'2. TEUs &amp; Activities - EF'!$B$9:$B$190,'2. TEUs &amp; Activities - EF'!$M$9:$M$190))*'3. Pollutant Emissions - EF'!$J1549*IF(OR(ISBLANK($E1549),$G1549="Yes"),1,$E1549)*IF($H1549="Yes",1,(1-$F1549))</f>
        <v>5.8898823529411769E-6</v>
      </c>
      <c r="O1549" s="130"/>
    </row>
    <row r="1550" spans="1:15" ht="15" x14ac:dyDescent="0.25">
      <c r="A1550" s="5" t="s">
        <v>1627</v>
      </c>
      <c r="B1550" s="7"/>
      <c r="C1550" s="13" t="s">
        <v>59</v>
      </c>
      <c r="D1550" s="19" t="str">
        <f>IFERROR(IF(C1550="No CAS","",INDEX('DEQ Pollutant List'!$B$7:$B$611,MATCH('3. Pollutant Emissions - EF'!C1550,'DEQ Pollutant List'!$A$7:$A$611,0))),"")</f>
        <v>Copper and compounds</v>
      </c>
      <c r="E1550" s="23">
        <v>0</v>
      </c>
      <c r="F1550" s="21">
        <v>0</v>
      </c>
      <c r="G1550" s="23" t="s">
        <v>1415</v>
      </c>
      <c r="H1550" s="21" t="s">
        <v>1415</v>
      </c>
      <c r="I1550" s="34">
        <v>8.4999999999999995E-4</v>
      </c>
      <c r="J1550" s="11">
        <f t="shared" si="56"/>
        <v>8.4999999999999995E-4</v>
      </c>
      <c r="K1550" s="6" t="s">
        <v>1416</v>
      </c>
      <c r="L1550" s="20" t="s">
        <v>1422</v>
      </c>
      <c r="M1550" s="7">
        <f>IF(ISBLANK($B1550),_xlfn.XLOOKUP($A1550,'2. TEUs &amp; Activities - EF'!$A$9:$A$190,'2. TEUs &amp; Activities - EF'!$J$9:$J$190),_xlfn.XLOOKUP($B1550,'2. TEUs &amp; Activities - EF'!$B$9:$B$190,'2. TEUs &amp; Activities - EF'!$J$9:$J$190))*'3. Pollutant Emissions - EF'!$I1550*IF(OR(ISBLANK($E1550),$G1550="Yes"),1,$E1550)*IF($H1550="Yes",1,(1-$F1550))</f>
        <v>2.1753999999999996E-2</v>
      </c>
      <c r="N1550" s="5">
        <f>IF(ISBLANK($B1550),_xlfn.XLOOKUP($A1550,'2. TEUs &amp; Activities - EF'!$A$9:$A$190,'2. TEUs &amp; Activities - EF'!$M$9:$M$190),_xlfn.XLOOKUP($B1550,'2. TEUs &amp; Activities - EF'!$B$9:$B$190,'2. TEUs &amp; Activities - EF'!$M$9:$M$190))*'3. Pollutant Emissions - EF'!$J1550*IF(OR(ISBLANK($E1550),$G1550="Yes"),1,$E1550)*IF($H1550="Yes",1,(1-$F1550))</f>
        <v>5.9599999999999999E-5</v>
      </c>
      <c r="O1550" s="130"/>
    </row>
    <row r="1551" spans="1:15" ht="15" x14ac:dyDescent="0.25">
      <c r="A1551" s="5" t="s">
        <v>1627</v>
      </c>
      <c r="B1551" s="7"/>
      <c r="C1551" s="13" t="s">
        <v>60</v>
      </c>
      <c r="D1551" s="19" t="str">
        <f>IFERROR(IF(C1551="No CAS","",INDEX('DEQ Pollutant List'!$B$7:$B$611,MATCH('3. Pollutant Emissions - EF'!C1551,'DEQ Pollutant List'!$A$7:$A$611,0))),"")</f>
        <v>Ethyl benzene</v>
      </c>
      <c r="E1551" s="23">
        <v>0</v>
      </c>
      <c r="F1551" s="21">
        <v>0</v>
      </c>
      <c r="G1551" s="23" t="s">
        <v>1415</v>
      </c>
      <c r="H1551" s="21" t="s">
        <v>1415</v>
      </c>
      <c r="I1551" s="34">
        <v>9.4999999999999998E-3</v>
      </c>
      <c r="J1551" s="11">
        <f t="shared" si="56"/>
        <v>9.4999999999999998E-3</v>
      </c>
      <c r="K1551" s="6" t="s">
        <v>1416</v>
      </c>
      <c r="L1551" s="20" t="s">
        <v>1422</v>
      </c>
      <c r="M1551" s="7">
        <f>IF(ISBLANK($B1551),_xlfn.XLOOKUP($A1551,'2. TEUs &amp; Activities - EF'!$A$9:$A$190,'2. TEUs &amp; Activities - EF'!$J$9:$J$190),_xlfn.XLOOKUP($B1551,'2. TEUs &amp; Activities - EF'!$B$9:$B$190,'2. TEUs &amp; Activities - EF'!$J$9:$J$190))*'3. Pollutant Emissions - EF'!$I1551*IF(OR(ISBLANK($E1551),$G1551="Yes"),1,$E1551)*IF($H1551="Yes",1,(1-$F1551))</f>
        <v>0.24313294117647055</v>
      </c>
      <c r="N1551" s="5">
        <f>IF(ISBLANK($B1551),_xlfn.XLOOKUP($A1551,'2. TEUs &amp; Activities - EF'!$A$9:$A$190,'2. TEUs &amp; Activities - EF'!$M$9:$M$190),_xlfn.XLOOKUP($B1551,'2. TEUs &amp; Activities - EF'!$B$9:$B$190,'2. TEUs &amp; Activities - EF'!$M$9:$M$190))*'3. Pollutant Emissions - EF'!$J1551*IF(OR(ISBLANK($E1551),$G1551="Yes"),1,$E1551)*IF($H1551="Yes",1,(1-$F1551))</f>
        <v>6.6611764705882355E-4</v>
      </c>
      <c r="O1551" s="130"/>
    </row>
    <row r="1552" spans="1:15" ht="15" x14ac:dyDescent="0.25">
      <c r="A1552" s="5" t="s">
        <v>1627</v>
      </c>
      <c r="B1552" s="7"/>
      <c r="C1552" s="13" t="s">
        <v>47</v>
      </c>
      <c r="D1552" s="19" t="str">
        <f>IFERROR(IF(C1552="No CAS","",INDEX('DEQ Pollutant List'!$B$7:$B$611,MATCH('3. Pollutant Emissions - EF'!C1552,'DEQ Pollutant List'!$A$7:$A$611,0))),"")</f>
        <v>Formaldehyde</v>
      </c>
      <c r="E1552" s="23">
        <v>0</v>
      </c>
      <c r="F1552" s="21">
        <v>0</v>
      </c>
      <c r="G1552" s="23" t="s">
        <v>1415</v>
      </c>
      <c r="H1552" s="21" t="s">
        <v>1415</v>
      </c>
      <c r="I1552" s="34">
        <v>1.7000000000000001E-2</v>
      </c>
      <c r="J1552" s="11">
        <f t="shared" si="56"/>
        <v>1.7000000000000001E-2</v>
      </c>
      <c r="K1552" s="6" t="s">
        <v>1416</v>
      </c>
      <c r="L1552" s="20" t="s">
        <v>1422</v>
      </c>
      <c r="M1552" s="7">
        <f>IF(ISBLANK($B1552),_xlfn.XLOOKUP($A1552,'2. TEUs &amp; Activities - EF'!$A$9:$A$190,'2. TEUs &amp; Activities - EF'!$J$9:$J$190),_xlfn.XLOOKUP($B1552,'2. TEUs &amp; Activities - EF'!$B$9:$B$190,'2. TEUs &amp; Activities - EF'!$J$9:$J$190))*'3. Pollutant Emissions - EF'!$I1552*IF(OR(ISBLANK($E1552),$G1552="Yes"),1,$E1552)*IF($H1552="Yes",1,(1-$F1552))</f>
        <v>0.43507999999999997</v>
      </c>
      <c r="N1552" s="5">
        <f>IF(ISBLANK($B1552),_xlfn.XLOOKUP($A1552,'2. TEUs &amp; Activities - EF'!$A$9:$A$190,'2. TEUs &amp; Activities - EF'!$M$9:$M$190),_xlfn.XLOOKUP($B1552,'2. TEUs &amp; Activities - EF'!$B$9:$B$190,'2. TEUs &amp; Activities - EF'!$M$9:$M$190))*'3. Pollutant Emissions - EF'!$J1552*IF(OR(ISBLANK($E1552),$G1552="Yes"),1,$E1552)*IF($H1552="Yes",1,(1-$F1552))</f>
        <v>1.1920000000000001E-3</v>
      </c>
      <c r="O1552" s="130"/>
    </row>
    <row r="1553" spans="1:15" ht="15" x14ac:dyDescent="0.25">
      <c r="A1553" s="5" t="s">
        <v>1627</v>
      </c>
      <c r="B1553" s="7"/>
      <c r="C1553" s="13" t="s">
        <v>61</v>
      </c>
      <c r="D1553" s="19" t="str">
        <f>IFERROR(IF(C1553="No CAS","",INDEX('DEQ Pollutant List'!$B$7:$B$611,MATCH('3. Pollutant Emissions - EF'!C1553,'DEQ Pollutant List'!$A$7:$A$611,0))),"")</f>
        <v>Hexane</v>
      </c>
      <c r="E1553" s="23">
        <v>0</v>
      </c>
      <c r="F1553" s="21">
        <v>0</v>
      </c>
      <c r="G1553" s="23" t="s">
        <v>1415</v>
      </c>
      <c r="H1553" s="21" t="s">
        <v>1415</v>
      </c>
      <c r="I1553" s="34">
        <v>6.3E-3</v>
      </c>
      <c r="J1553" s="11">
        <f t="shared" si="56"/>
        <v>6.3E-3</v>
      </c>
      <c r="K1553" s="6" t="s">
        <v>1416</v>
      </c>
      <c r="L1553" s="20" t="s">
        <v>1422</v>
      </c>
      <c r="M1553" s="7">
        <f>IF(ISBLANK($B1553),_xlfn.XLOOKUP($A1553,'2. TEUs &amp; Activities - EF'!$A$9:$A$190,'2. TEUs &amp; Activities - EF'!$J$9:$J$190),_xlfn.XLOOKUP($B1553,'2. TEUs &amp; Activities - EF'!$B$9:$B$190,'2. TEUs &amp; Activities - EF'!$J$9:$J$190))*'3. Pollutant Emissions - EF'!$I1553*IF(OR(ISBLANK($E1553),$G1553="Yes"),1,$E1553)*IF($H1553="Yes",1,(1-$F1553))</f>
        <v>0.16123552941176469</v>
      </c>
      <c r="N1553" s="5">
        <f>IF(ISBLANK($B1553),_xlfn.XLOOKUP($A1553,'2. TEUs &amp; Activities - EF'!$A$9:$A$190,'2. TEUs &amp; Activities - EF'!$M$9:$M$190),_xlfn.XLOOKUP($B1553,'2. TEUs &amp; Activities - EF'!$B$9:$B$190,'2. TEUs &amp; Activities - EF'!$M$9:$M$190))*'3. Pollutant Emissions - EF'!$J1553*IF(OR(ISBLANK($E1553),$G1553="Yes"),1,$E1553)*IF($H1553="Yes",1,(1-$F1553))</f>
        <v>4.4174117647058825E-4</v>
      </c>
      <c r="O1553" s="130"/>
    </row>
    <row r="1554" spans="1:15" ht="15" x14ac:dyDescent="0.25">
      <c r="A1554" s="5" t="s">
        <v>1627</v>
      </c>
      <c r="B1554" s="7"/>
      <c r="C1554" s="13" t="s">
        <v>62</v>
      </c>
      <c r="D1554" s="19" t="str">
        <f>IFERROR(IF(C1554="No CAS","",INDEX('DEQ Pollutant List'!$B$7:$B$611,MATCH('3. Pollutant Emissions - EF'!C1554,'DEQ Pollutant List'!$A$7:$A$611,0))),"")</f>
        <v>Lead and compounds</v>
      </c>
      <c r="E1554" s="23">
        <v>0</v>
      </c>
      <c r="F1554" s="21">
        <v>0</v>
      </c>
      <c r="G1554" s="23" t="s">
        <v>1415</v>
      </c>
      <c r="H1554" s="21" t="s">
        <v>1415</v>
      </c>
      <c r="I1554" s="34">
        <v>5.0000000000000001E-4</v>
      </c>
      <c r="J1554" s="11">
        <f t="shared" si="56"/>
        <v>5.0000000000000001E-4</v>
      </c>
      <c r="K1554" s="6" t="s">
        <v>1416</v>
      </c>
      <c r="L1554" s="20" t="s">
        <v>1422</v>
      </c>
      <c r="M1554" s="7">
        <f>IF(ISBLANK($B1554),_xlfn.XLOOKUP($A1554,'2. TEUs &amp; Activities - EF'!$A$9:$A$190,'2. TEUs &amp; Activities - EF'!$J$9:$J$190),_xlfn.XLOOKUP($B1554,'2. TEUs &amp; Activities - EF'!$B$9:$B$190,'2. TEUs &amp; Activities - EF'!$J$9:$J$190))*'3. Pollutant Emissions - EF'!$I1554*IF(OR(ISBLANK($E1554),$G1554="Yes"),1,$E1554)*IF($H1554="Yes",1,(1-$F1554))</f>
        <v>1.2796470588235293E-2</v>
      </c>
      <c r="N1554" s="5">
        <f>IF(ISBLANK($B1554),_xlfn.XLOOKUP($A1554,'2. TEUs &amp; Activities - EF'!$A$9:$A$190,'2. TEUs &amp; Activities - EF'!$M$9:$M$190),_xlfn.XLOOKUP($B1554,'2. TEUs &amp; Activities - EF'!$B$9:$B$190,'2. TEUs &amp; Activities - EF'!$M$9:$M$190))*'3. Pollutant Emissions - EF'!$J1554*IF(OR(ISBLANK($E1554),$G1554="Yes"),1,$E1554)*IF($H1554="Yes",1,(1-$F1554))</f>
        <v>3.5058823529411767E-5</v>
      </c>
      <c r="O1554" s="130"/>
    </row>
    <row r="1555" spans="1:15" ht="15" x14ac:dyDescent="0.25">
      <c r="A1555" s="5" t="s">
        <v>1627</v>
      </c>
      <c r="B1555" s="7"/>
      <c r="C1555" s="13" t="s">
        <v>63</v>
      </c>
      <c r="D1555" s="19" t="str">
        <f>IFERROR(IF(C1555="No CAS","",INDEX('DEQ Pollutant List'!$B$7:$B$611,MATCH('3. Pollutant Emissions - EF'!C1555,'DEQ Pollutant List'!$A$7:$A$611,0))),"")</f>
        <v>Manganese and compounds</v>
      </c>
      <c r="E1555" s="23">
        <v>0</v>
      </c>
      <c r="F1555" s="21">
        <v>0</v>
      </c>
      <c r="G1555" s="23" t="s">
        <v>1415</v>
      </c>
      <c r="H1555" s="21" t="s">
        <v>1415</v>
      </c>
      <c r="I1555" s="34">
        <v>3.8000000000000002E-4</v>
      </c>
      <c r="J1555" s="11">
        <f t="shared" si="56"/>
        <v>3.8000000000000002E-4</v>
      </c>
      <c r="K1555" s="6" t="s">
        <v>1416</v>
      </c>
      <c r="L1555" s="20" t="s">
        <v>1422</v>
      </c>
      <c r="M1555" s="7">
        <f>IF(ISBLANK($B1555),_xlfn.XLOOKUP($A1555,'2. TEUs &amp; Activities - EF'!$A$9:$A$190,'2. TEUs &amp; Activities - EF'!$J$9:$J$190),_xlfn.XLOOKUP($B1555,'2. TEUs &amp; Activities - EF'!$B$9:$B$190,'2. TEUs &amp; Activities - EF'!$J$9:$J$190))*'3. Pollutant Emissions - EF'!$I1555*IF(OR(ISBLANK($E1555),$G1555="Yes"),1,$E1555)*IF($H1555="Yes",1,(1-$F1555))</f>
        <v>9.7253176470588221E-3</v>
      </c>
      <c r="N1555" s="5">
        <f>IF(ISBLANK($B1555),_xlfn.XLOOKUP($A1555,'2. TEUs &amp; Activities - EF'!$A$9:$A$190,'2. TEUs &amp; Activities - EF'!$M$9:$M$190),_xlfn.XLOOKUP($B1555,'2. TEUs &amp; Activities - EF'!$B$9:$B$190,'2. TEUs &amp; Activities - EF'!$M$9:$M$190))*'3. Pollutant Emissions - EF'!$J1555*IF(OR(ISBLANK($E1555),$G1555="Yes"),1,$E1555)*IF($H1555="Yes",1,(1-$F1555))</f>
        <v>2.6644705882352943E-5</v>
      </c>
      <c r="O1555" s="130"/>
    </row>
    <row r="1556" spans="1:15" ht="15" x14ac:dyDescent="0.25">
      <c r="A1556" s="5" t="s">
        <v>1627</v>
      </c>
      <c r="B1556" s="7"/>
      <c r="C1556" s="13" t="s">
        <v>64</v>
      </c>
      <c r="D1556" s="19" t="str">
        <f>IFERROR(IF(C1556="No CAS","",INDEX('DEQ Pollutant List'!$B$7:$B$611,MATCH('3. Pollutant Emissions - EF'!C1556,'DEQ Pollutant List'!$A$7:$A$611,0))),"")</f>
        <v>Mercury and compounds</v>
      </c>
      <c r="E1556" s="23">
        <v>0</v>
      </c>
      <c r="F1556" s="21">
        <v>0</v>
      </c>
      <c r="G1556" s="23" t="s">
        <v>1415</v>
      </c>
      <c r="H1556" s="21" t="s">
        <v>1415</v>
      </c>
      <c r="I1556" s="34">
        <v>2.5999999999999998E-4</v>
      </c>
      <c r="J1556" s="11">
        <f t="shared" si="56"/>
        <v>2.5999999999999998E-4</v>
      </c>
      <c r="K1556" s="6" t="s">
        <v>1416</v>
      </c>
      <c r="L1556" s="20" t="s">
        <v>1422</v>
      </c>
      <c r="M1556" s="7">
        <f>IF(ISBLANK($B1556),_xlfn.XLOOKUP($A1556,'2. TEUs &amp; Activities - EF'!$A$9:$A$190,'2. TEUs &amp; Activities - EF'!$J$9:$J$190),_xlfn.XLOOKUP($B1556,'2. TEUs &amp; Activities - EF'!$B$9:$B$190,'2. TEUs &amp; Activities - EF'!$J$9:$J$190))*'3. Pollutant Emissions - EF'!$I1556*IF(OR(ISBLANK($E1556),$G1556="Yes"),1,$E1556)*IF($H1556="Yes",1,(1-$F1556))</f>
        <v>6.6541647058823514E-3</v>
      </c>
      <c r="N1556" s="5">
        <f>IF(ISBLANK($B1556),_xlfn.XLOOKUP($A1556,'2. TEUs &amp; Activities - EF'!$A$9:$A$190,'2. TEUs &amp; Activities - EF'!$M$9:$M$190),_xlfn.XLOOKUP($B1556,'2. TEUs &amp; Activities - EF'!$B$9:$B$190,'2. TEUs &amp; Activities - EF'!$M$9:$M$190))*'3. Pollutant Emissions - EF'!$J1556*IF(OR(ISBLANK($E1556),$G1556="Yes"),1,$E1556)*IF($H1556="Yes",1,(1-$F1556))</f>
        <v>1.8230588235294116E-5</v>
      </c>
      <c r="O1556" s="130"/>
    </row>
    <row r="1557" spans="1:15" ht="15" x14ac:dyDescent="0.25">
      <c r="A1557" s="5" t="s">
        <v>1627</v>
      </c>
      <c r="B1557" s="7"/>
      <c r="C1557" s="13" t="s">
        <v>65</v>
      </c>
      <c r="D1557" s="19" t="str">
        <f>IFERROR(IF(C1557="No CAS","",INDEX('DEQ Pollutant List'!$B$7:$B$611,MATCH('3. Pollutant Emissions - EF'!C1557,'DEQ Pollutant List'!$A$7:$A$611,0))),"")</f>
        <v>Molybdenum trioxide</v>
      </c>
      <c r="E1557" s="23">
        <v>0</v>
      </c>
      <c r="F1557" s="21">
        <v>0</v>
      </c>
      <c r="G1557" s="23" t="s">
        <v>1415</v>
      </c>
      <c r="H1557" s="21" t="s">
        <v>1415</v>
      </c>
      <c r="I1557" s="34">
        <v>1.65E-3</v>
      </c>
      <c r="J1557" s="11">
        <f t="shared" si="56"/>
        <v>1.65E-3</v>
      </c>
      <c r="K1557" s="6" t="s">
        <v>1416</v>
      </c>
      <c r="L1557" s="20" t="s">
        <v>1422</v>
      </c>
      <c r="M1557" s="7">
        <f>IF(ISBLANK($B1557),_xlfn.XLOOKUP($A1557,'2. TEUs &amp; Activities - EF'!$A$9:$A$190,'2. TEUs &amp; Activities - EF'!$J$9:$J$190),_xlfn.XLOOKUP($B1557,'2. TEUs &amp; Activities - EF'!$B$9:$B$190,'2. TEUs &amp; Activities - EF'!$J$9:$J$190))*'3. Pollutant Emissions - EF'!$I1557*IF(OR(ISBLANK($E1557),$G1557="Yes"),1,$E1557)*IF($H1557="Yes",1,(1-$F1557))</f>
        <v>4.2228352941176467E-2</v>
      </c>
      <c r="N1557" s="5">
        <f>IF(ISBLANK($B1557),_xlfn.XLOOKUP($A1557,'2. TEUs &amp; Activities - EF'!$A$9:$A$190,'2. TEUs &amp; Activities - EF'!$M$9:$M$190),_xlfn.XLOOKUP($B1557,'2. TEUs &amp; Activities - EF'!$B$9:$B$190,'2. TEUs &amp; Activities - EF'!$M$9:$M$190))*'3. Pollutant Emissions - EF'!$J1557*IF(OR(ISBLANK($E1557),$G1557="Yes"),1,$E1557)*IF($H1557="Yes",1,(1-$F1557))</f>
        <v>1.1569411764705884E-4</v>
      </c>
      <c r="O1557" s="130"/>
    </row>
    <row r="1558" spans="1:15" ht="15" x14ac:dyDescent="0.25">
      <c r="A1558" s="5" t="s">
        <v>1627</v>
      </c>
      <c r="B1558" s="7"/>
      <c r="C1558" s="13" t="s">
        <v>49</v>
      </c>
      <c r="D1558" s="19" t="str">
        <f>IFERROR(IF(C1558="No CAS","",INDEX('DEQ Pollutant List'!$B$7:$B$611,MATCH('3. Pollutant Emissions - EF'!C1558,'DEQ Pollutant List'!$A$7:$A$611,0))),"")</f>
        <v>Naphthalene</v>
      </c>
      <c r="E1558" s="23">
        <v>0</v>
      </c>
      <c r="F1558" s="21">
        <v>0</v>
      </c>
      <c r="G1558" s="23" t="s">
        <v>1415</v>
      </c>
      <c r="H1558" s="21" t="s">
        <v>1415</v>
      </c>
      <c r="I1558" s="34">
        <v>2.9999999999999997E-4</v>
      </c>
      <c r="J1558" s="11">
        <f t="shared" si="56"/>
        <v>2.9999999999999997E-4</v>
      </c>
      <c r="K1558" s="6" t="s">
        <v>1416</v>
      </c>
      <c r="L1558" s="20" t="s">
        <v>1422</v>
      </c>
      <c r="M1558" s="7">
        <f>IF(ISBLANK($B1558),_xlfn.XLOOKUP($A1558,'2. TEUs &amp; Activities - EF'!$A$9:$A$190,'2. TEUs &amp; Activities - EF'!$J$9:$J$190),_xlfn.XLOOKUP($B1558,'2. TEUs &amp; Activities - EF'!$B$9:$B$190,'2. TEUs &amp; Activities - EF'!$J$9:$J$190))*'3. Pollutant Emissions - EF'!$I1558*IF(OR(ISBLANK($E1558),$G1558="Yes"),1,$E1558)*IF($H1558="Yes",1,(1-$F1558))</f>
        <v>7.677882352941175E-3</v>
      </c>
      <c r="N1558" s="5">
        <f>IF(ISBLANK($B1558),_xlfn.XLOOKUP($A1558,'2. TEUs &amp; Activities - EF'!$A$9:$A$190,'2. TEUs &amp; Activities - EF'!$M$9:$M$190),_xlfn.XLOOKUP($B1558,'2. TEUs &amp; Activities - EF'!$B$9:$B$190,'2. TEUs &amp; Activities - EF'!$M$9:$M$190))*'3. Pollutant Emissions - EF'!$J1558*IF(OR(ISBLANK($E1558),$G1558="Yes"),1,$E1558)*IF($H1558="Yes",1,(1-$F1558))</f>
        <v>2.1035294117647058E-5</v>
      </c>
      <c r="O1558" s="130"/>
    </row>
    <row r="1559" spans="1:15" ht="15" x14ac:dyDescent="0.25">
      <c r="A1559" s="5" t="s">
        <v>1627</v>
      </c>
      <c r="B1559" s="7"/>
      <c r="C1559" s="13" t="s">
        <v>66</v>
      </c>
      <c r="D1559" s="19" t="str">
        <f>IFERROR(IF(C1559="No CAS","",INDEX('DEQ Pollutant List'!$B$7:$B$611,MATCH('3. Pollutant Emissions - EF'!C1559,'DEQ Pollutant List'!$A$7:$A$611,0))),"")</f>
        <v>Nickel and compounds</v>
      </c>
      <c r="E1559" s="23">
        <v>0</v>
      </c>
      <c r="F1559" s="21">
        <v>0</v>
      </c>
      <c r="G1559" s="23" t="s">
        <v>1415</v>
      </c>
      <c r="H1559" s="21" t="s">
        <v>1415</v>
      </c>
      <c r="I1559" s="34">
        <v>2.0999999999999999E-3</v>
      </c>
      <c r="J1559" s="11">
        <f t="shared" si="56"/>
        <v>2.0999999999999999E-3</v>
      </c>
      <c r="K1559" s="6" t="s">
        <v>1416</v>
      </c>
      <c r="L1559" s="20" t="s">
        <v>1422</v>
      </c>
      <c r="M1559" s="7">
        <f>IF(ISBLANK($B1559),_xlfn.XLOOKUP($A1559,'2. TEUs &amp; Activities - EF'!$A$9:$A$190,'2. TEUs &amp; Activities - EF'!$J$9:$J$190),_xlfn.XLOOKUP($B1559,'2. TEUs &amp; Activities - EF'!$B$9:$B$190,'2. TEUs &amp; Activities - EF'!$J$9:$J$190))*'3. Pollutant Emissions - EF'!$I1559*IF(OR(ISBLANK($E1559),$G1559="Yes"),1,$E1559)*IF($H1559="Yes",1,(1-$F1559))</f>
        <v>5.3745176470588227E-2</v>
      </c>
      <c r="N1559" s="5">
        <f>IF(ISBLANK($B1559),_xlfn.XLOOKUP($A1559,'2. TEUs &amp; Activities - EF'!$A$9:$A$190,'2. TEUs &amp; Activities - EF'!$M$9:$M$190),_xlfn.XLOOKUP($B1559,'2. TEUs &amp; Activities - EF'!$B$9:$B$190,'2. TEUs &amp; Activities - EF'!$M$9:$M$190))*'3. Pollutant Emissions - EF'!$J1559*IF(OR(ISBLANK($E1559),$G1559="Yes"),1,$E1559)*IF($H1559="Yes",1,(1-$F1559))</f>
        <v>1.4724705882352942E-4</v>
      </c>
      <c r="O1559" s="130"/>
    </row>
    <row r="1560" spans="1:15" ht="15" x14ac:dyDescent="0.25">
      <c r="A1560" s="5" t="s">
        <v>1627</v>
      </c>
      <c r="B1560" s="7"/>
      <c r="C1560" s="13">
        <v>401</v>
      </c>
      <c r="D1560" s="19" t="str">
        <f>IFERROR(IF(C1560="No CAS","",INDEX('DEQ Pollutant List'!$B$7:$B$611,MATCH('3. Pollutant Emissions - EF'!C1560,'DEQ Pollutant List'!$A$7:$A$611,0))),"")</f>
        <v>Polycyclic aromatic hydrocarbons (PAHs)</v>
      </c>
      <c r="E1560" s="23">
        <v>0</v>
      </c>
      <c r="F1560" s="21">
        <v>0</v>
      </c>
      <c r="G1560" s="23" t="s">
        <v>1415</v>
      </c>
      <c r="H1560" s="21" t="s">
        <v>1415</v>
      </c>
      <c r="I1560" s="34">
        <v>1E-4</v>
      </c>
      <c r="J1560" s="11">
        <f t="shared" si="56"/>
        <v>1E-4</v>
      </c>
      <c r="K1560" s="6" t="s">
        <v>1416</v>
      </c>
      <c r="L1560" s="20" t="s">
        <v>1422</v>
      </c>
      <c r="M1560" s="7">
        <f>IF(ISBLANK($B1560),_xlfn.XLOOKUP($A1560,'2. TEUs &amp; Activities - EF'!$A$9:$A$190,'2. TEUs &amp; Activities - EF'!$J$9:$J$190),_xlfn.XLOOKUP($B1560,'2. TEUs &amp; Activities - EF'!$B$9:$B$190,'2. TEUs &amp; Activities - EF'!$J$9:$J$190))*'3. Pollutant Emissions - EF'!$I1560*IF(OR(ISBLANK($E1560),$G1560="Yes"),1,$E1560)*IF($H1560="Yes",1,(1-$F1560))</f>
        <v>2.5592941176470585E-3</v>
      </c>
      <c r="N1560" s="5">
        <f>IF(ISBLANK($B1560),_xlfn.XLOOKUP($A1560,'2. TEUs &amp; Activities - EF'!$A$9:$A$190,'2. TEUs &amp; Activities - EF'!$M$9:$M$190),_xlfn.XLOOKUP($B1560,'2. TEUs &amp; Activities - EF'!$B$9:$B$190,'2. TEUs &amp; Activities - EF'!$M$9:$M$190))*'3. Pollutant Emissions - EF'!$J1560*IF(OR(ISBLANK($E1560),$G1560="Yes"),1,$E1560)*IF($H1560="Yes",1,(1-$F1560))</f>
        <v>7.0117647058823539E-6</v>
      </c>
      <c r="O1560" s="130"/>
    </row>
    <row r="1561" spans="1:15" ht="15" x14ac:dyDescent="0.25">
      <c r="A1561" s="5" t="s">
        <v>1627</v>
      </c>
      <c r="B1561" s="7"/>
      <c r="C1561" s="13" t="s">
        <v>67</v>
      </c>
      <c r="D1561" s="19" t="str">
        <f>IFERROR(IF(C1561="No CAS","",INDEX('DEQ Pollutant List'!$B$7:$B$611,MATCH('3. Pollutant Emissions - EF'!C1561,'DEQ Pollutant List'!$A$7:$A$611,0))),"")</f>
        <v>Selenium and compounds</v>
      </c>
      <c r="E1561" s="23">
        <v>0</v>
      </c>
      <c r="F1561" s="21">
        <v>0</v>
      </c>
      <c r="G1561" s="23" t="s">
        <v>1415</v>
      </c>
      <c r="H1561" s="21" t="s">
        <v>1415</v>
      </c>
      <c r="I1561" s="34">
        <v>2.4000000000000001E-5</v>
      </c>
      <c r="J1561" s="11">
        <f t="shared" si="56"/>
        <v>2.4000000000000001E-5</v>
      </c>
      <c r="K1561" s="6" t="s">
        <v>1416</v>
      </c>
      <c r="L1561" s="20" t="s">
        <v>1422</v>
      </c>
      <c r="M1561" s="7">
        <f>IF(ISBLANK($B1561),_xlfn.XLOOKUP($A1561,'2. TEUs &amp; Activities - EF'!$A$9:$A$190,'2. TEUs &amp; Activities - EF'!$J$9:$J$190),_xlfn.XLOOKUP($B1561,'2. TEUs &amp; Activities - EF'!$B$9:$B$190,'2. TEUs &amp; Activities - EF'!$J$9:$J$190))*'3. Pollutant Emissions - EF'!$I1561*IF(OR(ISBLANK($E1561),$G1561="Yes"),1,$E1561)*IF($H1561="Yes",1,(1-$F1561))</f>
        <v>6.1423058823529403E-4</v>
      </c>
      <c r="N1561" s="5">
        <f>IF(ISBLANK($B1561),_xlfn.XLOOKUP($A1561,'2. TEUs &amp; Activities - EF'!$A$9:$A$190,'2. TEUs &amp; Activities - EF'!$M$9:$M$190),_xlfn.XLOOKUP($B1561,'2. TEUs &amp; Activities - EF'!$B$9:$B$190,'2. TEUs &amp; Activities - EF'!$M$9:$M$190))*'3. Pollutant Emissions - EF'!$J1561*IF(OR(ISBLANK($E1561),$G1561="Yes"),1,$E1561)*IF($H1561="Yes",1,(1-$F1561))</f>
        <v>1.6828235294117649E-6</v>
      </c>
      <c r="O1561" s="130"/>
    </row>
    <row r="1562" spans="1:15" ht="15" x14ac:dyDescent="0.25">
      <c r="A1562" s="5" t="s">
        <v>1627</v>
      </c>
      <c r="B1562" s="7"/>
      <c r="C1562" s="13" t="s">
        <v>68</v>
      </c>
      <c r="D1562" s="19" t="str">
        <f>IFERROR(IF(C1562="No CAS","",INDEX('DEQ Pollutant List'!$B$7:$B$611,MATCH('3. Pollutant Emissions - EF'!C1562,'DEQ Pollutant List'!$A$7:$A$611,0))),"")</f>
        <v>Toluene</v>
      </c>
      <c r="E1562" s="23">
        <v>0</v>
      </c>
      <c r="F1562" s="21">
        <v>0</v>
      </c>
      <c r="G1562" s="23" t="s">
        <v>1415</v>
      </c>
      <c r="H1562" s="21" t="s">
        <v>1415</v>
      </c>
      <c r="I1562" s="34">
        <v>3.6600000000000001E-2</v>
      </c>
      <c r="J1562" s="11">
        <f t="shared" si="56"/>
        <v>3.6600000000000001E-2</v>
      </c>
      <c r="K1562" s="6" t="s">
        <v>1416</v>
      </c>
      <c r="L1562" s="20" t="s">
        <v>1422</v>
      </c>
      <c r="M1562" s="7">
        <f>IF(ISBLANK($B1562),_xlfn.XLOOKUP($A1562,'2. TEUs &amp; Activities - EF'!$A$9:$A$190,'2. TEUs &amp; Activities - EF'!$J$9:$J$190),_xlfn.XLOOKUP($B1562,'2. TEUs &amp; Activities - EF'!$B$9:$B$190,'2. TEUs &amp; Activities - EF'!$J$9:$J$190))*'3. Pollutant Emissions - EF'!$I1562*IF(OR(ISBLANK($E1562),$G1562="Yes"),1,$E1562)*IF($H1562="Yes",1,(1-$F1562))</f>
        <v>0.93670164705882342</v>
      </c>
      <c r="N1562" s="5">
        <f>IF(ISBLANK($B1562),_xlfn.XLOOKUP($A1562,'2. TEUs &amp; Activities - EF'!$A$9:$A$190,'2. TEUs &amp; Activities - EF'!$M$9:$M$190),_xlfn.XLOOKUP($B1562,'2. TEUs &amp; Activities - EF'!$B$9:$B$190,'2. TEUs &amp; Activities - EF'!$M$9:$M$190))*'3. Pollutant Emissions - EF'!$J1562*IF(OR(ISBLANK($E1562),$G1562="Yes"),1,$E1562)*IF($H1562="Yes",1,(1-$F1562))</f>
        <v>2.5663058823529412E-3</v>
      </c>
      <c r="O1562" s="130"/>
    </row>
    <row r="1563" spans="1:15" ht="15" x14ac:dyDescent="0.25">
      <c r="A1563" s="5" t="s">
        <v>1627</v>
      </c>
      <c r="B1563" s="7"/>
      <c r="C1563" s="13" t="s">
        <v>69</v>
      </c>
      <c r="D1563" s="19" t="str">
        <f>IFERROR(IF(C1563="No CAS","",INDEX('DEQ Pollutant List'!$B$7:$B$611,MATCH('3. Pollutant Emissions - EF'!C1563,'DEQ Pollutant List'!$A$7:$A$611,0))),"")</f>
        <v>Vanadium (fume or dust)</v>
      </c>
      <c r="E1563" s="23">
        <v>0</v>
      </c>
      <c r="F1563" s="21">
        <v>0</v>
      </c>
      <c r="G1563" s="23" t="s">
        <v>1415</v>
      </c>
      <c r="H1563" s="21" t="s">
        <v>1415</v>
      </c>
      <c r="I1563" s="34">
        <v>2.3E-3</v>
      </c>
      <c r="J1563" s="11">
        <f t="shared" si="56"/>
        <v>2.3E-3</v>
      </c>
      <c r="K1563" s="6" t="s">
        <v>1416</v>
      </c>
      <c r="L1563" s="20" t="s">
        <v>1422</v>
      </c>
      <c r="M1563" s="7">
        <f>IF(ISBLANK($B1563),_xlfn.XLOOKUP($A1563,'2. TEUs &amp; Activities - EF'!$A$9:$A$190,'2. TEUs &amp; Activities - EF'!$J$9:$J$190),_xlfn.XLOOKUP($B1563,'2. TEUs &amp; Activities - EF'!$B$9:$B$190,'2. TEUs &amp; Activities - EF'!$J$9:$J$190))*'3. Pollutant Emissions - EF'!$I1563*IF(OR(ISBLANK($E1563),$G1563="Yes"),1,$E1563)*IF($H1563="Yes",1,(1-$F1563))</f>
        <v>5.8863764705882345E-2</v>
      </c>
      <c r="N1563" s="5">
        <f>IF(ISBLANK($B1563),_xlfn.XLOOKUP($A1563,'2. TEUs &amp; Activities - EF'!$A$9:$A$190,'2. TEUs &amp; Activities - EF'!$M$9:$M$190),_xlfn.XLOOKUP($B1563,'2. TEUs &amp; Activities - EF'!$B$9:$B$190,'2. TEUs &amp; Activities - EF'!$M$9:$M$190))*'3. Pollutant Emissions - EF'!$J1563*IF(OR(ISBLANK($E1563),$G1563="Yes"),1,$E1563)*IF($H1563="Yes",1,(1-$F1563))</f>
        <v>1.6127058823529414E-4</v>
      </c>
      <c r="O1563" s="130"/>
    </row>
    <row r="1564" spans="1:15" ht="15" x14ac:dyDescent="0.25">
      <c r="A1564" s="5" t="s">
        <v>1627</v>
      </c>
      <c r="B1564" s="7"/>
      <c r="C1564" s="13" t="s">
        <v>70</v>
      </c>
      <c r="D1564" s="19" t="str">
        <f>IFERROR(IF(C1564="No CAS","",INDEX('DEQ Pollutant List'!$B$7:$B$611,MATCH('3. Pollutant Emissions - EF'!C1564,'DEQ Pollutant List'!$A$7:$A$611,0))),"")</f>
        <v>Xylene (mixture), including m-xylene, o-xylene, p-xylene</v>
      </c>
      <c r="E1564" s="23">
        <v>0</v>
      </c>
      <c r="F1564" s="21">
        <v>0</v>
      </c>
      <c r="G1564" s="23" t="s">
        <v>1415</v>
      </c>
      <c r="H1564" s="21" t="s">
        <v>1415</v>
      </c>
      <c r="I1564" s="34">
        <v>2.7199999999999998E-2</v>
      </c>
      <c r="J1564" s="11">
        <f t="shared" si="56"/>
        <v>2.7199999999999998E-2</v>
      </c>
      <c r="K1564" s="6" t="s">
        <v>1416</v>
      </c>
      <c r="L1564" s="20" t="s">
        <v>1422</v>
      </c>
      <c r="M1564" s="7">
        <f>IF(ISBLANK($B1564),_xlfn.XLOOKUP($A1564,'2. TEUs &amp; Activities - EF'!$A$9:$A$190,'2. TEUs &amp; Activities - EF'!$J$9:$J$190),_xlfn.XLOOKUP($B1564,'2. TEUs &amp; Activities - EF'!$B$9:$B$190,'2. TEUs &amp; Activities - EF'!$J$9:$J$190))*'3. Pollutant Emissions - EF'!$I1564*IF(OR(ISBLANK($E1564),$G1564="Yes"),1,$E1564)*IF($H1564="Yes",1,(1-$F1564))</f>
        <v>0.69612799999999986</v>
      </c>
      <c r="N1564" s="5">
        <f>IF(ISBLANK($B1564),_xlfn.XLOOKUP($A1564,'2. TEUs &amp; Activities - EF'!$A$9:$A$190,'2. TEUs &amp; Activities - EF'!$M$9:$M$190),_xlfn.XLOOKUP($B1564,'2. TEUs &amp; Activities - EF'!$B$9:$B$190,'2. TEUs &amp; Activities - EF'!$M$9:$M$190))*'3. Pollutant Emissions - EF'!$J1564*IF(OR(ISBLANK($E1564),$G1564="Yes"),1,$E1564)*IF($H1564="Yes",1,(1-$F1564))</f>
        <v>1.9072E-3</v>
      </c>
      <c r="O1564" s="130"/>
    </row>
    <row r="1565" spans="1:15" ht="15" x14ac:dyDescent="0.25">
      <c r="A1565" s="5" t="s">
        <v>1627</v>
      </c>
      <c r="B1565" s="7"/>
      <c r="C1565" s="13" t="s">
        <v>71</v>
      </c>
      <c r="D1565" s="19" t="str">
        <f>IFERROR(IF(C1565="No CAS","",INDEX('DEQ Pollutant List'!$B$7:$B$611,MATCH('3. Pollutant Emissions - EF'!C1565,'DEQ Pollutant List'!$A$7:$A$611,0))),"")</f>
        <v>Zinc and compounds</v>
      </c>
      <c r="E1565" s="23">
        <v>0</v>
      </c>
      <c r="F1565" s="21">
        <v>0</v>
      </c>
      <c r="G1565" s="23" t="s">
        <v>1415</v>
      </c>
      <c r="H1565" s="21" t="s">
        <v>1415</v>
      </c>
      <c r="I1565" s="34">
        <v>2.9000000000000001E-2</v>
      </c>
      <c r="J1565" s="11">
        <f t="shared" si="56"/>
        <v>2.9000000000000001E-2</v>
      </c>
      <c r="K1565" s="6" t="s">
        <v>1416</v>
      </c>
      <c r="L1565" s="20" t="s">
        <v>1422</v>
      </c>
      <c r="M1565" s="7">
        <f>IF(ISBLANK($B1565),_xlfn.XLOOKUP($A1565,'2. TEUs &amp; Activities - EF'!$A$9:$A$190,'2. TEUs &amp; Activities - EF'!$J$9:$J$190),_xlfn.XLOOKUP($B1565,'2. TEUs &amp; Activities - EF'!$B$9:$B$190,'2. TEUs &amp; Activities - EF'!$J$9:$J$190))*'3. Pollutant Emissions - EF'!$I1565*IF(OR(ISBLANK($E1565),$G1565="Yes"),1,$E1565)*IF($H1565="Yes",1,(1-$F1565))</f>
        <v>0.74219529411764706</v>
      </c>
      <c r="N1565" s="5">
        <f>IF(ISBLANK($B1565),_xlfn.XLOOKUP($A1565,'2. TEUs &amp; Activities - EF'!$A$9:$A$190,'2. TEUs &amp; Activities - EF'!$M$9:$M$190),_xlfn.XLOOKUP($B1565,'2. TEUs &amp; Activities - EF'!$B$9:$B$190,'2. TEUs &amp; Activities - EF'!$M$9:$M$190))*'3. Pollutant Emissions - EF'!$J1565*IF(OR(ISBLANK($E1565),$G1565="Yes"),1,$E1565)*IF($H1565="Yes",1,(1-$F1565))</f>
        <v>2.0334117647058825E-3</v>
      </c>
      <c r="O1565" s="130"/>
    </row>
    <row r="1566" spans="1:15" ht="15" x14ac:dyDescent="0.25">
      <c r="A1566" s="5"/>
      <c r="B1566" s="7"/>
      <c r="C1566" s="13"/>
      <c r="D1566" s="19" t="str">
        <f>IFERROR(IF(C1566="No CAS","",INDEX('DEQ Pollutant List'!$B$7:$B$611,MATCH('3. Pollutant Emissions - EF'!C1566,'DEQ Pollutant List'!$A$7:$A$611,0))),"")</f>
        <v/>
      </c>
      <c r="E1566" s="23"/>
      <c r="F1566" s="21"/>
      <c r="G1566" s="23"/>
      <c r="H1566" s="21"/>
      <c r="I1566" s="34"/>
      <c r="J1566" s="11"/>
      <c r="K1566" s="6"/>
      <c r="L1566" s="20"/>
      <c r="M1566" s="7">
        <f>IF(ISBLANK($B1566),_xlfn.XLOOKUP($A1566,'2. TEUs &amp; Activities - EF'!$A$9:$A$190,'2. TEUs &amp; Activities - EF'!$J$9:$J$190),_xlfn.XLOOKUP($B1566,'2. TEUs &amp; Activities - EF'!$B$9:$B$190,'2. TEUs &amp; Activities - EF'!$J$9:$J$190))*'3. Pollutant Emissions - EF'!$I1566*IF(OR(ISBLANK($E1566),$G1566="Yes"),1,$E1566)*IF($H1566="Yes",1,(1-$F1566))</f>
        <v>0</v>
      </c>
      <c r="N1566" s="5">
        <f>IF(ISBLANK($B1566),_xlfn.XLOOKUP($A1566,'2. TEUs &amp; Activities - EF'!$A$9:$A$190,'2. TEUs &amp; Activities - EF'!$M$9:$M$190),_xlfn.XLOOKUP($B1566,'2. TEUs &amp; Activities - EF'!$B$9:$B$190,'2. TEUs &amp; Activities - EF'!$M$9:$M$190))*'3. Pollutant Emissions - EF'!$J1566*IF(OR(ISBLANK($E1566),$G1566="Yes"),1,$E1566)*IF($H1566="Yes",1,(1-$F1566))</f>
        <v>0</v>
      </c>
      <c r="O1566" s="130"/>
    </row>
    <row r="1567" spans="1:15" ht="15" x14ac:dyDescent="0.25">
      <c r="A1567" s="5" t="s">
        <v>1628</v>
      </c>
      <c r="B1567" s="7"/>
      <c r="C1567" s="13" t="s">
        <v>48</v>
      </c>
      <c r="D1567" s="19" t="str">
        <f>IFERROR(IF(C1567="No CAS","",INDEX('DEQ Pollutant List'!$B$7:$B$611,MATCH('3. Pollutant Emissions - EF'!C1567,'DEQ Pollutant List'!$A$7:$A$611,0))),"")</f>
        <v>Benzo[a]pyrene</v>
      </c>
      <c r="E1567" s="23">
        <v>0</v>
      </c>
      <c r="F1567" s="21">
        <v>0</v>
      </c>
      <c r="G1567" s="23" t="s">
        <v>1415</v>
      </c>
      <c r="H1567" s="21" t="s">
        <v>1415</v>
      </c>
      <c r="I1567" s="34">
        <v>1.1999999999999999E-6</v>
      </c>
      <c r="J1567" s="11">
        <f t="shared" ref="J1567:J1593" si="57">I1567</f>
        <v>1.1999999999999999E-6</v>
      </c>
      <c r="K1567" s="6" t="s">
        <v>1416</v>
      </c>
      <c r="L1567" s="20" t="s">
        <v>1422</v>
      </c>
      <c r="M1567" s="7">
        <f>IF(ISBLANK($B1567),_xlfn.XLOOKUP($A1567,'2. TEUs &amp; Activities - EF'!$A$9:$A$190,'2. TEUs &amp; Activities - EF'!$J$9:$J$190),_xlfn.XLOOKUP($B1567,'2. TEUs &amp; Activities - EF'!$B$9:$B$190,'2. TEUs &amp; Activities - EF'!$J$9:$J$190))*'3. Pollutant Emissions - EF'!$I1567*IF(OR(ISBLANK($E1567),$G1567="Yes"),1,$E1567)*IF($H1567="Yes",1,(1-$F1567))</f>
        <v>3.0711529411764703E-5</v>
      </c>
      <c r="N1567" s="5">
        <f>IF(ISBLANK($B1567),_xlfn.XLOOKUP($A1567,'2. TEUs &amp; Activities - EF'!$A$9:$A$190,'2. TEUs &amp; Activities - EF'!$M$9:$M$190),_xlfn.XLOOKUP($B1567,'2. TEUs &amp; Activities - EF'!$B$9:$B$190,'2. TEUs &amp; Activities - EF'!$M$9:$M$190))*'3. Pollutant Emissions - EF'!$J1567*IF(OR(ISBLANK($E1567),$G1567="Yes"),1,$E1567)*IF($H1567="Yes",1,(1-$F1567))</f>
        <v>8.4141176470588241E-8</v>
      </c>
      <c r="O1567" s="130"/>
    </row>
    <row r="1568" spans="1:15" ht="15" x14ac:dyDescent="0.25">
      <c r="A1568" s="5" t="s">
        <v>1628</v>
      </c>
      <c r="B1568" s="7"/>
      <c r="C1568" s="13" t="s">
        <v>50</v>
      </c>
      <c r="D1568" s="19" t="str">
        <f>IFERROR(IF(C1568="No CAS","",INDEX('DEQ Pollutant List'!$B$7:$B$611,MATCH('3. Pollutant Emissions - EF'!C1568,'DEQ Pollutant List'!$A$7:$A$611,0))),"")</f>
        <v>Acetaldehyde</v>
      </c>
      <c r="E1568" s="23">
        <v>0</v>
      </c>
      <c r="F1568" s="21">
        <v>0</v>
      </c>
      <c r="G1568" s="23" t="s">
        <v>1415</v>
      </c>
      <c r="H1568" s="21" t="s">
        <v>1415</v>
      </c>
      <c r="I1568" s="34">
        <v>4.3E-3</v>
      </c>
      <c r="J1568" s="11">
        <f t="shared" si="57"/>
        <v>4.3E-3</v>
      </c>
      <c r="K1568" s="6" t="s">
        <v>1416</v>
      </c>
      <c r="L1568" s="20" t="s">
        <v>1422</v>
      </c>
      <c r="M1568" s="7">
        <f>IF(ISBLANK($B1568),_xlfn.XLOOKUP($A1568,'2. TEUs &amp; Activities - EF'!$A$9:$A$190,'2. TEUs &amp; Activities - EF'!$J$9:$J$190),_xlfn.XLOOKUP($B1568,'2. TEUs &amp; Activities - EF'!$B$9:$B$190,'2. TEUs &amp; Activities - EF'!$J$9:$J$190))*'3. Pollutant Emissions - EF'!$I1568*IF(OR(ISBLANK($E1568),$G1568="Yes"),1,$E1568)*IF($H1568="Yes",1,(1-$F1568))</f>
        <v>0.11004964705882352</v>
      </c>
      <c r="N1568" s="5">
        <f>IF(ISBLANK($B1568),_xlfn.XLOOKUP($A1568,'2. TEUs &amp; Activities - EF'!$A$9:$A$190,'2. TEUs &amp; Activities - EF'!$M$9:$M$190),_xlfn.XLOOKUP($B1568,'2. TEUs &amp; Activities - EF'!$B$9:$B$190,'2. TEUs &amp; Activities - EF'!$M$9:$M$190))*'3. Pollutant Emissions - EF'!$J1568*IF(OR(ISBLANK($E1568),$G1568="Yes"),1,$E1568)*IF($H1568="Yes",1,(1-$F1568))</f>
        <v>3.0150588235294118E-4</v>
      </c>
      <c r="O1568" s="130"/>
    </row>
    <row r="1569" spans="1:15" ht="15" x14ac:dyDescent="0.25">
      <c r="A1569" s="5" t="s">
        <v>1628</v>
      </c>
      <c r="B1569" s="7"/>
      <c r="C1569" s="13" t="s">
        <v>51</v>
      </c>
      <c r="D1569" s="19" t="str">
        <f>IFERROR(IF(C1569="No CAS","",INDEX('DEQ Pollutant List'!$B$7:$B$611,MATCH('3. Pollutant Emissions - EF'!C1569,'DEQ Pollutant List'!$A$7:$A$611,0))),"")</f>
        <v>Acrolein</v>
      </c>
      <c r="E1569" s="23">
        <v>0</v>
      </c>
      <c r="F1569" s="21">
        <v>0</v>
      </c>
      <c r="G1569" s="23" t="s">
        <v>1415</v>
      </c>
      <c r="H1569" s="21" t="s">
        <v>1415</v>
      </c>
      <c r="I1569" s="34">
        <v>2.7000000000000001E-3</v>
      </c>
      <c r="J1569" s="11">
        <f t="shared" si="57"/>
        <v>2.7000000000000001E-3</v>
      </c>
      <c r="K1569" s="6" t="s">
        <v>1416</v>
      </c>
      <c r="L1569" s="20" t="s">
        <v>1422</v>
      </c>
      <c r="M1569" s="7">
        <f>IF(ISBLANK($B1569),_xlfn.XLOOKUP($A1569,'2. TEUs &amp; Activities - EF'!$A$9:$A$190,'2. TEUs &amp; Activities - EF'!$J$9:$J$190),_xlfn.XLOOKUP($B1569,'2. TEUs &amp; Activities - EF'!$B$9:$B$190,'2. TEUs &amp; Activities - EF'!$J$9:$J$190))*'3. Pollutant Emissions - EF'!$I1569*IF(OR(ISBLANK($E1569),$G1569="Yes"),1,$E1569)*IF($H1569="Yes",1,(1-$F1569))</f>
        <v>6.9100941176470587E-2</v>
      </c>
      <c r="N1569" s="5">
        <f>IF(ISBLANK($B1569),_xlfn.XLOOKUP($A1569,'2. TEUs &amp; Activities - EF'!$A$9:$A$190,'2. TEUs &amp; Activities - EF'!$M$9:$M$190),_xlfn.XLOOKUP($B1569,'2. TEUs &amp; Activities - EF'!$B$9:$B$190,'2. TEUs &amp; Activities - EF'!$M$9:$M$190))*'3. Pollutant Emissions - EF'!$J1569*IF(OR(ISBLANK($E1569),$G1569="Yes"),1,$E1569)*IF($H1569="Yes",1,(1-$F1569))</f>
        <v>1.8931764705882356E-4</v>
      </c>
      <c r="O1569" s="130"/>
    </row>
    <row r="1570" spans="1:15" ht="15" x14ac:dyDescent="0.25">
      <c r="A1570" s="5" t="s">
        <v>1628</v>
      </c>
      <c r="B1570" s="7"/>
      <c r="C1570" s="13" t="s">
        <v>52</v>
      </c>
      <c r="D1570" s="19" t="str">
        <f>IFERROR(IF(C1570="No CAS","",INDEX('DEQ Pollutant List'!$B$7:$B$611,MATCH('3. Pollutant Emissions - EF'!C1570,'DEQ Pollutant List'!$A$7:$A$611,0))),"")</f>
        <v>Ammonia</v>
      </c>
      <c r="E1570" s="23">
        <v>0</v>
      </c>
      <c r="F1570" s="21">
        <v>0</v>
      </c>
      <c r="G1570" s="23" t="s">
        <v>1415</v>
      </c>
      <c r="H1570" s="21" t="s">
        <v>1415</v>
      </c>
      <c r="I1570" s="34">
        <v>3.2</v>
      </c>
      <c r="J1570" s="11">
        <f t="shared" si="57"/>
        <v>3.2</v>
      </c>
      <c r="K1570" s="6" t="s">
        <v>1416</v>
      </c>
      <c r="L1570" s="20" t="s">
        <v>1586</v>
      </c>
      <c r="M1570" s="7">
        <f>IF(ISBLANK($B1570),_xlfn.XLOOKUP($A1570,'2. TEUs &amp; Activities - EF'!$A$9:$A$190,'2. TEUs &amp; Activities - EF'!$J$9:$J$190),_xlfn.XLOOKUP($B1570,'2. TEUs &amp; Activities - EF'!$B$9:$B$190,'2. TEUs &amp; Activities - EF'!$J$9:$J$190))*'3. Pollutant Emissions - EF'!$I1570*IF(OR(ISBLANK($E1570),$G1570="Yes"),1,$E1570)*IF($H1570="Yes",1,(1-$F1570))</f>
        <v>81.897411764705879</v>
      </c>
      <c r="N1570" s="5">
        <f>IF(ISBLANK($B1570),_xlfn.XLOOKUP($A1570,'2. TEUs &amp; Activities - EF'!$A$9:$A$190,'2. TEUs &amp; Activities - EF'!$M$9:$M$190),_xlfn.XLOOKUP($B1570,'2. TEUs &amp; Activities - EF'!$B$9:$B$190,'2. TEUs &amp; Activities - EF'!$M$9:$M$190))*'3. Pollutant Emissions - EF'!$J1570*IF(OR(ISBLANK($E1570),$G1570="Yes"),1,$E1570)*IF($H1570="Yes",1,(1-$F1570))</f>
        <v>0.22437647058823532</v>
      </c>
      <c r="O1570" s="130"/>
    </row>
    <row r="1571" spans="1:15" ht="15" x14ac:dyDescent="0.25">
      <c r="A1571" s="5" t="s">
        <v>1628</v>
      </c>
      <c r="B1571" s="7"/>
      <c r="C1571" s="13" t="s">
        <v>53</v>
      </c>
      <c r="D1571" s="19" t="str">
        <f>IFERROR(IF(C1571="No CAS","",INDEX('DEQ Pollutant List'!$B$7:$B$611,MATCH('3. Pollutant Emissions - EF'!C1571,'DEQ Pollutant List'!$A$7:$A$611,0))),"")</f>
        <v>Arsenic and compounds</v>
      </c>
      <c r="E1571" s="23">
        <v>0</v>
      </c>
      <c r="F1571" s="21">
        <v>0</v>
      </c>
      <c r="G1571" s="23" t="s">
        <v>1415</v>
      </c>
      <c r="H1571" s="21" t="s">
        <v>1415</v>
      </c>
      <c r="I1571" s="34">
        <v>2.0000000000000001E-4</v>
      </c>
      <c r="J1571" s="11">
        <f t="shared" si="57"/>
        <v>2.0000000000000001E-4</v>
      </c>
      <c r="K1571" s="6" t="s">
        <v>1416</v>
      </c>
      <c r="L1571" s="20" t="s">
        <v>1422</v>
      </c>
      <c r="M1571" s="7">
        <f>IF(ISBLANK($B1571),_xlfn.XLOOKUP($A1571,'2. TEUs &amp; Activities - EF'!$A$9:$A$190,'2. TEUs &amp; Activities - EF'!$J$9:$J$190),_xlfn.XLOOKUP($B1571,'2. TEUs &amp; Activities - EF'!$B$9:$B$190,'2. TEUs &amp; Activities - EF'!$J$9:$J$190))*'3. Pollutant Emissions - EF'!$I1571*IF(OR(ISBLANK($E1571),$G1571="Yes"),1,$E1571)*IF($H1571="Yes",1,(1-$F1571))</f>
        <v>5.118588235294117E-3</v>
      </c>
      <c r="N1571" s="5">
        <f>IF(ISBLANK($B1571),_xlfn.XLOOKUP($A1571,'2. TEUs &amp; Activities - EF'!$A$9:$A$190,'2. TEUs &amp; Activities - EF'!$M$9:$M$190),_xlfn.XLOOKUP($B1571,'2. TEUs &amp; Activities - EF'!$B$9:$B$190,'2. TEUs &amp; Activities - EF'!$M$9:$M$190))*'3. Pollutant Emissions - EF'!$J1571*IF(OR(ISBLANK($E1571),$G1571="Yes"),1,$E1571)*IF($H1571="Yes",1,(1-$F1571))</f>
        <v>1.4023529411764708E-5</v>
      </c>
      <c r="O1571" s="130"/>
    </row>
    <row r="1572" spans="1:15" ht="15" x14ac:dyDescent="0.25">
      <c r="A1572" s="5" t="s">
        <v>1628</v>
      </c>
      <c r="B1572" s="7"/>
      <c r="C1572" s="13" t="s">
        <v>54</v>
      </c>
      <c r="D1572" s="19" t="str">
        <f>IFERROR(IF(C1572="No CAS","",INDEX('DEQ Pollutant List'!$B$7:$B$611,MATCH('3. Pollutant Emissions - EF'!C1572,'DEQ Pollutant List'!$A$7:$A$611,0))),"")</f>
        <v>Barium and compounds</v>
      </c>
      <c r="E1572" s="23">
        <v>0</v>
      </c>
      <c r="F1572" s="21">
        <v>0</v>
      </c>
      <c r="G1572" s="23" t="s">
        <v>1415</v>
      </c>
      <c r="H1572" s="21" t="s">
        <v>1415</v>
      </c>
      <c r="I1572" s="34">
        <v>4.4000000000000003E-3</v>
      </c>
      <c r="J1572" s="11">
        <f t="shared" si="57"/>
        <v>4.4000000000000003E-3</v>
      </c>
      <c r="K1572" s="6" t="s">
        <v>1416</v>
      </c>
      <c r="L1572" s="20" t="s">
        <v>1422</v>
      </c>
      <c r="M1572" s="7">
        <f>IF(ISBLANK($B1572),_xlfn.XLOOKUP($A1572,'2. TEUs &amp; Activities - EF'!$A$9:$A$190,'2. TEUs &amp; Activities - EF'!$J$9:$J$190),_xlfn.XLOOKUP($B1572,'2. TEUs &amp; Activities - EF'!$B$9:$B$190,'2. TEUs &amp; Activities - EF'!$J$9:$J$190))*'3. Pollutant Emissions - EF'!$I1572*IF(OR(ISBLANK($E1572),$G1572="Yes"),1,$E1572)*IF($H1572="Yes",1,(1-$F1572))</f>
        <v>0.11260894117647058</v>
      </c>
      <c r="N1572" s="5">
        <f>IF(ISBLANK($B1572),_xlfn.XLOOKUP($A1572,'2. TEUs &amp; Activities - EF'!$A$9:$A$190,'2. TEUs &amp; Activities - EF'!$M$9:$M$190),_xlfn.XLOOKUP($B1572,'2. TEUs &amp; Activities - EF'!$B$9:$B$190,'2. TEUs &amp; Activities - EF'!$M$9:$M$190))*'3. Pollutant Emissions - EF'!$J1572*IF(OR(ISBLANK($E1572),$G1572="Yes"),1,$E1572)*IF($H1572="Yes",1,(1-$F1572))</f>
        <v>3.0851764705882358E-4</v>
      </c>
      <c r="O1572" s="130"/>
    </row>
    <row r="1573" spans="1:15" ht="15" x14ac:dyDescent="0.25">
      <c r="A1573" s="5" t="s">
        <v>1628</v>
      </c>
      <c r="B1573" s="7"/>
      <c r="C1573" s="13" t="s">
        <v>46</v>
      </c>
      <c r="D1573" s="19" t="str">
        <f>IFERROR(IF(C1573="No CAS","",INDEX('DEQ Pollutant List'!$B$7:$B$611,MATCH('3. Pollutant Emissions - EF'!C1573,'DEQ Pollutant List'!$A$7:$A$611,0))),"")</f>
        <v>Benzene</v>
      </c>
      <c r="E1573" s="23">
        <v>0</v>
      </c>
      <c r="F1573" s="21">
        <v>0</v>
      </c>
      <c r="G1573" s="23" t="s">
        <v>1415</v>
      </c>
      <c r="H1573" s="21" t="s">
        <v>1415</v>
      </c>
      <c r="I1573" s="34">
        <v>8.0000000000000002E-3</v>
      </c>
      <c r="J1573" s="11">
        <f t="shared" si="57"/>
        <v>8.0000000000000002E-3</v>
      </c>
      <c r="K1573" s="6" t="s">
        <v>1416</v>
      </c>
      <c r="L1573" s="20" t="s">
        <v>1422</v>
      </c>
      <c r="M1573" s="7">
        <f>IF(ISBLANK($B1573),_xlfn.XLOOKUP($A1573,'2. TEUs &amp; Activities - EF'!$A$9:$A$190,'2. TEUs &amp; Activities - EF'!$J$9:$J$190),_xlfn.XLOOKUP($B1573,'2. TEUs &amp; Activities - EF'!$B$9:$B$190,'2. TEUs &amp; Activities - EF'!$J$9:$J$190))*'3. Pollutant Emissions - EF'!$I1573*IF(OR(ISBLANK($E1573),$G1573="Yes"),1,$E1573)*IF($H1573="Yes",1,(1-$F1573))</f>
        <v>0.20474352941176469</v>
      </c>
      <c r="N1573" s="5">
        <f>IF(ISBLANK($B1573),_xlfn.XLOOKUP($A1573,'2. TEUs &amp; Activities - EF'!$A$9:$A$190,'2. TEUs &amp; Activities - EF'!$M$9:$M$190),_xlfn.XLOOKUP($B1573,'2. TEUs &amp; Activities - EF'!$B$9:$B$190,'2. TEUs &amp; Activities - EF'!$M$9:$M$190))*'3. Pollutant Emissions - EF'!$J1573*IF(OR(ISBLANK($E1573),$G1573="Yes"),1,$E1573)*IF($H1573="Yes",1,(1-$F1573))</f>
        <v>5.6094117647058827E-4</v>
      </c>
      <c r="O1573" s="130"/>
    </row>
    <row r="1574" spans="1:15" ht="15" x14ac:dyDescent="0.25">
      <c r="A1574" s="5" t="s">
        <v>1628</v>
      </c>
      <c r="B1574" s="7"/>
      <c r="C1574" s="13" t="s">
        <v>55</v>
      </c>
      <c r="D1574" s="19" t="str">
        <f>IFERROR(IF(C1574="No CAS","",INDEX('DEQ Pollutant List'!$B$7:$B$611,MATCH('3. Pollutant Emissions - EF'!C1574,'DEQ Pollutant List'!$A$7:$A$611,0))),"")</f>
        <v>Beryllium and compounds</v>
      </c>
      <c r="E1574" s="23">
        <v>0</v>
      </c>
      <c r="F1574" s="21">
        <v>0</v>
      </c>
      <c r="G1574" s="23" t="s">
        <v>1415</v>
      </c>
      <c r="H1574" s="21" t="s">
        <v>1415</v>
      </c>
      <c r="I1574" s="34">
        <v>1.2E-5</v>
      </c>
      <c r="J1574" s="11">
        <f t="shared" si="57"/>
        <v>1.2E-5</v>
      </c>
      <c r="K1574" s="6" t="s">
        <v>1416</v>
      </c>
      <c r="L1574" s="20" t="s">
        <v>1422</v>
      </c>
      <c r="M1574" s="7">
        <f>IF(ISBLANK($B1574),_xlfn.XLOOKUP($A1574,'2. TEUs &amp; Activities - EF'!$A$9:$A$190,'2. TEUs &amp; Activities - EF'!$J$9:$J$190),_xlfn.XLOOKUP($B1574,'2. TEUs &amp; Activities - EF'!$B$9:$B$190,'2. TEUs &amp; Activities - EF'!$J$9:$J$190))*'3. Pollutant Emissions - EF'!$I1574*IF(OR(ISBLANK($E1574),$G1574="Yes"),1,$E1574)*IF($H1574="Yes",1,(1-$F1574))</f>
        <v>3.0711529411764702E-4</v>
      </c>
      <c r="N1574" s="5">
        <f>IF(ISBLANK($B1574),_xlfn.XLOOKUP($A1574,'2. TEUs &amp; Activities - EF'!$A$9:$A$190,'2. TEUs &amp; Activities - EF'!$M$9:$M$190),_xlfn.XLOOKUP($B1574,'2. TEUs &amp; Activities - EF'!$B$9:$B$190,'2. TEUs &amp; Activities - EF'!$M$9:$M$190))*'3. Pollutant Emissions - EF'!$J1574*IF(OR(ISBLANK($E1574),$G1574="Yes"),1,$E1574)*IF($H1574="Yes",1,(1-$F1574))</f>
        <v>8.4141176470588243E-7</v>
      </c>
      <c r="O1574" s="130"/>
    </row>
    <row r="1575" spans="1:15" ht="15" x14ac:dyDescent="0.25">
      <c r="A1575" s="5" t="s">
        <v>1628</v>
      </c>
      <c r="B1575" s="7"/>
      <c r="C1575" s="13" t="s">
        <v>56</v>
      </c>
      <c r="D1575" s="19" t="str">
        <f>IFERROR(IF(C1575="No CAS","",INDEX('DEQ Pollutant List'!$B$7:$B$611,MATCH('3. Pollutant Emissions - EF'!C1575,'DEQ Pollutant List'!$A$7:$A$611,0))),"")</f>
        <v>Cadmium and compounds</v>
      </c>
      <c r="E1575" s="23">
        <v>0</v>
      </c>
      <c r="F1575" s="21">
        <v>0</v>
      </c>
      <c r="G1575" s="23" t="s">
        <v>1415</v>
      </c>
      <c r="H1575" s="21" t="s">
        <v>1415</v>
      </c>
      <c r="I1575" s="34">
        <v>1.1000000000000001E-3</v>
      </c>
      <c r="J1575" s="11">
        <f t="shared" si="57"/>
        <v>1.1000000000000001E-3</v>
      </c>
      <c r="K1575" s="6" t="s">
        <v>1416</v>
      </c>
      <c r="L1575" s="20" t="s">
        <v>1422</v>
      </c>
      <c r="M1575" s="7">
        <f>IF(ISBLANK($B1575),_xlfn.XLOOKUP($A1575,'2. TEUs &amp; Activities - EF'!$A$9:$A$190,'2. TEUs &amp; Activities - EF'!$J$9:$J$190),_xlfn.XLOOKUP($B1575,'2. TEUs &amp; Activities - EF'!$B$9:$B$190,'2. TEUs &amp; Activities - EF'!$J$9:$J$190))*'3. Pollutant Emissions - EF'!$I1575*IF(OR(ISBLANK($E1575),$G1575="Yes"),1,$E1575)*IF($H1575="Yes",1,(1-$F1575))</f>
        <v>2.8152235294117645E-2</v>
      </c>
      <c r="N1575" s="5">
        <f>IF(ISBLANK($B1575),_xlfn.XLOOKUP($A1575,'2. TEUs &amp; Activities - EF'!$A$9:$A$190,'2. TEUs &amp; Activities - EF'!$M$9:$M$190),_xlfn.XLOOKUP($B1575,'2. TEUs &amp; Activities - EF'!$B$9:$B$190,'2. TEUs &amp; Activities - EF'!$M$9:$M$190))*'3. Pollutant Emissions - EF'!$J1575*IF(OR(ISBLANK($E1575),$G1575="Yes"),1,$E1575)*IF($H1575="Yes",1,(1-$F1575))</f>
        <v>7.7129411764705896E-5</v>
      </c>
      <c r="O1575" s="130"/>
    </row>
    <row r="1576" spans="1:15" ht="15" x14ac:dyDescent="0.25">
      <c r="A1576" s="5" t="s">
        <v>1628</v>
      </c>
      <c r="B1576" s="7"/>
      <c r="C1576" s="13" t="s">
        <v>57</v>
      </c>
      <c r="D1576" s="19" t="str">
        <f>IFERROR(IF(C1576="No CAS","",INDEX('DEQ Pollutant List'!$B$7:$B$611,MATCH('3. Pollutant Emissions - EF'!C1576,'DEQ Pollutant List'!$A$7:$A$611,0))),"")</f>
        <v>Chromium VI, chromate and dichromate particulate</v>
      </c>
      <c r="E1576" s="23">
        <v>0</v>
      </c>
      <c r="F1576" s="21">
        <v>0</v>
      </c>
      <c r="G1576" s="23" t="s">
        <v>1415</v>
      </c>
      <c r="H1576" s="21" t="s">
        <v>1415</v>
      </c>
      <c r="I1576" s="34">
        <v>1.4E-3</v>
      </c>
      <c r="J1576" s="11">
        <f t="shared" si="57"/>
        <v>1.4E-3</v>
      </c>
      <c r="K1576" s="6" t="s">
        <v>1416</v>
      </c>
      <c r="L1576" s="20" t="s">
        <v>1422</v>
      </c>
      <c r="M1576" s="7">
        <f>IF(ISBLANK($B1576),_xlfn.XLOOKUP($A1576,'2. TEUs &amp; Activities - EF'!$A$9:$A$190,'2. TEUs &amp; Activities - EF'!$J$9:$J$190),_xlfn.XLOOKUP($B1576,'2. TEUs &amp; Activities - EF'!$B$9:$B$190,'2. TEUs &amp; Activities - EF'!$J$9:$J$190))*'3. Pollutant Emissions - EF'!$I1576*IF(OR(ISBLANK($E1576),$G1576="Yes"),1,$E1576)*IF($H1576="Yes",1,(1-$F1576))</f>
        <v>3.5830117647058818E-2</v>
      </c>
      <c r="N1576" s="5">
        <f>IF(ISBLANK($B1576),_xlfn.XLOOKUP($A1576,'2. TEUs &amp; Activities - EF'!$A$9:$A$190,'2. TEUs &amp; Activities - EF'!$M$9:$M$190),_xlfn.XLOOKUP($B1576,'2. TEUs &amp; Activities - EF'!$B$9:$B$190,'2. TEUs &amp; Activities - EF'!$M$9:$M$190))*'3. Pollutant Emissions - EF'!$J1576*IF(OR(ISBLANK($E1576),$G1576="Yes"),1,$E1576)*IF($H1576="Yes",1,(1-$F1576))</f>
        <v>9.8164705882352953E-5</v>
      </c>
      <c r="O1576" s="130"/>
    </row>
    <row r="1577" spans="1:15" ht="15" x14ac:dyDescent="0.25">
      <c r="A1577" s="5" t="s">
        <v>1628</v>
      </c>
      <c r="B1577" s="7"/>
      <c r="C1577" s="13" t="s">
        <v>58</v>
      </c>
      <c r="D1577" s="19" t="str">
        <f>IFERROR(IF(C1577="No CAS","",INDEX('DEQ Pollutant List'!$B$7:$B$611,MATCH('3. Pollutant Emissions - EF'!C1577,'DEQ Pollutant List'!$A$7:$A$611,0))),"")</f>
        <v>Cobalt and compounds</v>
      </c>
      <c r="E1577" s="23">
        <v>0</v>
      </c>
      <c r="F1577" s="21">
        <v>0</v>
      </c>
      <c r="G1577" s="23" t="s">
        <v>1415</v>
      </c>
      <c r="H1577" s="21" t="s">
        <v>1415</v>
      </c>
      <c r="I1577" s="34">
        <v>8.3999999999999995E-5</v>
      </c>
      <c r="J1577" s="11">
        <f t="shared" si="57"/>
        <v>8.3999999999999995E-5</v>
      </c>
      <c r="K1577" s="6" t="s">
        <v>1416</v>
      </c>
      <c r="L1577" s="20" t="s">
        <v>1422</v>
      </c>
      <c r="M1577" s="7">
        <f>IF(ISBLANK($B1577),_xlfn.XLOOKUP($A1577,'2. TEUs &amp; Activities - EF'!$A$9:$A$190,'2. TEUs &amp; Activities - EF'!$J$9:$J$190),_xlfn.XLOOKUP($B1577,'2. TEUs &amp; Activities - EF'!$B$9:$B$190,'2. TEUs &amp; Activities - EF'!$J$9:$J$190))*'3. Pollutant Emissions - EF'!$I1577*IF(OR(ISBLANK($E1577),$G1577="Yes"),1,$E1577)*IF($H1577="Yes",1,(1-$F1577))</f>
        <v>2.1498070588235291E-3</v>
      </c>
      <c r="N1577" s="5">
        <f>IF(ISBLANK($B1577),_xlfn.XLOOKUP($A1577,'2. TEUs &amp; Activities - EF'!$A$9:$A$190,'2. TEUs &amp; Activities - EF'!$M$9:$M$190),_xlfn.XLOOKUP($B1577,'2. TEUs &amp; Activities - EF'!$B$9:$B$190,'2. TEUs &amp; Activities - EF'!$M$9:$M$190))*'3. Pollutant Emissions - EF'!$J1577*IF(OR(ISBLANK($E1577),$G1577="Yes"),1,$E1577)*IF($H1577="Yes",1,(1-$F1577))</f>
        <v>5.8898823529411769E-6</v>
      </c>
      <c r="O1577" s="130"/>
    </row>
    <row r="1578" spans="1:15" ht="15" x14ac:dyDescent="0.25">
      <c r="A1578" s="5" t="s">
        <v>1628</v>
      </c>
      <c r="B1578" s="7"/>
      <c r="C1578" s="13" t="s">
        <v>59</v>
      </c>
      <c r="D1578" s="19" t="str">
        <f>IFERROR(IF(C1578="No CAS","",INDEX('DEQ Pollutant List'!$B$7:$B$611,MATCH('3. Pollutant Emissions - EF'!C1578,'DEQ Pollutant List'!$A$7:$A$611,0))),"")</f>
        <v>Copper and compounds</v>
      </c>
      <c r="E1578" s="23">
        <v>0</v>
      </c>
      <c r="F1578" s="21">
        <v>0</v>
      </c>
      <c r="G1578" s="23" t="s">
        <v>1415</v>
      </c>
      <c r="H1578" s="21" t="s">
        <v>1415</v>
      </c>
      <c r="I1578" s="34">
        <v>8.4999999999999995E-4</v>
      </c>
      <c r="J1578" s="11">
        <f t="shared" si="57"/>
        <v>8.4999999999999995E-4</v>
      </c>
      <c r="K1578" s="6" t="s">
        <v>1416</v>
      </c>
      <c r="L1578" s="20" t="s">
        <v>1422</v>
      </c>
      <c r="M1578" s="7">
        <f>IF(ISBLANK($B1578),_xlfn.XLOOKUP($A1578,'2. TEUs &amp; Activities - EF'!$A$9:$A$190,'2. TEUs &amp; Activities - EF'!$J$9:$J$190),_xlfn.XLOOKUP($B1578,'2. TEUs &amp; Activities - EF'!$B$9:$B$190,'2. TEUs &amp; Activities - EF'!$J$9:$J$190))*'3. Pollutant Emissions - EF'!$I1578*IF(OR(ISBLANK($E1578),$G1578="Yes"),1,$E1578)*IF($H1578="Yes",1,(1-$F1578))</f>
        <v>2.1753999999999996E-2</v>
      </c>
      <c r="N1578" s="5">
        <f>IF(ISBLANK($B1578),_xlfn.XLOOKUP($A1578,'2. TEUs &amp; Activities - EF'!$A$9:$A$190,'2. TEUs &amp; Activities - EF'!$M$9:$M$190),_xlfn.XLOOKUP($B1578,'2. TEUs &amp; Activities - EF'!$B$9:$B$190,'2. TEUs &amp; Activities - EF'!$M$9:$M$190))*'3. Pollutant Emissions - EF'!$J1578*IF(OR(ISBLANK($E1578),$G1578="Yes"),1,$E1578)*IF($H1578="Yes",1,(1-$F1578))</f>
        <v>5.9599999999999999E-5</v>
      </c>
      <c r="O1578" s="130"/>
    </row>
    <row r="1579" spans="1:15" ht="15" x14ac:dyDescent="0.25">
      <c r="A1579" s="5" t="s">
        <v>1628</v>
      </c>
      <c r="B1579" s="7"/>
      <c r="C1579" s="13" t="s">
        <v>60</v>
      </c>
      <c r="D1579" s="19" t="str">
        <f>IFERROR(IF(C1579="No CAS","",INDEX('DEQ Pollutant List'!$B$7:$B$611,MATCH('3. Pollutant Emissions - EF'!C1579,'DEQ Pollutant List'!$A$7:$A$611,0))),"")</f>
        <v>Ethyl benzene</v>
      </c>
      <c r="E1579" s="23">
        <v>0</v>
      </c>
      <c r="F1579" s="21">
        <v>0</v>
      </c>
      <c r="G1579" s="23" t="s">
        <v>1415</v>
      </c>
      <c r="H1579" s="21" t="s">
        <v>1415</v>
      </c>
      <c r="I1579" s="34">
        <v>9.4999999999999998E-3</v>
      </c>
      <c r="J1579" s="11">
        <f t="shared" si="57"/>
        <v>9.4999999999999998E-3</v>
      </c>
      <c r="K1579" s="6" t="s">
        <v>1416</v>
      </c>
      <c r="L1579" s="20" t="s">
        <v>1422</v>
      </c>
      <c r="M1579" s="7">
        <f>IF(ISBLANK($B1579),_xlfn.XLOOKUP($A1579,'2. TEUs &amp; Activities - EF'!$A$9:$A$190,'2. TEUs &amp; Activities - EF'!$J$9:$J$190),_xlfn.XLOOKUP($B1579,'2. TEUs &amp; Activities - EF'!$B$9:$B$190,'2. TEUs &amp; Activities - EF'!$J$9:$J$190))*'3. Pollutant Emissions - EF'!$I1579*IF(OR(ISBLANK($E1579),$G1579="Yes"),1,$E1579)*IF($H1579="Yes",1,(1-$F1579))</f>
        <v>0.24313294117647055</v>
      </c>
      <c r="N1579" s="5">
        <f>IF(ISBLANK($B1579),_xlfn.XLOOKUP($A1579,'2. TEUs &amp; Activities - EF'!$A$9:$A$190,'2. TEUs &amp; Activities - EF'!$M$9:$M$190),_xlfn.XLOOKUP($B1579,'2. TEUs &amp; Activities - EF'!$B$9:$B$190,'2. TEUs &amp; Activities - EF'!$M$9:$M$190))*'3. Pollutant Emissions - EF'!$J1579*IF(OR(ISBLANK($E1579),$G1579="Yes"),1,$E1579)*IF($H1579="Yes",1,(1-$F1579))</f>
        <v>6.6611764705882355E-4</v>
      </c>
      <c r="O1579" s="130"/>
    </row>
    <row r="1580" spans="1:15" ht="15" x14ac:dyDescent="0.25">
      <c r="A1580" s="5" t="s">
        <v>1628</v>
      </c>
      <c r="B1580" s="7"/>
      <c r="C1580" s="13" t="s">
        <v>47</v>
      </c>
      <c r="D1580" s="19" t="str">
        <f>IFERROR(IF(C1580="No CAS","",INDEX('DEQ Pollutant List'!$B$7:$B$611,MATCH('3. Pollutant Emissions - EF'!C1580,'DEQ Pollutant List'!$A$7:$A$611,0))),"")</f>
        <v>Formaldehyde</v>
      </c>
      <c r="E1580" s="23">
        <v>0</v>
      </c>
      <c r="F1580" s="21">
        <v>0</v>
      </c>
      <c r="G1580" s="23" t="s">
        <v>1415</v>
      </c>
      <c r="H1580" s="21" t="s">
        <v>1415</v>
      </c>
      <c r="I1580" s="34">
        <v>1.7000000000000001E-2</v>
      </c>
      <c r="J1580" s="11">
        <f t="shared" si="57"/>
        <v>1.7000000000000001E-2</v>
      </c>
      <c r="K1580" s="6" t="s">
        <v>1416</v>
      </c>
      <c r="L1580" s="20" t="s">
        <v>1422</v>
      </c>
      <c r="M1580" s="7">
        <f>IF(ISBLANK($B1580),_xlfn.XLOOKUP($A1580,'2. TEUs &amp; Activities - EF'!$A$9:$A$190,'2. TEUs &amp; Activities - EF'!$J$9:$J$190),_xlfn.XLOOKUP($B1580,'2. TEUs &amp; Activities - EF'!$B$9:$B$190,'2. TEUs &amp; Activities - EF'!$J$9:$J$190))*'3. Pollutant Emissions - EF'!$I1580*IF(OR(ISBLANK($E1580),$G1580="Yes"),1,$E1580)*IF($H1580="Yes",1,(1-$F1580))</f>
        <v>0.43507999999999997</v>
      </c>
      <c r="N1580" s="5">
        <f>IF(ISBLANK($B1580),_xlfn.XLOOKUP($A1580,'2. TEUs &amp; Activities - EF'!$A$9:$A$190,'2. TEUs &amp; Activities - EF'!$M$9:$M$190),_xlfn.XLOOKUP($B1580,'2. TEUs &amp; Activities - EF'!$B$9:$B$190,'2. TEUs &amp; Activities - EF'!$M$9:$M$190))*'3. Pollutant Emissions - EF'!$J1580*IF(OR(ISBLANK($E1580),$G1580="Yes"),1,$E1580)*IF($H1580="Yes",1,(1-$F1580))</f>
        <v>1.1920000000000001E-3</v>
      </c>
      <c r="O1580" s="130"/>
    </row>
    <row r="1581" spans="1:15" ht="15" x14ac:dyDescent="0.25">
      <c r="A1581" s="5" t="s">
        <v>1628</v>
      </c>
      <c r="B1581" s="7"/>
      <c r="C1581" s="13" t="s">
        <v>61</v>
      </c>
      <c r="D1581" s="19" t="str">
        <f>IFERROR(IF(C1581="No CAS","",INDEX('DEQ Pollutant List'!$B$7:$B$611,MATCH('3. Pollutant Emissions - EF'!C1581,'DEQ Pollutant List'!$A$7:$A$611,0))),"")</f>
        <v>Hexane</v>
      </c>
      <c r="E1581" s="23">
        <v>0</v>
      </c>
      <c r="F1581" s="21">
        <v>0</v>
      </c>
      <c r="G1581" s="23" t="s">
        <v>1415</v>
      </c>
      <c r="H1581" s="21" t="s">
        <v>1415</v>
      </c>
      <c r="I1581" s="34">
        <v>6.3E-3</v>
      </c>
      <c r="J1581" s="11">
        <f t="shared" si="57"/>
        <v>6.3E-3</v>
      </c>
      <c r="K1581" s="6" t="s">
        <v>1416</v>
      </c>
      <c r="L1581" s="20" t="s">
        <v>1422</v>
      </c>
      <c r="M1581" s="7">
        <f>IF(ISBLANK($B1581),_xlfn.XLOOKUP($A1581,'2. TEUs &amp; Activities - EF'!$A$9:$A$190,'2. TEUs &amp; Activities - EF'!$J$9:$J$190),_xlfn.XLOOKUP($B1581,'2. TEUs &amp; Activities - EF'!$B$9:$B$190,'2. TEUs &amp; Activities - EF'!$J$9:$J$190))*'3. Pollutant Emissions - EF'!$I1581*IF(OR(ISBLANK($E1581),$G1581="Yes"),1,$E1581)*IF($H1581="Yes",1,(1-$F1581))</f>
        <v>0.16123552941176469</v>
      </c>
      <c r="N1581" s="5">
        <f>IF(ISBLANK($B1581),_xlfn.XLOOKUP($A1581,'2. TEUs &amp; Activities - EF'!$A$9:$A$190,'2. TEUs &amp; Activities - EF'!$M$9:$M$190),_xlfn.XLOOKUP($B1581,'2. TEUs &amp; Activities - EF'!$B$9:$B$190,'2. TEUs &amp; Activities - EF'!$M$9:$M$190))*'3. Pollutant Emissions - EF'!$J1581*IF(OR(ISBLANK($E1581),$G1581="Yes"),1,$E1581)*IF($H1581="Yes",1,(1-$F1581))</f>
        <v>4.4174117647058825E-4</v>
      </c>
      <c r="O1581" s="130"/>
    </row>
    <row r="1582" spans="1:15" ht="15" x14ac:dyDescent="0.25">
      <c r="A1582" s="5" t="s">
        <v>1628</v>
      </c>
      <c r="B1582" s="7"/>
      <c r="C1582" s="13" t="s">
        <v>62</v>
      </c>
      <c r="D1582" s="19" t="str">
        <f>IFERROR(IF(C1582="No CAS","",INDEX('DEQ Pollutant List'!$B$7:$B$611,MATCH('3. Pollutant Emissions - EF'!C1582,'DEQ Pollutant List'!$A$7:$A$611,0))),"")</f>
        <v>Lead and compounds</v>
      </c>
      <c r="E1582" s="23">
        <v>0</v>
      </c>
      <c r="F1582" s="21">
        <v>0</v>
      </c>
      <c r="G1582" s="23" t="s">
        <v>1415</v>
      </c>
      <c r="H1582" s="21" t="s">
        <v>1415</v>
      </c>
      <c r="I1582" s="34">
        <v>5.0000000000000001E-4</v>
      </c>
      <c r="J1582" s="11">
        <f t="shared" si="57"/>
        <v>5.0000000000000001E-4</v>
      </c>
      <c r="K1582" s="6" t="s">
        <v>1416</v>
      </c>
      <c r="L1582" s="20" t="s">
        <v>1422</v>
      </c>
      <c r="M1582" s="7">
        <f>IF(ISBLANK($B1582),_xlfn.XLOOKUP($A1582,'2. TEUs &amp; Activities - EF'!$A$9:$A$190,'2. TEUs &amp; Activities - EF'!$J$9:$J$190),_xlfn.XLOOKUP($B1582,'2. TEUs &amp; Activities - EF'!$B$9:$B$190,'2. TEUs &amp; Activities - EF'!$J$9:$J$190))*'3. Pollutant Emissions - EF'!$I1582*IF(OR(ISBLANK($E1582),$G1582="Yes"),1,$E1582)*IF($H1582="Yes",1,(1-$F1582))</f>
        <v>1.2796470588235293E-2</v>
      </c>
      <c r="N1582" s="5">
        <f>IF(ISBLANK($B1582),_xlfn.XLOOKUP($A1582,'2. TEUs &amp; Activities - EF'!$A$9:$A$190,'2. TEUs &amp; Activities - EF'!$M$9:$M$190),_xlfn.XLOOKUP($B1582,'2. TEUs &amp; Activities - EF'!$B$9:$B$190,'2. TEUs &amp; Activities - EF'!$M$9:$M$190))*'3. Pollutant Emissions - EF'!$J1582*IF(OR(ISBLANK($E1582),$G1582="Yes"),1,$E1582)*IF($H1582="Yes",1,(1-$F1582))</f>
        <v>3.5058823529411767E-5</v>
      </c>
      <c r="O1582" s="130"/>
    </row>
    <row r="1583" spans="1:15" ht="15" x14ac:dyDescent="0.25">
      <c r="A1583" s="5" t="s">
        <v>1628</v>
      </c>
      <c r="B1583" s="7"/>
      <c r="C1583" s="13" t="s">
        <v>63</v>
      </c>
      <c r="D1583" s="19" t="str">
        <f>IFERROR(IF(C1583="No CAS","",INDEX('DEQ Pollutant List'!$B$7:$B$611,MATCH('3. Pollutant Emissions - EF'!C1583,'DEQ Pollutant List'!$A$7:$A$611,0))),"")</f>
        <v>Manganese and compounds</v>
      </c>
      <c r="E1583" s="23">
        <v>0</v>
      </c>
      <c r="F1583" s="21">
        <v>0</v>
      </c>
      <c r="G1583" s="23" t="s">
        <v>1415</v>
      </c>
      <c r="H1583" s="21" t="s">
        <v>1415</v>
      </c>
      <c r="I1583" s="34">
        <v>3.8000000000000002E-4</v>
      </c>
      <c r="J1583" s="11">
        <f t="shared" si="57"/>
        <v>3.8000000000000002E-4</v>
      </c>
      <c r="K1583" s="6" t="s">
        <v>1416</v>
      </c>
      <c r="L1583" s="20" t="s">
        <v>1422</v>
      </c>
      <c r="M1583" s="7">
        <f>IF(ISBLANK($B1583),_xlfn.XLOOKUP($A1583,'2. TEUs &amp; Activities - EF'!$A$9:$A$190,'2. TEUs &amp; Activities - EF'!$J$9:$J$190),_xlfn.XLOOKUP($B1583,'2. TEUs &amp; Activities - EF'!$B$9:$B$190,'2. TEUs &amp; Activities - EF'!$J$9:$J$190))*'3. Pollutant Emissions - EF'!$I1583*IF(OR(ISBLANK($E1583),$G1583="Yes"),1,$E1583)*IF($H1583="Yes",1,(1-$F1583))</f>
        <v>9.7253176470588221E-3</v>
      </c>
      <c r="N1583" s="5">
        <f>IF(ISBLANK($B1583),_xlfn.XLOOKUP($A1583,'2. TEUs &amp; Activities - EF'!$A$9:$A$190,'2. TEUs &amp; Activities - EF'!$M$9:$M$190),_xlfn.XLOOKUP($B1583,'2. TEUs &amp; Activities - EF'!$B$9:$B$190,'2. TEUs &amp; Activities - EF'!$M$9:$M$190))*'3. Pollutant Emissions - EF'!$J1583*IF(OR(ISBLANK($E1583),$G1583="Yes"),1,$E1583)*IF($H1583="Yes",1,(1-$F1583))</f>
        <v>2.6644705882352943E-5</v>
      </c>
      <c r="O1583" s="130"/>
    </row>
    <row r="1584" spans="1:15" ht="15" x14ac:dyDescent="0.25">
      <c r="A1584" s="5" t="s">
        <v>1628</v>
      </c>
      <c r="B1584" s="7"/>
      <c r="C1584" s="13" t="s">
        <v>64</v>
      </c>
      <c r="D1584" s="19" t="str">
        <f>IFERROR(IF(C1584="No CAS","",INDEX('DEQ Pollutant List'!$B$7:$B$611,MATCH('3. Pollutant Emissions - EF'!C1584,'DEQ Pollutant List'!$A$7:$A$611,0))),"")</f>
        <v>Mercury and compounds</v>
      </c>
      <c r="E1584" s="23">
        <v>0</v>
      </c>
      <c r="F1584" s="21">
        <v>0</v>
      </c>
      <c r="G1584" s="23" t="s">
        <v>1415</v>
      </c>
      <c r="H1584" s="21" t="s">
        <v>1415</v>
      </c>
      <c r="I1584" s="34">
        <v>2.5999999999999998E-4</v>
      </c>
      <c r="J1584" s="11">
        <f t="shared" si="57"/>
        <v>2.5999999999999998E-4</v>
      </c>
      <c r="K1584" s="6" t="s">
        <v>1416</v>
      </c>
      <c r="L1584" s="20" t="s">
        <v>1422</v>
      </c>
      <c r="M1584" s="7">
        <f>IF(ISBLANK($B1584),_xlfn.XLOOKUP($A1584,'2. TEUs &amp; Activities - EF'!$A$9:$A$190,'2. TEUs &amp; Activities - EF'!$J$9:$J$190),_xlfn.XLOOKUP($B1584,'2. TEUs &amp; Activities - EF'!$B$9:$B$190,'2. TEUs &amp; Activities - EF'!$J$9:$J$190))*'3. Pollutant Emissions - EF'!$I1584*IF(OR(ISBLANK($E1584),$G1584="Yes"),1,$E1584)*IF($H1584="Yes",1,(1-$F1584))</f>
        <v>6.6541647058823514E-3</v>
      </c>
      <c r="N1584" s="5">
        <f>IF(ISBLANK($B1584),_xlfn.XLOOKUP($A1584,'2. TEUs &amp; Activities - EF'!$A$9:$A$190,'2. TEUs &amp; Activities - EF'!$M$9:$M$190),_xlfn.XLOOKUP($B1584,'2. TEUs &amp; Activities - EF'!$B$9:$B$190,'2. TEUs &amp; Activities - EF'!$M$9:$M$190))*'3. Pollutant Emissions - EF'!$J1584*IF(OR(ISBLANK($E1584),$G1584="Yes"),1,$E1584)*IF($H1584="Yes",1,(1-$F1584))</f>
        <v>1.8230588235294116E-5</v>
      </c>
      <c r="O1584" s="130"/>
    </row>
    <row r="1585" spans="1:15" ht="15" x14ac:dyDescent="0.25">
      <c r="A1585" s="5" t="s">
        <v>1628</v>
      </c>
      <c r="B1585" s="7"/>
      <c r="C1585" s="13" t="s">
        <v>65</v>
      </c>
      <c r="D1585" s="19" t="str">
        <f>IFERROR(IF(C1585="No CAS","",INDEX('DEQ Pollutant List'!$B$7:$B$611,MATCH('3. Pollutant Emissions - EF'!C1585,'DEQ Pollutant List'!$A$7:$A$611,0))),"")</f>
        <v>Molybdenum trioxide</v>
      </c>
      <c r="E1585" s="23">
        <v>0</v>
      </c>
      <c r="F1585" s="21">
        <v>0</v>
      </c>
      <c r="G1585" s="23" t="s">
        <v>1415</v>
      </c>
      <c r="H1585" s="21" t="s">
        <v>1415</v>
      </c>
      <c r="I1585" s="34">
        <v>1.65E-3</v>
      </c>
      <c r="J1585" s="11">
        <f t="shared" si="57"/>
        <v>1.65E-3</v>
      </c>
      <c r="K1585" s="6" t="s">
        <v>1416</v>
      </c>
      <c r="L1585" s="20" t="s">
        <v>1422</v>
      </c>
      <c r="M1585" s="7">
        <f>IF(ISBLANK($B1585),_xlfn.XLOOKUP($A1585,'2. TEUs &amp; Activities - EF'!$A$9:$A$190,'2. TEUs &amp; Activities - EF'!$J$9:$J$190),_xlfn.XLOOKUP($B1585,'2. TEUs &amp; Activities - EF'!$B$9:$B$190,'2. TEUs &amp; Activities - EF'!$J$9:$J$190))*'3. Pollutant Emissions - EF'!$I1585*IF(OR(ISBLANK($E1585),$G1585="Yes"),1,$E1585)*IF($H1585="Yes",1,(1-$F1585))</f>
        <v>4.2228352941176467E-2</v>
      </c>
      <c r="N1585" s="5">
        <f>IF(ISBLANK($B1585),_xlfn.XLOOKUP($A1585,'2. TEUs &amp; Activities - EF'!$A$9:$A$190,'2. TEUs &amp; Activities - EF'!$M$9:$M$190),_xlfn.XLOOKUP($B1585,'2. TEUs &amp; Activities - EF'!$B$9:$B$190,'2. TEUs &amp; Activities - EF'!$M$9:$M$190))*'3. Pollutant Emissions - EF'!$J1585*IF(OR(ISBLANK($E1585),$G1585="Yes"),1,$E1585)*IF($H1585="Yes",1,(1-$F1585))</f>
        <v>1.1569411764705884E-4</v>
      </c>
      <c r="O1585" s="130"/>
    </row>
    <row r="1586" spans="1:15" ht="15" x14ac:dyDescent="0.25">
      <c r="A1586" s="5" t="s">
        <v>1628</v>
      </c>
      <c r="B1586" s="7"/>
      <c r="C1586" s="13" t="s">
        <v>49</v>
      </c>
      <c r="D1586" s="19" t="str">
        <f>IFERROR(IF(C1586="No CAS","",INDEX('DEQ Pollutant List'!$B$7:$B$611,MATCH('3. Pollutant Emissions - EF'!C1586,'DEQ Pollutant List'!$A$7:$A$611,0))),"")</f>
        <v>Naphthalene</v>
      </c>
      <c r="E1586" s="23">
        <v>0</v>
      </c>
      <c r="F1586" s="21">
        <v>0</v>
      </c>
      <c r="G1586" s="23" t="s">
        <v>1415</v>
      </c>
      <c r="H1586" s="21" t="s">
        <v>1415</v>
      </c>
      <c r="I1586" s="34">
        <v>2.9999999999999997E-4</v>
      </c>
      <c r="J1586" s="11">
        <f t="shared" si="57"/>
        <v>2.9999999999999997E-4</v>
      </c>
      <c r="K1586" s="6" t="s">
        <v>1416</v>
      </c>
      <c r="L1586" s="20" t="s">
        <v>1422</v>
      </c>
      <c r="M1586" s="7">
        <f>IF(ISBLANK($B1586),_xlfn.XLOOKUP($A1586,'2. TEUs &amp; Activities - EF'!$A$9:$A$190,'2. TEUs &amp; Activities - EF'!$J$9:$J$190),_xlfn.XLOOKUP($B1586,'2. TEUs &amp; Activities - EF'!$B$9:$B$190,'2. TEUs &amp; Activities - EF'!$J$9:$J$190))*'3. Pollutant Emissions - EF'!$I1586*IF(OR(ISBLANK($E1586),$G1586="Yes"),1,$E1586)*IF($H1586="Yes",1,(1-$F1586))</f>
        <v>7.677882352941175E-3</v>
      </c>
      <c r="N1586" s="5">
        <f>IF(ISBLANK($B1586),_xlfn.XLOOKUP($A1586,'2. TEUs &amp; Activities - EF'!$A$9:$A$190,'2. TEUs &amp; Activities - EF'!$M$9:$M$190),_xlfn.XLOOKUP($B1586,'2. TEUs &amp; Activities - EF'!$B$9:$B$190,'2. TEUs &amp; Activities - EF'!$M$9:$M$190))*'3. Pollutant Emissions - EF'!$J1586*IF(OR(ISBLANK($E1586),$G1586="Yes"),1,$E1586)*IF($H1586="Yes",1,(1-$F1586))</f>
        <v>2.1035294117647058E-5</v>
      </c>
      <c r="O1586" s="130"/>
    </row>
    <row r="1587" spans="1:15" ht="15" x14ac:dyDescent="0.25">
      <c r="A1587" s="5" t="s">
        <v>1628</v>
      </c>
      <c r="B1587" s="7"/>
      <c r="C1587" s="13" t="s">
        <v>66</v>
      </c>
      <c r="D1587" s="19" t="str">
        <f>IFERROR(IF(C1587="No CAS","",INDEX('DEQ Pollutant List'!$B$7:$B$611,MATCH('3. Pollutant Emissions - EF'!C1587,'DEQ Pollutant List'!$A$7:$A$611,0))),"")</f>
        <v>Nickel and compounds</v>
      </c>
      <c r="E1587" s="23">
        <v>0</v>
      </c>
      <c r="F1587" s="21">
        <v>0</v>
      </c>
      <c r="G1587" s="23" t="s">
        <v>1415</v>
      </c>
      <c r="H1587" s="21" t="s">
        <v>1415</v>
      </c>
      <c r="I1587" s="34">
        <v>2.0999999999999999E-3</v>
      </c>
      <c r="J1587" s="11">
        <f t="shared" si="57"/>
        <v>2.0999999999999999E-3</v>
      </c>
      <c r="K1587" s="6" t="s">
        <v>1416</v>
      </c>
      <c r="L1587" s="20" t="s">
        <v>1422</v>
      </c>
      <c r="M1587" s="7">
        <f>IF(ISBLANK($B1587),_xlfn.XLOOKUP($A1587,'2. TEUs &amp; Activities - EF'!$A$9:$A$190,'2. TEUs &amp; Activities - EF'!$J$9:$J$190),_xlfn.XLOOKUP($B1587,'2. TEUs &amp; Activities - EF'!$B$9:$B$190,'2. TEUs &amp; Activities - EF'!$J$9:$J$190))*'3. Pollutant Emissions - EF'!$I1587*IF(OR(ISBLANK($E1587),$G1587="Yes"),1,$E1587)*IF($H1587="Yes",1,(1-$F1587))</f>
        <v>5.3745176470588227E-2</v>
      </c>
      <c r="N1587" s="5">
        <f>IF(ISBLANK($B1587),_xlfn.XLOOKUP($A1587,'2. TEUs &amp; Activities - EF'!$A$9:$A$190,'2. TEUs &amp; Activities - EF'!$M$9:$M$190),_xlfn.XLOOKUP($B1587,'2. TEUs &amp; Activities - EF'!$B$9:$B$190,'2. TEUs &amp; Activities - EF'!$M$9:$M$190))*'3. Pollutant Emissions - EF'!$J1587*IF(OR(ISBLANK($E1587),$G1587="Yes"),1,$E1587)*IF($H1587="Yes",1,(1-$F1587))</f>
        <v>1.4724705882352942E-4</v>
      </c>
      <c r="O1587" s="130"/>
    </row>
    <row r="1588" spans="1:15" ht="15" x14ac:dyDescent="0.25">
      <c r="A1588" s="5" t="s">
        <v>1628</v>
      </c>
      <c r="B1588" s="7"/>
      <c r="C1588" s="13">
        <v>401</v>
      </c>
      <c r="D1588" s="19" t="str">
        <f>IFERROR(IF(C1588="No CAS","",INDEX('DEQ Pollutant List'!$B$7:$B$611,MATCH('3. Pollutant Emissions - EF'!C1588,'DEQ Pollutant List'!$A$7:$A$611,0))),"")</f>
        <v>Polycyclic aromatic hydrocarbons (PAHs)</v>
      </c>
      <c r="E1588" s="23">
        <v>0</v>
      </c>
      <c r="F1588" s="21">
        <v>0</v>
      </c>
      <c r="G1588" s="23" t="s">
        <v>1415</v>
      </c>
      <c r="H1588" s="21" t="s">
        <v>1415</v>
      </c>
      <c r="I1588" s="34">
        <v>1E-4</v>
      </c>
      <c r="J1588" s="11">
        <f t="shared" si="57"/>
        <v>1E-4</v>
      </c>
      <c r="K1588" s="6" t="s">
        <v>1416</v>
      </c>
      <c r="L1588" s="20" t="s">
        <v>1422</v>
      </c>
      <c r="M1588" s="7">
        <f>IF(ISBLANK($B1588),_xlfn.XLOOKUP($A1588,'2. TEUs &amp; Activities - EF'!$A$9:$A$190,'2. TEUs &amp; Activities - EF'!$J$9:$J$190),_xlfn.XLOOKUP($B1588,'2. TEUs &amp; Activities - EF'!$B$9:$B$190,'2. TEUs &amp; Activities - EF'!$J$9:$J$190))*'3. Pollutant Emissions - EF'!$I1588*IF(OR(ISBLANK($E1588),$G1588="Yes"),1,$E1588)*IF($H1588="Yes",1,(1-$F1588))</f>
        <v>2.5592941176470585E-3</v>
      </c>
      <c r="N1588" s="5">
        <f>IF(ISBLANK($B1588),_xlfn.XLOOKUP($A1588,'2. TEUs &amp; Activities - EF'!$A$9:$A$190,'2. TEUs &amp; Activities - EF'!$M$9:$M$190),_xlfn.XLOOKUP($B1588,'2. TEUs &amp; Activities - EF'!$B$9:$B$190,'2. TEUs &amp; Activities - EF'!$M$9:$M$190))*'3. Pollutant Emissions - EF'!$J1588*IF(OR(ISBLANK($E1588),$G1588="Yes"),1,$E1588)*IF($H1588="Yes",1,(1-$F1588))</f>
        <v>7.0117647058823539E-6</v>
      </c>
      <c r="O1588" s="130"/>
    </row>
    <row r="1589" spans="1:15" ht="15" x14ac:dyDescent="0.25">
      <c r="A1589" s="5" t="s">
        <v>1628</v>
      </c>
      <c r="B1589" s="7"/>
      <c r="C1589" s="13" t="s">
        <v>67</v>
      </c>
      <c r="D1589" s="19" t="str">
        <f>IFERROR(IF(C1589="No CAS","",INDEX('DEQ Pollutant List'!$B$7:$B$611,MATCH('3. Pollutant Emissions - EF'!C1589,'DEQ Pollutant List'!$A$7:$A$611,0))),"")</f>
        <v>Selenium and compounds</v>
      </c>
      <c r="E1589" s="23">
        <v>0</v>
      </c>
      <c r="F1589" s="21">
        <v>0</v>
      </c>
      <c r="G1589" s="23" t="s">
        <v>1415</v>
      </c>
      <c r="H1589" s="21" t="s">
        <v>1415</v>
      </c>
      <c r="I1589" s="34">
        <v>2.4000000000000001E-5</v>
      </c>
      <c r="J1589" s="11">
        <f t="shared" si="57"/>
        <v>2.4000000000000001E-5</v>
      </c>
      <c r="K1589" s="6" t="s">
        <v>1416</v>
      </c>
      <c r="L1589" s="20" t="s">
        <v>1422</v>
      </c>
      <c r="M1589" s="7">
        <f>IF(ISBLANK($B1589),_xlfn.XLOOKUP($A1589,'2. TEUs &amp; Activities - EF'!$A$9:$A$190,'2. TEUs &amp; Activities - EF'!$J$9:$J$190),_xlfn.XLOOKUP($B1589,'2. TEUs &amp; Activities - EF'!$B$9:$B$190,'2. TEUs &amp; Activities - EF'!$J$9:$J$190))*'3. Pollutant Emissions - EF'!$I1589*IF(OR(ISBLANK($E1589),$G1589="Yes"),1,$E1589)*IF($H1589="Yes",1,(1-$F1589))</f>
        <v>6.1423058823529403E-4</v>
      </c>
      <c r="N1589" s="5">
        <f>IF(ISBLANK($B1589),_xlfn.XLOOKUP($A1589,'2. TEUs &amp; Activities - EF'!$A$9:$A$190,'2. TEUs &amp; Activities - EF'!$M$9:$M$190),_xlfn.XLOOKUP($B1589,'2. TEUs &amp; Activities - EF'!$B$9:$B$190,'2. TEUs &amp; Activities - EF'!$M$9:$M$190))*'3. Pollutant Emissions - EF'!$J1589*IF(OR(ISBLANK($E1589),$G1589="Yes"),1,$E1589)*IF($H1589="Yes",1,(1-$F1589))</f>
        <v>1.6828235294117649E-6</v>
      </c>
      <c r="O1589" s="130"/>
    </row>
    <row r="1590" spans="1:15" ht="15" x14ac:dyDescent="0.25">
      <c r="A1590" s="5" t="s">
        <v>1628</v>
      </c>
      <c r="B1590" s="7"/>
      <c r="C1590" s="13" t="s">
        <v>68</v>
      </c>
      <c r="D1590" s="19" t="str">
        <f>IFERROR(IF(C1590="No CAS","",INDEX('DEQ Pollutant List'!$B$7:$B$611,MATCH('3. Pollutant Emissions - EF'!C1590,'DEQ Pollutant List'!$A$7:$A$611,0))),"")</f>
        <v>Toluene</v>
      </c>
      <c r="E1590" s="23">
        <v>0</v>
      </c>
      <c r="F1590" s="21">
        <v>0</v>
      </c>
      <c r="G1590" s="23" t="s">
        <v>1415</v>
      </c>
      <c r="H1590" s="21" t="s">
        <v>1415</v>
      </c>
      <c r="I1590" s="34">
        <v>3.6600000000000001E-2</v>
      </c>
      <c r="J1590" s="11">
        <f t="shared" si="57"/>
        <v>3.6600000000000001E-2</v>
      </c>
      <c r="K1590" s="6" t="s">
        <v>1416</v>
      </c>
      <c r="L1590" s="20" t="s">
        <v>1422</v>
      </c>
      <c r="M1590" s="7">
        <f>IF(ISBLANK($B1590),_xlfn.XLOOKUP($A1590,'2. TEUs &amp; Activities - EF'!$A$9:$A$190,'2. TEUs &amp; Activities - EF'!$J$9:$J$190),_xlfn.XLOOKUP($B1590,'2. TEUs &amp; Activities - EF'!$B$9:$B$190,'2. TEUs &amp; Activities - EF'!$J$9:$J$190))*'3. Pollutant Emissions - EF'!$I1590*IF(OR(ISBLANK($E1590),$G1590="Yes"),1,$E1590)*IF($H1590="Yes",1,(1-$F1590))</f>
        <v>0.93670164705882342</v>
      </c>
      <c r="N1590" s="5">
        <f>IF(ISBLANK($B1590),_xlfn.XLOOKUP($A1590,'2. TEUs &amp; Activities - EF'!$A$9:$A$190,'2. TEUs &amp; Activities - EF'!$M$9:$M$190),_xlfn.XLOOKUP($B1590,'2. TEUs &amp; Activities - EF'!$B$9:$B$190,'2. TEUs &amp; Activities - EF'!$M$9:$M$190))*'3. Pollutant Emissions - EF'!$J1590*IF(OR(ISBLANK($E1590),$G1590="Yes"),1,$E1590)*IF($H1590="Yes",1,(1-$F1590))</f>
        <v>2.5663058823529412E-3</v>
      </c>
      <c r="O1590" s="130"/>
    </row>
    <row r="1591" spans="1:15" ht="15" x14ac:dyDescent="0.25">
      <c r="A1591" s="5" t="s">
        <v>1628</v>
      </c>
      <c r="B1591" s="7"/>
      <c r="C1591" s="13" t="s">
        <v>69</v>
      </c>
      <c r="D1591" s="19" t="str">
        <f>IFERROR(IF(C1591="No CAS","",INDEX('DEQ Pollutant List'!$B$7:$B$611,MATCH('3. Pollutant Emissions - EF'!C1591,'DEQ Pollutant List'!$A$7:$A$611,0))),"")</f>
        <v>Vanadium (fume or dust)</v>
      </c>
      <c r="E1591" s="23">
        <v>0</v>
      </c>
      <c r="F1591" s="21">
        <v>0</v>
      </c>
      <c r="G1591" s="23" t="s">
        <v>1415</v>
      </c>
      <c r="H1591" s="21" t="s">
        <v>1415</v>
      </c>
      <c r="I1591" s="34">
        <v>2.3E-3</v>
      </c>
      <c r="J1591" s="11">
        <f t="shared" si="57"/>
        <v>2.3E-3</v>
      </c>
      <c r="K1591" s="6" t="s">
        <v>1416</v>
      </c>
      <c r="L1591" s="20" t="s">
        <v>1422</v>
      </c>
      <c r="M1591" s="7">
        <f>IF(ISBLANK($B1591),_xlfn.XLOOKUP($A1591,'2. TEUs &amp; Activities - EF'!$A$9:$A$190,'2. TEUs &amp; Activities - EF'!$J$9:$J$190),_xlfn.XLOOKUP($B1591,'2. TEUs &amp; Activities - EF'!$B$9:$B$190,'2. TEUs &amp; Activities - EF'!$J$9:$J$190))*'3. Pollutant Emissions - EF'!$I1591*IF(OR(ISBLANK($E1591),$G1591="Yes"),1,$E1591)*IF($H1591="Yes",1,(1-$F1591))</f>
        <v>5.8863764705882345E-2</v>
      </c>
      <c r="N1591" s="5">
        <f>IF(ISBLANK($B1591),_xlfn.XLOOKUP($A1591,'2. TEUs &amp; Activities - EF'!$A$9:$A$190,'2. TEUs &amp; Activities - EF'!$M$9:$M$190),_xlfn.XLOOKUP($B1591,'2. TEUs &amp; Activities - EF'!$B$9:$B$190,'2. TEUs &amp; Activities - EF'!$M$9:$M$190))*'3. Pollutant Emissions - EF'!$J1591*IF(OR(ISBLANK($E1591),$G1591="Yes"),1,$E1591)*IF($H1591="Yes",1,(1-$F1591))</f>
        <v>1.6127058823529414E-4</v>
      </c>
      <c r="O1591" s="130"/>
    </row>
    <row r="1592" spans="1:15" ht="15" x14ac:dyDescent="0.25">
      <c r="A1592" s="5" t="s">
        <v>1628</v>
      </c>
      <c r="B1592" s="7"/>
      <c r="C1592" s="13" t="s">
        <v>70</v>
      </c>
      <c r="D1592" s="19" t="str">
        <f>IFERROR(IF(C1592="No CAS","",INDEX('DEQ Pollutant List'!$B$7:$B$611,MATCH('3. Pollutant Emissions - EF'!C1592,'DEQ Pollutant List'!$A$7:$A$611,0))),"")</f>
        <v>Xylene (mixture), including m-xylene, o-xylene, p-xylene</v>
      </c>
      <c r="E1592" s="23">
        <v>0</v>
      </c>
      <c r="F1592" s="21">
        <v>0</v>
      </c>
      <c r="G1592" s="23" t="s">
        <v>1415</v>
      </c>
      <c r="H1592" s="21" t="s">
        <v>1415</v>
      </c>
      <c r="I1592" s="34">
        <v>2.7199999999999998E-2</v>
      </c>
      <c r="J1592" s="11">
        <f t="shared" si="57"/>
        <v>2.7199999999999998E-2</v>
      </c>
      <c r="K1592" s="6" t="s">
        <v>1416</v>
      </c>
      <c r="L1592" s="20" t="s">
        <v>1422</v>
      </c>
      <c r="M1592" s="7">
        <f>IF(ISBLANK($B1592),_xlfn.XLOOKUP($A1592,'2. TEUs &amp; Activities - EF'!$A$9:$A$190,'2. TEUs &amp; Activities - EF'!$J$9:$J$190),_xlfn.XLOOKUP($B1592,'2. TEUs &amp; Activities - EF'!$B$9:$B$190,'2. TEUs &amp; Activities - EF'!$J$9:$J$190))*'3. Pollutant Emissions - EF'!$I1592*IF(OR(ISBLANK($E1592),$G1592="Yes"),1,$E1592)*IF($H1592="Yes",1,(1-$F1592))</f>
        <v>0.69612799999999986</v>
      </c>
      <c r="N1592" s="5">
        <f>IF(ISBLANK($B1592),_xlfn.XLOOKUP($A1592,'2. TEUs &amp; Activities - EF'!$A$9:$A$190,'2. TEUs &amp; Activities - EF'!$M$9:$M$190),_xlfn.XLOOKUP($B1592,'2. TEUs &amp; Activities - EF'!$B$9:$B$190,'2. TEUs &amp; Activities - EF'!$M$9:$M$190))*'3. Pollutant Emissions - EF'!$J1592*IF(OR(ISBLANK($E1592),$G1592="Yes"),1,$E1592)*IF($H1592="Yes",1,(1-$F1592))</f>
        <v>1.9072E-3</v>
      </c>
      <c r="O1592" s="130"/>
    </row>
    <row r="1593" spans="1:15" ht="15" x14ac:dyDescent="0.25">
      <c r="A1593" s="5" t="s">
        <v>1628</v>
      </c>
      <c r="B1593" s="7"/>
      <c r="C1593" s="13" t="s">
        <v>71</v>
      </c>
      <c r="D1593" s="19" t="str">
        <f>IFERROR(IF(C1593="No CAS","",INDEX('DEQ Pollutant List'!$B$7:$B$611,MATCH('3. Pollutant Emissions - EF'!C1593,'DEQ Pollutant List'!$A$7:$A$611,0))),"")</f>
        <v>Zinc and compounds</v>
      </c>
      <c r="E1593" s="23">
        <v>0</v>
      </c>
      <c r="F1593" s="21">
        <v>0</v>
      </c>
      <c r="G1593" s="23" t="s">
        <v>1415</v>
      </c>
      <c r="H1593" s="21" t="s">
        <v>1415</v>
      </c>
      <c r="I1593" s="34">
        <v>2.9000000000000001E-2</v>
      </c>
      <c r="J1593" s="11">
        <f t="shared" si="57"/>
        <v>2.9000000000000001E-2</v>
      </c>
      <c r="K1593" s="6" t="s">
        <v>1416</v>
      </c>
      <c r="L1593" s="20" t="s">
        <v>1422</v>
      </c>
      <c r="M1593" s="7">
        <f>IF(ISBLANK($B1593),_xlfn.XLOOKUP($A1593,'2. TEUs &amp; Activities - EF'!$A$9:$A$190,'2. TEUs &amp; Activities - EF'!$J$9:$J$190),_xlfn.XLOOKUP($B1593,'2. TEUs &amp; Activities - EF'!$B$9:$B$190,'2. TEUs &amp; Activities - EF'!$J$9:$J$190))*'3. Pollutant Emissions - EF'!$I1593*IF(OR(ISBLANK($E1593),$G1593="Yes"),1,$E1593)*IF($H1593="Yes",1,(1-$F1593))</f>
        <v>0.74219529411764706</v>
      </c>
      <c r="N1593" s="5">
        <f>IF(ISBLANK($B1593),_xlfn.XLOOKUP($A1593,'2. TEUs &amp; Activities - EF'!$A$9:$A$190,'2. TEUs &amp; Activities - EF'!$M$9:$M$190),_xlfn.XLOOKUP($B1593,'2. TEUs &amp; Activities - EF'!$B$9:$B$190,'2. TEUs &amp; Activities - EF'!$M$9:$M$190))*'3. Pollutant Emissions - EF'!$J1593*IF(OR(ISBLANK($E1593),$G1593="Yes"),1,$E1593)*IF($H1593="Yes",1,(1-$F1593))</f>
        <v>2.0334117647058825E-3</v>
      </c>
      <c r="O1593" s="130"/>
    </row>
    <row r="1594" spans="1:15" ht="15" x14ac:dyDescent="0.25">
      <c r="A1594" s="5"/>
      <c r="B1594" s="7"/>
      <c r="C1594" s="13"/>
      <c r="D1594" s="19" t="str">
        <f>IFERROR(IF(C1594="No CAS","",INDEX('DEQ Pollutant List'!$B$7:$B$611,MATCH('3. Pollutant Emissions - EF'!C1594,'DEQ Pollutant List'!$A$7:$A$611,0))),"")</f>
        <v/>
      </c>
      <c r="E1594" s="23"/>
      <c r="F1594" s="21"/>
      <c r="G1594" s="23"/>
      <c r="H1594" s="21"/>
      <c r="I1594" s="34"/>
      <c r="J1594" s="11"/>
      <c r="K1594" s="6"/>
      <c r="L1594" s="20"/>
      <c r="M1594" s="7">
        <f>IF(ISBLANK($B1594),_xlfn.XLOOKUP($A1594,'2. TEUs &amp; Activities - EF'!$A$9:$A$190,'2. TEUs &amp; Activities - EF'!$J$9:$J$190),_xlfn.XLOOKUP($B1594,'2. TEUs &amp; Activities - EF'!$B$9:$B$190,'2. TEUs &amp; Activities - EF'!$J$9:$J$190))*'3. Pollutant Emissions - EF'!$I1594*IF(OR(ISBLANK($E1594),$G1594="Yes"),1,$E1594)*IF($H1594="Yes",1,(1-$F1594))</f>
        <v>0</v>
      </c>
      <c r="N1594" s="5">
        <f>IF(ISBLANK($B1594),_xlfn.XLOOKUP($A1594,'2. TEUs &amp; Activities - EF'!$A$9:$A$190,'2. TEUs &amp; Activities - EF'!$M$9:$M$190),_xlfn.XLOOKUP($B1594,'2. TEUs &amp; Activities - EF'!$B$9:$B$190,'2. TEUs &amp; Activities - EF'!$M$9:$M$190))*'3. Pollutant Emissions - EF'!$J1594*IF(OR(ISBLANK($E1594),$G1594="Yes"),1,$E1594)*IF($H1594="Yes",1,(1-$F1594))</f>
        <v>0</v>
      </c>
      <c r="O1594" s="130"/>
    </row>
    <row r="1595" spans="1:15" ht="15" x14ac:dyDescent="0.25">
      <c r="A1595" s="5" t="s">
        <v>1629</v>
      </c>
      <c r="B1595" s="7"/>
      <c r="C1595" s="13" t="s">
        <v>48</v>
      </c>
      <c r="D1595" s="19" t="str">
        <f>IFERROR(IF(C1595="No CAS","",INDEX('DEQ Pollutant List'!$B$7:$B$611,MATCH('3. Pollutant Emissions - EF'!C1595,'DEQ Pollutant List'!$A$7:$A$611,0))),"")</f>
        <v>Benzo[a]pyrene</v>
      </c>
      <c r="E1595" s="23">
        <v>0</v>
      </c>
      <c r="F1595" s="21">
        <v>0</v>
      </c>
      <c r="G1595" s="23" t="s">
        <v>1415</v>
      </c>
      <c r="H1595" s="21" t="s">
        <v>1415</v>
      </c>
      <c r="I1595" s="34">
        <v>1.1999999999999999E-6</v>
      </c>
      <c r="J1595" s="11">
        <f t="shared" ref="J1595:J1621" si="58">I1595</f>
        <v>1.1999999999999999E-6</v>
      </c>
      <c r="K1595" s="6" t="s">
        <v>1416</v>
      </c>
      <c r="L1595" s="20" t="s">
        <v>1422</v>
      </c>
      <c r="M1595" s="7">
        <f>IF(ISBLANK($B1595),_xlfn.XLOOKUP($A1595,'2. TEUs &amp; Activities - EF'!$A$9:$A$190,'2. TEUs &amp; Activities - EF'!$J$9:$J$190),_xlfn.XLOOKUP($B1595,'2. TEUs &amp; Activities - EF'!$B$9:$B$190,'2. TEUs &amp; Activities - EF'!$J$9:$J$190))*'3. Pollutant Emissions - EF'!$I1595*IF(OR(ISBLANK($E1595),$G1595="Yes"),1,$E1595)*IF($H1595="Yes",1,(1-$F1595))</f>
        <v>2.2538964705882347E-5</v>
      </c>
      <c r="N1595" s="5">
        <f>IF(ISBLANK($B1595),_xlfn.XLOOKUP($A1595,'2. TEUs &amp; Activities - EF'!$A$9:$A$190,'2. TEUs &amp; Activities - EF'!$M$9:$M$190),_xlfn.XLOOKUP($B1595,'2. TEUs &amp; Activities - EF'!$B$9:$B$190,'2. TEUs &amp; Activities - EF'!$M$9:$M$190))*'3. Pollutant Emissions - EF'!$J1595*IF(OR(ISBLANK($E1595),$G1595="Yes"),1,$E1595)*IF($H1595="Yes",1,(1-$F1595))</f>
        <v>6.1750588235294102E-8</v>
      </c>
      <c r="O1595" s="130"/>
    </row>
    <row r="1596" spans="1:15" ht="15" x14ac:dyDescent="0.25">
      <c r="A1596" s="5" t="s">
        <v>1629</v>
      </c>
      <c r="B1596" s="7"/>
      <c r="C1596" s="13" t="s">
        <v>50</v>
      </c>
      <c r="D1596" s="19" t="str">
        <f>IFERROR(IF(C1596="No CAS","",INDEX('DEQ Pollutant List'!$B$7:$B$611,MATCH('3. Pollutant Emissions - EF'!C1596,'DEQ Pollutant List'!$A$7:$A$611,0))),"")</f>
        <v>Acetaldehyde</v>
      </c>
      <c r="E1596" s="23">
        <v>0</v>
      </c>
      <c r="F1596" s="21">
        <v>0</v>
      </c>
      <c r="G1596" s="23" t="s">
        <v>1415</v>
      </c>
      <c r="H1596" s="21" t="s">
        <v>1415</v>
      </c>
      <c r="I1596" s="34">
        <v>4.3E-3</v>
      </c>
      <c r="J1596" s="11">
        <f t="shared" si="58"/>
        <v>4.3E-3</v>
      </c>
      <c r="K1596" s="6" t="s">
        <v>1416</v>
      </c>
      <c r="L1596" s="20" t="s">
        <v>1422</v>
      </c>
      <c r="M1596" s="7">
        <f>IF(ISBLANK($B1596),_xlfn.XLOOKUP($A1596,'2. TEUs &amp; Activities - EF'!$A$9:$A$190,'2. TEUs &amp; Activities - EF'!$J$9:$J$190),_xlfn.XLOOKUP($B1596,'2. TEUs &amp; Activities - EF'!$B$9:$B$190,'2. TEUs &amp; Activities - EF'!$J$9:$J$190))*'3. Pollutant Emissions - EF'!$I1596*IF(OR(ISBLANK($E1596),$G1596="Yes"),1,$E1596)*IF($H1596="Yes",1,(1-$F1596))</f>
        <v>8.0764623529411758E-2</v>
      </c>
      <c r="N1596" s="5">
        <f>IF(ISBLANK($B1596),_xlfn.XLOOKUP($A1596,'2. TEUs &amp; Activities - EF'!$A$9:$A$190,'2. TEUs &amp; Activities - EF'!$M$9:$M$190),_xlfn.XLOOKUP($B1596,'2. TEUs &amp; Activities - EF'!$B$9:$B$190,'2. TEUs &amp; Activities - EF'!$M$9:$M$190))*'3. Pollutant Emissions - EF'!$J1596*IF(OR(ISBLANK($E1596),$G1596="Yes"),1,$E1596)*IF($H1596="Yes",1,(1-$F1596))</f>
        <v>2.2127294117647056E-4</v>
      </c>
      <c r="O1596" s="130"/>
    </row>
    <row r="1597" spans="1:15" ht="15" x14ac:dyDescent="0.25">
      <c r="A1597" s="5" t="s">
        <v>1629</v>
      </c>
      <c r="B1597" s="7"/>
      <c r="C1597" s="13" t="s">
        <v>51</v>
      </c>
      <c r="D1597" s="19" t="str">
        <f>IFERROR(IF(C1597="No CAS","",INDEX('DEQ Pollutant List'!$B$7:$B$611,MATCH('3. Pollutant Emissions - EF'!C1597,'DEQ Pollutant List'!$A$7:$A$611,0))),"")</f>
        <v>Acrolein</v>
      </c>
      <c r="E1597" s="23">
        <v>0</v>
      </c>
      <c r="F1597" s="21">
        <v>0</v>
      </c>
      <c r="G1597" s="23" t="s">
        <v>1415</v>
      </c>
      <c r="H1597" s="21" t="s">
        <v>1415</v>
      </c>
      <c r="I1597" s="34">
        <v>2.7000000000000001E-3</v>
      </c>
      <c r="J1597" s="11">
        <f t="shared" si="58"/>
        <v>2.7000000000000001E-3</v>
      </c>
      <c r="K1597" s="6" t="s">
        <v>1416</v>
      </c>
      <c r="L1597" s="20" t="s">
        <v>1422</v>
      </c>
      <c r="M1597" s="7">
        <f>IF(ISBLANK($B1597),_xlfn.XLOOKUP($A1597,'2. TEUs &amp; Activities - EF'!$A$9:$A$190,'2. TEUs &amp; Activities - EF'!$J$9:$J$190),_xlfn.XLOOKUP($B1597,'2. TEUs &amp; Activities - EF'!$B$9:$B$190,'2. TEUs &amp; Activities - EF'!$J$9:$J$190))*'3. Pollutant Emissions - EF'!$I1597*IF(OR(ISBLANK($E1597),$G1597="Yes"),1,$E1597)*IF($H1597="Yes",1,(1-$F1597))</f>
        <v>5.0712670588235288E-2</v>
      </c>
      <c r="N1597" s="5">
        <f>IF(ISBLANK($B1597),_xlfn.XLOOKUP($A1597,'2. TEUs &amp; Activities - EF'!$A$9:$A$190,'2. TEUs &amp; Activities - EF'!$M$9:$M$190),_xlfn.XLOOKUP($B1597,'2. TEUs &amp; Activities - EF'!$B$9:$B$190,'2. TEUs &amp; Activities - EF'!$M$9:$M$190))*'3. Pollutant Emissions - EF'!$J1597*IF(OR(ISBLANK($E1597),$G1597="Yes"),1,$E1597)*IF($H1597="Yes",1,(1-$F1597))</f>
        <v>1.3893882352941176E-4</v>
      </c>
      <c r="O1597" s="130"/>
    </row>
    <row r="1598" spans="1:15" ht="15" x14ac:dyDescent="0.25">
      <c r="A1598" s="5" t="s">
        <v>1629</v>
      </c>
      <c r="B1598" s="7"/>
      <c r="C1598" s="13" t="s">
        <v>52</v>
      </c>
      <c r="D1598" s="19" t="str">
        <f>IFERROR(IF(C1598="No CAS","",INDEX('DEQ Pollutant List'!$B$7:$B$611,MATCH('3. Pollutant Emissions - EF'!C1598,'DEQ Pollutant List'!$A$7:$A$611,0))),"")</f>
        <v>Ammonia</v>
      </c>
      <c r="E1598" s="23">
        <v>0</v>
      </c>
      <c r="F1598" s="21">
        <v>0</v>
      </c>
      <c r="G1598" s="23" t="s">
        <v>1415</v>
      </c>
      <c r="H1598" s="21" t="s">
        <v>1415</v>
      </c>
      <c r="I1598" s="34">
        <v>3.2</v>
      </c>
      <c r="J1598" s="11">
        <f t="shared" si="58"/>
        <v>3.2</v>
      </c>
      <c r="K1598" s="6" t="s">
        <v>1416</v>
      </c>
      <c r="L1598" s="20" t="s">
        <v>1586</v>
      </c>
      <c r="M1598" s="7">
        <f>IF(ISBLANK($B1598),_xlfn.XLOOKUP($A1598,'2. TEUs &amp; Activities - EF'!$A$9:$A$190,'2. TEUs &amp; Activities - EF'!$J$9:$J$190),_xlfn.XLOOKUP($B1598,'2. TEUs &amp; Activities - EF'!$B$9:$B$190,'2. TEUs &amp; Activities - EF'!$J$9:$J$190))*'3. Pollutant Emissions - EF'!$I1598*IF(OR(ISBLANK($E1598),$G1598="Yes"),1,$E1598)*IF($H1598="Yes",1,(1-$F1598))</f>
        <v>60.103905882352933</v>
      </c>
      <c r="N1598" s="5">
        <f>IF(ISBLANK($B1598),_xlfn.XLOOKUP($A1598,'2. TEUs &amp; Activities - EF'!$A$9:$A$190,'2. TEUs &amp; Activities - EF'!$M$9:$M$190),_xlfn.XLOOKUP($B1598,'2. TEUs &amp; Activities - EF'!$B$9:$B$190,'2. TEUs &amp; Activities - EF'!$M$9:$M$190))*'3. Pollutant Emissions - EF'!$J1598*IF(OR(ISBLANK($E1598),$G1598="Yes"),1,$E1598)*IF($H1598="Yes",1,(1-$F1598))</f>
        <v>0.16466823529411764</v>
      </c>
      <c r="O1598" s="130"/>
    </row>
    <row r="1599" spans="1:15" ht="15" x14ac:dyDescent="0.25">
      <c r="A1599" s="5" t="s">
        <v>1629</v>
      </c>
      <c r="B1599" s="7"/>
      <c r="C1599" s="13" t="s">
        <v>53</v>
      </c>
      <c r="D1599" s="19" t="str">
        <f>IFERROR(IF(C1599="No CAS","",INDEX('DEQ Pollutant List'!$B$7:$B$611,MATCH('3. Pollutant Emissions - EF'!C1599,'DEQ Pollutant List'!$A$7:$A$611,0))),"")</f>
        <v>Arsenic and compounds</v>
      </c>
      <c r="E1599" s="23">
        <v>0</v>
      </c>
      <c r="F1599" s="21">
        <v>0</v>
      </c>
      <c r="G1599" s="23" t="s">
        <v>1415</v>
      </c>
      <c r="H1599" s="21" t="s">
        <v>1415</v>
      </c>
      <c r="I1599" s="34">
        <v>2.0000000000000001E-4</v>
      </c>
      <c r="J1599" s="11">
        <f t="shared" si="58"/>
        <v>2.0000000000000001E-4</v>
      </c>
      <c r="K1599" s="6" t="s">
        <v>1416</v>
      </c>
      <c r="L1599" s="20" t="s">
        <v>1422</v>
      </c>
      <c r="M1599" s="7">
        <f>IF(ISBLANK($B1599),_xlfn.XLOOKUP($A1599,'2. TEUs &amp; Activities - EF'!$A$9:$A$190,'2. TEUs &amp; Activities - EF'!$J$9:$J$190),_xlfn.XLOOKUP($B1599,'2. TEUs &amp; Activities - EF'!$B$9:$B$190,'2. TEUs &amp; Activities - EF'!$J$9:$J$190))*'3. Pollutant Emissions - EF'!$I1599*IF(OR(ISBLANK($E1599),$G1599="Yes"),1,$E1599)*IF($H1599="Yes",1,(1-$F1599))</f>
        <v>3.7564941176470583E-3</v>
      </c>
      <c r="N1599" s="5">
        <f>IF(ISBLANK($B1599),_xlfn.XLOOKUP($A1599,'2. TEUs &amp; Activities - EF'!$A$9:$A$190,'2. TEUs &amp; Activities - EF'!$M$9:$M$190),_xlfn.XLOOKUP($B1599,'2. TEUs &amp; Activities - EF'!$B$9:$B$190,'2. TEUs &amp; Activities - EF'!$M$9:$M$190))*'3. Pollutant Emissions - EF'!$J1599*IF(OR(ISBLANK($E1599),$G1599="Yes"),1,$E1599)*IF($H1599="Yes",1,(1-$F1599))</f>
        <v>1.0291764705882352E-5</v>
      </c>
      <c r="O1599" s="130"/>
    </row>
    <row r="1600" spans="1:15" ht="15" x14ac:dyDescent="0.25">
      <c r="A1600" s="5" t="s">
        <v>1629</v>
      </c>
      <c r="B1600" s="7"/>
      <c r="C1600" s="13" t="s">
        <v>54</v>
      </c>
      <c r="D1600" s="19" t="str">
        <f>IFERROR(IF(C1600="No CAS","",INDEX('DEQ Pollutant List'!$B$7:$B$611,MATCH('3. Pollutant Emissions - EF'!C1600,'DEQ Pollutant List'!$A$7:$A$611,0))),"")</f>
        <v>Barium and compounds</v>
      </c>
      <c r="E1600" s="23">
        <v>0</v>
      </c>
      <c r="F1600" s="21">
        <v>0</v>
      </c>
      <c r="G1600" s="23" t="s">
        <v>1415</v>
      </c>
      <c r="H1600" s="21" t="s">
        <v>1415</v>
      </c>
      <c r="I1600" s="34">
        <v>4.4000000000000003E-3</v>
      </c>
      <c r="J1600" s="11">
        <f t="shared" si="58"/>
        <v>4.4000000000000003E-3</v>
      </c>
      <c r="K1600" s="6" t="s">
        <v>1416</v>
      </c>
      <c r="L1600" s="20" t="s">
        <v>1422</v>
      </c>
      <c r="M1600" s="7">
        <f>IF(ISBLANK($B1600),_xlfn.XLOOKUP($A1600,'2. TEUs &amp; Activities - EF'!$A$9:$A$190,'2. TEUs &amp; Activities - EF'!$J$9:$J$190),_xlfn.XLOOKUP($B1600,'2. TEUs &amp; Activities - EF'!$B$9:$B$190,'2. TEUs &amp; Activities - EF'!$J$9:$J$190))*'3. Pollutant Emissions - EF'!$I1600*IF(OR(ISBLANK($E1600),$G1600="Yes"),1,$E1600)*IF($H1600="Yes",1,(1-$F1600))</f>
        <v>8.2642870588235287E-2</v>
      </c>
      <c r="N1600" s="5">
        <f>IF(ISBLANK($B1600),_xlfn.XLOOKUP($A1600,'2. TEUs &amp; Activities - EF'!$A$9:$A$190,'2. TEUs &amp; Activities - EF'!$M$9:$M$190),_xlfn.XLOOKUP($B1600,'2. TEUs &amp; Activities - EF'!$B$9:$B$190,'2. TEUs &amp; Activities - EF'!$M$9:$M$190))*'3. Pollutant Emissions - EF'!$J1600*IF(OR(ISBLANK($E1600),$G1600="Yes"),1,$E1600)*IF($H1600="Yes",1,(1-$F1600))</f>
        <v>2.2641882352941175E-4</v>
      </c>
      <c r="O1600" s="130"/>
    </row>
    <row r="1601" spans="1:15" ht="15" x14ac:dyDescent="0.25">
      <c r="A1601" s="5" t="s">
        <v>1629</v>
      </c>
      <c r="B1601" s="7"/>
      <c r="C1601" s="13" t="s">
        <v>46</v>
      </c>
      <c r="D1601" s="19" t="str">
        <f>IFERROR(IF(C1601="No CAS","",INDEX('DEQ Pollutant List'!$B$7:$B$611,MATCH('3. Pollutant Emissions - EF'!C1601,'DEQ Pollutant List'!$A$7:$A$611,0))),"")</f>
        <v>Benzene</v>
      </c>
      <c r="E1601" s="23">
        <v>0</v>
      </c>
      <c r="F1601" s="21">
        <v>0</v>
      </c>
      <c r="G1601" s="23" t="s">
        <v>1415</v>
      </c>
      <c r="H1601" s="21" t="s">
        <v>1415</v>
      </c>
      <c r="I1601" s="34">
        <v>8.0000000000000002E-3</v>
      </c>
      <c r="J1601" s="11">
        <f t="shared" si="58"/>
        <v>8.0000000000000002E-3</v>
      </c>
      <c r="K1601" s="6" t="s">
        <v>1416</v>
      </c>
      <c r="L1601" s="20" t="s">
        <v>1422</v>
      </c>
      <c r="M1601" s="7">
        <f>IF(ISBLANK($B1601),_xlfn.XLOOKUP($A1601,'2. TEUs &amp; Activities - EF'!$A$9:$A$190,'2. TEUs &amp; Activities - EF'!$J$9:$J$190),_xlfn.XLOOKUP($B1601,'2. TEUs &amp; Activities - EF'!$B$9:$B$190,'2. TEUs &amp; Activities - EF'!$J$9:$J$190))*'3. Pollutant Emissions - EF'!$I1601*IF(OR(ISBLANK($E1601),$G1601="Yes"),1,$E1601)*IF($H1601="Yes",1,(1-$F1601))</f>
        <v>0.15025976470588234</v>
      </c>
      <c r="N1601" s="5">
        <f>IF(ISBLANK($B1601),_xlfn.XLOOKUP($A1601,'2. TEUs &amp; Activities - EF'!$A$9:$A$190,'2. TEUs &amp; Activities - EF'!$M$9:$M$190),_xlfn.XLOOKUP($B1601,'2. TEUs &amp; Activities - EF'!$B$9:$B$190,'2. TEUs &amp; Activities - EF'!$M$9:$M$190))*'3. Pollutant Emissions - EF'!$J1601*IF(OR(ISBLANK($E1601),$G1601="Yes"),1,$E1601)*IF($H1601="Yes",1,(1-$F1601))</f>
        <v>4.1167058823529407E-4</v>
      </c>
      <c r="O1601" s="130"/>
    </row>
    <row r="1602" spans="1:15" ht="15" x14ac:dyDescent="0.25">
      <c r="A1602" s="5" t="s">
        <v>1629</v>
      </c>
      <c r="B1602" s="7"/>
      <c r="C1602" s="13" t="s">
        <v>55</v>
      </c>
      <c r="D1602" s="19" t="str">
        <f>IFERROR(IF(C1602="No CAS","",INDEX('DEQ Pollutant List'!$B$7:$B$611,MATCH('3. Pollutant Emissions - EF'!C1602,'DEQ Pollutant List'!$A$7:$A$611,0))),"")</f>
        <v>Beryllium and compounds</v>
      </c>
      <c r="E1602" s="23">
        <v>0</v>
      </c>
      <c r="F1602" s="21">
        <v>0</v>
      </c>
      <c r="G1602" s="23" t="s">
        <v>1415</v>
      </c>
      <c r="H1602" s="21" t="s">
        <v>1415</v>
      </c>
      <c r="I1602" s="34">
        <v>1.2E-5</v>
      </c>
      <c r="J1602" s="11">
        <f t="shared" si="58"/>
        <v>1.2E-5</v>
      </c>
      <c r="K1602" s="6" t="s">
        <v>1416</v>
      </c>
      <c r="L1602" s="20" t="s">
        <v>1422</v>
      </c>
      <c r="M1602" s="7">
        <f>IF(ISBLANK($B1602),_xlfn.XLOOKUP($A1602,'2. TEUs &amp; Activities - EF'!$A$9:$A$190,'2. TEUs &amp; Activities - EF'!$J$9:$J$190),_xlfn.XLOOKUP($B1602,'2. TEUs &amp; Activities - EF'!$B$9:$B$190,'2. TEUs &amp; Activities - EF'!$J$9:$J$190))*'3. Pollutant Emissions - EF'!$I1602*IF(OR(ISBLANK($E1602),$G1602="Yes"),1,$E1602)*IF($H1602="Yes",1,(1-$F1602))</f>
        <v>2.2538964705882351E-4</v>
      </c>
      <c r="N1602" s="5">
        <f>IF(ISBLANK($B1602),_xlfn.XLOOKUP($A1602,'2. TEUs &amp; Activities - EF'!$A$9:$A$190,'2. TEUs &amp; Activities - EF'!$M$9:$M$190),_xlfn.XLOOKUP($B1602,'2. TEUs &amp; Activities - EF'!$B$9:$B$190,'2. TEUs &amp; Activities - EF'!$M$9:$M$190))*'3. Pollutant Emissions - EF'!$J1602*IF(OR(ISBLANK($E1602),$G1602="Yes"),1,$E1602)*IF($H1602="Yes",1,(1-$F1602))</f>
        <v>6.1750588235294113E-7</v>
      </c>
      <c r="O1602" s="130"/>
    </row>
    <row r="1603" spans="1:15" ht="15" x14ac:dyDescent="0.25">
      <c r="A1603" s="5" t="s">
        <v>1629</v>
      </c>
      <c r="B1603" s="7"/>
      <c r="C1603" s="13" t="s">
        <v>56</v>
      </c>
      <c r="D1603" s="19" t="str">
        <f>IFERROR(IF(C1603="No CAS","",INDEX('DEQ Pollutant List'!$B$7:$B$611,MATCH('3. Pollutant Emissions - EF'!C1603,'DEQ Pollutant List'!$A$7:$A$611,0))),"")</f>
        <v>Cadmium and compounds</v>
      </c>
      <c r="E1603" s="23">
        <v>0</v>
      </c>
      <c r="F1603" s="21">
        <v>0</v>
      </c>
      <c r="G1603" s="23" t="s">
        <v>1415</v>
      </c>
      <c r="H1603" s="21" t="s">
        <v>1415</v>
      </c>
      <c r="I1603" s="34">
        <v>1.1000000000000001E-3</v>
      </c>
      <c r="J1603" s="11">
        <f t="shared" si="58"/>
        <v>1.1000000000000001E-3</v>
      </c>
      <c r="K1603" s="6" t="s">
        <v>1416</v>
      </c>
      <c r="L1603" s="20" t="s">
        <v>1422</v>
      </c>
      <c r="M1603" s="7">
        <f>IF(ISBLANK($B1603),_xlfn.XLOOKUP($A1603,'2. TEUs &amp; Activities - EF'!$A$9:$A$190,'2. TEUs &amp; Activities - EF'!$J$9:$J$190),_xlfn.XLOOKUP($B1603,'2. TEUs &amp; Activities - EF'!$B$9:$B$190,'2. TEUs &amp; Activities - EF'!$J$9:$J$190))*'3. Pollutant Emissions - EF'!$I1603*IF(OR(ISBLANK($E1603),$G1603="Yes"),1,$E1603)*IF($H1603="Yes",1,(1-$F1603))</f>
        <v>2.0660717647058822E-2</v>
      </c>
      <c r="N1603" s="5">
        <f>IF(ISBLANK($B1603),_xlfn.XLOOKUP($A1603,'2. TEUs &amp; Activities - EF'!$A$9:$A$190,'2. TEUs &amp; Activities - EF'!$M$9:$M$190),_xlfn.XLOOKUP($B1603,'2. TEUs &amp; Activities - EF'!$B$9:$B$190,'2. TEUs &amp; Activities - EF'!$M$9:$M$190))*'3. Pollutant Emissions - EF'!$J1603*IF(OR(ISBLANK($E1603),$G1603="Yes"),1,$E1603)*IF($H1603="Yes",1,(1-$F1603))</f>
        <v>5.6604705882352938E-5</v>
      </c>
      <c r="O1603" s="130"/>
    </row>
    <row r="1604" spans="1:15" ht="15" x14ac:dyDescent="0.25">
      <c r="A1604" s="5" t="s">
        <v>1629</v>
      </c>
      <c r="B1604" s="7"/>
      <c r="C1604" s="13" t="s">
        <v>57</v>
      </c>
      <c r="D1604" s="19" t="str">
        <f>IFERROR(IF(C1604="No CAS","",INDEX('DEQ Pollutant List'!$B$7:$B$611,MATCH('3. Pollutant Emissions - EF'!C1604,'DEQ Pollutant List'!$A$7:$A$611,0))),"")</f>
        <v>Chromium VI, chromate and dichromate particulate</v>
      </c>
      <c r="E1604" s="23">
        <v>0</v>
      </c>
      <c r="F1604" s="21">
        <v>0</v>
      </c>
      <c r="G1604" s="23" t="s">
        <v>1415</v>
      </c>
      <c r="H1604" s="21" t="s">
        <v>1415</v>
      </c>
      <c r="I1604" s="34">
        <v>1.4E-3</v>
      </c>
      <c r="J1604" s="11">
        <f t="shared" si="58"/>
        <v>1.4E-3</v>
      </c>
      <c r="K1604" s="6" t="s">
        <v>1416</v>
      </c>
      <c r="L1604" s="20" t="s">
        <v>1422</v>
      </c>
      <c r="M1604" s="7">
        <f>IF(ISBLANK($B1604),_xlfn.XLOOKUP($A1604,'2. TEUs &amp; Activities - EF'!$A$9:$A$190,'2. TEUs &amp; Activities - EF'!$J$9:$J$190),_xlfn.XLOOKUP($B1604,'2. TEUs &amp; Activities - EF'!$B$9:$B$190,'2. TEUs &amp; Activities - EF'!$J$9:$J$190))*'3. Pollutant Emissions - EF'!$I1604*IF(OR(ISBLANK($E1604),$G1604="Yes"),1,$E1604)*IF($H1604="Yes",1,(1-$F1604))</f>
        <v>2.6295458823529409E-2</v>
      </c>
      <c r="N1604" s="5">
        <f>IF(ISBLANK($B1604),_xlfn.XLOOKUP($A1604,'2. TEUs &amp; Activities - EF'!$A$9:$A$190,'2. TEUs &amp; Activities - EF'!$M$9:$M$190),_xlfn.XLOOKUP($B1604,'2. TEUs &amp; Activities - EF'!$B$9:$B$190,'2. TEUs &amp; Activities - EF'!$M$9:$M$190))*'3. Pollutant Emissions - EF'!$J1604*IF(OR(ISBLANK($E1604),$G1604="Yes"),1,$E1604)*IF($H1604="Yes",1,(1-$F1604))</f>
        <v>7.204235294117646E-5</v>
      </c>
      <c r="O1604" s="130"/>
    </row>
    <row r="1605" spans="1:15" ht="15" x14ac:dyDescent="0.25">
      <c r="A1605" s="5" t="s">
        <v>1629</v>
      </c>
      <c r="B1605" s="7"/>
      <c r="C1605" s="13" t="s">
        <v>58</v>
      </c>
      <c r="D1605" s="19" t="str">
        <f>IFERROR(IF(C1605="No CAS","",INDEX('DEQ Pollutant List'!$B$7:$B$611,MATCH('3. Pollutant Emissions - EF'!C1605,'DEQ Pollutant List'!$A$7:$A$611,0))),"")</f>
        <v>Cobalt and compounds</v>
      </c>
      <c r="E1605" s="23">
        <v>0</v>
      </c>
      <c r="F1605" s="21">
        <v>0</v>
      </c>
      <c r="G1605" s="23" t="s">
        <v>1415</v>
      </c>
      <c r="H1605" s="21" t="s">
        <v>1415</v>
      </c>
      <c r="I1605" s="34">
        <v>8.3999999999999995E-5</v>
      </c>
      <c r="J1605" s="11">
        <f t="shared" si="58"/>
        <v>8.3999999999999995E-5</v>
      </c>
      <c r="K1605" s="6" t="s">
        <v>1416</v>
      </c>
      <c r="L1605" s="20" t="s">
        <v>1422</v>
      </c>
      <c r="M1605" s="7">
        <f>IF(ISBLANK($B1605),_xlfn.XLOOKUP($A1605,'2. TEUs &amp; Activities - EF'!$A$9:$A$190,'2. TEUs &amp; Activities - EF'!$J$9:$J$190),_xlfn.XLOOKUP($B1605,'2. TEUs &amp; Activities - EF'!$B$9:$B$190,'2. TEUs &amp; Activities - EF'!$J$9:$J$190))*'3. Pollutant Emissions - EF'!$I1605*IF(OR(ISBLANK($E1605),$G1605="Yes"),1,$E1605)*IF($H1605="Yes",1,(1-$F1605))</f>
        <v>1.5777275294117643E-3</v>
      </c>
      <c r="N1605" s="5">
        <f>IF(ISBLANK($B1605),_xlfn.XLOOKUP($A1605,'2. TEUs &amp; Activities - EF'!$A$9:$A$190,'2. TEUs &amp; Activities - EF'!$M$9:$M$190),_xlfn.XLOOKUP($B1605,'2. TEUs &amp; Activities - EF'!$B$9:$B$190,'2. TEUs &amp; Activities - EF'!$M$9:$M$190))*'3. Pollutant Emissions - EF'!$J1605*IF(OR(ISBLANK($E1605),$G1605="Yes"),1,$E1605)*IF($H1605="Yes",1,(1-$F1605))</f>
        <v>4.3225411764705878E-6</v>
      </c>
      <c r="O1605" s="130"/>
    </row>
    <row r="1606" spans="1:15" ht="15" x14ac:dyDescent="0.25">
      <c r="A1606" s="5" t="s">
        <v>1629</v>
      </c>
      <c r="B1606" s="7"/>
      <c r="C1606" s="13" t="s">
        <v>59</v>
      </c>
      <c r="D1606" s="19" t="str">
        <f>IFERROR(IF(C1606="No CAS","",INDEX('DEQ Pollutant List'!$B$7:$B$611,MATCH('3. Pollutant Emissions - EF'!C1606,'DEQ Pollutant List'!$A$7:$A$611,0))),"")</f>
        <v>Copper and compounds</v>
      </c>
      <c r="E1606" s="23">
        <v>0</v>
      </c>
      <c r="F1606" s="21">
        <v>0</v>
      </c>
      <c r="G1606" s="23" t="s">
        <v>1415</v>
      </c>
      <c r="H1606" s="21" t="s">
        <v>1415</v>
      </c>
      <c r="I1606" s="34">
        <v>8.4999999999999995E-4</v>
      </c>
      <c r="J1606" s="11">
        <f t="shared" si="58"/>
        <v>8.4999999999999995E-4</v>
      </c>
      <c r="K1606" s="6" t="s">
        <v>1416</v>
      </c>
      <c r="L1606" s="20" t="s">
        <v>1422</v>
      </c>
      <c r="M1606" s="7">
        <f>IF(ISBLANK($B1606),_xlfn.XLOOKUP($A1606,'2. TEUs &amp; Activities - EF'!$A$9:$A$190,'2. TEUs &amp; Activities - EF'!$J$9:$J$190),_xlfn.XLOOKUP($B1606,'2. TEUs &amp; Activities - EF'!$B$9:$B$190,'2. TEUs &amp; Activities - EF'!$J$9:$J$190))*'3. Pollutant Emissions - EF'!$I1606*IF(OR(ISBLANK($E1606),$G1606="Yes"),1,$E1606)*IF($H1606="Yes",1,(1-$F1606))</f>
        <v>1.5965099999999996E-2</v>
      </c>
      <c r="N1606" s="5">
        <f>IF(ISBLANK($B1606),_xlfn.XLOOKUP($A1606,'2. TEUs &amp; Activities - EF'!$A$9:$A$190,'2. TEUs &amp; Activities - EF'!$M$9:$M$190),_xlfn.XLOOKUP($B1606,'2. TEUs &amp; Activities - EF'!$B$9:$B$190,'2. TEUs &amp; Activities - EF'!$M$9:$M$190))*'3. Pollutant Emissions - EF'!$J1606*IF(OR(ISBLANK($E1606),$G1606="Yes"),1,$E1606)*IF($H1606="Yes",1,(1-$F1606))</f>
        <v>4.3739999999999991E-5</v>
      </c>
      <c r="O1606" s="130"/>
    </row>
    <row r="1607" spans="1:15" ht="15" x14ac:dyDescent="0.25">
      <c r="A1607" s="5" t="s">
        <v>1629</v>
      </c>
      <c r="B1607" s="7"/>
      <c r="C1607" s="13" t="s">
        <v>60</v>
      </c>
      <c r="D1607" s="19" t="str">
        <f>IFERROR(IF(C1607="No CAS","",INDEX('DEQ Pollutant List'!$B$7:$B$611,MATCH('3. Pollutant Emissions - EF'!C1607,'DEQ Pollutant List'!$A$7:$A$611,0))),"")</f>
        <v>Ethyl benzene</v>
      </c>
      <c r="E1607" s="23">
        <v>0</v>
      </c>
      <c r="F1607" s="21">
        <v>0</v>
      </c>
      <c r="G1607" s="23" t="s">
        <v>1415</v>
      </c>
      <c r="H1607" s="21" t="s">
        <v>1415</v>
      </c>
      <c r="I1607" s="34">
        <v>9.4999999999999998E-3</v>
      </c>
      <c r="J1607" s="11">
        <f t="shared" si="58"/>
        <v>9.4999999999999998E-3</v>
      </c>
      <c r="K1607" s="6" t="s">
        <v>1416</v>
      </c>
      <c r="L1607" s="20" t="s">
        <v>1422</v>
      </c>
      <c r="M1607" s="7">
        <f>IF(ISBLANK($B1607),_xlfn.XLOOKUP($A1607,'2. TEUs &amp; Activities - EF'!$A$9:$A$190,'2. TEUs &amp; Activities - EF'!$J$9:$J$190),_xlfn.XLOOKUP($B1607,'2. TEUs &amp; Activities - EF'!$B$9:$B$190,'2. TEUs &amp; Activities - EF'!$J$9:$J$190))*'3. Pollutant Emissions - EF'!$I1607*IF(OR(ISBLANK($E1607),$G1607="Yes"),1,$E1607)*IF($H1607="Yes",1,(1-$F1607))</f>
        <v>0.17843347058823528</v>
      </c>
      <c r="N1607" s="5">
        <f>IF(ISBLANK($B1607),_xlfn.XLOOKUP($A1607,'2. TEUs &amp; Activities - EF'!$A$9:$A$190,'2. TEUs &amp; Activities - EF'!$M$9:$M$190),_xlfn.XLOOKUP($B1607,'2. TEUs &amp; Activities - EF'!$B$9:$B$190,'2. TEUs &amp; Activities - EF'!$M$9:$M$190))*'3. Pollutant Emissions - EF'!$J1607*IF(OR(ISBLANK($E1607),$G1607="Yes"),1,$E1607)*IF($H1607="Yes",1,(1-$F1607))</f>
        <v>4.8885882352941166E-4</v>
      </c>
      <c r="O1607" s="130"/>
    </row>
    <row r="1608" spans="1:15" ht="15" x14ac:dyDescent="0.25">
      <c r="A1608" s="5" t="s">
        <v>1629</v>
      </c>
      <c r="B1608" s="7"/>
      <c r="C1608" s="13" t="s">
        <v>47</v>
      </c>
      <c r="D1608" s="19" t="str">
        <f>IFERROR(IF(C1608="No CAS","",INDEX('DEQ Pollutant List'!$B$7:$B$611,MATCH('3. Pollutant Emissions - EF'!C1608,'DEQ Pollutant List'!$A$7:$A$611,0))),"")</f>
        <v>Formaldehyde</v>
      </c>
      <c r="E1608" s="23">
        <v>0</v>
      </c>
      <c r="F1608" s="21">
        <v>0</v>
      </c>
      <c r="G1608" s="23" t="s">
        <v>1415</v>
      </c>
      <c r="H1608" s="21" t="s">
        <v>1415</v>
      </c>
      <c r="I1608" s="34">
        <v>1.7000000000000001E-2</v>
      </c>
      <c r="J1608" s="11">
        <f t="shared" si="58"/>
        <v>1.7000000000000001E-2</v>
      </c>
      <c r="K1608" s="6" t="s">
        <v>1416</v>
      </c>
      <c r="L1608" s="20" t="s">
        <v>1422</v>
      </c>
      <c r="M1608" s="7">
        <f>IF(ISBLANK($B1608),_xlfn.XLOOKUP($A1608,'2. TEUs &amp; Activities - EF'!$A$9:$A$190,'2. TEUs &amp; Activities - EF'!$J$9:$J$190),_xlfn.XLOOKUP($B1608,'2. TEUs &amp; Activities - EF'!$B$9:$B$190,'2. TEUs &amp; Activities - EF'!$J$9:$J$190))*'3. Pollutant Emissions - EF'!$I1608*IF(OR(ISBLANK($E1608),$G1608="Yes"),1,$E1608)*IF($H1608="Yes",1,(1-$F1608))</f>
        <v>0.31930199999999997</v>
      </c>
      <c r="N1608" s="5">
        <f>IF(ISBLANK($B1608),_xlfn.XLOOKUP($A1608,'2. TEUs &amp; Activities - EF'!$A$9:$A$190,'2. TEUs &amp; Activities - EF'!$M$9:$M$190),_xlfn.XLOOKUP($B1608,'2. TEUs &amp; Activities - EF'!$B$9:$B$190,'2. TEUs &amp; Activities - EF'!$M$9:$M$190))*'3. Pollutant Emissions - EF'!$J1608*IF(OR(ISBLANK($E1608),$G1608="Yes"),1,$E1608)*IF($H1608="Yes",1,(1-$F1608))</f>
        <v>8.747999999999999E-4</v>
      </c>
      <c r="O1608" s="130"/>
    </row>
    <row r="1609" spans="1:15" ht="15" x14ac:dyDescent="0.25">
      <c r="A1609" s="5" t="s">
        <v>1629</v>
      </c>
      <c r="B1609" s="7"/>
      <c r="C1609" s="13" t="s">
        <v>61</v>
      </c>
      <c r="D1609" s="19" t="str">
        <f>IFERROR(IF(C1609="No CAS","",INDEX('DEQ Pollutant List'!$B$7:$B$611,MATCH('3. Pollutant Emissions - EF'!C1609,'DEQ Pollutant List'!$A$7:$A$611,0))),"")</f>
        <v>Hexane</v>
      </c>
      <c r="E1609" s="23">
        <v>0</v>
      </c>
      <c r="F1609" s="21">
        <v>0</v>
      </c>
      <c r="G1609" s="23" t="s">
        <v>1415</v>
      </c>
      <c r="H1609" s="21" t="s">
        <v>1415</v>
      </c>
      <c r="I1609" s="34">
        <v>6.3E-3</v>
      </c>
      <c r="J1609" s="11">
        <f t="shared" si="58"/>
        <v>6.3E-3</v>
      </c>
      <c r="K1609" s="6" t="s">
        <v>1416</v>
      </c>
      <c r="L1609" s="20" t="s">
        <v>1422</v>
      </c>
      <c r="M1609" s="7">
        <f>IF(ISBLANK($B1609),_xlfn.XLOOKUP($A1609,'2. TEUs &amp; Activities - EF'!$A$9:$A$190,'2. TEUs &amp; Activities - EF'!$J$9:$J$190),_xlfn.XLOOKUP($B1609,'2. TEUs &amp; Activities - EF'!$B$9:$B$190,'2. TEUs &amp; Activities - EF'!$J$9:$J$190))*'3. Pollutant Emissions - EF'!$I1609*IF(OR(ISBLANK($E1609),$G1609="Yes"),1,$E1609)*IF($H1609="Yes",1,(1-$F1609))</f>
        <v>0.11832956470588234</v>
      </c>
      <c r="N1609" s="5">
        <f>IF(ISBLANK($B1609),_xlfn.XLOOKUP($A1609,'2. TEUs &amp; Activities - EF'!$A$9:$A$190,'2. TEUs &amp; Activities - EF'!$M$9:$M$190),_xlfn.XLOOKUP($B1609,'2. TEUs &amp; Activities - EF'!$B$9:$B$190,'2. TEUs &amp; Activities - EF'!$M$9:$M$190))*'3. Pollutant Emissions - EF'!$J1609*IF(OR(ISBLANK($E1609),$G1609="Yes"),1,$E1609)*IF($H1609="Yes",1,(1-$F1609))</f>
        <v>3.241905882352941E-4</v>
      </c>
      <c r="O1609" s="130"/>
    </row>
    <row r="1610" spans="1:15" ht="15" x14ac:dyDescent="0.25">
      <c r="A1610" s="5" t="s">
        <v>1629</v>
      </c>
      <c r="B1610" s="7"/>
      <c r="C1610" s="13" t="s">
        <v>62</v>
      </c>
      <c r="D1610" s="19" t="str">
        <f>IFERROR(IF(C1610="No CAS","",INDEX('DEQ Pollutant List'!$B$7:$B$611,MATCH('3. Pollutant Emissions - EF'!C1610,'DEQ Pollutant List'!$A$7:$A$611,0))),"")</f>
        <v>Lead and compounds</v>
      </c>
      <c r="E1610" s="23">
        <v>0</v>
      </c>
      <c r="F1610" s="21">
        <v>0</v>
      </c>
      <c r="G1610" s="23" t="s">
        <v>1415</v>
      </c>
      <c r="H1610" s="21" t="s">
        <v>1415</v>
      </c>
      <c r="I1610" s="34">
        <v>5.0000000000000001E-4</v>
      </c>
      <c r="J1610" s="11">
        <f t="shared" si="58"/>
        <v>5.0000000000000001E-4</v>
      </c>
      <c r="K1610" s="6" t="s">
        <v>1416</v>
      </c>
      <c r="L1610" s="20" t="s">
        <v>1422</v>
      </c>
      <c r="M1610" s="7">
        <f>IF(ISBLANK($B1610),_xlfn.XLOOKUP($A1610,'2. TEUs &amp; Activities - EF'!$A$9:$A$190,'2. TEUs &amp; Activities - EF'!$J$9:$J$190),_xlfn.XLOOKUP($B1610,'2. TEUs &amp; Activities - EF'!$B$9:$B$190,'2. TEUs &amp; Activities - EF'!$J$9:$J$190))*'3. Pollutant Emissions - EF'!$I1610*IF(OR(ISBLANK($E1610),$G1610="Yes"),1,$E1610)*IF($H1610="Yes",1,(1-$F1610))</f>
        <v>9.3912352941176464E-3</v>
      </c>
      <c r="N1610" s="5">
        <f>IF(ISBLANK($B1610),_xlfn.XLOOKUP($A1610,'2. TEUs &amp; Activities - EF'!$A$9:$A$190,'2. TEUs &amp; Activities - EF'!$M$9:$M$190),_xlfn.XLOOKUP($B1610,'2. TEUs &amp; Activities - EF'!$B$9:$B$190,'2. TEUs &amp; Activities - EF'!$M$9:$M$190))*'3. Pollutant Emissions - EF'!$J1610*IF(OR(ISBLANK($E1610),$G1610="Yes"),1,$E1610)*IF($H1610="Yes",1,(1-$F1610))</f>
        <v>2.572941176470588E-5</v>
      </c>
      <c r="O1610" s="130"/>
    </row>
    <row r="1611" spans="1:15" ht="15" x14ac:dyDescent="0.25">
      <c r="A1611" s="5" t="s">
        <v>1629</v>
      </c>
      <c r="B1611" s="7"/>
      <c r="C1611" s="13" t="s">
        <v>63</v>
      </c>
      <c r="D1611" s="19" t="str">
        <f>IFERROR(IF(C1611="No CAS","",INDEX('DEQ Pollutant List'!$B$7:$B$611,MATCH('3. Pollutant Emissions - EF'!C1611,'DEQ Pollutant List'!$A$7:$A$611,0))),"")</f>
        <v>Manganese and compounds</v>
      </c>
      <c r="E1611" s="23">
        <v>0</v>
      </c>
      <c r="F1611" s="21">
        <v>0</v>
      </c>
      <c r="G1611" s="23" t="s">
        <v>1415</v>
      </c>
      <c r="H1611" s="21" t="s">
        <v>1415</v>
      </c>
      <c r="I1611" s="34">
        <v>3.8000000000000002E-4</v>
      </c>
      <c r="J1611" s="11">
        <f t="shared" si="58"/>
        <v>3.8000000000000002E-4</v>
      </c>
      <c r="K1611" s="6" t="s">
        <v>1416</v>
      </c>
      <c r="L1611" s="20" t="s">
        <v>1422</v>
      </c>
      <c r="M1611" s="7">
        <f>IF(ISBLANK($B1611),_xlfn.XLOOKUP($A1611,'2. TEUs &amp; Activities - EF'!$A$9:$A$190,'2. TEUs &amp; Activities - EF'!$J$9:$J$190),_xlfn.XLOOKUP($B1611,'2. TEUs &amp; Activities - EF'!$B$9:$B$190,'2. TEUs &amp; Activities - EF'!$J$9:$J$190))*'3. Pollutant Emissions - EF'!$I1611*IF(OR(ISBLANK($E1611),$G1611="Yes"),1,$E1611)*IF($H1611="Yes",1,(1-$F1611))</f>
        <v>7.1373388235294113E-3</v>
      </c>
      <c r="N1611" s="5">
        <f>IF(ISBLANK($B1611),_xlfn.XLOOKUP($A1611,'2. TEUs &amp; Activities - EF'!$A$9:$A$190,'2. TEUs &amp; Activities - EF'!$M$9:$M$190),_xlfn.XLOOKUP($B1611,'2. TEUs &amp; Activities - EF'!$B$9:$B$190,'2. TEUs &amp; Activities - EF'!$M$9:$M$190))*'3. Pollutant Emissions - EF'!$J1611*IF(OR(ISBLANK($E1611),$G1611="Yes"),1,$E1611)*IF($H1611="Yes",1,(1-$F1611))</f>
        <v>1.9554352941176471E-5</v>
      </c>
      <c r="O1611" s="130"/>
    </row>
    <row r="1612" spans="1:15" ht="15" x14ac:dyDescent="0.25">
      <c r="A1612" s="5" t="s">
        <v>1629</v>
      </c>
      <c r="B1612" s="7"/>
      <c r="C1612" s="13" t="s">
        <v>64</v>
      </c>
      <c r="D1612" s="19" t="str">
        <f>IFERROR(IF(C1612="No CAS","",INDEX('DEQ Pollutant List'!$B$7:$B$611,MATCH('3. Pollutant Emissions - EF'!C1612,'DEQ Pollutant List'!$A$7:$A$611,0))),"")</f>
        <v>Mercury and compounds</v>
      </c>
      <c r="E1612" s="23">
        <v>0</v>
      </c>
      <c r="F1612" s="21">
        <v>0</v>
      </c>
      <c r="G1612" s="23" t="s">
        <v>1415</v>
      </c>
      <c r="H1612" s="21" t="s">
        <v>1415</v>
      </c>
      <c r="I1612" s="34">
        <v>2.5999999999999998E-4</v>
      </c>
      <c r="J1612" s="11">
        <f t="shared" si="58"/>
        <v>2.5999999999999998E-4</v>
      </c>
      <c r="K1612" s="6" t="s">
        <v>1416</v>
      </c>
      <c r="L1612" s="20" t="s">
        <v>1422</v>
      </c>
      <c r="M1612" s="7">
        <f>IF(ISBLANK($B1612),_xlfn.XLOOKUP($A1612,'2. TEUs &amp; Activities - EF'!$A$9:$A$190,'2. TEUs &amp; Activities - EF'!$J$9:$J$190),_xlfn.XLOOKUP($B1612,'2. TEUs &amp; Activities - EF'!$B$9:$B$190,'2. TEUs &amp; Activities - EF'!$J$9:$J$190))*'3. Pollutant Emissions - EF'!$I1612*IF(OR(ISBLANK($E1612),$G1612="Yes"),1,$E1612)*IF($H1612="Yes",1,(1-$F1612))</f>
        <v>4.8834423529411754E-3</v>
      </c>
      <c r="N1612" s="5">
        <f>IF(ISBLANK($B1612),_xlfn.XLOOKUP($A1612,'2. TEUs &amp; Activities - EF'!$A$9:$A$190,'2. TEUs &amp; Activities - EF'!$M$9:$M$190),_xlfn.XLOOKUP($B1612,'2. TEUs &amp; Activities - EF'!$B$9:$B$190,'2. TEUs &amp; Activities - EF'!$M$9:$M$190))*'3. Pollutant Emissions - EF'!$J1612*IF(OR(ISBLANK($E1612),$G1612="Yes"),1,$E1612)*IF($H1612="Yes",1,(1-$F1612))</f>
        <v>1.3379294117647057E-5</v>
      </c>
      <c r="O1612" s="130"/>
    </row>
    <row r="1613" spans="1:15" ht="15" x14ac:dyDescent="0.25">
      <c r="A1613" s="5" t="s">
        <v>1629</v>
      </c>
      <c r="B1613" s="7"/>
      <c r="C1613" s="13" t="s">
        <v>65</v>
      </c>
      <c r="D1613" s="19" t="str">
        <f>IFERROR(IF(C1613="No CAS","",INDEX('DEQ Pollutant List'!$B$7:$B$611,MATCH('3. Pollutant Emissions - EF'!C1613,'DEQ Pollutant List'!$A$7:$A$611,0))),"")</f>
        <v>Molybdenum trioxide</v>
      </c>
      <c r="E1613" s="23">
        <v>0</v>
      </c>
      <c r="F1613" s="21">
        <v>0</v>
      </c>
      <c r="G1613" s="23" t="s">
        <v>1415</v>
      </c>
      <c r="H1613" s="21" t="s">
        <v>1415</v>
      </c>
      <c r="I1613" s="34">
        <v>1.65E-3</v>
      </c>
      <c r="J1613" s="11">
        <f t="shared" si="58"/>
        <v>1.65E-3</v>
      </c>
      <c r="K1613" s="6" t="s">
        <v>1416</v>
      </c>
      <c r="L1613" s="20" t="s">
        <v>1422</v>
      </c>
      <c r="M1613" s="7">
        <f>IF(ISBLANK($B1613),_xlfn.XLOOKUP($A1613,'2. TEUs &amp; Activities - EF'!$A$9:$A$190,'2. TEUs &amp; Activities - EF'!$J$9:$J$190),_xlfn.XLOOKUP($B1613,'2. TEUs &amp; Activities - EF'!$B$9:$B$190,'2. TEUs &amp; Activities - EF'!$J$9:$J$190))*'3. Pollutant Emissions - EF'!$I1613*IF(OR(ISBLANK($E1613),$G1613="Yes"),1,$E1613)*IF($H1613="Yes",1,(1-$F1613))</f>
        <v>3.0991076470588231E-2</v>
      </c>
      <c r="N1613" s="5">
        <f>IF(ISBLANK($B1613),_xlfn.XLOOKUP($A1613,'2. TEUs &amp; Activities - EF'!$A$9:$A$190,'2. TEUs &amp; Activities - EF'!$M$9:$M$190),_xlfn.XLOOKUP($B1613,'2. TEUs &amp; Activities - EF'!$B$9:$B$190,'2. TEUs &amp; Activities - EF'!$M$9:$M$190))*'3. Pollutant Emissions - EF'!$J1613*IF(OR(ISBLANK($E1613),$G1613="Yes"),1,$E1613)*IF($H1613="Yes",1,(1-$F1613))</f>
        <v>8.49070588235294E-5</v>
      </c>
      <c r="O1613" s="130"/>
    </row>
    <row r="1614" spans="1:15" ht="15" x14ac:dyDescent="0.25">
      <c r="A1614" s="5" t="s">
        <v>1629</v>
      </c>
      <c r="B1614" s="7"/>
      <c r="C1614" s="13" t="s">
        <v>49</v>
      </c>
      <c r="D1614" s="19" t="str">
        <f>IFERROR(IF(C1614="No CAS","",INDEX('DEQ Pollutant List'!$B$7:$B$611,MATCH('3. Pollutant Emissions - EF'!C1614,'DEQ Pollutant List'!$A$7:$A$611,0))),"")</f>
        <v>Naphthalene</v>
      </c>
      <c r="E1614" s="23">
        <v>0</v>
      </c>
      <c r="F1614" s="21">
        <v>0</v>
      </c>
      <c r="G1614" s="23" t="s">
        <v>1415</v>
      </c>
      <c r="H1614" s="21" t="s">
        <v>1415</v>
      </c>
      <c r="I1614" s="34">
        <v>2.9999999999999997E-4</v>
      </c>
      <c r="J1614" s="11">
        <f t="shared" si="58"/>
        <v>2.9999999999999997E-4</v>
      </c>
      <c r="K1614" s="6" t="s">
        <v>1416</v>
      </c>
      <c r="L1614" s="20" t="s">
        <v>1422</v>
      </c>
      <c r="M1614" s="7">
        <f>IF(ISBLANK($B1614),_xlfn.XLOOKUP($A1614,'2. TEUs &amp; Activities - EF'!$A$9:$A$190,'2. TEUs &amp; Activities - EF'!$J$9:$J$190),_xlfn.XLOOKUP($B1614,'2. TEUs &amp; Activities - EF'!$B$9:$B$190,'2. TEUs &amp; Activities - EF'!$J$9:$J$190))*'3. Pollutant Emissions - EF'!$I1614*IF(OR(ISBLANK($E1614),$G1614="Yes"),1,$E1614)*IF($H1614="Yes",1,(1-$F1614))</f>
        <v>5.6347411764705868E-3</v>
      </c>
      <c r="N1614" s="5">
        <f>IF(ISBLANK($B1614),_xlfn.XLOOKUP($A1614,'2. TEUs &amp; Activities - EF'!$A$9:$A$190,'2. TEUs &amp; Activities - EF'!$M$9:$M$190),_xlfn.XLOOKUP($B1614,'2. TEUs &amp; Activities - EF'!$B$9:$B$190,'2. TEUs &amp; Activities - EF'!$M$9:$M$190))*'3. Pollutant Emissions - EF'!$J1614*IF(OR(ISBLANK($E1614),$G1614="Yes"),1,$E1614)*IF($H1614="Yes",1,(1-$F1614))</f>
        <v>1.5437647058823526E-5</v>
      </c>
      <c r="O1614" s="130"/>
    </row>
    <row r="1615" spans="1:15" ht="15" x14ac:dyDescent="0.25">
      <c r="A1615" s="5" t="s">
        <v>1629</v>
      </c>
      <c r="B1615" s="7"/>
      <c r="C1615" s="13" t="s">
        <v>66</v>
      </c>
      <c r="D1615" s="19" t="str">
        <f>IFERROR(IF(C1615="No CAS","",INDEX('DEQ Pollutant List'!$B$7:$B$611,MATCH('3. Pollutant Emissions - EF'!C1615,'DEQ Pollutant List'!$A$7:$A$611,0))),"")</f>
        <v>Nickel and compounds</v>
      </c>
      <c r="E1615" s="23">
        <v>0</v>
      </c>
      <c r="F1615" s="21">
        <v>0</v>
      </c>
      <c r="G1615" s="23" t="s">
        <v>1415</v>
      </c>
      <c r="H1615" s="21" t="s">
        <v>1415</v>
      </c>
      <c r="I1615" s="34">
        <v>2.0999999999999999E-3</v>
      </c>
      <c r="J1615" s="11">
        <f t="shared" si="58"/>
        <v>2.0999999999999999E-3</v>
      </c>
      <c r="K1615" s="6" t="s">
        <v>1416</v>
      </c>
      <c r="L1615" s="20" t="s">
        <v>1422</v>
      </c>
      <c r="M1615" s="7">
        <f>IF(ISBLANK($B1615),_xlfn.XLOOKUP($A1615,'2. TEUs &amp; Activities - EF'!$A$9:$A$190,'2. TEUs &amp; Activities - EF'!$J$9:$J$190),_xlfn.XLOOKUP($B1615,'2. TEUs &amp; Activities - EF'!$B$9:$B$190,'2. TEUs &amp; Activities - EF'!$J$9:$J$190))*'3. Pollutant Emissions - EF'!$I1615*IF(OR(ISBLANK($E1615),$G1615="Yes"),1,$E1615)*IF($H1615="Yes",1,(1-$F1615))</f>
        <v>3.9443188235294108E-2</v>
      </c>
      <c r="N1615" s="5">
        <f>IF(ISBLANK($B1615),_xlfn.XLOOKUP($A1615,'2. TEUs &amp; Activities - EF'!$A$9:$A$190,'2. TEUs &amp; Activities - EF'!$M$9:$M$190),_xlfn.XLOOKUP($B1615,'2. TEUs &amp; Activities - EF'!$B$9:$B$190,'2. TEUs &amp; Activities - EF'!$M$9:$M$190))*'3. Pollutant Emissions - EF'!$J1615*IF(OR(ISBLANK($E1615),$G1615="Yes"),1,$E1615)*IF($H1615="Yes",1,(1-$F1615))</f>
        <v>1.0806352941176468E-4</v>
      </c>
      <c r="O1615" s="130"/>
    </row>
    <row r="1616" spans="1:15" ht="15" x14ac:dyDescent="0.25">
      <c r="A1616" s="5" t="s">
        <v>1629</v>
      </c>
      <c r="B1616" s="7"/>
      <c r="C1616" s="13">
        <v>401</v>
      </c>
      <c r="D1616" s="19" t="str">
        <f>IFERROR(IF(C1616="No CAS","",INDEX('DEQ Pollutant List'!$B$7:$B$611,MATCH('3. Pollutant Emissions - EF'!C1616,'DEQ Pollutant List'!$A$7:$A$611,0))),"")</f>
        <v>Polycyclic aromatic hydrocarbons (PAHs)</v>
      </c>
      <c r="E1616" s="23">
        <v>0</v>
      </c>
      <c r="F1616" s="21">
        <v>0</v>
      </c>
      <c r="G1616" s="23" t="s">
        <v>1415</v>
      </c>
      <c r="H1616" s="21" t="s">
        <v>1415</v>
      </c>
      <c r="I1616" s="34">
        <v>1E-4</v>
      </c>
      <c r="J1616" s="11">
        <f t="shared" si="58"/>
        <v>1E-4</v>
      </c>
      <c r="K1616" s="6" t="s">
        <v>1416</v>
      </c>
      <c r="L1616" s="20" t="s">
        <v>1422</v>
      </c>
      <c r="M1616" s="7">
        <f>IF(ISBLANK($B1616),_xlfn.XLOOKUP($A1616,'2. TEUs &amp; Activities - EF'!$A$9:$A$190,'2. TEUs &amp; Activities - EF'!$J$9:$J$190),_xlfn.XLOOKUP($B1616,'2. TEUs &amp; Activities - EF'!$B$9:$B$190,'2. TEUs &amp; Activities - EF'!$J$9:$J$190))*'3. Pollutant Emissions - EF'!$I1616*IF(OR(ISBLANK($E1616),$G1616="Yes"),1,$E1616)*IF($H1616="Yes",1,(1-$F1616))</f>
        <v>1.8782470588235292E-3</v>
      </c>
      <c r="N1616" s="5">
        <f>IF(ISBLANK($B1616),_xlfn.XLOOKUP($A1616,'2. TEUs &amp; Activities - EF'!$A$9:$A$190,'2. TEUs &amp; Activities - EF'!$M$9:$M$190),_xlfn.XLOOKUP($B1616,'2. TEUs &amp; Activities - EF'!$B$9:$B$190,'2. TEUs &amp; Activities - EF'!$M$9:$M$190))*'3. Pollutant Emissions - EF'!$J1616*IF(OR(ISBLANK($E1616),$G1616="Yes"),1,$E1616)*IF($H1616="Yes",1,(1-$F1616))</f>
        <v>5.1458823529411761E-6</v>
      </c>
      <c r="O1616" s="130"/>
    </row>
    <row r="1617" spans="1:15" ht="15" x14ac:dyDescent="0.25">
      <c r="A1617" s="5" t="s">
        <v>1629</v>
      </c>
      <c r="B1617" s="7"/>
      <c r="C1617" s="13" t="s">
        <v>67</v>
      </c>
      <c r="D1617" s="19" t="str">
        <f>IFERROR(IF(C1617="No CAS","",INDEX('DEQ Pollutant List'!$B$7:$B$611,MATCH('3. Pollutant Emissions - EF'!C1617,'DEQ Pollutant List'!$A$7:$A$611,0))),"")</f>
        <v>Selenium and compounds</v>
      </c>
      <c r="E1617" s="23">
        <v>0</v>
      </c>
      <c r="F1617" s="21">
        <v>0</v>
      </c>
      <c r="G1617" s="23" t="s">
        <v>1415</v>
      </c>
      <c r="H1617" s="21" t="s">
        <v>1415</v>
      </c>
      <c r="I1617" s="34">
        <v>2.4000000000000001E-5</v>
      </c>
      <c r="J1617" s="11">
        <f t="shared" si="58"/>
        <v>2.4000000000000001E-5</v>
      </c>
      <c r="K1617" s="6" t="s">
        <v>1416</v>
      </c>
      <c r="L1617" s="20" t="s">
        <v>1422</v>
      </c>
      <c r="M1617" s="7">
        <f>IF(ISBLANK($B1617),_xlfn.XLOOKUP($A1617,'2. TEUs &amp; Activities - EF'!$A$9:$A$190,'2. TEUs &amp; Activities - EF'!$J$9:$J$190),_xlfn.XLOOKUP($B1617,'2. TEUs &amp; Activities - EF'!$B$9:$B$190,'2. TEUs &amp; Activities - EF'!$J$9:$J$190))*'3. Pollutant Emissions - EF'!$I1617*IF(OR(ISBLANK($E1617),$G1617="Yes"),1,$E1617)*IF($H1617="Yes",1,(1-$F1617))</f>
        <v>4.5077929411764701E-4</v>
      </c>
      <c r="N1617" s="5">
        <f>IF(ISBLANK($B1617),_xlfn.XLOOKUP($A1617,'2. TEUs &amp; Activities - EF'!$A$9:$A$190,'2. TEUs &amp; Activities - EF'!$M$9:$M$190),_xlfn.XLOOKUP($B1617,'2. TEUs &amp; Activities - EF'!$B$9:$B$190,'2. TEUs &amp; Activities - EF'!$M$9:$M$190))*'3. Pollutant Emissions - EF'!$J1617*IF(OR(ISBLANK($E1617),$G1617="Yes"),1,$E1617)*IF($H1617="Yes",1,(1-$F1617))</f>
        <v>1.2350117647058823E-6</v>
      </c>
      <c r="O1617" s="130"/>
    </row>
    <row r="1618" spans="1:15" ht="15" x14ac:dyDescent="0.25">
      <c r="A1618" s="5" t="s">
        <v>1629</v>
      </c>
      <c r="B1618" s="7"/>
      <c r="C1618" s="13" t="s">
        <v>68</v>
      </c>
      <c r="D1618" s="19" t="str">
        <f>IFERROR(IF(C1618="No CAS","",INDEX('DEQ Pollutant List'!$B$7:$B$611,MATCH('3. Pollutant Emissions - EF'!C1618,'DEQ Pollutant List'!$A$7:$A$611,0))),"")</f>
        <v>Toluene</v>
      </c>
      <c r="E1618" s="23">
        <v>0</v>
      </c>
      <c r="F1618" s="21">
        <v>0</v>
      </c>
      <c r="G1618" s="23" t="s">
        <v>1415</v>
      </c>
      <c r="H1618" s="21" t="s">
        <v>1415</v>
      </c>
      <c r="I1618" s="34">
        <v>3.6600000000000001E-2</v>
      </c>
      <c r="J1618" s="11">
        <f t="shared" si="58"/>
        <v>3.6600000000000001E-2</v>
      </c>
      <c r="K1618" s="6" t="s">
        <v>1416</v>
      </c>
      <c r="L1618" s="20" t="s">
        <v>1422</v>
      </c>
      <c r="M1618" s="7">
        <f>IF(ISBLANK($B1618),_xlfn.XLOOKUP($A1618,'2. TEUs &amp; Activities - EF'!$A$9:$A$190,'2. TEUs &amp; Activities - EF'!$J$9:$J$190),_xlfn.XLOOKUP($B1618,'2. TEUs &amp; Activities - EF'!$B$9:$B$190,'2. TEUs &amp; Activities - EF'!$J$9:$J$190))*'3. Pollutant Emissions - EF'!$I1618*IF(OR(ISBLANK($E1618),$G1618="Yes"),1,$E1618)*IF($H1618="Yes",1,(1-$F1618))</f>
        <v>0.68743842352941165</v>
      </c>
      <c r="N1618" s="5">
        <f>IF(ISBLANK($B1618),_xlfn.XLOOKUP($A1618,'2. TEUs &amp; Activities - EF'!$A$9:$A$190,'2. TEUs &amp; Activities - EF'!$M$9:$M$190),_xlfn.XLOOKUP($B1618,'2. TEUs &amp; Activities - EF'!$B$9:$B$190,'2. TEUs &amp; Activities - EF'!$M$9:$M$190))*'3. Pollutant Emissions - EF'!$J1618*IF(OR(ISBLANK($E1618),$G1618="Yes"),1,$E1618)*IF($H1618="Yes",1,(1-$F1618))</f>
        <v>1.8833929411764703E-3</v>
      </c>
      <c r="O1618" s="130"/>
    </row>
    <row r="1619" spans="1:15" ht="15" x14ac:dyDescent="0.25">
      <c r="A1619" s="5" t="s">
        <v>1629</v>
      </c>
      <c r="B1619" s="7"/>
      <c r="C1619" s="13" t="s">
        <v>69</v>
      </c>
      <c r="D1619" s="19" t="str">
        <f>IFERROR(IF(C1619="No CAS","",INDEX('DEQ Pollutant List'!$B$7:$B$611,MATCH('3. Pollutant Emissions - EF'!C1619,'DEQ Pollutant List'!$A$7:$A$611,0))),"")</f>
        <v>Vanadium (fume or dust)</v>
      </c>
      <c r="E1619" s="23">
        <v>0</v>
      </c>
      <c r="F1619" s="21">
        <v>0</v>
      </c>
      <c r="G1619" s="23" t="s">
        <v>1415</v>
      </c>
      <c r="H1619" s="21" t="s">
        <v>1415</v>
      </c>
      <c r="I1619" s="34">
        <v>2.3E-3</v>
      </c>
      <c r="J1619" s="11">
        <f t="shared" si="58"/>
        <v>2.3E-3</v>
      </c>
      <c r="K1619" s="6" t="s">
        <v>1416</v>
      </c>
      <c r="L1619" s="20" t="s">
        <v>1422</v>
      </c>
      <c r="M1619" s="7">
        <f>IF(ISBLANK($B1619),_xlfn.XLOOKUP($A1619,'2. TEUs &amp; Activities - EF'!$A$9:$A$190,'2. TEUs &amp; Activities - EF'!$J$9:$J$190),_xlfn.XLOOKUP($B1619,'2. TEUs &amp; Activities - EF'!$B$9:$B$190,'2. TEUs &amp; Activities - EF'!$J$9:$J$190))*'3. Pollutant Emissions - EF'!$I1619*IF(OR(ISBLANK($E1619),$G1619="Yes"),1,$E1619)*IF($H1619="Yes",1,(1-$F1619))</f>
        <v>4.3199682352941172E-2</v>
      </c>
      <c r="N1619" s="5">
        <f>IF(ISBLANK($B1619),_xlfn.XLOOKUP($A1619,'2. TEUs &amp; Activities - EF'!$A$9:$A$190,'2. TEUs &amp; Activities - EF'!$M$9:$M$190),_xlfn.XLOOKUP($B1619,'2. TEUs &amp; Activities - EF'!$B$9:$B$190,'2. TEUs &amp; Activities - EF'!$M$9:$M$190))*'3. Pollutant Emissions - EF'!$J1619*IF(OR(ISBLANK($E1619),$G1619="Yes"),1,$E1619)*IF($H1619="Yes",1,(1-$F1619))</f>
        <v>1.1835529411764704E-4</v>
      </c>
      <c r="O1619" s="130"/>
    </row>
    <row r="1620" spans="1:15" ht="15" x14ac:dyDescent="0.25">
      <c r="A1620" s="5" t="s">
        <v>1629</v>
      </c>
      <c r="B1620" s="7"/>
      <c r="C1620" s="13" t="s">
        <v>70</v>
      </c>
      <c r="D1620" s="19" t="str">
        <f>IFERROR(IF(C1620="No CAS","",INDEX('DEQ Pollutant List'!$B$7:$B$611,MATCH('3. Pollutant Emissions - EF'!C1620,'DEQ Pollutant List'!$A$7:$A$611,0))),"")</f>
        <v>Xylene (mixture), including m-xylene, o-xylene, p-xylene</v>
      </c>
      <c r="E1620" s="23">
        <v>0</v>
      </c>
      <c r="F1620" s="21">
        <v>0</v>
      </c>
      <c r="G1620" s="23" t="s">
        <v>1415</v>
      </c>
      <c r="H1620" s="21" t="s">
        <v>1415</v>
      </c>
      <c r="I1620" s="34">
        <v>2.7199999999999998E-2</v>
      </c>
      <c r="J1620" s="11">
        <f t="shared" si="58"/>
        <v>2.7199999999999998E-2</v>
      </c>
      <c r="K1620" s="6" t="s">
        <v>1416</v>
      </c>
      <c r="L1620" s="20" t="s">
        <v>1422</v>
      </c>
      <c r="M1620" s="7">
        <f>IF(ISBLANK($B1620),_xlfn.XLOOKUP($A1620,'2. TEUs &amp; Activities - EF'!$A$9:$A$190,'2. TEUs &amp; Activities - EF'!$J$9:$J$190),_xlfn.XLOOKUP($B1620,'2. TEUs &amp; Activities - EF'!$B$9:$B$190,'2. TEUs &amp; Activities - EF'!$J$9:$J$190))*'3. Pollutant Emissions - EF'!$I1620*IF(OR(ISBLANK($E1620),$G1620="Yes"),1,$E1620)*IF($H1620="Yes",1,(1-$F1620))</f>
        <v>0.51088319999999987</v>
      </c>
      <c r="N1620" s="5">
        <f>IF(ISBLANK($B1620),_xlfn.XLOOKUP($A1620,'2. TEUs &amp; Activities - EF'!$A$9:$A$190,'2. TEUs &amp; Activities - EF'!$M$9:$M$190),_xlfn.XLOOKUP($B1620,'2. TEUs &amp; Activities - EF'!$B$9:$B$190,'2. TEUs &amp; Activities - EF'!$M$9:$M$190))*'3. Pollutant Emissions - EF'!$J1620*IF(OR(ISBLANK($E1620),$G1620="Yes"),1,$E1620)*IF($H1620="Yes",1,(1-$F1620))</f>
        <v>1.3996799999999997E-3</v>
      </c>
      <c r="O1620" s="130"/>
    </row>
    <row r="1621" spans="1:15" ht="15" x14ac:dyDescent="0.25">
      <c r="A1621" s="5" t="s">
        <v>1629</v>
      </c>
      <c r="B1621" s="7"/>
      <c r="C1621" s="13" t="s">
        <v>71</v>
      </c>
      <c r="D1621" s="19" t="str">
        <f>IFERROR(IF(C1621="No CAS","",INDEX('DEQ Pollutant List'!$B$7:$B$611,MATCH('3. Pollutant Emissions - EF'!C1621,'DEQ Pollutant List'!$A$7:$A$611,0))),"")</f>
        <v>Zinc and compounds</v>
      </c>
      <c r="E1621" s="23">
        <v>0</v>
      </c>
      <c r="F1621" s="21">
        <v>0</v>
      </c>
      <c r="G1621" s="23" t="s">
        <v>1415</v>
      </c>
      <c r="H1621" s="21" t="s">
        <v>1415</v>
      </c>
      <c r="I1621" s="34">
        <v>2.9000000000000001E-2</v>
      </c>
      <c r="J1621" s="11">
        <f t="shared" si="58"/>
        <v>2.9000000000000001E-2</v>
      </c>
      <c r="K1621" s="6" t="s">
        <v>1416</v>
      </c>
      <c r="L1621" s="20" t="s">
        <v>1422</v>
      </c>
      <c r="M1621" s="7">
        <f>IF(ISBLANK($B1621),_xlfn.XLOOKUP($A1621,'2. TEUs &amp; Activities - EF'!$A$9:$A$190,'2. TEUs &amp; Activities - EF'!$J$9:$J$190),_xlfn.XLOOKUP($B1621,'2. TEUs &amp; Activities - EF'!$B$9:$B$190,'2. TEUs &amp; Activities - EF'!$J$9:$J$190))*'3. Pollutant Emissions - EF'!$I1621*IF(OR(ISBLANK($E1621),$G1621="Yes"),1,$E1621)*IF($H1621="Yes",1,(1-$F1621))</f>
        <v>0.54469164705882345</v>
      </c>
      <c r="N1621" s="5">
        <f>IF(ISBLANK($B1621),_xlfn.XLOOKUP($A1621,'2. TEUs &amp; Activities - EF'!$A$9:$A$190,'2. TEUs &amp; Activities - EF'!$M$9:$M$190),_xlfn.XLOOKUP($B1621,'2. TEUs &amp; Activities - EF'!$B$9:$B$190,'2. TEUs &amp; Activities - EF'!$M$9:$M$190))*'3. Pollutant Emissions - EF'!$J1621*IF(OR(ISBLANK($E1621),$G1621="Yes"),1,$E1621)*IF($H1621="Yes",1,(1-$F1621))</f>
        <v>1.4923058823529411E-3</v>
      </c>
      <c r="O1621" s="130"/>
    </row>
    <row r="1622" spans="1:15" ht="15" x14ac:dyDescent="0.25">
      <c r="A1622" s="5"/>
      <c r="B1622" s="7"/>
      <c r="C1622" s="13"/>
      <c r="D1622" s="19" t="str">
        <f>IFERROR(IF(C1622="No CAS","",INDEX('DEQ Pollutant List'!$B$7:$B$611,MATCH('3. Pollutant Emissions - EF'!C1622,'DEQ Pollutant List'!$A$7:$A$611,0))),"")</f>
        <v/>
      </c>
      <c r="E1622" s="23"/>
      <c r="F1622" s="21"/>
      <c r="G1622" s="23"/>
      <c r="H1622" s="21"/>
      <c r="I1622" s="34"/>
      <c r="J1622" s="11"/>
      <c r="K1622" s="6"/>
      <c r="L1622" s="20"/>
      <c r="M1622" s="7">
        <f>IF(ISBLANK($B1622),_xlfn.XLOOKUP($A1622,'2. TEUs &amp; Activities - EF'!$A$9:$A$190,'2. TEUs &amp; Activities - EF'!$J$9:$J$190),_xlfn.XLOOKUP($B1622,'2. TEUs &amp; Activities - EF'!$B$9:$B$190,'2. TEUs &amp; Activities - EF'!$J$9:$J$190))*'3. Pollutant Emissions - EF'!$I1622*IF(OR(ISBLANK($E1622),$G1622="Yes"),1,$E1622)*IF($H1622="Yes",1,(1-$F1622))</f>
        <v>0</v>
      </c>
      <c r="N1622" s="5">
        <f>IF(ISBLANK($B1622),_xlfn.XLOOKUP($A1622,'2. TEUs &amp; Activities - EF'!$A$9:$A$190,'2. TEUs &amp; Activities - EF'!$M$9:$M$190),_xlfn.XLOOKUP($B1622,'2. TEUs &amp; Activities - EF'!$B$9:$B$190,'2. TEUs &amp; Activities - EF'!$M$9:$M$190))*'3. Pollutant Emissions - EF'!$J1622*IF(OR(ISBLANK($E1622),$G1622="Yes"),1,$E1622)*IF($H1622="Yes",1,(1-$F1622))</f>
        <v>0</v>
      </c>
      <c r="O1622" s="130"/>
    </row>
    <row r="1623" spans="1:15" ht="15" x14ac:dyDescent="0.25">
      <c r="A1623" s="5" t="s">
        <v>1631</v>
      </c>
      <c r="B1623" s="7"/>
      <c r="C1623" s="13" t="s">
        <v>48</v>
      </c>
      <c r="D1623" s="19" t="str">
        <f>IFERROR(IF(C1623="No CAS","",INDEX('DEQ Pollutant List'!$B$7:$B$611,MATCH('3. Pollutant Emissions - EF'!C1623,'DEQ Pollutant List'!$A$7:$A$611,0))),"")</f>
        <v>Benzo[a]pyrene</v>
      </c>
      <c r="E1623" s="23">
        <v>0</v>
      </c>
      <c r="F1623" s="21">
        <v>0</v>
      </c>
      <c r="G1623" s="23" t="s">
        <v>1415</v>
      </c>
      <c r="H1623" s="21" t="s">
        <v>1415</v>
      </c>
      <c r="I1623" s="34">
        <v>1.1999999999999999E-6</v>
      </c>
      <c r="J1623" s="11">
        <f t="shared" ref="J1623:J1649" si="59">I1623</f>
        <v>1.1999999999999999E-6</v>
      </c>
      <c r="K1623" s="6" t="s">
        <v>1416</v>
      </c>
      <c r="L1623" s="20" t="s">
        <v>1422</v>
      </c>
      <c r="M1623" s="7">
        <f>IF(ISBLANK($B1623),_xlfn.XLOOKUP($A1623,'2. TEUs &amp; Activities - EF'!$A$9:$A$190,'2. TEUs &amp; Activities - EF'!$J$9:$J$190),_xlfn.XLOOKUP($B1623,'2. TEUs &amp; Activities - EF'!$B$9:$B$190,'2. TEUs &amp; Activities - EF'!$J$9:$J$190))*'3. Pollutant Emissions - EF'!$I1623*IF(OR(ISBLANK($E1623),$G1623="Yes"),1,$E1623)*IF($H1623="Yes",1,(1-$F1623))</f>
        <v>1.4547783529411762E-4</v>
      </c>
      <c r="N1623" s="5">
        <f>IF(ISBLANK($B1623),_xlfn.XLOOKUP($A1623,'2. TEUs &amp; Activities - EF'!$A$9:$A$190,'2. TEUs &amp; Activities - EF'!$M$9:$M$190),_xlfn.XLOOKUP($B1623,'2. TEUs &amp; Activities - EF'!$B$9:$B$190,'2. TEUs &amp; Activities - EF'!$M$9:$M$190))*'3. Pollutant Emissions - EF'!$J1623*IF(OR(ISBLANK($E1623),$G1623="Yes"),1,$E1623)*IF($H1623="Yes",1,(1-$F1623))</f>
        <v>3.9856941176470583E-7</v>
      </c>
      <c r="O1623" s="130"/>
    </row>
    <row r="1624" spans="1:15" ht="15" x14ac:dyDescent="0.25">
      <c r="A1624" s="5" t="s">
        <v>1631</v>
      </c>
      <c r="B1624" s="7"/>
      <c r="C1624" s="13" t="s">
        <v>50</v>
      </c>
      <c r="D1624" s="19" t="str">
        <f>IFERROR(IF(C1624="No CAS","",INDEX('DEQ Pollutant List'!$B$7:$B$611,MATCH('3. Pollutant Emissions - EF'!C1624,'DEQ Pollutant List'!$A$7:$A$611,0))),"")</f>
        <v>Acetaldehyde</v>
      </c>
      <c r="E1624" s="23">
        <v>0</v>
      </c>
      <c r="F1624" s="21">
        <v>0</v>
      </c>
      <c r="G1624" s="23" t="s">
        <v>1415</v>
      </c>
      <c r="H1624" s="21" t="s">
        <v>1415</v>
      </c>
      <c r="I1624" s="34">
        <v>4.3E-3</v>
      </c>
      <c r="J1624" s="11">
        <f t="shared" si="59"/>
        <v>4.3E-3</v>
      </c>
      <c r="K1624" s="6" t="s">
        <v>1416</v>
      </c>
      <c r="L1624" s="20" t="s">
        <v>1422</v>
      </c>
      <c r="M1624" s="7">
        <f>IF(ISBLANK($B1624),_xlfn.XLOOKUP($A1624,'2. TEUs &amp; Activities - EF'!$A$9:$A$190,'2. TEUs &amp; Activities - EF'!$J$9:$J$190),_xlfn.XLOOKUP($B1624,'2. TEUs &amp; Activities - EF'!$B$9:$B$190,'2. TEUs &amp; Activities - EF'!$J$9:$J$190))*'3. Pollutant Emissions - EF'!$I1624*IF(OR(ISBLANK($E1624),$G1624="Yes"),1,$E1624)*IF($H1624="Yes",1,(1-$F1624))</f>
        <v>0.52129557647058822</v>
      </c>
      <c r="N1624" s="5">
        <f>IF(ISBLANK($B1624),_xlfn.XLOOKUP($A1624,'2. TEUs &amp; Activities - EF'!$A$9:$A$190,'2. TEUs &amp; Activities - EF'!$M$9:$M$190),_xlfn.XLOOKUP($B1624,'2. TEUs &amp; Activities - EF'!$B$9:$B$190,'2. TEUs &amp; Activities - EF'!$M$9:$M$190))*'3. Pollutant Emissions - EF'!$J1624*IF(OR(ISBLANK($E1624),$G1624="Yes"),1,$E1624)*IF($H1624="Yes",1,(1-$F1624))</f>
        <v>1.4282070588235293E-3</v>
      </c>
      <c r="O1624" s="130"/>
    </row>
    <row r="1625" spans="1:15" ht="15" x14ac:dyDescent="0.25">
      <c r="A1625" s="5" t="s">
        <v>1631</v>
      </c>
      <c r="B1625" s="7"/>
      <c r="C1625" s="13" t="s">
        <v>51</v>
      </c>
      <c r="D1625" s="19" t="str">
        <f>IFERROR(IF(C1625="No CAS","",INDEX('DEQ Pollutant List'!$B$7:$B$611,MATCH('3. Pollutant Emissions - EF'!C1625,'DEQ Pollutant List'!$A$7:$A$611,0))),"")</f>
        <v>Acrolein</v>
      </c>
      <c r="E1625" s="23">
        <v>0</v>
      </c>
      <c r="F1625" s="21">
        <v>0</v>
      </c>
      <c r="G1625" s="23" t="s">
        <v>1415</v>
      </c>
      <c r="H1625" s="21" t="s">
        <v>1415</v>
      </c>
      <c r="I1625" s="34">
        <v>2.7000000000000001E-3</v>
      </c>
      <c r="J1625" s="11">
        <f t="shared" si="59"/>
        <v>2.7000000000000001E-3</v>
      </c>
      <c r="K1625" s="6" t="s">
        <v>1416</v>
      </c>
      <c r="L1625" s="20" t="s">
        <v>1422</v>
      </c>
      <c r="M1625" s="7">
        <f>IF(ISBLANK($B1625),_xlfn.XLOOKUP($A1625,'2. TEUs &amp; Activities - EF'!$A$9:$A$190,'2. TEUs &amp; Activities - EF'!$J$9:$J$190),_xlfn.XLOOKUP($B1625,'2. TEUs &amp; Activities - EF'!$B$9:$B$190,'2. TEUs &amp; Activities - EF'!$J$9:$J$190))*'3. Pollutant Emissions - EF'!$I1625*IF(OR(ISBLANK($E1625),$G1625="Yes"),1,$E1625)*IF($H1625="Yes",1,(1-$F1625))</f>
        <v>0.32732512941176473</v>
      </c>
      <c r="N1625" s="5">
        <f>IF(ISBLANK($B1625),_xlfn.XLOOKUP($A1625,'2. TEUs &amp; Activities - EF'!$A$9:$A$190,'2. TEUs &amp; Activities - EF'!$M$9:$M$190),_xlfn.XLOOKUP($B1625,'2. TEUs &amp; Activities - EF'!$B$9:$B$190,'2. TEUs &amp; Activities - EF'!$M$9:$M$190))*'3. Pollutant Emissions - EF'!$J1625*IF(OR(ISBLANK($E1625),$G1625="Yes"),1,$E1625)*IF($H1625="Yes",1,(1-$F1625))</f>
        <v>8.9678117647058828E-4</v>
      </c>
      <c r="O1625" s="130"/>
    </row>
    <row r="1626" spans="1:15" ht="15" x14ac:dyDescent="0.25">
      <c r="A1626" s="5" t="s">
        <v>1631</v>
      </c>
      <c r="B1626" s="7"/>
      <c r="C1626" s="13" t="s">
        <v>52</v>
      </c>
      <c r="D1626" s="19" t="str">
        <f>IFERROR(IF(C1626="No CAS","",INDEX('DEQ Pollutant List'!$B$7:$B$611,MATCH('3. Pollutant Emissions - EF'!C1626,'DEQ Pollutant List'!$A$7:$A$611,0))),"")</f>
        <v>Ammonia</v>
      </c>
      <c r="E1626" s="23">
        <v>0</v>
      </c>
      <c r="F1626" s="21">
        <v>0</v>
      </c>
      <c r="G1626" s="23" t="s">
        <v>1415</v>
      </c>
      <c r="H1626" s="21" t="s">
        <v>1415</v>
      </c>
      <c r="I1626" s="34">
        <v>3.2</v>
      </c>
      <c r="J1626" s="11">
        <f t="shared" si="59"/>
        <v>3.2</v>
      </c>
      <c r="K1626" s="6" t="s">
        <v>1416</v>
      </c>
      <c r="L1626" s="20" t="s">
        <v>1586</v>
      </c>
      <c r="M1626" s="7">
        <f>IF(ISBLANK($B1626),_xlfn.XLOOKUP($A1626,'2. TEUs &amp; Activities - EF'!$A$9:$A$190,'2. TEUs &amp; Activities - EF'!$J$9:$J$190),_xlfn.XLOOKUP($B1626,'2. TEUs &amp; Activities - EF'!$B$9:$B$190,'2. TEUs &amp; Activities - EF'!$J$9:$J$190))*'3. Pollutant Emissions - EF'!$I1626*IF(OR(ISBLANK($E1626),$G1626="Yes"),1,$E1626)*IF($H1626="Yes",1,(1-$F1626))</f>
        <v>387.94089411764708</v>
      </c>
      <c r="N1626" s="5">
        <f>IF(ISBLANK($B1626),_xlfn.XLOOKUP($A1626,'2. TEUs &amp; Activities - EF'!$A$9:$A$190,'2. TEUs &amp; Activities - EF'!$M$9:$M$190),_xlfn.XLOOKUP($B1626,'2. TEUs &amp; Activities - EF'!$B$9:$B$190,'2. TEUs &amp; Activities - EF'!$M$9:$M$190))*'3. Pollutant Emissions - EF'!$J1626*IF(OR(ISBLANK($E1626),$G1626="Yes"),1,$E1626)*IF($H1626="Yes",1,(1-$F1626))</f>
        <v>1.0628517647058824</v>
      </c>
      <c r="O1626" s="130"/>
    </row>
    <row r="1627" spans="1:15" ht="15" x14ac:dyDescent="0.25">
      <c r="A1627" s="5" t="s">
        <v>1631</v>
      </c>
      <c r="B1627" s="7"/>
      <c r="C1627" s="13" t="s">
        <v>53</v>
      </c>
      <c r="D1627" s="19" t="str">
        <f>IFERROR(IF(C1627="No CAS","",INDEX('DEQ Pollutant List'!$B$7:$B$611,MATCH('3. Pollutant Emissions - EF'!C1627,'DEQ Pollutant List'!$A$7:$A$611,0))),"")</f>
        <v>Arsenic and compounds</v>
      </c>
      <c r="E1627" s="23">
        <v>0</v>
      </c>
      <c r="F1627" s="21">
        <v>0</v>
      </c>
      <c r="G1627" s="23" t="s">
        <v>1415</v>
      </c>
      <c r="H1627" s="21" t="s">
        <v>1415</v>
      </c>
      <c r="I1627" s="34">
        <v>2.0000000000000001E-4</v>
      </c>
      <c r="J1627" s="11">
        <f t="shared" si="59"/>
        <v>2.0000000000000001E-4</v>
      </c>
      <c r="K1627" s="6" t="s">
        <v>1416</v>
      </c>
      <c r="L1627" s="20" t="s">
        <v>1422</v>
      </c>
      <c r="M1627" s="7">
        <f>IF(ISBLANK($B1627),_xlfn.XLOOKUP($A1627,'2. TEUs &amp; Activities - EF'!$A$9:$A$190,'2. TEUs &amp; Activities - EF'!$J$9:$J$190),_xlfn.XLOOKUP($B1627,'2. TEUs &amp; Activities - EF'!$B$9:$B$190,'2. TEUs &amp; Activities - EF'!$J$9:$J$190))*'3. Pollutant Emissions - EF'!$I1627*IF(OR(ISBLANK($E1627),$G1627="Yes"),1,$E1627)*IF($H1627="Yes",1,(1-$F1627))</f>
        <v>2.424630588235294E-2</v>
      </c>
      <c r="N1627" s="5">
        <f>IF(ISBLANK($B1627),_xlfn.XLOOKUP($A1627,'2. TEUs &amp; Activities - EF'!$A$9:$A$190,'2. TEUs &amp; Activities - EF'!$M$9:$M$190),_xlfn.XLOOKUP($B1627,'2. TEUs &amp; Activities - EF'!$B$9:$B$190,'2. TEUs &amp; Activities - EF'!$M$9:$M$190))*'3. Pollutant Emissions - EF'!$J1627*IF(OR(ISBLANK($E1627),$G1627="Yes"),1,$E1627)*IF($H1627="Yes",1,(1-$F1627))</f>
        <v>6.642823529411764E-5</v>
      </c>
      <c r="O1627" s="130"/>
    </row>
    <row r="1628" spans="1:15" ht="15" x14ac:dyDescent="0.25">
      <c r="A1628" s="5" t="s">
        <v>1631</v>
      </c>
      <c r="B1628" s="7"/>
      <c r="C1628" s="13" t="s">
        <v>54</v>
      </c>
      <c r="D1628" s="19" t="str">
        <f>IFERROR(IF(C1628="No CAS","",INDEX('DEQ Pollutant List'!$B$7:$B$611,MATCH('3. Pollutant Emissions - EF'!C1628,'DEQ Pollutant List'!$A$7:$A$611,0))),"")</f>
        <v>Barium and compounds</v>
      </c>
      <c r="E1628" s="23">
        <v>0</v>
      </c>
      <c r="F1628" s="21">
        <v>0</v>
      </c>
      <c r="G1628" s="23" t="s">
        <v>1415</v>
      </c>
      <c r="H1628" s="21" t="s">
        <v>1415</v>
      </c>
      <c r="I1628" s="34">
        <v>4.4000000000000003E-3</v>
      </c>
      <c r="J1628" s="11">
        <f t="shared" si="59"/>
        <v>4.4000000000000003E-3</v>
      </c>
      <c r="K1628" s="6" t="s">
        <v>1416</v>
      </c>
      <c r="L1628" s="20" t="s">
        <v>1422</v>
      </c>
      <c r="M1628" s="7">
        <f>IF(ISBLANK($B1628),_xlfn.XLOOKUP($A1628,'2. TEUs &amp; Activities - EF'!$A$9:$A$190,'2. TEUs &amp; Activities - EF'!$J$9:$J$190),_xlfn.XLOOKUP($B1628,'2. TEUs &amp; Activities - EF'!$B$9:$B$190,'2. TEUs &amp; Activities - EF'!$J$9:$J$190))*'3. Pollutant Emissions - EF'!$I1628*IF(OR(ISBLANK($E1628),$G1628="Yes"),1,$E1628)*IF($H1628="Yes",1,(1-$F1628))</f>
        <v>0.53341872941176471</v>
      </c>
      <c r="N1628" s="5">
        <f>IF(ISBLANK($B1628),_xlfn.XLOOKUP($A1628,'2. TEUs &amp; Activities - EF'!$A$9:$A$190,'2. TEUs &amp; Activities - EF'!$M$9:$M$190),_xlfn.XLOOKUP($B1628,'2. TEUs &amp; Activities - EF'!$B$9:$B$190,'2. TEUs &amp; Activities - EF'!$M$9:$M$190))*'3. Pollutant Emissions - EF'!$J1628*IF(OR(ISBLANK($E1628),$G1628="Yes"),1,$E1628)*IF($H1628="Yes",1,(1-$F1628))</f>
        <v>1.4614211764705882E-3</v>
      </c>
      <c r="O1628" s="130"/>
    </row>
    <row r="1629" spans="1:15" ht="15" x14ac:dyDescent="0.25">
      <c r="A1629" s="5" t="s">
        <v>1631</v>
      </c>
      <c r="B1629" s="7"/>
      <c r="C1629" s="13" t="s">
        <v>46</v>
      </c>
      <c r="D1629" s="19" t="str">
        <f>IFERROR(IF(C1629="No CAS","",INDEX('DEQ Pollutant List'!$B$7:$B$611,MATCH('3. Pollutant Emissions - EF'!C1629,'DEQ Pollutant List'!$A$7:$A$611,0))),"")</f>
        <v>Benzene</v>
      </c>
      <c r="E1629" s="23">
        <v>0</v>
      </c>
      <c r="F1629" s="21">
        <v>0</v>
      </c>
      <c r="G1629" s="23" t="s">
        <v>1415</v>
      </c>
      <c r="H1629" s="21" t="s">
        <v>1415</v>
      </c>
      <c r="I1629" s="34">
        <v>8.0000000000000002E-3</v>
      </c>
      <c r="J1629" s="11">
        <f t="shared" si="59"/>
        <v>8.0000000000000002E-3</v>
      </c>
      <c r="K1629" s="6" t="s">
        <v>1416</v>
      </c>
      <c r="L1629" s="20" t="s">
        <v>1422</v>
      </c>
      <c r="M1629" s="7">
        <f>IF(ISBLANK($B1629),_xlfn.XLOOKUP($A1629,'2. TEUs &amp; Activities - EF'!$A$9:$A$190,'2. TEUs &amp; Activities - EF'!$J$9:$J$190),_xlfn.XLOOKUP($B1629,'2. TEUs &amp; Activities - EF'!$B$9:$B$190,'2. TEUs &amp; Activities - EF'!$J$9:$J$190))*'3. Pollutant Emissions - EF'!$I1629*IF(OR(ISBLANK($E1629),$G1629="Yes"),1,$E1629)*IF($H1629="Yes",1,(1-$F1629))</f>
        <v>0.96985223529411757</v>
      </c>
      <c r="N1629" s="5">
        <f>IF(ISBLANK($B1629),_xlfn.XLOOKUP($A1629,'2. TEUs &amp; Activities - EF'!$A$9:$A$190,'2. TEUs &amp; Activities - EF'!$M$9:$M$190),_xlfn.XLOOKUP($B1629,'2. TEUs &amp; Activities - EF'!$B$9:$B$190,'2. TEUs &amp; Activities - EF'!$M$9:$M$190))*'3. Pollutant Emissions - EF'!$J1629*IF(OR(ISBLANK($E1629),$G1629="Yes"),1,$E1629)*IF($H1629="Yes",1,(1-$F1629))</f>
        <v>2.6571294117647059E-3</v>
      </c>
      <c r="O1629" s="130"/>
    </row>
    <row r="1630" spans="1:15" ht="15" x14ac:dyDescent="0.25">
      <c r="A1630" s="5" t="s">
        <v>1631</v>
      </c>
      <c r="B1630" s="7"/>
      <c r="C1630" s="13" t="s">
        <v>55</v>
      </c>
      <c r="D1630" s="19" t="str">
        <f>IFERROR(IF(C1630="No CAS","",INDEX('DEQ Pollutant List'!$B$7:$B$611,MATCH('3. Pollutant Emissions - EF'!C1630,'DEQ Pollutant List'!$A$7:$A$611,0))),"")</f>
        <v>Beryllium and compounds</v>
      </c>
      <c r="E1630" s="23">
        <v>0</v>
      </c>
      <c r="F1630" s="21">
        <v>0</v>
      </c>
      <c r="G1630" s="23" t="s">
        <v>1415</v>
      </c>
      <c r="H1630" s="21" t="s">
        <v>1415</v>
      </c>
      <c r="I1630" s="34">
        <v>1.2E-5</v>
      </c>
      <c r="J1630" s="11">
        <f t="shared" si="59"/>
        <v>1.2E-5</v>
      </c>
      <c r="K1630" s="6" t="s">
        <v>1416</v>
      </c>
      <c r="L1630" s="20" t="s">
        <v>1422</v>
      </c>
      <c r="M1630" s="7">
        <f>IF(ISBLANK($B1630),_xlfn.XLOOKUP($A1630,'2. TEUs &amp; Activities - EF'!$A$9:$A$190,'2. TEUs &amp; Activities - EF'!$J$9:$J$190),_xlfn.XLOOKUP($B1630,'2. TEUs &amp; Activities - EF'!$B$9:$B$190,'2. TEUs &amp; Activities - EF'!$J$9:$J$190))*'3. Pollutant Emissions - EF'!$I1630*IF(OR(ISBLANK($E1630),$G1630="Yes"),1,$E1630)*IF($H1630="Yes",1,(1-$F1630))</f>
        <v>1.4547783529411764E-3</v>
      </c>
      <c r="N1630" s="5">
        <f>IF(ISBLANK($B1630),_xlfn.XLOOKUP($A1630,'2. TEUs &amp; Activities - EF'!$A$9:$A$190,'2. TEUs &amp; Activities - EF'!$M$9:$M$190),_xlfn.XLOOKUP($B1630,'2. TEUs &amp; Activities - EF'!$B$9:$B$190,'2. TEUs &amp; Activities - EF'!$M$9:$M$190))*'3. Pollutant Emissions - EF'!$J1630*IF(OR(ISBLANK($E1630),$G1630="Yes"),1,$E1630)*IF($H1630="Yes",1,(1-$F1630))</f>
        <v>3.985694117647059E-6</v>
      </c>
      <c r="O1630" s="130"/>
    </row>
    <row r="1631" spans="1:15" ht="15" x14ac:dyDescent="0.25">
      <c r="A1631" s="5" t="s">
        <v>1631</v>
      </c>
      <c r="B1631" s="7"/>
      <c r="C1631" s="13" t="s">
        <v>56</v>
      </c>
      <c r="D1631" s="19" t="str">
        <f>IFERROR(IF(C1631="No CAS","",INDEX('DEQ Pollutant List'!$B$7:$B$611,MATCH('3. Pollutant Emissions - EF'!C1631,'DEQ Pollutant List'!$A$7:$A$611,0))),"")</f>
        <v>Cadmium and compounds</v>
      </c>
      <c r="E1631" s="23">
        <v>0</v>
      </c>
      <c r="F1631" s="21">
        <v>0</v>
      </c>
      <c r="G1631" s="23" t="s">
        <v>1415</v>
      </c>
      <c r="H1631" s="21" t="s">
        <v>1415</v>
      </c>
      <c r="I1631" s="34">
        <v>1.1000000000000001E-3</v>
      </c>
      <c r="J1631" s="11">
        <f t="shared" si="59"/>
        <v>1.1000000000000001E-3</v>
      </c>
      <c r="K1631" s="6" t="s">
        <v>1416</v>
      </c>
      <c r="L1631" s="20" t="s">
        <v>1422</v>
      </c>
      <c r="M1631" s="7">
        <f>IF(ISBLANK($B1631),_xlfn.XLOOKUP($A1631,'2. TEUs &amp; Activities - EF'!$A$9:$A$190,'2. TEUs &amp; Activities - EF'!$J$9:$J$190),_xlfn.XLOOKUP($B1631,'2. TEUs &amp; Activities - EF'!$B$9:$B$190,'2. TEUs &amp; Activities - EF'!$J$9:$J$190))*'3. Pollutant Emissions - EF'!$I1631*IF(OR(ISBLANK($E1631),$G1631="Yes"),1,$E1631)*IF($H1631="Yes",1,(1-$F1631))</f>
        <v>0.13335468235294118</v>
      </c>
      <c r="N1631" s="5">
        <f>IF(ISBLANK($B1631),_xlfn.XLOOKUP($A1631,'2. TEUs &amp; Activities - EF'!$A$9:$A$190,'2. TEUs &amp; Activities - EF'!$M$9:$M$190),_xlfn.XLOOKUP($B1631,'2. TEUs &amp; Activities - EF'!$B$9:$B$190,'2. TEUs &amp; Activities - EF'!$M$9:$M$190))*'3. Pollutant Emissions - EF'!$J1631*IF(OR(ISBLANK($E1631),$G1631="Yes"),1,$E1631)*IF($H1631="Yes",1,(1-$F1631))</f>
        <v>3.6535529411764705E-4</v>
      </c>
      <c r="O1631" s="130"/>
    </row>
    <row r="1632" spans="1:15" ht="15" x14ac:dyDescent="0.25">
      <c r="A1632" s="5" t="s">
        <v>1631</v>
      </c>
      <c r="B1632" s="7"/>
      <c r="C1632" s="13" t="s">
        <v>57</v>
      </c>
      <c r="D1632" s="19" t="str">
        <f>IFERROR(IF(C1632="No CAS","",INDEX('DEQ Pollutant List'!$B$7:$B$611,MATCH('3. Pollutant Emissions - EF'!C1632,'DEQ Pollutant List'!$A$7:$A$611,0))),"")</f>
        <v>Chromium VI, chromate and dichromate particulate</v>
      </c>
      <c r="E1632" s="23">
        <v>0</v>
      </c>
      <c r="F1632" s="21">
        <v>0</v>
      </c>
      <c r="G1632" s="23" t="s">
        <v>1415</v>
      </c>
      <c r="H1632" s="21" t="s">
        <v>1415</v>
      </c>
      <c r="I1632" s="34">
        <v>1.4E-3</v>
      </c>
      <c r="J1632" s="11">
        <f t="shared" si="59"/>
        <v>1.4E-3</v>
      </c>
      <c r="K1632" s="6" t="s">
        <v>1416</v>
      </c>
      <c r="L1632" s="20" t="s">
        <v>1422</v>
      </c>
      <c r="M1632" s="7">
        <f>IF(ISBLANK($B1632),_xlfn.XLOOKUP($A1632,'2. TEUs &amp; Activities - EF'!$A$9:$A$190,'2. TEUs &amp; Activities - EF'!$J$9:$J$190),_xlfn.XLOOKUP($B1632,'2. TEUs &amp; Activities - EF'!$B$9:$B$190,'2. TEUs &amp; Activities - EF'!$J$9:$J$190))*'3. Pollutant Emissions - EF'!$I1632*IF(OR(ISBLANK($E1632),$G1632="Yes"),1,$E1632)*IF($H1632="Yes",1,(1-$F1632))</f>
        <v>0.16972414117647058</v>
      </c>
      <c r="N1632" s="5">
        <f>IF(ISBLANK($B1632),_xlfn.XLOOKUP($A1632,'2. TEUs &amp; Activities - EF'!$A$9:$A$190,'2. TEUs &amp; Activities - EF'!$M$9:$M$190),_xlfn.XLOOKUP($B1632,'2. TEUs &amp; Activities - EF'!$B$9:$B$190,'2. TEUs &amp; Activities - EF'!$M$9:$M$190))*'3. Pollutant Emissions - EF'!$J1632*IF(OR(ISBLANK($E1632),$G1632="Yes"),1,$E1632)*IF($H1632="Yes",1,(1-$F1632))</f>
        <v>4.6499764705882349E-4</v>
      </c>
      <c r="O1632" s="130"/>
    </row>
    <row r="1633" spans="1:15" ht="15" x14ac:dyDescent="0.25">
      <c r="A1633" s="5" t="s">
        <v>1631</v>
      </c>
      <c r="B1633" s="7"/>
      <c r="C1633" s="13" t="s">
        <v>58</v>
      </c>
      <c r="D1633" s="19" t="str">
        <f>IFERROR(IF(C1633="No CAS","",INDEX('DEQ Pollutant List'!$B$7:$B$611,MATCH('3. Pollutant Emissions - EF'!C1633,'DEQ Pollutant List'!$A$7:$A$611,0))),"")</f>
        <v>Cobalt and compounds</v>
      </c>
      <c r="E1633" s="23">
        <v>0</v>
      </c>
      <c r="F1633" s="21">
        <v>0</v>
      </c>
      <c r="G1633" s="23" t="s">
        <v>1415</v>
      </c>
      <c r="H1633" s="21" t="s">
        <v>1415</v>
      </c>
      <c r="I1633" s="34">
        <v>8.3999999999999995E-5</v>
      </c>
      <c r="J1633" s="11">
        <f t="shared" si="59"/>
        <v>8.3999999999999995E-5</v>
      </c>
      <c r="K1633" s="6" t="s">
        <v>1416</v>
      </c>
      <c r="L1633" s="20" t="s">
        <v>1422</v>
      </c>
      <c r="M1633" s="7">
        <f>IF(ISBLANK($B1633),_xlfn.XLOOKUP($A1633,'2. TEUs &amp; Activities - EF'!$A$9:$A$190,'2. TEUs &amp; Activities - EF'!$J$9:$J$190),_xlfn.XLOOKUP($B1633,'2. TEUs &amp; Activities - EF'!$B$9:$B$190,'2. TEUs &amp; Activities - EF'!$J$9:$J$190))*'3. Pollutant Emissions - EF'!$I1633*IF(OR(ISBLANK($E1633),$G1633="Yes"),1,$E1633)*IF($H1633="Yes",1,(1-$F1633))</f>
        <v>1.0183448470588235E-2</v>
      </c>
      <c r="N1633" s="5">
        <f>IF(ISBLANK($B1633),_xlfn.XLOOKUP($A1633,'2. TEUs &amp; Activities - EF'!$A$9:$A$190,'2. TEUs &amp; Activities - EF'!$M$9:$M$190),_xlfn.XLOOKUP($B1633,'2. TEUs &amp; Activities - EF'!$B$9:$B$190,'2. TEUs &amp; Activities - EF'!$M$9:$M$190))*'3. Pollutant Emissions - EF'!$J1633*IF(OR(ISBLANK($E1633),$G1633="Yes"),1,$E1633)*IF($H1633="Yes",1,(1-$F1633))</f>
        <v>2.7899858823529408E-5</v>
      </c>
      <c r="O1633" s="130"/>
    </row>
    <row r="1634" spans="1:15" ht="15" x14ac:dyDescent="0.25">
      <c r="A1634" s="5" t="s">
        <v>1631</v>
      </c>
      <c r="B1634" s="7"/>
      <c r="C1634" s="13" t="s">
        <v>59</v>
      </c>
      <c r="D1634" s="19" t="str">
        <f>IFERROR(IF(C1634="No CAS","",INDEX('DEQ Pollutant List'!$B$7:$B$611,MATCH('3. Pollutant Emissions - EF'!C1634,'DEQ Pollutant List'!$A$7:$A$611,0))),"")</f>
        <v>Copper and compounds</v>
      </c>
      <c r="E1634" s="23">
        <v>0</v>
      </c>
      <c r="F1634" s="21">
        <v>0</v>
      </c>
      <c r="G1634" s="23" t="s">
        <v>1415</v>
      </c>
      <c r="H1634" s="21" t="s">
        <v>1415</v>
      </c>
      <c r="I1634" s="34">
        <v>8.4999999999999995E-4</v>
      </c>
      <c r="J1634" s="11">
        <f t="shared" si="59"/>
        <v>8.4999999999999995E-4</v>
      </c>
      <c r="K1634" s="6" t="s">
        <v>1416</v>
      </c>
      <c r="L1634" s="20" t="s">
        <v>1422</v>
      </c>
      <c r="M1634" s="7">
        <f>IF(ISBLANK($B1634),_xlfn.XLOOKUP($A1634,'2. TEUs &amp; Activities - EF'!$A$9:$A$190,'2. TEUs &amp; Activities - EF'!$J$9:$J$190),_xlfn.XLOOKUP($B1634,'2. TEUs &amp; Activities - EF'!$B$9:$B$190,'2. TEUs &amp; Activities - EF'!$J$9:$J$190))*'3. Pollutant Emissions - EF'!$I1634*IF(OR(ISBLANK($E1634),$G1634="Yes"),1,$E1634)*IF($H1634="Yes",1,(1-$F1634))</f>
        <v>0.10304679999999998</v>
      </c>
      <c r="N1634" s="5">
        <f>IF(ISBLANK($B1634),_xlfn.XLOOKUP($A1634,'2. TEUs &amp; Activities - EF'!$A$9:$A$190,'2. TEUs &amp; Activities - EF'!$M$9:$M$190),_xlfn.XLOOKUP($B1634,'2. TEUs &amp; Activities - EF'!$B$9:$B$190,'2. TEUs &amp; Activities - EF'!$M$9:$M$190))*'3. Pollutant Emissions - EF'!$J1634*IF(OR(ISBLANK($E1634),$G1634="Yes"),1,$E1634)*IF($H1634="Yes",1,(1-$F1634))</f>
        <v>2.8231999999999997E-4</v>
      </c>
      <c r="O1634" s="130"/>
    </row>
    <row r="1635" spans="1:15" ht="15" x14ac:dyDescent="0.25">
      <c r="A1635" s="5" t="s">
        <v>1631</v>
      </c>
      <c r="B1635" s="7"/>
      <c r="C1635" s="13" t="s">
        <v>60</v>
      </c>
      <c r="D1635" s="19" t="str">
        <f>IFERROR(IF(C1635="No CAS","",INDEX('DEQ Pollutant List'!$B$7:$B$611,MATCH('3. Pollutant Emissions - EF'!C1635,'DEQ Pollutant List'!$A$7:$A$611,0))),"")</f>
        <v>Ethyl benzene</v>
      </c>
      <c r="E1635" s="23">
        <v>0</v>
      </c>
      <c r="F1635" s="21">
        <v>0</v>
      </c>
      <c r="G1635" s="23" t="s">
        <v>1415</v>
      </c>
      <c r="H1635" s="21" t="s">
        <v>1415</v>
      </c>
      <c r="I1635" s="34">
        <v>9.4999999999999998E-3</v>
      </c>
      <c r="J1635" s="11">
        <f t="shared" si="59"/>
        <v>9.4999999999999998E-3</v>
      </c>
      <c r="K1635" s="6" t="s">
        <v>1416</v>
      </c>
      <c r="L1635" s="20" t="s">
        <v>1422</v>
      </c>
      <c r="M1635" s="7">
        <f>IF(ISBLANK($B1635),_xlfn.XLOOKUP($A1635,'2. TEUs &amp; Activities - EF'!$A$9:$A$190,'2. TEUs &amp; Activities - EF'!$J$9:$J$190),_xlfn.XLOOKUP($B1635,'2. TEUs &amp; Activities - EF'!$B$9:$B$190,'2. TEUs &amp; Activities - EF'!$J$9:$J$190))*'3. Pollutant Emissions - EF'!$I1635*IF(OR(ISBLANK($E1635),$G1635="Yes"),1,$E1635)*IF($H1635="Yes",1,(1-$F1635))</f>
        <v>1.1516995294117647</v>
      </c>
      <c r="N1635" s="5">
        <f>IF(ISBLANK($B1635),_xlfn.XLOOKUP($A1635,'2. TEUs &amp; Activities - EF'!$A$9:$A$190,'2. TEUs &amp; Activities - EF'!$M$9:$M$190),_xlfn.XLOOKUP($B1635,'2. TEUs &amp; Activities - EF'!$B$9:$B$190,'2. TEUs &amp; Activities - EF'!$M$9:$M$190))*'3. Pollutant Emissions - EF'!$J1635*IF(OR(ISBLANK($E1635),$G1635="Yes"),1,$E1635)*IF($H1635="Yes",1,(1-$F1635))</f>
        <v>3.155341176470588E-3</v>
      </c>
      <c r="O1635" s="130"/>
    </row>
    <row r="1636" spans="1:15" ht="15" x14ac:dyDescent="0.25">
      <c r="A1636" s="5" t="s">
        <v>1631</v>
      </c>
      <c r="B1636" s="7"/>
      <c r="C1636" s="13" t="s">
        <v>47</v>
      </c>
      <c r="D1636" s="19" t="str">
        <f>IFERROR(IF(C1636="No CAS","",INDEX('DEQ Pollutant List'!$B$7:$B$611,MATCH('3. Pollutant Emissions - EF'!C1636,'DEQ Pollutant List'!$A$7:$A$611,0))),"")</f>
        <v>Formaldehyde</v>
      </c>
      <c r="E1636" s="23">
        <v>0</v>
      </c>
      <c r="F1636" s="21">
        <v>0</v>
      </c>
      <c r="G1636" s="23" t="s">
        <v>1415</v>
      </c>
      <c r="H1636" s="21" t="s">
        <v>1415</v>
      </c>
      <c r="I1636" s="34">
        <v>1.7000000000000001E-2</v>
      </c>
      <c r="J1636" s="11">
        <f t="shared" si="59"/>
        <v>1.7000000000000001E-2</v>
      </c>
      <c r="K1636" s="6" t="s">
        <v>1416</v>
      </c>
      <c r="L1636" s="20" t="s">
        <v>1422</v>
      </c>
      <c r="M1636" s="7">
        <f>IF(ISBLANK($B1636),_xlfn.XLOOKUP($A1636,'2. TEUs &amp; Activities - EF'!$A$9:$A$190,'2. TEUs &amp; Activities - EF'!$J$9:$J$190),_xlfn.XLOOKUP($B1636,'2. TEUs &amp; Activities - EF'!$B$9:$B$190,'2. TEUs &amp; Activities - EF'!$J$9:$J$190))*'3. Pollutant Emissions - EF'!$I1636*IF(OR(ISBLANK($E1636),$G1636="Yes"),1,$E1636)*IF($H1636="Yes",1,(1-$F1636))</f>
        <v>2.0609359999999999</v>
      </c>
      <c r="N1636" s="5">
        <f>IF(ISBLANK($B1636),_xlfn.XLOOKUP($A1636,'2. TEUs &amp; Activities - EF'!$A$9:$A$190,'2. TEUs &amp; Activities - EF'!$M$9:$M$190),_xlfn.XLOOKUP($B1636,'2. TEUs &amp; Activities - EF'!$B$9:$B$190,'2. TEUs &amp; Activities - EF'!$M$9:$M$190))*'3. Pollutant Emissions - EF'!$J1636*IF(OR(ISBLANK($E1636),$G1636="Yes"),1,$E1636)*IF($H1636="Yes",1,(1-$F1636))</f>
        <v>5.6464000000000002E-3</v>
      </c>
      <c r="O1636" s="130"/>
    </row>
    <row r="1637" spans="1:15" ht="15" x14ac:dyDescent="0.25">
      <c r="A1637" s="5" t="s">
        <v>1631</v>
      </c>
      <c r="B1637" s="7"/>
      <c r="C1637" s="13" t="s">
        <v>61</v>
      </c>
      <c r="D1637" s="19" t="str">
        <f>IFERROR(IF(C1637="No CAS","",INDEX('DEQ Pollutant List'!$B$7:$B$611,MATCH('3. Pollutant Emissions - EF'!C1637,'DEQ Pollutant List'!$A$7:$A$611,0))),"")</f>
        <v>Hexane</v>
      </c>
      <c r="E1637" s="23">
        <v>0</v>
      </c>
      <c r="F1637" s="21">
        <v>0</v>
      </c>
      <c r="G1637" s="23" t="s">
        <v>1415</v>
      </c>
      <c r="H1637" s="21" t="s">
        <v>1415</v>
      </c>
      <c r="I1637" s="34">
        <v>6.3E-3</v>
      </c>
      <c r="J1637" s="11">
        <f t="shared" si="59"/>
        <v>6.3E-3</v>
      </c>
      <c r="K1637" s="6" t="s">
        <v>1416</v>
      </c>
      <c r="L1637" s="20" t="s">
        <v>1422</v>
      </c>
      <c r="M1637" s="7">
        <f>IF(ISBLANK($B1637),_xlfn.XLOOKUP($A1637,'2. TEUs &amp; Activities - EF'!$A$9:$A$190,'2. TEUs &amp; Activities - EF'!$J$9:$J$190),_xlfn.XLOOKUP($B1637,'2. TEUs &amp; Activities - EF'!$B$9:$B$190,'2. TEUs &amp; Activities - EF'!$J$9:$J$190))*'3. Pollutant Emissions - EF'!$I1637*IF(OR(ISBLANK($E1637),$G1637="Yes"),1,$E1637)*IF($H1637="Yes",1,(1-$F1637))</f>
        <v>0.76375863529411758</v>
      </c>
      <c r="N1637" s="5">
        <f>IF(ISBLANK($B1637),_xlfn.XLOOKUP($A1637,'2. TEUs &amp; Activities - EF'!$A$9:$A$190,'2. TEUs &amp; Activities - EF'!$M$9:$M$190),_xlfn.XLOOKUP($B1637,'2. TEUs &amp; Activities - EF'!$B$9:$B$190,'2. TEUs &amp; Activities - EF'!$M$9:$M$190))*'3. Pollutant Emissions - EF'!$J1637*IF(OR(ISBLANK($E1637),$G1637="Yes"),1,$E1637)*IF($H1637="Yes",1,(1-$F1637))</f>
        <v>2.092489411764706E-3</v>
      </c>
      <c r="O1637" s="130"/>
    </row>
    <row r="1638" spans="1:15" ht="15" x14ac:dyDescent="0.25">
      <c r="A1638" s="5" t="s">
        <v>1631</v>
      </c>
      <c r="B1638" s="7"/>
      <c r="C1638" s="13" t="s">
        <v>62</v>
      </c>
      <c r="D1638" s="19" t="str">
        <f>IFERROR(IF(C1638="No CAS","",INDEX('DEQ Pollutant List'!$B$7:$B$611,MATCH('3. Pollutant Emissions - EF'!C1638,'DEQ Pollutant List'!$A$7:$A$611,0))),"")</f>
        <v>Lead and compounds</v>
      </c>
      <c r="E1638" s="23">
        <v>0</v>
      </c>
      <c r="F1638" s="21">
        <v>0</v>
      </c>
      <c r="G1638" s="23" t="s">
        <v>1415</v>
      </c>
      <c r="H1638" s="21" t="s">
        <v>1415</v>
      </c>
      <c r="I1638" s="34">
        <v>5.0000000000000001E-4</v>
      </c>
      <c r="J1638" s="11">
        <f t="shared" si="59"/>
        <v>5.0000000000000001E-4</v>
      </c>
      <c r="K1638" s="6" t="s">
        <v>1416</v>
      </c>
      <c r="L1638" s="20" t="s">
        <v>1422</v>
      </c>
      <c r="M1638" s="7">
        <f>IF(ISBLANK($B1638),_xlfn.XLOOKUP($A1638,'2. TEUs &amp; Activities - EF'!$A$9:$A$190,'2. TEUs &amp; Activities - EF'!$J$9:$J$190),_xlfn.XLOOKUP($B1638,'2. TEUs &amp; Activities - EF'!$B$9:$B$190,'2. TEUs &amp; Activities - EF'!$J$9:$J$190))*'3. Pollutant Emissions - EF'!$I1638*IF(OR(ISBLANK($E1638),$G1638="Yes"),1,$E1638)*IF($H1638="Yes",1,(1-$F1638))</f>
        <v>6.0615764705882348E-2</v>
      </c>
      <c r="N1638" s="5">
        <f>IF(ISBLANK($B1638),_xlfn.XLOOKUP($A1638,'2. TEUs &amp; Activities - EF'!$A$9:$A$190,'2. TEUs &amp; Activities - EF'!$M$9:$M$190),_xlfn.XLOOKUP($B1638,'2. TEUs &amp; Activities - EF'!$B$9:$B$190,'2. TEUs &amp; Activities - EF'!$M$9:$M$190))*'3. Pollutant Emissions - EF'!$J1638*IF(OR(ISBLANK($E1638),$G1638="Yes"),1,$E1638)*IF($H1638="Yes",1,(1-$F1638))</f>
        <v>1.6607058823529412E-4</v>
      </c>
      <c r="O1638" s="130"/>
    </row>
    <row r="1639" spans="1:15" ht="15" x14ac:dyDescent="0.25">
      <c r="A1639" s="5" t="s">
        <v>1631</v>
      </c>
      <c r="B1639" s="7"/>
      <c r="C1639" s="13" t="s">
        <v>63</v>
      </c>
      <c r="D1639" s="19" t="str">
        <f>IFERROR(IF(C1639="No CAS","",INDEX('DEQ Pollutant List'!$B$7:$B$611,MATCH('3. Pollutant Emissions - EF'!C1639,'DEQ Pollutant List'!$A$7:$A$611,0))),"")</f>
        <v>Manganese and compounds</v>
      </c>
      <c r="E1639" s="23">
        <v>0</v>
      </c>
      <c r="F1639" s="21">
        <v>0</v>
      </c>
      <c r="G1639" s="23" t="s">
        <v>1415</v>
      </c>
      <c r="H1639" s="21" t="s">
        <v>1415</v>
      </c>
      <c r="I1639" s="34">
        <v>3.8000000000000002E-4</v>
      </c>
      <c r="J1639" s="11">
        <f t="shared" si="59"/>
        <v>3.8000000000000002E-4</v>
      </c>
      <c r="K1639" s="6" t="s">
        <v>1416</v>
      </c>
      <c r="L1639" s="20" t="s">
        <v>1422</v>
      </c>
      <c r="M1639" s="7">
        <f>IF(ISBLANK($B1639),_xlfn.XLOOKUP($A1639,'2. TEUs &amp; Activities - EF'!$A$9:$A$190,'2. TEUs &amp; Activities - EF'!$J$9:$J$190),_xlfn.XLOOKUP($B1639,'2. TEUs &amp; Activities - EF'!$B$9:$B$190,'2. TEUs &amp; Activities - EF'!$J$9:$J$190))*'3. Pollutant Emissions - EF'!$I1639*IF(OR(ISBLANK($E1639),$G1639="Yes"),1,$E1639)*IF($H1639="Yes",1,(1-$F1639))</f>
        <v>4.6067981176470589E-2</v>
      </c>
      <c r="N1639" s="5">
        <f>IF(ISBLANK($B1639),_xlfn.XLOOKUP($A1639,'2. TEUs &amp; Activities - EF'!$A$9:$A$190,'2. TEUs &amp; Activities - EF'!$M$9:$M$190),_xlfn.XLOOKUP($B1639,'2. TEUs &amp; Activities - EF'!$B$9:$B$190,'2. TEUs &amp; Activities - EF'!$M$9:$M$190))*'3. Pollutant Emissions - EF'!$J1639*IF(OR(ISBLANK($E1639),$G1639="Yes"),1,$E1639)*IF($H1639="Yes",1,(1-$F1639))</f>
        <v>1.2621364705882353E-4</v>
      </c>
      <c r="O1639" s="130"/>
    </row>
    <row r="1640" spans="1:15" ht="15" x14ac:dyDescent="0.25">
      <c r="A1640" s="5" t="s">
        <v>1631</v>
      </c>
      <c r="B1640" s="7"/>
      <c r="C1640" s="13" t="s">
        <v>64</v>
      </c>
      <c r="D1640" s="19" t="str">
        <f>IFERROR(IF(C1640="No CAS","",INDEX('DEQ Pollutant List'!$B$7:$B$611,MATCH('3. Pollutant Emissions - EF'!C1640,'DEQ Pollutant List'!$A$7:$A$611,0))),"")</f>
        <v>Mercury and compounds</v>
      </c>
      <c r="E1640" s="23">
        <v>0</v>
      </c>
      <c r="F1640" s="21">
        <v>0</v>
      </c>
      <c r="G1640" s="23" t="s">
        <v>1415</v>
      </c>
      <c r="H1640" s="21" t="s">
        <v>1415</v>
      </c>
      <c r="I1640" s="34">
        <v>2.5999999999999998E-4</v>
      </c>
      <c r="J1640" s="11">
        <f t="shared" si="59"/>
        <v>2.5999999999999998E-4</v>
      </c>
      <c r="K1640" s="6" t="s">
        <v>1416</v>
      </c>
      <c r="L1640" s="20" t="s">
        <v>1422</v>
      </c>
      <c r="M1640" s="7">
        <f>IF(ISBLANK($B1640),_xlfn.XLOOKUP($A1640,'2. TEUs &amp; Activities - EF'!$A$9:$A$190,'2. TEUs &amp; Activities - EF'!$J$9:$J$190),_xlfn.XLOOKUP($B1640,'2. TEUs &amp; Activities - EF'!$B$9:$B$190,'2. TEUs &amp; Activities - EF'!$J$9:$J$190))*'3. Pollutant Emissions - EF'!$I1640*IF(OR(ISBLANK($E1640),$G1640="Yes"),1,$E1640)*IF($H1640="Yes",1,(1-$F1640))</f>
        <v>3.1520197647058816E-2</v>
      </c>
      <c r="N1640" s="5">
        <f>IF(ISBLANK($B1640),_xlfn.XLOOKUP($A1640,'2. TEUs &amp; Activities - EF'!$A$9:$A$190,'2. TEUs &amp; Activities - EF'!$M$9:$M$190),_xlfn.XLOOKUP($B1640,'2. TEUs &amp; Activities - EF'!$B$9:$B$190,'2. TEUs &amp; Activities - EF'!$M$9:$M$190))*'3. Pollutant Emissions - EF'!$J1640*IF(OR(ISBLANK($E1640),$G1640="Yes"),1,$E1640)*IF($H1640="Yes",1,(1-$F1640))</f>
        <v>8.6356705882352933E-5</v>
      </c>
      <c r="O1640" s="130"/>
    </row>
    <row r="1641" spans="1:15" ht="15" x14ac:dyDescent="0.25">
      <c r="A1641" s="5" t="s">
        <v>1631</v>
      </c>
      <c r="B1641" s="7"/>
      <c r="C1641" s="13" t="s">
        <v>65</v>
      </c>
      <c r="D1641" s="19" t="str">
        <f>IFERROR(IF(C1641="No CAS","",INDEX('DEQ Pollutant List'!$B$7:$B$611,MATCH('3. Pollutant Emissions - EF'!C1641,'DEQ Pollutant List'!$A$7:$A$611,0))),"")</f>
        <v>Molybdenum trioxide</v>
      </c>
      <c r="E1641" s="23">
        <v>0</v>
      </c>
      <c r="F1641" s="21">
        <v>0</v>
      </c>
      <c r="G1641" s="23" t="s">
        <v>1415</v>
      </c>
      <c r="H1641" s="21" t="s">
        <v>1415</v>
      </c>
      <c r="I1641" s="34">
        <v>1.65E-3</v>
      </c>
      <c r="J1641" s="11">
        <f t="shared" si="59"/>
        <v>1.65E-3</v>
      </c>
      <c r="K1641" s="6" t="s">
        <v>1416</v>
      </c>
      <c r="L1641" s="20" t="s">
        <v>1422</v>
      </c>
      <c r="M1641" s="7">
        <f>IF(ISBLANK($B1641),_xlfn.XLOOKUP($A1641,'2. TEUs &amp; Activities - EF'!$A$9:$A$190,'2. TEUs &amp; Activities - EF'!$J$9:$J$190),_xlfn.XLOOKUP($B1641,'2. TEUs &amp; Activities - EF'!$B$9:$B$190,'2. TEUs &amp; Activities - EF'!$J$9:$J$190))*'3. Pollutant Emissions - EF'!$I1641*IF(OR(ISBLANK($E1641),$G1641="Yes"),1,$E1641)*IF($H1641="Yes",1,(1-$F1641))</f>
        <v>0.20003202352941174</v>
      </c>
      <c r="N1641" s="5">
        <f>IF(ISBLANK($B1641),_xlfn.XLOOKUP($A1641,'2. TEUs &amp; Activities - EF'!$A$9:$A$190,'2. TEUs &amp; Activities - EF'!$M$9:$M$190),_xlfn.XLOOKUP($B1641,'2. TEUs &amp; Activities - EF'!$B$9:$B$190,'2. TEUs &amp; Activities - EF'!$M$9:$M$190))*'3. Pollutant Emissions - EF'!$J1641*IF(OR(ISBLANK($E1641),$G1641="Yes"),1,$E1641)*IF($H1641="Yes",1,(1-$F1641))</f>
        <v>5.4803294117647058E-4</v>
      </c>
      <c r="O1641" s="130"/>
    </row>
    <row r="1642" spans="1:15" ht="15" x14ac:dyDescent="0.25">
      <c r="A1642" s="5" t="s">
        <v>1631</v>
      </c>
      <c r="B1642" s="7"/>
      <c r="C1642" s="13" t="s">
        <v>49</v>
      </c>
      <c r="D1642" s="19" t="str">
        <f>IFERROR(IF(C1642="No CAS","",INDEX('DEQ Pollutant List'!$B$7:$B$611,MATCH('3. Pollutant Emissions - EF'!C1642,'DEQ Pollutant List'!$A$7:$A$611,0))),"")</f>
        <v>Naphthalene</v>
      </c>
      <c r="E1642" s="23">
        <v>0</v>
      </c>
      <c r="F1642" s="21">
        <v>0</v>
      </c>
      <c r="G1642" s="23" t="s">
        <v>1415</v>
      </c>
      <c r="H1642" s="21" t="s">
        <v>1415</v>
      </c>
      <c r="I1642" s="34">
        <v>2.9999999999999997E-4</v>
      </c>
      <c r="J1642" s="11">
        <f t="shared" si="59"/>
        <v>2.9999999999999997E-4</v>
      </c>
      <c r="K1642" s="6" t="s">
        <v>1416</v>
      </c>
      <c r="L1642" s="20" t="s">
        <v>1422</v>
      </c>
      <c r="M1642" s="7">
        <f>IF(ISBLANK($B1642),_xlfn.XLOOKUP($A1642,'2. TEUs &amp; Activities - EF'!$A$9:$A$190,'2. TEUs &amp; Activities - EF'!$J$9:$J$190),_xlfn.XLOOKUP($B1642,'2. TEUs &amp; Activities - EF'!$B$9:$B$190,'2. TEUs &amp; Activities - EF'!$J$9:$J$190))*'3. Pollutant Emissions - EF'!$I1642*IF(OR(ISBLANK($E1642),$G1642="Yes"),1,$E1642)*IF($H1642="Yes",1,(1-$F1642))</f>
        <v>3.6369458823529405E-2</v>
      </c>
      <c r="N1642" s="5">
        <f>IF(ISBLANK($B1642),_xlfn.XLOOKUP($A1642,'2. TEUs &amp; Activities - EF'!$A$9:$A$190,'2. TEUs &amp; Activities - EF'!$M$9:$M$190),_xlfn.XLOOKUP($B1642,'2. TEUs &amp; Activities - EF'!$B$9:$B$190,'2. TEUs &amp; Activities - EF'!$M$9:$M$190))*'3. Pollutant Emissions - EF'!$J1642*IF(OR(ISBLANK($E1642),$G1642="Yes"),1,$E1642)*IF($H1642="Yes",1,(1-$F1642))</f>
        <v>9.9642352941176453E-5</v>
      </c>
      <c r="O1642" s="130"/>
    </row>
    <row r="1643" spans="1:15" ht="15" x14ac:dyDescent="0.25">
      <c r="A1643" s="5" t="s">
        <v>1631</v>
      </c>
      <c r="B1643" s="7"/>
      <c r="C1643" s="13" t="s">
        <v>66</v>
      </c>
      <c r="D1643" s="19" t="str">
        <f>IFERROR(IF(C1643="No CAS","",INDEX('DEQ Pollutant List'!$B$7:$B$611,MATCH('3. Pollutant Emissions - EF'!C1643,'DEQ Pollutant List'!$A$7:$A$611,0))),"")</f>
        <v>Nickel and compounds</v>
      </c>
      <c r="E1643" s="23">
        <v>0</v>
      </c>
      <c r="F1643" s="21">
        <v>0</v>
      </c>
      <c r="G1643" s="23" t="s">
        <v>1415</v>
      </c>
      <c r="H1643" s="21" t="s">
        <v>1415</v>
      </c>
      <c r="I1643" s="34">
        <v>2.0999999999999999E-3</v>
      </c>
      <c r="J1643" s="11">
        <f t="shared" si="59"/>
        <v>2.0999999999999999E-3</v>
      </c>
      <c r="K1643" s="6" t="s">
        <v>1416</v>
      </c>
      <c r="L1643" s="20" t="s">
        <v>1422</v>
      </c>
      <c r="M1643" s="7">
        <f>IF(ISBLANK($B1643),_xlfn.XLOOKUP($A1643,'2. TEUs &amp; Activities - EF'!$A$9:$A$190,'2. TEUs &amp; Activities - EF'!$J$9:$J$190),_xlfn.XLOOKUP($B1643,'2. TEUs &amp; Activities - EF'!$B$9:$B$190,'2. TEUs &amp; Activities - EF'!$J$9:$J$190))*'3. Pollutant Emissions - EF'!$I1643*IF(OR(ISBLANK($E1643),$G1643="Yes"),1,$E1643)*IF($H1643="Yes",1,(1-$F1643))</f>
        <v>0.25458621176470586</v>
      </c>
      <c r="N1643" s="5">
        <f>IF(ISBLANK($B1643),_xlfn.XLOOKUP($A1643,'2. TEUs &amp; Activities - EF'!$A$9:$A$190,'2. TEUs &amp; Activities - EF'!$M$9:$M$190),_xlfn.XLOOKUP($B1643,'2. TEUs &amp; Activities - EF'!$B$9:$B$190,'2. TEUs &amp; Activities - EF'!$M$9:$M$190))*'3. Pollutant Emissions - EF'!$J1643*IF(OR(ISBLANK($E1643),$G1643="Yes"),1,$E1643)*IF($H1643="Yes",1,(1-$F1643))</f>
        <v>6.9749647058823519E-4</v>
      </c>
      <c r="O1643" s="130"/>
    </row>
    <row r="1644" spans="1:15" ht="15" x14ac:dyDescent="0.25">
      <c r="A1644" s="5" t="s">
        <v>1631</v>
      </c>
      <c r="B1644" s="7"/>
      <c r="C1644" s="13">
        <v>401</v>
      </c>
      <c r="D1644" s="19" t="str">
        <f>IFERROR(IF(C1644="No CAS","",INDEX('DEQ Pollutant List'!$B$7:$B$611,MATCH('3. Pollutant Emissions - EF'!C1644,'DEQ Pollutant List'!$A$7:$A$611,0))),"")</f>
        <v>Polycyclic aromatic hydrocarbons (PAHs)</v>
      </c>
      <c r="E1644" s="23">
        <v>0</v>
      </c>
      <c r="F1644" s="21">
        <v>0</v>
      </c>
      <c r="G1644" s="23" t="s">
        <v>1415</v>
      </c>
      <c r="H1644" s="21" t="s">
        <v>1415</v>
      </c>
      <c r="I1644" s="34">
        <v>1E-4</v>
      </c>
      <c r="J1644" s="11">
        <f t="shared" si="59"/>
        <v>1E-4</v>
      </c>
      <c r="K1644" s="6" t="s">
        <v>1416</v>
      </c>
      <c r="L1644" s="20" t="s">
        <v>1422</v>
      </c>
      <c r="M1644" s="7">
        <f>IF(ISBLANK($B1644),_xlfn.XLOOKUP($A1644,'2. TEUs &amp; Activities - EF'!$A$9:$A$190,'2. TEUs &amp; Activities - EF'!$J$9:$J$190),_xlfn.XLOOKUP($B1644,'2. TEUs &amp; Activities - EF'!$B$9:$B$190,'2. TEUs &amp; Activities - EF'!$J$9:$J$190))*'3. Pollutant Emissions - EF'!$I1644*IF(OR(ISBLANK($E1644),$G1644="Yes"),1,$E1644)*IF($H1644="Yes",1,(1-$F1644))</f>
        <v>1.212315294117647E-2</v>
      </c>
      <c r="N1644" s="5">
        <f>IF(ISBLANK($B1644),_xlfn.XLOOKUP($A1644,'2. TEUs &amp; Activities - EF'!$A$9:$A$190,'2. TEUs &amp; Activities - EF'!$M$9:$M$190),_xlfn.XLOOKUP($B1644,'2. TEUs &amp; Activities - EF'!$B$9:$B$190,'2. TEUs &amp; Activities - EF'!$M$9:$M$190))*'3. Pollutant Emissions - EF'!$J1644*IF(OR(ISBLANK($E1644),$G1644="Yes"),1,$E1644)*IF($H1644="Yes",1,(1-$F1644))</f>
        <v>3.321411764705882E-5</v>
      </c>
      <c r="O1644" s="130"/>
    </row>
    <row r="1645" spans="1:15" ht="15" x14ac:dyDescent="0.25">
      <c r="A1645" s="5" t="s">
        <v>1631</v>
      </c>
      <c r="B1645" s="7"/>
      <c r="C1645" s="13" t="s">
        <v>67</v>
      </c>
      <c r="D1645" s="19" t="str">
        <f>IFERROR(IF(C1645="No CAS","",INDEX('DEQ Pollutant List'!$B$7:$B$611,MATCH('3. Pollutant Emissions - EF'!C1645,'DEQ Pollutant List'!$A$7:$A$611,0))),"")</f>
        <v>Selenium and compounds</v>
      </c>
      <c r="E1645" s="23">
        <v>0</v>
      </c>
      <c r="F1645" s="21">
        <v>0</v>
      </c>
      <c r="G1645" s="23" t="s">
        <v>1415</v>
      </c>
      <c r="H1645" s="21" t="s">
        <v>1415</v>
      </c>
      <c r="I1645" s="34">
        <v>2.4000000000000001E-5</v>
      </c>
      <c r="J1645" s="11">
        <f t="shared" si="59"/>
        <v>2.4000000000000001E-5</v>
      </c>
      <c r="K1645" s="6" t="s">
        <v>1416</v>
      </c>
      <c r="L1645" s="20" t="s">
        <v>1422</v>
      </c>
      <c r="M1645" s="7">
        <f>IF(ISBLANK($B1645),_xlfn.XLOOKUP($A1645,'2. TEUs &amp; Activities - EF'!$A$9:$A$190,'2. TEUs &amp; Activities - EF'!$J$9:$J$190),_xlfn.XLOOKUP($B1645,'2. TEUs &amp; Activities - EF'!$B$9:$B$190,'2. TEUs &amp; Activities - EF'!$J$9:$J$190))*'3. Pollutant Emissions - EF'!$I1645*IF(OR(ISBLANK($E1645),$G1645="Yes"),1,$E1645)*IF($H1645="Yes",1,(1-$F1645))</f>
        <v>2.9095567058823528E-3</v>
      </c>
      <c r="N1645" s="5">
        <f>IF(ISBLANK($B1645),_xlfn.XLOOKUP($A1645,'2. TEUs &amp; Activities - EF'!$A$9:$A$190,'2. TEUs &amp; Activities - EF'!$M$9:$M$190),_xlfn.XLOOKUP($B1645,'2. TEUs &amp; Activities - EF'!$B$9:$B$190,'2. TEUs &amp; Activities - EF'!$M$9:$M$190))*'3. Pollutant Emissions - EF'!$J1645*IF(OR(ISBLANK($E1645),$G1645="Yes"),1,$E1645)*IF($H1645="Yes",1,(1-$F1645))</f>
        <v>7.971388235294118E-6</v>
      </c>
      <c r="O1645" s="130"/>
    </row>
    <row r="1646" spans="1:15" ht="15" x14ac:dyDescent="0.25">
      <c r="A1646" s="5" t="s">
        <v>1631</v>
      </c>
      <c r="B1646" s="7"/>
      <c r="C1646" s="13" t="s">
        <v>68</v>
      </c>
      <c r="D1646" s="19" t="str">
        <f>IFERROR(IF(C1646="No CAS","",INDEX('DEQ Pollutant List'!$B$7:$B$611,MATCH('3. Pollutant Emissions - EF'!C1646,'DEQ Pollutant List'!$A$7:$A$611,0))),"")</f>
        <v>Toluene</v>
      </c>
      <c r="E1646" s="23">
        <v>0</v>
      </c>
      <c r="F1646" s="21">
        <v>0</v>
      </c>
      <c r="G1646" s="23" t="s">
        <v>1415</v>
      </c>
      <c r="H1646" s="21" t="s">
        <v>1415</v>
      </c>
      <c r="I1646" s="34">
        <v>3.6600000000000001E-2</v>
      </c>
      <c r="J1646" s="11">
        <f t="shared" si="59"/>
        <v>3.6600000000000001E-2</v>
      </c>
      <c r="K1646" s="6" t="s">
        <v>1416</v>
      </c>
      <c r="L1646" s="20" t="s">
        <v>1422</v>
      </c>
      <c r="M1646" s="7">
        <f>IF(ISBLANK($B1646),_xlfn.XLOOKUP($A1646,'2. TEUs &amp; Activities - EF'!$A$9:$A$190,'2. TEUs &amp; Activities - EF'!$J$9:$J$190),_xlfn.XLOOKUP($B1646,'2. TEUs &amp; Activities - EF'!$B$9:$B$190,'2. TEUs &amp; Activities - EF'!$J$9:$J$190))*'3. Pollutant Emissions - EF'!$I1646*IF(OR(ISBLANK($E1646),$G1646="Yes"),1,$E1646)*IF($H1646="Yes",1,(1-$F1646))</f>
        <v>4.4370739764705878</v>
      </c>
      <c r="N1646" s="5">
        <f>IF(ISBLANK($B1646),_xlfn.XLOOKUP($A1646,'2. TEUs &amp; Activities - EF'!$A$9:$A$190,'2. TEUs &amp; Activities - EF'!$M$9:$M$190),_xlfn.XLOOKUP($B1646,'2. TEUs &amp; Activities - EF'!$B$9:$B$190,'2. TEUs &amp; Activities - EF'!$M$9:$M$190))*'3. Pollutant Emissions - EF'!$J1646*IF(OR(ISBLANK($E1646),$G1646="Yes"),1,$E1646)*IF($H1646="Yes",1,(1-$F1646))</f>
        <v>1.2156367058823529E-2</v>
      </c>
      <c r="O1646" s="130"/>
    </row>
    <row r="1647" spans="1:15" ht="15" x14ac:dyDescent="0.25">
      <c r="A1647" s="5" t="s">
        <v>1631</v>
      </c>
      <c r="B1647" s="7"/>
      <c r="C1647" s="13" t="s">
        <v>69</v>
      </c>
      <c r="D1647" s="19" t="str">
        <f>IFERROR(IF(C1647="No CAS","",INDEX('DEQ Pollutant List'!$B$7:$B$611,MATCH('3. Pollutant Emissions - EF'!C1647,'DEQ Pollutant List'!$A$7:$A$611,0))),"")</f>
        <v>Vanadium (fume or dust)</v>
      </c>
      <c r="E1647" s="23">
        <v>0</v>
      </c>
      <c r="F1647" s="21">
        <v>0</v>
      </c>
      <c r="G1647" s="23" t="s">
        <v>1415</v>
      </c>
      <c r="H1647" s="21" t="s">
        <v>1415</v>
      </c>
      <c r="I1647" s="34">
        <v>2.3E-3</v>
      </c>
      <c r="J1647" s="11">
        <f t="shared" si="59"/>
        <v>2.3E-3</v>
      </c>
      <c r="K1647" s="6" t="s">
        <v>1416</v>
      </c>
      <c r="L1647" s="20" t="s">
        <v>1422</v>
      </c>
      <c r="M1647" s="7">
        <f>IF(ISBLANK($B1647),_xlfn.XLOOKUP($A1647,'2. TEUs &amp; Activities - EF'!$A$9:$A$190,'2. TEUs &amp; Activities - EF'!$J$9:$J$190),_xlfn.XLOOKUP($B1647,'2. TEUs &amp; Activities - EF'!$B$9:$B$190,'2. TEUs &amp; Activities - EF'!$J$9:$J$190))*'3. Pollutant Emissions - EF'!$I1647*IF(OR(ISBLANK($E1647),$G1647="Yes"),1,$E1647)*IF($H1647="Yes",1,(1-$F1647))</f>
        <v>0.2788325176470588</v>
      </c>
      <c r="N1647" s="5">
        <f>IF(ISBLANK($B1647),_xlfn.XLOOKUP($A1647,'2. TEUs &amp; Activities - EF'!$A$9:$A$190,'2. TEUs &amp; Activities - EF'!$M$9:$M$190),_xlfn.XLOOKUP($B1647,'2. TEUs &amp; Activities - EF'!$B$9:$B$190,'2. TEUs &amp; Activities - EF'!$M$9:$M$190))*'3. Pollutant Emissions - EF'!$J1647*IF(OR(ISBLANK($E1647),$G1647="Yes"),1,$E1647)*IF($H1647="Yes",1,(1-$F1647))</f>
        <v>7.6392470588235292E-4</v>
      </c>
      <c r="O1647" s="130"/>
    </row>
    <row r="1648" spans="1:15" ht="15" x14ac:dyDescent="0.25">
      <c r="A1648" s="5" t="s">
        <v>1631</v>
      </c>
      <c r="B1648" s="7"/>
      <c r="C1648" s="13" t="s">
        <v>70</v>
      </c>
      <c r="D1648" s="19" t="str">
        <f>IFERROR(IF(C1648="No CAS","",INDEX('DEQ Pollutant List'!$B$7:$B$611,MATCH('3. Pollutant Emissions - EF'!C1648,'DEQ Pollutant List'!$A$7:$A$611,0))),"")</f>
        <v>Xylene (mixture), including m-xylene, o-xylene, p-xylene</v>
      </c>
      <c r="E1648" s="23">
        <v>0</v>
      </c>
      <c r="F1648" s="21">
        <v>0</v>
      </c>
      <c r="G1648" s="23" t="s">
        <v>1415</v>
      </c>
      <c r="H1648" s="21" t="s">
        <v>1415</v>
      </c>
      <c r="I1648" s="34">
        <v>2.7199999999999998E-2</v>
      </c>
      <c r="J1648" s="11">
        <f t="shared" si="59"/>
        <v>2.7199999999999998E-2</v>
      </c>
      <c r="K1648" s="6" t="s">
        <v>1416</v>
      </c>
      <c r="L1648" s="20" t="s">
        <v>1422</v>
      </c>
      <c r="M1648" s="7">
        <f>IF(ISBLANK($B1648),_xlfn.XLOOKUP($A1648,'2. TEUs &amp; Activities - EF'!$A$9:$A$190,'2. TEUs &amp; Activities - EF'!$J$9:$J$190),_xlfn.XLOOKUP($B1648,'2. TEUs &amp; Activities - EF'!$B$9:$B$190,'2. TEUs &amp; Activities - EF'!$J$9:$J$190))*'3. Pollutant Emissions - EF'!$I1648*IF(OR(ISBLANK($E1648),$G1648="Yes"),1,$E1648)*IF($H1648="Yes",1,(1-$F1648))</f>
        <v>3.2974975999999994</v>
      </c>
      <c r="N1648" s="5">
        <f>IF(ISBLANK($B1648),_xlfn.XLOOKUP($A1648,'2. TEUs &amp; Activities - EF'!$A$9:$A$190,'2. TEUs &amp; Activities - EF'!$M$9:$M$190),_xlfn.XLOOKUP($B1648,'2. TEUs &amp; Activities - EF'!$B$9:$B$190,'2. TEUs &amp; Activities - EF'!$M$9:$M$190))*'3. Pollutant Emissions - EF'!$J1648*IF(OR(ISBLANK($E1648),$G1648="Yes"),1,$E1648)*IF($H1648="Yes",1,(1-$F1648))</f>
        <v>9.0342399999999989E-3</v>
      </c>
      <c r="O1648" s="130"/>
    </row>
    <row r="1649" spans="1:15" ht="15" x14ac:dyDescent="0.25">
      <c r="A1649" s="5" t="s">
        <v>1631</v>
      </c>
      <c r="B1649" s="7"/>
      <c r="C1649" s="13" t="s">
        <v>71</v>
      </c>
      <c r="D1649" s="19" t="str">
        <f>IFERROR(IF(C1649="No CAS","",INDEX('DEQ Pollutant List'!$B$7:$B$611,MATCH('3. Pollutant Emissions - EF'!C1649,'DEQ Pollutant List'!$A$7:$A$611,0))),"")</f>
        <v>Zinc and compounds</v>
      </c>
      <c r="E1649" s="23">
        <v>0</v>
      </c>
      <c r="F1649" s="21">
        <v>0</v>
      </c>
      <c r="G1649" s="23" t="s">
        <v>1415</v>
      </c>
      <c r="H1649" s="21" t="s">
        <v>1415</v>
      </c>
      <c r="I1649" s="34">
        <v>2.9000000000000001E-2</v>
      </c>
      <c r="J1649" s="11">
        <f t="shared" si="59"/>
        <v>2.9000000000000001E-2</v>
      </c>
      <c r="K1649" s="6" t="s">
        <v>1416</v>
      </c>
      <c r="L1649" s="20" t="s">
        <v>1422</v>
      </c>
      <c r="M1649" s="7">
        <f>IF(ISBLANK($B1649),_xlfn.XLOOKUP($A1649,'2. TEUs &amp; Activities - EF'!$A$9:$A$190,'2. TEUs &amp; Activities - EF'!$J$9:$J$190),_xlfn.XLOOKUP($B1649,'2. TEUs &amp; Activities - EF'!$B$9:$B$190,'2. TEUs &amp; Activities - EF'!$J$9:$J$190))*'3. Pollutant Emissions - EF'!$I1649*IF(OR(ISBLANK($E1649),$G1649="Yes"),1,$E1649)*IF($H1649="Yes",1,(1-$F1649))</f>
        <v>3.5157143529411763</v>
      </c>
      <c r="N1649" s="5">
        <f>IF(ISBLANK($B1649),_xlfn.XLOOKUP($A1649,'2. TEUs &amp; Activities - EF'!$A$9:$A$190,'2. TEUs &amp; Activities - EF'!$M$9:$M$190),_xlfn.XLOOKUP($B1649,'2. TEUs &amp; Activities - EF'!$B$9:$B$190,'2. TEUs &amp; Activities - EF'!$M$9:$M$190))*'3. Pollutant Emissions - EF'!$J1649*IF(OR(ISBLANK($E1649),$G1649="Yes"),1,$E1649)*IF($H1649="Yes",1,(1-$F1649))</f>
        <v>9.6320941176470595E-3</v>
      </c>
      <c r="O1649" s="130"/>
    </row>
    <row r="1650" spans="1:15" ht="15" x14ac:dyDescent="0.25">
      <c r="A1650" s="5"/>
      <c r="B1650" s="7"/>
      <c r="C1650" s="13"/>
      <c r="D1650" s="19" t="str">
        <f>IFERROR(IF(C1650="No CAS","",INDEX('DEQ Pollutant List'!$B$7:$B$611,MATCH('3. Pollutant Emissions - EF'!C1650,'DEQ Pollutant List'!$A$7:$A$611,0))),"")</f>
        <v/>
      </c>
      <c r="E1650" s="23"/>
      <c r="F1650" s="21"/>
      <c r="G1650" s="23"/>
      <c r="H1650" s="21"/>
      <c r="I1650" s="34"/>
      <c r="J1650" s="11"/>
      <c r="K1650" s="6"/>
      <c r="L1650" s="20"/>
      <c r="M1650" s="7">
        <f>IF(ISBLANK($B1650),_xlfn.XLOOKUP($A1650,'2. TEUs &amp; Activities - EF'!$A$9:$A$190,'2. TEUs &amp; Activities - EF'!$J$9:$J$190),_xlfn.XLOOKUP($B1650,'2. TEUs &amp; Activities - EF'!$B$9:$B$190,'2. TEUs &amp; Activities - EF'!$J$9:$J$190))*'3. Pollutant Emissions - EF'!$I1650*IF(OR(ISBLANK($E1650),$G1650="Yes"),1,$E1650)*IF($H1650="Yes",1,(1-$F1650))</f>
        <v>0</v>
      </c>
      <c r="N1650" s="5">
        <f>IF(ISBLANK($B1650),_xlfn.XLOOKUP($A1650,'2. TEUs &amp; Activities - EF'!$A$9:$A$190,'2. TEUs &amp; Activities - EF'!$M$9:$M$190),_xlfn.XLOOKUP($B1650,'2. TEUs &amp; Activities - EF'!$B$9:$B$190,'2. TEUs &amp; Activities - EF'!$M$9:$M$190))*'3. Pollutant Emissions - EF'!$J1650*IF(OR(ISBLANK($E1650),$G1650="Yes"),1,$E1650)*IF($H1650="Yes",1,(1-$F1650))</f>
        <v>0</v>
      </c>
      <c r="O1650" s="130"/>
    </row>
    <row r="1651" spans="1:15" ht="15" x14ac:dyDescent="0.25">
      <c r="A1651" s="5" t="s">
        <v>1637</v>
      </c>
      <c r="B1651" s="7"/>
      <c r="C1651" s="13" t="s">
        <v>48</v>
      </c>
      <c r="D1651" s="19" t="str">
        <f>IFERROR(IF(C1651="No CAS","",INDEX('DEQ Pollutant List'!$B$7:$B$611,MATCH('3. Pollutant Emissions - EF'!C1651,'DEQ Pollutant List'!$A$7:$A$611,0))),"")</f>
        <v>Benzo[a]pyrene</v>
      </c>
      <c r="E1651" s="23">
        <v>0</v>
      </c>
      <c r="F1651" s="21">
        <v>0</v>
      </c>
      <c r="G1651" s="23" t="s">
        <v>1415</v>
      </c>
      <c r="H1651" s="21" t="s">
        <v>1415</v>
      </c>
      <c r="I1651" s="34">
        <v>1.1999999999999999E-6</v>
      </c>
      <c r="J1651" s="11">
        <f t="shared" ref="J1651:J1677" si="60">I1651</f>
        <v>1.1999999999999999E-6</v>
      </c>
      <c r="K1651" s="6" t="s">
        <v>1416</v>
      </c>
      <c r="L1651" s="20" t="s">
        <v>1422</v>
      </c>
      <c r="M1651" s="7">
        <f>IF(ISBLANK($B1651),_xlfn.XLOOKUP($A1651,'2. TEUs &amp; Activities - EF'!$A$9:$A$190,'2. TEUs &amp; Activities - EF'!$J$9:$J$190),_xlfn.XLOOKUP($B1651,'2. TEUs &amp; Activities - EF'!$B$9:$B$190,'2. TEUs &amp; Activities - EF'!$J$9:$J$190))*'3. Pollutant Emissions - EF'!$I1651*IF(OR(ISBLANK($E1651),$G1651="Yes"),1,$E1651)*IF($H1651="Yes",1,(1-$F1651))</f>
        <v>1.4809552941176472E-5</v>
      </c>
      <c r="N1651" s="5">
        <f>IF(ISBLANK($B1651),_xlfn.XLOOKUP($A1651,'2. TEUs &amp; Activities - EF'!$A$9:$A$190,'2. TEUs &amp; Activities - EF'!$M$9:$M$190),_xlfn.XLOOKUP($B1651,'2. TEUs &amp; Activities - EF'!$B$9:$B$190,'2. TEUs &amp; Activities - EF'!$M$9:$M$190))*'3. Pollutant Emissions - EF'!$J1651*IF(OR(ISBLANK($E1651),$G1651="Yes"),1,$E1651)*IF($H1651="Yes",1,(1-$F1651))</f>
        <v>4.0574117647058822E-8</v>
      </c>
      <c r="O1651" s="130"/>
    </row>
    <row r="1652" spans="1:15" ht="15" x14ac:dyDescent="0.25">
      <c r="A1652" s="5" t="s">
        <v>1637</v>
      </c>
      <c r="B1652" s="7"/>
      <c r="C1652" s="13" t="s">
        <v>50</v>
      </c>
      <c r="D1652" s="19" t="str">
        <f>IFERROR(IF(C1652="No CAS","",INDEX('DEQ Pollutant List'!$B$7:$B$611,MATCH('3. Pollutant Emissions - EF'!C1652,'DEQ Pollutant List'!$A$7:$A$611,0))),"")</f>
        <v>Acetaldehyde</v>
      </c>
      <c r="E1652" s="23">
        <v>0</v>
      </c>
      <c r="F1652" s="21">
        <v>0</v>
      </c>
      <c r="G1652" s="23" t="s">
        <v>1415</v>
      </c>
      <c r="H1652" s="21" t="s">
        <v>1415</v>
      </c>
      <c r="I1652" s="34">
        <v>4.3E-3</v>
      </c>
      <c r="J1652" s="11">
        <f t="shared" si="60"/>
        <v>4.3E-3</v>
      </c>
      <c r="K1652" s="6" t="s">
        <v>1416</v>
      </c>
      <c r="L1652" s="20" t="s">
        <v>1422</v>
      </c>
      <c r="M1652" s="7">
        <f>IF(ISBLANK($B1652),_xlfn.XLOOKUP($A1652,'2. TEUs &amp; Activities - EF'!$A$9:$A$190,'2. TEUs &amp; Activities - EF'!$J$9:$J$190),_xlfn.XLOOKUP($B1652,'2. TEUs &amp; Activities - EF'!$B$9:$B$190,'2. TEUs &amp; Activities - EF'!$J$9:$J$190))*'3. Pollutant Emissions - EF'!$I1652*IF(OR(ISBLANK($E1652),$G1652="Yes"),1,$E1652)*IF($H1652="Yes",1,(1-$F1652))</f>
        <v>5.3067564705882357E-2</v>
      </c>
      <c r="N1652" s="5">
        <f>IF(ISBLANK($B1652),_xlfn.XLOOKUP($A1652,'2. TEUs &amp; Activities - EF'!$A$9:$A$190,'2. TEUs &amp; Activities - EF'!$M$9:$M$190),_xlfn.XLOOKUP($B1652,'2. TEUs &amp; Activities - EF'!$B$9:$B$190,'2. TEUs &amp; Activities - EF'!$M$9:$M$190))*'3. Pollutant Emissions - EF'!$J1652*IF(OR(ISBLANK($E1652),$G1652="Yes"),1,$E1652)*IF($H1652="Yes",1,(1-$F1652))</f>
        <v>1.4539058823529412E-4</v>
      </c>
      <c r="O1652" s="130"/>
    </row>
    <row r="1653" spans="1:15" ht="15" x14ac:dyDescent="0.25">
      <c r="A1653" s="5" t="s">
        <v>1637</v>
      </c>
      <c r="B1653" s="7"/>
      <c r="C1653" s="13" t="s">
        <v>51</v>
      </c>
      <c r="D1653" s="19" t="str">
        <f>IFERROR(IF(C1653="No CAS","",INDEX('DEQ Pollutant List'!$B$7:$B$611,MATCH('3. Pollutant Emissions - EF'!C1653,'DEQ Pollutant List'!$A$7:$A$611,0))),"")</f>
        <v>Acrolein</v>
      </c>
      <c r="E1653" s="23">
        <v>0</v>
      </c>
      <c r="F1653" s="21">
        <v>0</v>
      </c>
      <c r="G1653" s="23" t="s">
        <v>1415</v>
      </c>
      <c r="H1653" s="21" t="s">
        <v>1415</v>
      </c>
      <c r="I1653" s="34">
        <v>2.7000000000000001E-3</v>
      </c>
      <c r="J1653" s="11">
        <f t="shared" si="60"/>
        <v>2.7000000000000001E-3</v>
      </c>
      <c r="K1653" s="6" t="s">
        <v>1416</v>
      </c>
      <c r="L1653" s="20" t="s">
        <v>1422</v>
      </c>
      <c r="M1653" s="7">
        <f>IF(ISBLANK($B1653),_xlfn.XLOOKUP($A1653,'2. TEUs &amp; Activities - EF'!$A$9:$A$190,'2. TEUs &amp; Activities - EF'!$J$9:$J$190),_xlfn.XLOOKUP($B1653,'2. TEUs &amp; Activities - EF'!$B$9:$B$190,'2. TEUs &amp; Activities - EF'!$J$9:$J$190))*'3. Pollutant Emissions - EF'!$I1653*IF(OR(ISBLANK($E1653),$G1653="Yes"),1,$E1653)*IF($H1653="Yes",1,(1-$F1653))</f>
        <v>3.3321494117647066E-2</v>
      </c>
      <c r="N1653" s="5">
        <f>IF(ISBLANK($B1653),_xlfn.XLOOKUP($A1653,'2. TEUs &amp; Activities - EF'!$A$9:$A$190,'2. TEUs &amp; Activities - EF'!$M$9:$M$190),_xlfn.XLOOKUP($B1653,'2. TEUs &amp; Activities - EF'!$B$9:$B$190,'2. TEUs &amp; Activities - EF'!$M$9:$M$190))*'3. Pollutant Emissions - EF'!$J1653*IF(OR(ISBLANK($E1653),$G1653="Yes"),1,$E1653)*IF($H1653="Yes",1,(1-$F1653))</f>
        <v>9.1291764705882361E-5</v>
      </c>
      <c r="O1653" s="130"/>
    </row>
    <row r="1654" spans="1:15" ht="15" x14ac:dyDescent="0.25">
      <c r="A1654" s="5" t="s">
        <v>1637</v>
      </c>
      <c r="B1654" s="7"/>
      <c r="C1654" s="13" t="s">
        <v>52</v>
      </c>
      <c r="D1654" s="19" t="str">
        <f>IFERROR(IF(C1654="No CAS","",INDEX('DEQ Pollutant List'!$B$7:$B$611,MATCH('3. Pollutant Emissions - EF'!C1654,'DEQ Pollutant List'!$A$7:$A$611,0))),"")</f>
        <v>Ammonia</v>
      </c>
      <c r="E1654" s="23">
        <v>0</v>
      </c>
      <c r="F1654" s="21">
        <v>0</v>
      </c>
      <c r="G1654" s="23" t="s">
        <v>1415</v>
      </c>
      <c r="H1654" s="21" t="s">
        <v>1415</v>
      </c>
      <c r="I1654" s="34">
        <v>3.2</v>
      </c>
      <c r="J1654" s="11">
        <f t="shared" si="60"/>
        <v>3.2</v>
      </c>
      <c r="K1654" s="6" t="s">
        <v>1416</v>
      </c>
      <c r="L1654" s="20" t="s">
        <v>1586</v>
      </c>
      <c r="M1654" s="7">
        <f>IF(ISBLANK($B1654),_xlfn.XLOOKUP($A1654,'2. TEUs &amp; Activities - EF'!$A$9:$A$190,'2. TEUs &amp; Activities - EF'!$J$9:$J$190),_xlfn.XLOOKUP($B1654,'2. TEUs &amp; Activities - EF'!$B$9:$B$190,'2. TEUs &amp; Activities - EF'!$J$9:$J$190))*'3. Pollutant Emissions - EF'!$I1654*IF(OR(ISBLANK($E1654),$G1654="Yes"),1,$E1654)*IF($H1654="Yes",1,(1-$F1654))</f>
        <v>39.492141176470597</v>
      </c>
      <c r="N1654" s="5">
        <f>IF(ISBLANK($B1654),_xlfn.XLOOKUP($A1654,'2. TEUs &amp; Activities - EF'!$A$9:$A$190,'2. TEUs &amp; Activities - EF'!$M$9:$M$190),_xlfn.XLOOKUP($B1654,'2. TEUs &amp; Activities - EF'!$B$9:$B$190,'2. TEUs &amp; Activities - EF'!$M$9:$M$190))*'3. Pollutant Emissions - EF'!$J1654*IF(OR(ISBLANK($E1654),$G1654="Yes"),1,$E1654)*IF($H1654="Yes",1,(1-$F1654))</f>
        <v>0.10819764705882354</v>
      </c>
      <c r="O1654" s="130"/>
    </row>
    <row r="1655" spans="1:15" ht="15" x14ac:dyDescent="0.25">
      <c r="A1655" s="5" t="s">
        <v>1637</v>
      </c>
      <c r="B1655" s="7"/>
      <c r="C1655" s="13" t="s">
        <v>53</v>
      </c>
      <c r="D1655" s="19" t="str">
        <f>IFERROR(IF(C1655="No CAS","",INDEX('DEQ Pollutant List'!$B$7:$B$611,MATCH('3. Pollutant Emissions - EF'!C1655,'DEQ Pollutant List'!$A$7:$A$611,0))),"")</f>
        <v>Arsenic and compounds</v>
      </c>
      <c r="E1655" s="23">
        <v>0</v>
      </c>
      <c r="F1655" s="21">
        <v>0</v>
      </c>
      <c r="G1655" s="23" t="s">
        <v>1415</v>
      </c>
      <c r="H1655" s="21" t="s">
        <v>1415</v>
      </c>
      <c r="I1655" s="34">
        <v>2.0000000000000001E-4</v>
      </c>
      <c r="J1655" s="11">
        <f t="shared" si="60"/>
        <v>2.0000000000000001E-4</v>
      </c>
      <c r="K1655" s="6" t="s">
        <v>1416</v>
      </c>
      <c r="L1655" s="20" t="s">
        <v>1422</v>
      </c>
      <c r="M1655" s="7">
        <f>IF(ISBLANK($B1655),_xlfn.XLOOKUP($A1655,'2. TEUs &amp; Activities - EF'!$A$9:$A$190,'2. TEUs &amp; Activities - EF'!$J$9:$J$190),_xlfn.XLOOKUP($B1655,'2. TEUs &amp; Activities - EF'!$B$9:$B$190,'2. TEUs &amp; Activities - EF'!$J$9:$J$190))*'3. Pollutant Emissions - EF'!$I1655*IF(OR(ISBLANK($E1655),$G1655="Yes"),1,$E1655)*IF($H1655="Yes",1,(1-$F1655))</f>
        <v>2.4682588235294118E-3</v>
      </c>
      <c r="N1655" s="5">
        <f>IF(ISBLANK($B1655),_xlfn.XLOOKUP($A1655,'2. TEUs &amp; Activities - EF'!$A$9:$A$190,'2. TEUs &amp; Activities - EF'!$M$9:$M$190),_xlfn.XLOOKUP($B1655,'2. TEUs &amp; Activities - EF'!$B$9:$B$190,'2. TEUs &amp; Activities - EF'!$M$9:$M$190))*'3. Pollutant Emissions - EF'!$J1655*IF(OR(ISBLANK($E1655),$G1655="Yes"),1,$E1655)*IF($H1655="Yes",1,(1-$F1655))</f>
        <v>6.762352941176471E-6</v>
      </c>
      <c r="O1655" s="130"/>
    </row>
    <row r="1656" spans="1:15" ht="15" x14ac:dyDescent="0.25">
      <c r="A1656" s="5" t="s">
        <v>1637</v>
      </c>
      <c r="B1656" s="7"/>
      <c r="C1656" s="13" t="s">
        <v>54</v>
      </c>
      <c r="D1656" s="19" t="str">
        <f>IFERROR(IF(C1656="No CAS","",INDEX('DEQ Pollutant List'!$B$7:$B$611,MATCH('3. Pollutant Emissions - EF'!C1656,'DEQ Pollutant List'!$A$7:$A$611,0))),"")</f>
        <v>Barium and compounds</v>
      </c>
      <c r="E1656" s="23">
        <v>0</v>
      </c>
      <c r="F1656" s="21">
        <v>0</v>
      </c>
      <c r="G1656" s="23" t="s">
        <v>1415</v>
      </c>
      <c r="H1656" s="21" t="s">
        <v>1415</v>
      </c>
      <c r="I1656" s="34">
        <v>4.4000000000000003E-3</v>
      </c>
      <c r="J1656" s="11">
        <f t="shared" si="60"/>
        <v>4.4000000000000003E-3</v>
      </c>
      <c r="K1656" s="6" t="s">
        <v>1416</v>
      </c>
      <c r="L1656" s="20" t="s">
        <v>1422</v>
      </c>
      <c r="M1656" s="7">
        <f>IF(ISBLANK($B1656),_xlfn.XLOOKUP($A1656,'2. TEUs &amp; Activities - EF'!$A$9:$A$190,'2. TEUs &amp; Activities - EF'!$J$9:$J$190),_xlfn.XLOOKUP($B1656,'2. TEUs &amp; Activities - EF'!$B$9:$B$190,'2. TEUs &amp; Activities - EF'!$J$9:$J$190))*'3. Pollutant Emissions - EF'!$I1656*IF(OR(ISBLANK($E1656),$G1656="Yes"),1,$E1656)*IF($H1656="Yes",1,(1-$F1656))</f>
        <v>5.4301694117647063E-2</v>
      </c>
      <c r="N1656" s="5">
        <f>IF(ISBLANK($B1656),_xlfn.XLOOKUP($A1656,'2. TEUs &amp; Activities - EF'!$A$9:$A$190,'2. TEUs &amp; Activities - EF'!$M$9:$M$190),_xlfn.XLOOKUP($B1656,'2. TEUs &amp; Activities - EF'!$B$9:$B$190,'2. TEUs &amp; Activities - EF'!$M$9:$M$190))*'3. Pollutant Emissions - EF'!$J1656*IF(OR(ISBLANK($E1656),$G1656="Yes"),1,$E1656)*IF($H1656="Yes",1,(1-$F1656))</f>
        <v>1.4877176470588237E-4</v>
      </c>
      <c r="O1656" s="130"/>
    </row>
    <row r="1657" spans="1:15" ht="15" x14ac:dyDescent="0.25">
      <c r="A1657" s="5" t="s">
        <v>1637</v>
      </c>
      <c r="B1657" s="7"/>
      <c r="C1657" s="13" t="s">
        <v>46</v>
      </c>
      <c r="D1657" s="19" t="str">
        <f>IFERROR(IF(C1657="No CAS","",INDEX('DEQ Pollutant List'!$B$7:$B$611,MATCH('3. Pollutant Emissions - EF'!C1657,'DEQ Pollutant List'!$A$7:$A$611,0))),"")</f>
        <v>Benzene</v>
      </c>
      <c r="E1657" s="23">
        <v>0</v>
      </c>
      <c r="F1657" s="21">
        <v>0</v>
      </c>
      <c r="G1657" s="23" t="s">
        <v>1415</v>
      </c>
      <c r="H1657" s="21" t="s">
        <v>1415</v>
      </c>
      <c r="I1657" s="34">
        <v>8.0000000000000002E-3</v>
      </c>
      <c r="J1657" s="11">
        <f t="shared" si="60"/>
        <v>8.0000000000000002E-3</v>
      </c>
      <c r="K1657" s="6" t="s">
        <v>1416</v>
      </c>
      <c r="L1657" s="20" t="s">
        <v>1422</v>
      </c>
      <c r="M1657" s="7">
        <f>IF(ISBLANK($B1657),_xlfn.XLOOKUP($A1657,'2. TEUs &amp; Activities - EF'!$A$9:$A$190,'2. TEUs &amp; Activities - EF'!$J$9:$J$190),_xlfn.XLOOKUP($B1657,'2. TEUs &amp; Activities - EF'!$B$9:$B$190,'2. TEUs &amp; Activities - EF'!$J$9:$J$190))*'3. Pollutant Emissions - EF'!$I1657*IF(OR(ISBLANK($E1657),$G1657="Yes"),1,$E1657)*IF($H1657="Yes",1,(1-$F1657))</f>
        <v>9.8730352941176477E-2</v>
      </c>
      <c r="N1657" s="5">
        <f>IF(ISBLANK($B1657),_xlfn.XLOOKUP($A1657,'2. TEUs &amp; Activities - EF'!$A$9:$A$190,'2. TEUs &amp; Activities - EF'!$M$9:$M$190),_xlfn.XLOOKUP($B1657,'2. TEUs &amp; Activities - EF'!$B$9:$B$190,'2. TEUs &amp; Activities - EF'!$M$9:$M$190))*'3. Pollutant Emissions - EF'!$J1657*IF(OR(ISBLANK($E1657),$G1657="Yes"),1,$E1657)*IF($H1657="Yes",1,(1-$F1657))</f>
        <v>2.7049411764705885E-4</v>
      </c>
      <c r="O1657" s="130"/>
    </row>
    <row r="1658" spans="1:15" ht="15" x14ac:dyDescent="0.25">
      <c r="A1658" s="5" t="s">
        <v>1637</v>
      </c>
      <c r="B1658" s="7"/>
      <c r="C1658" s="13" t="s">
        <v>55</v>
      </c>
      <c r="D1658" s="19" t="str">
        <f>IFERROR(IF(C1658="No CAS","",INDEX('DEQ Pollutant List'!$B$7:$B$611,MATCH('3. Pollutant Emissions - EF'!C1658,'DEQ Pollutant List'!$A$7:$A$611,0))),"")</f>
        <v>Beryllium and compounds</v>
      </c>
      <c r="E1658" s="23">
        <v>0</v>
      </c>
      <c r="F1658" s="21">
        <v>0</v>
      </c>
      <c r="G1658" s="23" t="s">
        <v>1415</v>
      </c>
      <c r="H1658" s="21" t="s">
        <v>1415</v>
      </c>
      <c r="I1658" s="34">
        <v>1.2E-5</v>
      </c>
      <c r="J1658" s="11">
        <f t="shared" si="60"/>
        <v>1.2E-5</v>
      </c>
      <c r="K1658" s="6" t="s">
        <v>1416</v>
      </c>
      <c r="L1658" s="20" t="s">
        <v>1422</v>
      </c>
      <c r="M1658" s="7">
        <f>IF(ISBLANK($B1658),_xlfn.XLOOKUP($A1658,'2. TEUs &amp; Activities - EF'!$A$9:$A$190,'2. TEUs &amp; Activities - EF'!$J$9:$J$190),_xlfn.XLOOKUP($B1658,'2. TEUs &amp; Activities - EF'!$B$9:$B$190,'2. TEUs &amp; Activities - EF'!$J$9:$J$190))*'3. Pollutant Emissions - EF'!$I1658*IF(OR(ISBLANK($E1658),$G1658="Yes"),1,$E1658)*IF($H1658="Yes",1,(1-$F1658))</f>
        <v>1.4809552941176472E-4</v>
      </c>
      <c r="N1658" s="5">
        <f>IF(ISBLANK($B1658),_xlfn.XLOOKUP($A1658,'2. TEUs &amp; Activities - EF'!$A$9:$A$190,'2. TEUs &amp; Activities - EF'!$M$9:$M$190),_xlfn.XLOOKUP($B1658,'2. TEUs &amp; Activities - EF'!$B$9:$B$190,'2. TEUs &amp; Activities - EF'!$M$9:$M$190))*'3. Pollutant Emissions - EF'!$J1658*IF(OR(ISBLANK($E1658),$G1658="Yes"),1,$E1658)*IF($H1658="Yes",1,(1-$F1658))</f>
        <v>4.0574117647058827E-7</v>
      </c>
      <c r="O1658" s="130"/>
    </row>
    <row r="1659" spans="1:15" ht="15" x14ac:dyDescent="0.25">
      <c r="A1659" s="5" t="s">
        <v>1637</v>
      </c>
      <c r="B1659" s="7"/>
      <c r="C1659" s="13" t="s">
        <v>56</v>
      </c>
      <c r="D1659" s="19" t="str">
        <f>IFERROR(IF(C1659="No CAS","",INDEX('DEQ Pollutant List'!$B$7:$B$611,MATCH('3. Pollutant Emissions - EF'!C1659,'DEQ Pollutant List'!$A$7:$A$611,0))),"")</f>
        <v>Cadmium and compounds</v>
      </c>
      <c r="E1659" s="23">
        <v>0</v>
      </c>
      <c r="F1659" s="21">
        <v>0</v>
      </c>
      <c r="G1659" s="23" t="s">
        <v>1415</v>
      </c>
      <c r="H1659" s="21" t="s">
        <v>1415</v>
      </c>
      <c r="I1659" s="34">
        <v>1.1000000000000001E-3</v>
      </c>
      <c r="J1659" s="11">
        <f t="shared" si="60"/>
        <v>1.1000000000000001E-3</v>
      </c>
      <c r="K1659" s="6" t="s">
        <v>1416</v>
      </c>
      <c r="L1659" s="20" t="s">
        <v>1422</v>
      </c>
      <c r="M1659" s="7">
        <f>IF(ISBLANK($B1659),_xlfn.XLOOKUP($A1659,'2. TEUs &amp; Activities - EF'!$A$9:$A$190,'2. TEUs &amp; Activities - EF'!$J$9:$J$190),_xlfn.XLOOKUP($B1659,'2. TEUs &amp; Activities - EF'!$B$9:$B$190,'2. TEUs &amp; Activities - EF'!$J$9:$J$190))*'3. Pollutant Emissions - EF'!$I1659*IF(OR(ISBLANK($E1659),$G1659="Yes"),1,$E1659)*IF($H1659="Yes",1,(1-$F1659))</f>
        <v>1.3575423529411766E-2</v>
      </c>
      <c r="N1659" s="5">
        <f>IF(ISBLANK($B1659),_xlfn.XLOOKUP($A1659,'2. TEUs &amp; Activities - EF'!$A$9:$A$190,'2. TEUs &amp; Activities - EF'!$M$9:$M$190),_xlfn.XLOOKUP($B1659,'2. TEUs &amp; Activities - EF'!$B$9:$B$190,'2. TEUs &amp; Activities - EF'!$M$9:$M$190))*'3. Pollutant Emissions - EF'!$J1659*IF(OR(ISBLANK($E1659),$G1659="Yes"),1,$E1659)*IF($H1659="Yes",1,(1-$F1659))</f>
        <v>3.7192941176470593E-5</v>
      </c>
      <c r="O1659" s="130"/>
    </row>
    <row r="1660" spans="1:15" ht="15" x14ac:dyDescent="0.25">
      <c r="A1660" s="5" t="s">
        <v>1637</v>
      </c>
      <c r="B1660" s="7"/>
      <c r="C1660" s="13" t="s">
        <v>57</v>
      </c>
      <c r="D1660" s="19" t="str">
        <f>IFERROR(IF(C1660="No CAS","",INDEX('DEQ Pollutant List'!$B$7:$B$611,MATCH('3. Pollutant Emissions - EF'!C1660,'DEQ Pollutant List'!$A$7:$A$611,0))),"")</f>
        <v>Chromium VI, chromate and dichromate particulate</v>
      </c>
      <c r="E1660" s="23">
        <v>0</v>
      </c>
      <c r="F1660" s="21">
        <v>0</v>
      </c>
      <c r="G1660" s="23" t="s">
        <v>1415</v>
      </c>
      <c r="H1660" s="21" t="s">
        <v>1415</v>
      </c>
      <c r="I1660" s="34">
        <v>1.4E-3</v>
      </c>
      <c r="J1660" s="11">
        <f t="shared" si="60"/>
        <v>1.4E-3</v>
      </c>
      <c r="K1660" s="6" t="s">
        <v>1416</v>
      </c>
      <c r="L1660" s="20" t="s">
        <v>1422</v>
      </c>
      <c r="M1660" s="7">
        <f>IF(ISBLANK($B1660),_xlfn.XLOOKUP($A1660,'2. TEUs &amp; Activities - EF'!$A$9:$A$190,'2. TEUs &amp; Activities - EF'!$J$9:$J$190),_xlfn.XLOOKUP($B1660,'2. TEUs &amp; Activities - EF'!$B$9:$B$190,'2. TEUs &amp; Activities - EF'!$J$9:$J$190))*'3. Pollutant Emissions - EF'!$I1660*IF(OR(ISBLANK($E1660),$G1660="Yes"),1,$E1660)*IF($H1660="Yes",1,(1-$F1660))</f>
        <v>1.7277811764705883E-2</v>
      </c>
      <c r="N1660" s="5">
        <f>IF(ISBLANK($B1660),_xlfn.XLOOKUP($A1660,'2. TEUs &amp; Activities - EF'!$A$9:$A$190,'2. TEUs &amp; Activities - EF'!$M$9:$M$190),_xlfn.XLOOKUP($B1660,'2. TEUs &amp; Activities - EF'!$B$9:$B$190,'2. TEUs &amp; Activities - EF'!$M$9:$M$190))*'3. Pollutant Emissions - EF'!$J1660*IF(OR(ISBLANK($E1660),$G1660="Yes"),1,$E1660)*IF($H1660="Yes",1,(1-$F1660))</f>
        <v>4.7336470588235293E-5</v>
      </c>
      <c r="O1660" s="130"/>
    </row>
    <row r="1661" spans="1:15" ht="15" x14ac:dyDescent="0.25">
      <c r="A1661" s="5" t="s">
        <v>1637</v>
      </c>
      <c r="B1661" s="7"/>
      <c r="C1661" s="13" t="s">
        <v>58</v>
      </c>
      <c r="D1661" s="19" t="str">
        <f>IFERROR(IF(C1661="No CAS","",INDEX('DEQ Pollutant List'!$B$7:$B$611,MATCH('3. Pollutant Emissions - EF'!C1661,'DEQ Pollutant List'!$A$7:$A$611,0))),"")</f>
        <v>Cobalt and compounds</v>
      </c>
      <c r="E1661" s="23">
        <v>0</v>
      </c>
      <c r="F1661" s="21">
        <v>0</v>
      </c>
      <c r="G1661" s="23" t="s">
        <v>1415</v>
      </c>
      <c r="H1661" s="21" t="s">
        <v>1415</v>
      </c>
      <c r="I1661" s="34">
        <v>8.3999999999999995E-5</v>
      </c>
      <c r="J1661" s="11">
        <f t="shared" si="60"/>
        <v>8.3999999999999995E-5</v>
      </c>
      <c r="K1661" s="6" t="s">
        <v>1416</v>
      </c>
      <c r="L1661" s="20" t="s">
        <v>1422</v>
      </c>
      <c r="M1661" s="7">
        <f>IF(ISBLANK($B1661),_xlfn.XLOOKUP($A1661,'2. TEUs &amp; Activities - EF'!$A$9:$A$190,'2. TEUs &amp; Activities - EF'!$J$9:$J$190),_xlfn.XLOOKUP($B1661,'2. TEUs &amp; Activities - EF'!$B$9:$B$190,'2. TEUs &amp; Activities - EF'!$J$9:$J$190))*'3. Pollutant Emissions - EF'!$I1661*IF(OR(ISBLANK($E1661),$G1661="Yes"),1,$E1661)*IF($H1661="Yes",1,(1-$F1661))</f>
        <v>1.0366687058823529E-3</v>
      </c>
      <c r="N1661" s="5">
        <f>IF(ISBLANK($B1661),_xlfn.XLOOKUP($A1661,'2. TEUs &amp; Activities - EF'!$A$9:$A$190,'2. TEUs &amp; Activities - EF'!$M$9:$M$190),_xlfn.XLOOKUP($B1661,'2. TEUs &amp; Activities - EF'!$B$9:$B$190,'2. TEUs &amp; Activities - EF'!$M$9:$M$190))*'3. Pollutant Emissions - EF'!$J1661*IF(OR(ISBLANK($E1661),$G1661="Yes"),1,$E1661)*IF($H1661="Yes",1,(1-$F1661))</f>
        <v>2.8401882352941175E-6</v>
      </c>
      <c r="O1661" s="130"/>
    </row>
    <row r="1662" spans="1:15" ht="15" x14ac:dyDescent="0.25">
      <c r="A1662" s="5" t="s">
        <v>1637</v>
      </c>
      <c r="B1662" s="7"/>
      <c r="C1662" s="13" t="s">
        <v>59</v>
      </c>
      <c r="D1662" s="19" t="str">
        <f>IFERROR(IF(C1662="No CAS","",INDEX('DEQ Pollutant List'!$B$7:$B$611,MATCH('3. Pollutant Emissions - EF'!C1662,'DEQ Pollutant List'!$A$7:$A$611,0))),"")</f>
        <v>Copper and compounds</v>
      </c>
      <c r="E1662" s="23">
        <v>0</v>
      </c>
      <c r="F1662" s="21">
        <v>0</v>
      </c>
      <c r="G1662" s="23" t="s">
        <v>1415</v>
      </c>
      <c r="H1662" s="21" t="s">
        <v>1415</v>
      </c>
      <c r="I1662" s="34">
        <v>8.4999999999999995E-4</v>
      </c>
      <c r="J1662" s="11">
        <f t="shared" si="60"/>
        <v>8.4999999999999995E-4</v>
      </c>
      <c r="K1662" s="6" t="s">
        <v>1416</v>
      </c>
      <c r="L1662" s="20" t="s">
        <v>1422</v>
      </c>
      <c r="M1662" s="7">
        <f>IF(ISBLANK($B1662),_xlfn.XLOOKUP($A1662,'2. TEUs &amp; Activities - EF'!$A$9:$A$190,'2. TEUs &amp; Activities - EF'!$J$9:$J$190),_xlfn.XLOOKUP($B1662,'2. TEUs &amp; Activities - EF'!$B$9:$B$190,'2. TEUs &amp; Activities - EF'!$J$9:$J$190))*'3. Pollutant Emissions - EF'!$I1662*IF(OR(ISBLANK($E1662),$G1662="Yes"),1,$E1662)*IF($H1662="Yes",1,(1-$F1662))</f>
        <v>1.04901E-2</v>
      </c>
      <c r="N1662" s="5">
        <f>IF(ISBLANK($B1662),_xlfn.XLOOKUP($A1662,'2. TEUs &amp; Activities - EF'!$A$9:$A$190,'2. TEUs &amp; Activities - EF'!$M$9:$M$190),_xlfn.XLOOKUP($B1662,'2. TEUs &amp; Activities - EF'!$B$9:$B$190,'2. TEUs &amp; Activities - EF'!$M$9:$M$190))*'3. Pollutant Emissions - EF'!$J1662*IF(OR(ISBLANK($E1662),$G1662="Yes"),1,$E1662)*IF($H1662="Yes",1,(1-$F1662))</f>
        <v>2.8739999999999999E-5</v>
      </c>
      <c r="O1662" s="130"/>
    </row>
    <row r="1663" spans="1:15" ht="15" x14ac:dyDescent="0.25">
      <c r="A1663" s="5" t="s">
        <v>1637</v>
      </c>
      <c r="B1663" s="7"/>
      <c r="C1663" s="13" t="s">
        <v>60</v>
      </c>
      <c r="D1663" s="19" t="str">
        <f>IFERROR(IF(C1663="No CAS","",INDEX('DEQ Pollutant List'!$B$7:$B$611,MATCH('3. Pollutant Emissions - EF'!C1663,'DEQ Pollutant List'!$A$7:$A$611,0))),"")</f>
        <v>Ethyl benzene</v>
      </c>
      <c r="E1663" s="23">
        <v>0</v>
      </c>
      <c r="F1663" s="21">
        <v>0</v>
      </c>
      <c r="G1663" s="23" t="s">
        <v>1415</v>
      </c>
      <c r="H1663" s="21" t="s">
        <v>1415</v>
      </c>
      <c r="I1663" s="34">
        <v>9.4999999999999998E-3</v>
      </c>
      <c r="J1663" s="11">
        <f t="shared" si="60"/>
        <v>9.4999999999999998E-3</v>
      </c>
      <c r="K1663" s="6" t="s">
        <v>1416</v>
      </c>
      <c r="L1663" s="20" t="s">
        <v>1422</v>
      </c>
      <c r="M1663" s="7">
        <f>IF(ISBLANK($B1663),_xlfn.XLOOKUP($A1663,'2. TEUs &amp; Activities - EF'!$A$9:$A$190,'2. TEUs &amp; Activities - EF'!$J$9:$J$190),_xlfn.XLOOKUP($B1663,'2. TEUs &amp; Activities - EF'!$B$9:$B$190,'2. TEUs &amp; Activities - EF'!$J$9:$J$190))*'3. Pollutant Emissions - EF'!$I1663*IF(OR(ISBLANK($E1663),$G1663="Yes"),1,$E1663)*IF($H1663="Yes",1,(1-$F1663))</f>
        <v>0.11724229411764707</v>
      </c>
      <c r="N1663" s="5">
        <f>IF(ISBLANK($B1663),_xlfn.XLOOKUP($A1663,'2. TEUs &amp; Activities - EF'!$A$9:$A$190,'2. TEUs &amp; Activities - EF'!$M$9:$M$190),_xlfn.XLOOKUP($B1663,'2. TEUs &amp; Activities - EF'!$B$9:$B$190,'2. TEUs &amp; Activities - EF'!$M$9:$M$190))*'3. Pollutant Emissions - EF'!$J1663*IF(OR(ISBLANK($E1663),$G1663="Yes"),1,$E1663)*IF($H1663="Yes",1,(1-$F1663))</f>
        <v>3.2121176470588234E-4</v>
      </c>
      <c r="O1663" s="130"/>
    </row>
    <row r="1664" spans="1:15" ht="15" x14ac:dyDescent="0.25">
      <c r="A1664" s="5" t="s">
        <v>1637</v>
      </c>
      <c r="B1664" s="7"/>
      <c r="C1664" s="13" t="s">
        <v>47</v>
      </c>
      <c r="D1664" s="19" t="str">
        <f>IFERROR(IF(C1664="No CAS","",INDEX('DEQ Pollutant List'!$B$7:$B$611,MATCH('3. Pollutant Emissions - EF'!C1664,'DEQ Pollutant List'!$A$7:$A$611,0))),"")</f>
        <v>Formaldehyde</v>
      </c>
      <c r="E1664" s="23">
        <v>0</v>
      </c>
      <c r="F1664" s="21">
        <v>0</v>
      </c>
      <c r="G1664" s="23" t="s">
        <v>1415</v>
      </c>
      <c r="H1664" s="21" t="s">
        <v>1415</v>
      </c>
      <c r="I1664" s="34">
        <v>1.7000000000000001E-2</v>
      </c>
      <c r="J1664" s="11">
        <f t="shared" si="60"/>
        <v>1.7000000000000001E-2</v>
      </c>
      <c r="K1664" s="6" t="s">
        <v>1416</v>
      </c>
      <c r="L1664" s="20" t="s">
        <v>1422</v>
      </c>
      <c r="M1664" s="7">
        <f>IF(ISBLANK($B1664),_xlfn.XLOOKUP($A1664,'2. TEUs &amp; Activities - EF'!$A$9:$A$190,'2. TEUs &amp; Activities - EF'!$J$9:$J$190),_xlfn.XLOOKUP($B1664,'2. TEUs &amp; Activities - EF'!$B$9:$B$190,'2. TEUs &amp; Activities - EF'!$J$9:$J$190))*'3. Pollutant Emissions - EF'!$I1664*IF(OR(ISBLANK($E1664),$G1664="Yes"),1,$E1664)*IF($H1664="Yes",1,(1-$F1664))</f>
        <v>0.20980200000000002</v>
      </c>
      <c r="N1664" s="5">
        <f>IF(ISBLANK($B1664),_xlfn.XLOOKUP($A1664,'2. TEUs &amp; Activities - EF'!$A$9:$A$190,'2. TEUs &amp; Activities - EF'!$M$9:$M$190),_xlfn.XLOOKUP($B1664,'2. TEUs &amp; Activities - EF'!$B$9:$B$190,'2. TEUs &amp; Activities - EF'!$M$9:$M$190))*'3. Pollutant Emissions - EF'!$J1664*IF(OR(ISBLANK($E1664),$G1664="Yes"),1,$E1664)*IF($H1664="Yes",1,(1-$F1664))</f>
        <v>5.7480000000000009E-4</v>
      </c>
      <c r="O1664" s="130"/>
    </row>
    <row r="1665" spans="1:15" ht="15" x14ac:dyDescent="0.25">
      <c r="A1665" s="5" t="s">
        <v>1637</v>
      </c>
      <c r="B1665" s="7"/>
      <c r="C1665" s="13" t="s">
        <v>61</v>
      </c>
      <c r="D1665" s="19" t="str">
        <f>IFERROR(IF(C1665="No CAS","",INDEX('DEQ Pollutant List'!$B$7:$B$611,MATCH('3. Pollutant Emissions - EF'!C1665,'DEQ Pollutant List'!$A$7:$A$611,0))),"")</f>
        <v>Hexane</v>
      </c>
      <c r="E1665" s="23">
        <v>0</v>
      </c>
      <c r="F1665" s="21">
        <v>0</v>
      </c>
      <c r="G1665" s="23" t="s">
        <v>1415</v>
      </c>
      <c r="H1665" s="21" t="s">
        <v>1415</v>
      </c>
      <c r="I1665" s="34">
        <v>6.3E-3</v>
      </c>
      <c r="J1665" s="11">
        <f t="shared" si="60"/>
        <v>6.3E-3</v>
      </c>
      <c r="K1665" s="6" t="s">
        <v>1416</v>
      </c>
      <c r="L1665" s="20" t="s">
        <v>1422</v>
      </c>
      <c r="M1665" s="7">
        <f>IF(ISBLANK($B1665),_xlfn.XLOOKUP($A1665,'2. TEUs &amp; Activities - EF'!$A$9:$A$190,'2. TEUs &amp; Activities - EF'!$J$9:$J$190),_xlfn.XLOOKUP($B1665,'2. TEUs &amp; Activities - EF'!$B$9:$B$190,'2. TEUs &amp; Activities - EF'!$J$9:$J$190))*'3. Pollutant Emissions - EF'!$I1665*IF(OR(ISBLANK($E1665),$G1665="Yes"),1,$E1665)*IF($H1665="Yes",1,(1-$F1665))</f>
        <v>7.7750152941176473E-2</v>
      </c>
      <c r="N1665" s="5">
        <f>IF(ISBLANK($B1665),_xlfn.XLOOKUP($A1665,'2. TEUs &amp; Activities - EF'!$A$9:$A$190,'2. TEUs &amp; Activities - EF'!$M$9:$M$190),_xlfn.XLOOKUP($B1665,'2. TEUs &amp; Activities - EF'!$B$9:$B$190,'2. TEUs &amp; Activities - EF'!$M$9:$M$190))*'3. Pollutant Emissions - EF'!$J1665*IF(OR(ISBLANK($E1665),$G1665="Yes"),1,$E1665)*IF($H1665="Yes",1,(1-$F1665))</f>
        <v>2.1301411764705882E-4</v>
      </c>
      <c r="O1665" s="130"/>
    </row>
    <row r="1666" spans="1:15" ht="15" x14ac:dyDescent="0.25">
      <c r="A1666" s="5" t="s">
        <v>1637</v>
      </c>
      <c r="B1666" s="7"/>
      <c r="C1666" s="13" t="s">
        <v>62</v>
      </c>
      <c r="D1666" s="19" t="str">
        <f>IFERROR(IF(C1666="No CAS","",INDEX('DEQ Pollutant List'!$B$7:$B$611,MATCH('3. Pollutant Emissions - EF'!C1666,'DEQ Pollutant List'!$A$7:$A$611,0))),"")</f>
        <v>Lead and compounds</v>
      </c>
      <c r="E1666" s="23">
        <v>0</v>
      </c>
      <c r="F1666" s="21">
        <v>0</v>
      </c>
      <c r="G1666" s="23" t="s">
        <v>1415</v>
      </c>
      <c r="H1666" s="21" t="s">
        <v>1415</v>
      </c>
      <c r="I1666" s="34">
        <v>5.0000000000000001E-4</v>
      </c>
      <c r="J1666" s="11">
        <f t="shared" si="60"/>
        <v>5.0000000000000001E-4</v>
      </c>
      <c r="K1666" s="6" t="s">
        <v>1416</v>
      </c>
      <c r="L1666" s="20" t="s">
        <v>1422</v>
      </c>
      <c r="M1666" s="7">
        <f>IF(ISBLANK($B1666),_xlfn.XLOOKUP($A1666,'2. TEUs &amp; Activities - EF'!$A$9:$A$190,'2. TEUs &amp; Activities - EF'!$J$9:$J$190),_xlfn.XLOOKUP($B1666,'2. TEUs &amp; Activities - EF'!$B$9:$B$190,'2. TEUs &amp; Activities - EF'!$J$9:$J$190))*'3. Pollutant Emissions - EF'!$I1666*IF(OR(ISBLANK($E1666),$G1666="Yes"),1,$E1666)*IF($H1666="Yes",1,(1-$F1666))</f>
        <v>6.1706470588235298E-3</v>
      </c>
      <c r="N1666" s="5">
        <f>IF(ISBLANK($B1666),_xlfn.XLOOKUP($A1666,'2. TEUs &amp; Activities - EF'!$A$9:$A$190,'2. TEUs &amp; Activities - EF'!$M$9:$M$190),_xlfn.XLOOKUP($B1666,'2. TEUs &amp; Activities - EF'!$B$9:$B$190,'2. TEUs &amp; Activities - EF'!$M$9:$M$190))*'3. Pollutant Emissions - EF'!$J1666*IF(OR(ISBLANK($E1666),$G1666="Yes"),1,$E1666)*IF($H1666="Yes",1,(1-$F1666))</f>
        <v>1.6905882352941178E-5</v>
      </c>
      <c r="O1666" s="130"/>
    </row>
    <row r="1667" spans="1:15" ht="15" x14ac:dyDescent="0.25">
      <c r="A1667" s="5" t="s">
        <v>1637</v>
      </c>
      <c r="B1667" s="7"/>
      <c r="C1667" s="13" t="s">
        <v>63</v>
      </c>
      <c r="D1667" s="19" t="str">
        <f>IFERROR(IF(C1667="No CAS","",INDEX('DEQ Pollutant List'!$B$7:$B$611,MATCH('3. Pollutant Emissions - EF'!C1667,'DEQ Pollutant List'!$A$7:$A$611,0))),"")</f>
        <v>Manganese and compounds</v>
      </c>
      <c r="E1667" s="23">
        <v>0</v>
      </c>
      <c r="F1667" s="21">
        <v>0</v>
      </c>
      <c r="G1667" s="23" t="s">
        <v>1415</v>
      </c>
      <c r="H1667" s="21" t="s">
        <v>1415</v>
      </c>
      <c r="I1667" s="34">
        <v>3.8000000000000002E-4</v>
      </c>
      <c r="J1667" s="11">
        <f t="shared" si="60"/>
        <v>3.8000000000000002E-4</v>
      </c>
      <c r="K1667" s="6" t="s">
        <v>1416</v>
      </c>
      <c r="L1667" s="20" t="s">
        <v>1422</v>
      </c>
      <c r="M1667" s="7">
        <f>IF(ISBLANK($B1667),_xlfn.XLOOKUP($A1667,'2. TEUs &amp; Activities - EF'!$A$9:$A$190,'2. TEUs &amp; Activities - EF'!$J$9:$J$190),_xlfn.XLOOKUP($B1667,'2. TEUs &amp; Activities - EF'!$B$9:$B$190,'2. TEUs &amp; Activities - EF'!$J$9:$J$190))*'3. Pollutant Emissions - EF'!$I1667*IF(OR(ISBLANK($E1667),$G1667="Yes"),1,$E1667)*IF($H1667="Yes",1,(1-$F1667))</f>
        <v>4.689691764705883E-3</v>
      </c>
      <c r="N1667" s="5">
        <f>IF(ISBLANK($B1667),_xlfn.XLOOKUP($A1667,'2. TEUs &amp; Activities - EF'!$A$9:$A$190,'2. TEUs &amp; Activities - EF'!$M$9:$M$190),_xlfn.XLOOKUP($B1667,'2. TEUs &amp; Activities - EF'!$B$9:$B$190,'2. TEUs &amp; Activities - EF'!$M$9:$M$190))*'3. Pollutant Emissions - EF'!$J1667*IF(OR(ISBLANK($E1667),$G1667="Yes"),1,$E1667)*IF($H1667="Yes",1,(1-$F1667))</f>
        <v>1.2848470588235295E-5</v>
      </c>
      <c r="O1667" s="130"/>
    </row>
    <row r="1668" spans="1:15" ht="15" x14ac:dyDescent="0.25">
      <c r="A1668" s="5" t="s">
        <v>1637</v>
      </c>
      <c r="B1668" s="7"/>
      <c r="C1668" s="13" t="s">
        <v>64</v>
      </c>
      <c r="D1668" s="19" t="str">
        <f>IFERROR(IF(C1668="No CAS","",INDEX('DEQ Pollutant List'!$B$7:$B$611,MATCH('3. Pollutant Emissions - EF'!C1668,'DEQ Pollutant List'!$A$7:$A$611,0))),"")</f>
        <v>Mercury and compounds</v>
      </c>
      <c r="E1668" s="23">
        <v>0</v>
      </c>
      <c r="F1668" s="21">
        <v>0</v>
      </c>
      <c r="G1668" s="23" t="s">
        <v>1415</v>
      </c>
      <c r="H1668" s="21" t="s">
        <v>1415</v>
      </c>
      <c r="I1668" s="34">
        <v>2.5999999999999998E-4</v>
      </c>
      <c r="J1668" s="11">
        <f t="shared" si="60"/>
        <v>2.5999999999999998E-4</v>
      </c>
      <c r="K1668" s="6" t="s">
        <v>1416</v>
      </c>
      <c r="L1668" s="20" t="s">
        <v>1422</v>
      </c>
      <c r="M1668" s="7">
        <f>IF(ISBLANK($B1668),_xlfn.XLOOKUP($A1668,'2. TEUs &amp; Activities - EF'!$A$9:$A$190,'2. TEUs &amp; Activities - EF'!$J$9:$J$190),_xlfn.XLOOKUP($B1668,'2. TEUs &amp; Activities - EF'!$B$9:$B$190,'2. TEUs &amp; Activities - EF'!$J$9:$J$190))*'3. Pollutant Emissions - EF'!$I1668*IF(OR(ISBLANK($E1668),$G1668="Yes"),1,$E1668)*IF($H1668="Yes",1,(1-$F1668))</f>
        <v>3.2087364705882353E-3</v>
      </c>
      <c r="N1668" s="5">
        <f>IF(ISBLANK($B1668),_xlfn.XLOOKUP($A1668,'2. TEUs &amp; Activities - EF'!$A$9:$A$190,'2. TEUs &amp; Activities - EF'!$M$9:$M$190),_xlfn.XLOOKUP($B1668,'2. TEUs &amp; Activities - EF'!$B$9:$B$190,'2. TEUs &amp; Activities - EF'!$M$9:$M$190))*'3. Pollutant Emissions - EF'!$J1668*IF(OR(ISBLANK($E1668),$G1668="Yes"),1,$E1668)*IF($H1668="Yes",1,(1-$F1668))</f>
        <v>8.7910588235294106E-6</v>
      </c>
      <c r="O1668" s="130"/>
    </row>
    <row r="1669" spans="1:15" ht="15" x14ac:dyDescent="0.25">
      <c r="A1669" s="5" t="s">
        <v>1637</v>
      </c>
      <c r="B1669" s="7"/>
      <c r="C1669" s="13" t="s">
        <v>65</v>
      </c>
      <c r="D1669" s="19" t="str">
        <f>IFERROR(IF(C1669="No CAS","",INDEX('DEQ Pollutant List'!$B$7:$B$611,MATCH('3. Pollutant Emissions - EF'!C1669,'DEQ Pollutant List'!$A$7:$A$611,0))),"")</f>
        <v>Molybdenum trioxide</v>
      </c>
      <c r="E1669" s="23">
        <v>0</v>
      </c>
      <c r="F1669" s="21">
        <v>0</v>
      </c>
      <c r="G1669" s="23" t="s">
        <v>1415</v>
      </c>
      <c r="H1669" s="21" t="s">
        <v>1415</v>
      </c>
      <c r="I1669" s="34">
        <v>1.65E-3</v>
      </c>
      <c r="J1669" s="11">
        <f t="shared" si="60"/>
        <v>1.65E-3</v>
      </c>
      <c r="K1669" s="6" t="s">
        <v>1416</v>
      </c>
      <c r="L1669" s="20" t="s">
        <v>1422</v>
      </c>
      <c r="M1669" s="7">
        <f>IF(ISBLANK($B1669),_xlfn.XLOOKUP($A1669,'2. TEUs &amp; Activities - EF'!$A$9:$A$190,'2. TEUs &amp; Activities - EF'!$J$9:$J$190),_xlfn.XLOOKUP($B1669,'2. TEUs &amp; Activities - EF'!$B$9:$B$190,'2. TEUs &amp; Activities - EF'!$J$9:$J$190))*'3. Pollutant Emissions - EF'!$I1669*IF(OR(ISBLANK($E1669),$G1669="Yes"),1,$E1669)*IF($H1669="Yes",1,(1-$F1669))</f>
        <v>2.0363135294117648E-2</v>
      </c>
      <c r="N1669" s="5">
        <f>IF(ISBLANK($B1669),_xlfn.XLOOKUP($A1669,'2. TEUs &amp; Activities - EF'!$A$9:$A$190,'2. TEUs &amp; Activities - EF'!$M$9:$M$190),_xlfn.XLOOKUP($B1669,'2. TEUs &amp; Activities - EF'!$B$9:$B$190,'2. TEUs &amp; Activities - EF'!$M$9:$M$190))*'3. Pollutant Emissions - EF'!$J1669*IF(OR(ISBLANK($E1669),$G1669="Yes"),1,$E1669)*IF($H1669="Yes",1,(1-$F1669))</f>
        <v>5.5789411764705887E-5</v>
      </c>
      <c r="O1669" s="130"/>
    </row>
    <row r="1670" spans="1:15" ht="15" x14ac:dyDescent="0.25">
      <c r="A1670" s="5" t="s">
        <v>1637</v>
      </c>
      <c r="B1670" s="7"/>
      <c r="C1670" s="13" t="s">
        <v>49</v>
      </c>
      <c r="D1670" s="19" t="str">
        <f>IFERROR(IF(C1670="No CAS","",INDEX('DEQ Pollutant List'!$B$7:$B$611,MATCH('3. Pollutant Emissions - EF'!C1670,'DEQ Pollutant List'!$A$7:$A$611,0))),"")</f>
        <v>Naphthalene</v>
      </c>
      <c r="E1670" s="23">
        <v>0</v>
      </c>
      <c r="F1670" s="21">
        <v>0</v>
      </c>
      <c r="G1670" s="23" t="s">
        <v>1415</v>
      </c>
      <c r="H1670" s="21" t="s">
        <v>1415</v>
      </c>
      <c r="I1670" s="34">
        <v>2.9999999999999997E-4</v>
      </c>
      <c r="J1670" s="11">
        <f t="shared" si="60"/>
        <v>2.9999999999999997E-4</v>
      </c>
      <c r="K1670" s="6" t="s">
        <v>1416</v>
      </c>
      <c r="L1670" s="20" t="s">
        <v>1422</v>
      </c>
      <c r="M1670" s="7">
        <f>IF(ISBLANK($B1670),_xlfn.XLOOKUP($A1670,'2. TEUs &amp; Activities - EF'!$A$9:$A$190,'2. TEUs &amp; Activities - EF'!$J$9:$J$190),_xlfn.XLOOKUP($B1670,'2. TEUs &amp; Activities - EF'!$B$9:$B$190,'2. TEUs &amp; Activities - EF'!$J$9:$J$190))*'3. Pollutant Emissions - EF'!$I1670*IF(OR(ISBLANK($E1670),$G1670="Yes"),1,$E1670)*IF($H1670="Yes",1,(1-$F1670))</f>
        <v>3.7023882352941176E-3</v>
      </c>
      <c r="N1670" s="5">
        <f>IF(ISBLANK($B1670),_xlfn.XLOOKUP($A1670,'2. TEUs &amp; Activities - EF'!$A$9:$A$190,'2. TEUs &amp; Activities - EF'!$M$9:$M$190),_xlfn.XLOOKUP($B1670,'2. TEUs &amp; Activities - EF'!$B$9:$B$190,'2. TEUs &amp; Activities - EF'!$M$9:$M$190))*'3. Pollutant Emissions - EF'!$J1670*IF(OR(ISBLANK($E1670),$G1670="Yes"),1,$E1670)*IF($H1670="Yes",1,(1-$F1670))</f>
        <v>1.0143529411764706E-5</v>
      </c>
      <c r="O1670" s="130"/>
    </row>
    <row r="1671" spans="1:15" ht="15" x14ac:dyDescent="0.25">
      <c r="A1671" s="5" t="s">
        <v>1637</v>
      </c>
      <c r="B1671" s="7"/>
      <c r="C1671" s="13" t="s">
        <v>66</v>
      </c>
      <c r="D1671" s="19" t="str">
        <f>IFERROR(IF(C1671="No CAS","",INDEX('DEQ Pollutant List'!$B$7:$B$611,MATCH('3. Pollutant Emissions - EF'!C1671,'DEQ Pollutant List'!$A$7:$A$611,0))),"")</f>
        <v>Nickel and compounds</v>
      </c>
      <c r="E1671" s="23">
        <v>0</v>
      </c>
      <c r="F1671" s="21">
        <v>0</v>
      </c>
      <c r="G1671" s="23" t="s">
        <v>1415</v>
      </c>
      <c r="H1671" s="21" t="s">
        <v>1415</v>
      </c>
      <c r="I1671" s="34">
        <v>2.0999999999999999E-3</v>
      </c>
      <c r="J1671" s="11">
        <f t="shared" si="60"/>
        <v>2.0999999999999999E-3</v>
      </c>
      <c r="K1671" s="6" t="s">
        <v>1416</v>
      </c>
      <c r="L1671" s="20" t="s">
        <v>1422</v>
      </c>
      <c r="M1671" s="7">
        <f>IF(ISBLANK($B1671),_xlfn.XLOOKUP($A1671,'2. TEUs &amp; Activities - EF'!$A$9:$A$190,'2. TEUs &amp; Activities - EF'!$J$9:$J$190),_xlfn.XLOOKUP($B1671,'2. TEUs &amp; Activities - EF'!$B$9:$B$190,'2. TEUs &amp; Activities - EF'!$J$9:$J$190))*'3. Pollutant Emissions - EF'!$I1671*IF(OR(ISBLANK($E1671),$G1671="Yes"),1,$E1671)*IF($H1671="Yes",1,(1-$F1671))</f>
        <v>2.5916717647058822E-2</v>
      </c>
      <c r="N1671" s="5">
        <f>IF(ISBLANK($B1671),_xlfn.XLOOKUP($A1671,'2. TEUs &amp; Activities - EF'!$A$9:$A$190,'2. TEUs &amp; Activities - EF'!$M$9:$M$190),_xlfn.XLOOKUP($B1671,'2. TEUs &amp; Activities - EF'!$B$9:$B$190,'2. TEUs &amp; Activities - EF'!$M$9:$M$190))*'3. Pollutant Emissions - EF'!$J1671*IF(OR(ISBLANK($E1671),$G1671="Yes"),1,$E1671)*IF($H1671="Yes",1,(1-$F1671))</f>
        <v>7.1004705882352935E-5</v>
      </c>
      <c r="O1671" s="130"/>
    </row>
    <row r="1672" spans="1:15" ht="15" x14ac:dyDescent="0.25">
      <c r="A1672" s="5" t="s">
        <v>1637</v>
      </c>
      <c r="B1672" s="7"/>
      <c r="C1672" s="13">
        <v>401</v>
      </c>
      <c r="D1672" s="19" t="str">
        <f>IFERROR(IF(C1672="No CAS","",INDEX('DEQ Pollutant List'!$B$7:$B$611,MATCH('3. Pollutant Emissions - EF'!C1672,'DEQ Pollutant List'!$A$7:$A$611,0))),"")</f>
        <v>Polycyclic aromatic hydrocarbons (PAHs)</v>
      </c>
      <c r="E1672" s="23">
        <v>0</v>
      </c>
      <c r="F1672" s="21">
        <v>0</v>
      </c>
      <c r="G1672" s="23" t="s">
        <v>1415</v>
      </c>
      <c r="H1672" s="21" t="s">
        <v>1415</v>
      </c>
      <c r="I1672" s="34">
        <v>1E-4</v>
      </c>
      <c r="J1672" s="11">
        <f t="shared" si="60"/>
        <v>1E-4</v>
      </c>
      <c r="K1672" s="6" t="s">
        <v>1416</v>
      </c>
      <c r="L1672" s="20" t="s">
        <v>1422</v>
      </c>
      <c r="M1672" s="7">
        <f>IF(ISBLANK($B1672),_xlfn.XLOOKUP($A1672,'2. TEUs &amp; Activities - EF'!$A$9:$A$190,'2. TEUs &amp; Activities - EF'!$J$9:$J$190),_xlfn.XLOOKUP($B1672,'2. TEUs &amp; Activities - EF'!$B$9:$B$190,'2. TEUs &amp; Activities - EF'!$J$9:$J$190))*'3. Pollutant Emissions - EF'!$I1672*IF(OR(ISBLANK($E1672),$G1672="Yes"),1,$E1672)*IF($H1672="Yes",1,(1-$F1672))</f>
        <v>1.2341294117647059E-3</v>
      </c>
      <c r="N1672" s="5">
        <f>IF(ISBLANK($B1672),_xlfn.XLOOKUP($A1672,'2. TEUs &amp; Activities - EF'!$A$9:$A$190,'2. TEUs &amp; Activities - EF'!$M$9:$M$190),_xlfn.XLOOKUP($B1672,'2. TEUs &amp; Activities - EF'!$B$9:$B$190,'2. TEUs &amp; Activities - EF'!$M$9:$M$190))*'3. Pollutant Emissions - EF'!$J1672*IF(OR(ISBLANK($E1672),$G1672="Yes"),1,$E1672)*IF($H1672="Yes",1,(1-$F1672))</f>
        <v>3.3811764705882355E-6</v>
      </c>
      <c r="O1672" s="130"/>
    </row>
    <row r="1673" spans="1:15" ht="15" x14ac:dyDescent="0.25">
      <c r="A1673" s="5" t="s">
        <v>1637</v>
      </c>
      <c r="B1673" s="7"/>
      <c r="C1673" s="13" t="s">
        <v>67</v>
      </c>
      <c r="D1673" s="19" t="str">
        <f>IFERROR(IF(C1673="No CAS","",INDEX('DEQ Pollutant List'!$B$7:$B$611,MATCH('3. Pollutant Emissions - EF'!C1673,'DEQ Pollutant List'!$A$7:$A$611,0))),"")</f>
        <v>Selenium and compounds</v>
      </c>
      <c r="E1673" s="23">
        <v>0</v>
      </c>
      <c r="F1673" s="21">
        <v>0</v>
      </c>
      <c r="G1673" s="23" t="s">
        <v>1415</v>
      </c>
      <c r="H1673" s="21" t="s">
        <v>1415</v>
      </c>
      <c r="I1673" s="34">
        <v>2.4000000000000001E-5</v>
      </c>
      <c r="J1673" s="11">
        <f t="shared" si="60"/>
        <v>2.4000000000000001E-5</v>
      </c>
      <c r="K1673" s="6" t="s">
        <v>1416</v>
      </c>
      <c r="L1673" s="20" t="s">
        <v>1422</v>
      </c>
      <c r="M1673" s="7">
        <f>IF(ISBLANK($B1673),_xlfn.XLOOKUP($A1673,'2. TEUs &amp; Activities - EF'!$A$9:$A$190,'2. TEUs &amp; Activities - EF'!$J$9:$J$190),_xlfn.XLOOKUP($B1673,'2. TEUs &amp; Activities - EF'!$B$9:$B$190,'2. TEUs &amp; Activities - EF'!$J$9:$J$190))*'3. Pollutant Emissions - EF'!$I1673*IF(OR(ISBLANK($E1673),$G1673="Yes"),1,$E1673)*IF($H1673="Yes",1,(1-$F1673))</f>
        <v>2.9619105882352945E-4</v>
      </c>
      <c r="N1673" s="5">
        <f>IF(ISBLANK($B1673),_xlfn.XLOOKUP($A1673,'2. TEUs &amp; Activities - EF'!$A$9:$A$190,'2. TEUs &amp; Activities - EF'!$M$9:$M$190),_xlfn.XLOOKUP($B1673,'2. TEUs &amp; Activities - EF'!$B$9:$B$190,'2. TEUs &amp; Activities - EF'!$M$9:$M$190))*'3. Pollutant Emissions - EF'!$J1673*IF(OR(ISBLANK($E1673),$G1673="Yes"),1,$E1673)*IF($H1673="Yes",1,(1-$F1673))</f>
        <v>8.1148235294117655E-7</v>
      </c>
      <c r="O1673" s="130"/>
    </row>
    <row r="1674" spans="1:15" ht="15" x14ac:dyDescent="0.25">
      <c r="A1674" s="5" t="s">
        <v>1637</v>
      </c>
      <c r="B1674" s="7"/>
      <c r="C1674" s="13" t="s">
        <v>68</v>
      </c>
      <c r="D1674" s="19" t="str">
        <f>IFERROR(IF(C1674="No CAS","",INDEX('DEQ Pollutant List'!$B$7:$B$611,MATCH('3. Pollutant Emissions - EF'!C1674,'DEQ Pollutant List'!$A$7:$A$611,0))),"")</f>
        <v>Toluene</v>
      </c>
      <c r="E1674" s="23">
        <v>0</v>
      </c>
      <c r="F1674" s="21">
        <v>0</v>
      </c>
      <c r="G1674" s="23" t="s">
        <v>1415</v>
      </c>
      <c r="H1674" s="21" t="s">
        <v>1415</v>
      </c>
      <c r="I1674" s="34">
        <v>3.6600000000000001E-2</v>
      </c>
      <c r="J1674" s="11">
        <f t="shared" si="60"/>
        <v>3.6600000000000001E-2</v>
      </c>
      <c r="K1674" s="6" t="s">
        <v>1416</v>
      </c>
      <c r="L1674" s="20" t="s">
        <v>1422</v>
      </c>
      <c r="M1674" s="7">
        <f>IF(ISBLANK($B1674),_xlfn.XLOOKUP($A1674,'2. TEUs &amp; Activities - EF'!$A$9:$A$190,'2. TEUs &amp; Activities - EF'!$J$9:$J$190),_xlfn.XLOOKUP($B1674,'2. TEUs &amp; Activities - EF'!$B$9:$B$190,'2. TEUs &amp; Activities - EF'!$J$9:$J$190))*'3. Pollutant Emissions - EF'!$I1674*IF(OR(ISBLANK($E1674),$G1674="Yes"),1,$E1674)*IF($H1674="Yes",1,(1-$F1674))</f>
        <v>0.45169136470588239</v>
      </c>
      <c r="N1674" s="5">
        <f>IF(ISBLANK($B1674),_xlfn.XLOOKUP($A1674,'2. TEUs &amp; Activities - EF'!$A$9:$A$190,'2. TEUs &amp; Activities - EF'!$M$9:$M$190),_xlfn.XLOOKUP($B1674,'2. TEUs &amp; Activities - EF'!$B$9:$B$190,'2. TEUs &amp; Activities - EF'!$M$9:$M$190))*'3. Pollutant Emissions - EF'!$J1674*IF(OR(ISBLANK($E1674),$G1674="Yes"),1,$E1674)*IF($H1674="Yes",1,(1-$F1674))</f>
        <v>1.2375105882352941E-3</v>
      </c>
      <c r="O1674" s="130"/>
    </row>
    <row r="1675" spans="1:15" ht="15" x14ac:dyDescent="0.25">
      <c r="A1675" s="5" t="s">
        <v>1637</v>
      </c>
      <c r="B1675" s="7"/>
      <c r="C1675" s="13" t="s">
        <v>69</v>
      </c>
      <c r="D1675" s="19" t="str">
        <f>IFERROR(IF(C1675="No CAS","",INDEX('DEQ Pollutant List'!$B$7:$B$611,MATCH('3. Pollutant Emissions - EF'!C1675,'DEQ Pollutant List'!$A$7:$A$611,0))),"")</f>
        <v>Vanadium (fume or dust)</v>
      </c>
      <c r="E1675" s="23">
        <v>0</v>
      </c>
      <c r="F1675" s="21">
        <v>0</v>
      </c>
      <c r="G1675" s="23" t="s">
        <v>1415</v>
      </c>
      <c r="H1675" s="21" t="s">
        <v>1415</v>
      </c>
      <c r="I1675" s="34">
        <v>2.3E-3</v>
      </c>
      <c r="J1675" s="11">
        <f t="shared" si="60"/>
        <v>2.3E-3</v>
      </c>
      <c r="K1675" s="6" t="s">
        <v>1416</v>
      </c>
      <c r="L1675" s="20" t="s">
        <v>1422</v>
      </c>
      <c r="M1675" s="7">
        <f>IF(ISBLANK($B1675),_xlfn.XLOOKUP($A1675,'2. TEUs &amp; Activities - EF'!$A$9:$A$190,'2. TEUs &amp; Activities - EF'!$J$9:$J$190),_xlfn.XLOOKUP($B1675,'2. TEUs &amp; Activities - EF'!$B$9:$B$190,'2. TEUs &amp; Activities - EF'!$J$9:$J$190))*'3. Pollutant Emissions - EF'!$I1675*IF(OR(ISBLANK($E1675),$G1675="Yes"),1,$E1675)*IF($H1675="Yes",1,(1-$F1675))</f>
        <v>2.8384976470588238E-2</v>
      </c>
      <c r="N1675" s="5">
        <f>IF(ISBLANK($B1675),_xlfn.XLOOKUP($A1675,'2. TEUs &amp; Activities - EF'!$A$9:$A$190,'2. TEUs &amp; Activities - EF'!$M$9:$M$190),_xlfn.XLOOKUP($B1675,'2. TEUs &amp; Activities - EF'!$B$9:$B$190,'2. TEUs &amp; Activities - EF'!$M$9:$M$190))*'3. Pollutant Emissions - EF'!$J1675*IF(OR(ISBLANK($E1675),$G1675="Yes"),1,$E1675)*IF($H1675="Yes",1,(1-$F1675))</f>
        <v>7.7767058823529411E-5</v>
      </c>
      <c r="O1675" s="130"/>
    </row>
    <row r="1676" spans="1:15" ht="15" x14ac:dyDescent="0.25">
      <c r="A1676" s="5" t="s">
        <v>1637</v>
      </c>
      <c r="B1676" s="7"/>
      <c r="C1676" s="13" t="s">
        <v>70</v>
      </c>
      <c r="D1676" s="19" t="str">
        <f>IFERROR(IF(C1676="No CAS","",INDEX('DEQ Pollutant List'!$B$7:$B$611,MATCH('3. Pollutant Emissions - EF'!C1676,'DEQ Pollutant List'!$A$7:$A$611,0))),"")</f>
        <v>Xylene (mixture), including m-xylene, o-xylene, p-xylene</v>
      </c>
      <c r="E1676" s="23">
        <v>0</v>
      </c>
      <c r="F1676" s="21">
        <v>0</v>
      </c>
      <c r="G1676" s="23" t="s">
        <v>1415</v>
      </c>
      <c r="H1676" s="21" t="s">
        <v>1415</v>
      </c>
      <c r="I1676" s="34">
        <v>2.7199999999999998E-2</v>
      </c>
      <c r="J1676" s="11">
        <f t="shared" si="60"/>
        <v>2.7199999999999998E-2</v>
      </c>
      <c r="K1676" s="6" t="s">
        <v>1416</v>
      </c>
      <c r="L1676" s="20" t="s">
        <v>1422</v>
      </c>
      <c r="M1676" s="7">
        <f>IF(ISBLANK($B1676),_xlfn.XLOOKUP($A1676,'2. TEUs &amp; Activities - EF'!$A$9:$A$190,'2. TEUs &amp; Activities - EF'!$J$9:$J$190),_xlfn.XLOOKUP($B1676,'2. TEUs &amp; Activities - EF'!$B$9:$B$190,'2. TEUs &amp; Activities - EF'!$J$9:$J$190))*'3. Pollutant Emissions - EF'!$I1676*IF(OR(ISBLANK($E1676),$G1676="Yes"),1,$E1676)*IF($H1676="Yes",1,(1-$F1676))</f>
        <v>0.33568320000000001</v>
      </c>
      <c r="N1676" s="5">
        <f>IF(ISBLANK($B1676),_xlfn.XLOOKUP($A1676,'2. TEUs &amp; Activities - EF'!$A$9:$A$190,'2. TEUs &amp; Activities - EF'!$M$9:$M$190),_xlfn.XLOOKUP($B1676,'2. TEUs &amp; Activities - EF'!$B$9:$B$190,'2. TEUs &amp; Activities - EF'!$M$9:$M$190))*'3. Pollutant Emissions - EF'!$J1676*IF(OR(ISBLANK($E1676),$G1676="Yes"),1,$E1676)*IF($H1676="Yes",1,(1-$F1676))</f>
        <v>9.1967999999999998E-4</v>
      </c>
      <c r="O1676" s="130"/>
    </row>
    <row r="1677" spans="1:15" ht="15" x14ac:dyDescent="0.25">
      <c r="A1677" s="5" t="s">
        <v>1637</v>
      </c>
      <c r="B1677" s="7"/>
      <c r="C1677" s="13" t="s">
        <v>71</v>
      </c>
      <c r="D1677" s="19" t="str">
        <f>IFERROR(IF(C1677="No CAS","",INDEX('DEQ Pollutant List'!$B$7:$B$611,MATCH('3. Pollutant Emissions - EF'!C1677,'DEQ Pollutant List'!$A$7:$A$611,0))),"")</f>
        <v>Zinc and compounds</v>
      </c>
      <c r="E1677" s="23">
        <v>0</v>
      </c>
      <c r="F1677" s="21">
        <v>0</v>
      </c>
      <c r="G1677" s="23" t="s">
        <v>1415</v>
      </c>
      <c r="H1677" s="21" t="s">
        <v>1415</v>
      </c>
      <c r="I1677" s="34">
        <v>2.9000000000000001E-2</v>
      </c>
      <c r="J1677" s="11">
        <f t="shared" si="60"/>
        <v>2.9000000000000001E-2</v>
      </c>
      <c r="K1677" s="6" t="s">
        <v>1416</v>
      </c>
      <c r="L1677" s="20" t="s">
        <v>1422</v>
      </c>
      <c r="M1677" s="7">
        <f>IF(ISBLANK($B1677),_xlfn.XLOOKUP($A1677,'2. TEUs &amp; Activities - EF'!$A$9:$A$190,'2. TEUs &amp; Activities - EF'!$J$9:$J$190),_xlfn.XLOOKUP($B1677,'2. TEUs &amp; Activities - EF'!$B$9:$B$190,'2. TEUs &amp; Activities - EF'!$J$9:$J$190))*'3. Pollutant Emissions - EF'!$I1677*IF(OR(ISBLANK($E1677),$G1677="Yes"),1,$E1677)*IF($H1677="Yes",1,(1-$F1677))</f>
        <v>0.35789752941176473</v>
      </c>
      <c r="N1677" s="5">
        <f>IF(ISBLANK($B1677),_xlfn.XLOOKUP($A1677,'2. TEUs &amp; Activities - EF'!$A$9:$A$190,'2. TEUs &amp; Activities - EF'!$M$9:$M$190),_xlfn.XLOOKUP($B1677,'2. TEUs &amp; Activities - EF'!$B$9:$B$190,'2. TEUs &amp; Activities - EF'!$M$9:$M$190))*'3. Pollutant Emissions - EF'!$J1677*IF(OR(ISBLANK($E1677),$G1677="Yes"),1,$E1677)*IF($H1677="Yes",1,(1-$F1677))</f>
        <v>9.8054117647058828E-4</v>
      </c>
      <c r="O1677" s="130"/>
    </row>
    <row r="1678" spans="1:15" ht="15" x14ac:dyDescent="0.25">
      <c r="A1678" s="5"/>
      <c r="B1678" s="7"/>
      <c r="C1678" s="13"/>
      <c r="D1678" s="19" t="str">
        <f>IFERROR(IF(C1678="No CAS","",INDEX('DEQ Pollutant List'!$B$7:$B$611,MATCH('3. Pollutant Emissions - EF'!C1678,'DEQ Pollutant List'!$A$7:$A$611,0))),"")</f>
        <v/>
      </c>
      <c r="E1678" s="23"/>
      <c r="F1678" s="21"/>
      <c r="G1678" s="23"/>
      <c r="H1678" s="21"/>
      <c r="I1678" s="34"/>
      <c r="J1678" s="11"/>
      <c r="K1678" s="6"/>
      <c r="L1678" s="20"/>
      <c r="M1678" s="7">
        <f>IF(ISBLANK($B1678),_xlfn.XLOOKUP($A1678,'2. TEUs &amp; Activities - EF'!$A$9:$A$190,'2. TEUs &amp; Activities - EF'!$J$9:$J$190),_xlfn.XLOOKUP($B1678,'2. TEUs &amp; Activities - EF'!$B$9:$B$190,'2. TEUs &amp; Activities - EF'!$J$9:$J$190))*'3. Pollutant Emissions - EF'!$I1678*IF(OR(ISBLANK($E1678),$G1678="Yes"),1,$E1678)*IF($H1678="Yes",1,(1-$F1678))</f>
        <v>0</v>
      </c>
      <c r="N1678" s="5">
        <f>IF(ISBLANK($B1678),_xlfn.XLOOKUP($A1678,'2. TEUs &amp; Activities - EF'!$A$9:$A$190,'2. TEUs &amp; Activities - EF'!$M$9:$M$190),_xlfn.XLOOKUP($B1678,'2. TEUs &amp; Activities - EF'!$B$9:$B$190,'2. TEUs &amp; Activities - EF'!$M$9:$M$190))*'3. Pollutant Emissions - EF'!$J1678*IF(OR(ISBLANK($E1678),$G1678="Yes"),1,$E1678)*IF($H1678="Yes",1,(1-$F1678))</f>
        <v>0</v>
      </c>
      <c r="O1678" s="130"/>
    </row>
    <row r="1679" spans="1:15" ht="15" x14ac:dyDescent="0.25">
      <c r="A1679" s="5" t="s">
        <v>1636</v>
      </c>
      <c r="B1679" s="7"/>
      <c r="C1679" s="13" t="s">
        <v>48</v>
      </c>
      <c r="D1679" s="19" t="str">
        <f>IFERROR(IF(C1679="No CAS","",INDEX('DEQ Pollutant List'!$B$7:$B$611,MATCH('3. Pollutant Emissions - EF'!C1679,'DEQ Pollutant List'!$A$7:$A$611,0))),"")</f>
        <v>Benzo[a]pyrene</v>
      </c>
      <c r="E1679" s="23">
        <v>0</v>
      </c>
      <c r="F1679" s="21">
        <v>0</v>
      </c>
      <c r="G1679" s="23" t="s">
        <v>1415</v>
      </c>
      <c r="H1679" s="21" t="s">
        <v>1415</v>
      </c>
      <c r="I1679" s="34">
        <v>1.1999999999999999E-6</v>
      </c>
      <c r="J1679" s="11">
        <f t="shared" ref="J1679:J1705" si="61">I1679</f>
        <v>1.1999999999999999E-6</v>
      </c>
      <c r="K1679" s="6" t="s">
        <v>1416</v>
      </c>
      <c r="L1679" s="20" t="s">
        <v>1422</v>
      </c>
      <c r="M1679" s="7">
        <f>IF(ISBLANK($B1679),_xlfn.XLOOKUP($A1679,'2. TEUs &amp; Activities - EF'!$A$9:$A$190,'2. TEUs &amp; Activities - EF'!$J$9:$J$190),_xlfn.XLOOKUP($B1679,'2. TEUs &amp; Activities - EF'!$B$9:$B$190,'2. TEUs &amp; Activities - EF'!$J$9:$J$190))*'3. Pollutant Emissions - EF'!$I1679*IF(OR(ISBLANK($E1679),$G1679="Yes"),1,$E1679)*IF($H1679="Yes",1,(1-$F1679))</f>
        <v>2.0916818823529411E-4</v>
      </c>
      <c r="N1679" s="5">
        <f>IF(ISBLANK($B1679),_xlfn.XLOOKUP($A1679,'2. TEUs &amp; Activities - EF'!$A$9:$A$190,'2. TEUs &amp; Activities - EF'!$M$9:$M$190),_xlfn.XLOOKUP($B1679,'2. TEUs &amp; Activities - EF'!$B$9:$B$190,'2. TEUs &amp; Activities - EF'!$M$9:$M$190))*'3. Pollutant Emissions - EF'!$J1679*IF(OR(ISBLANK($E1679),$G1679="Yes"),1,$E1679)*IF($H1679="Yes",1,(1-$F1679))</f>
        <v>5.7306352941176465E-7</v>
      </c>
      <c r="O1679" s="130"/>
    </row>
    <row r="1680" spans="1:15" ht="15" x14ac:dyDescent="0.25">
      <c r="A1680" s="5" t="s">
        <v>1636</v>
      </c>
      <c r="B1680" s="7"/>
      <c r="C1680" s="13" t="s">
        <v>50</v>
      </c>
      <c r="D1680" s="19" t="str">
        <f>IFERROR(IF(C1680="No CAS","",INDEX('DEQ Pollutant List'!$B$7:$B$611,MATCH('3. Pollutant Emissions - EF'!C1680,'DEQ Pollutant List'!$A$7:$A$611,0))),"")</f>
        <v>Acetaldehyde</v>
      </c>
      <c r="E1680" s="23">
        <v>0</v>
      </c>
      <c r="F1680" s="21">
        <v>0</v>
      </c>
      <c r="G1680" s="23" t="s">
        <v>1415</v>
      </c>
      <c r="H1680" s="21" t="s">
        <v>1415</v>
      </c>
      <c r="I1680" s="34">
        <v>4.3E-3</v>
      </c>
      <c r="J1680" s="11">
        <f t="shared" si="61"/>
        <v>4.3E-3</v>
      </c>
      <c r="K1680" s="6" t="s">
        <v>1416</v>
      </c>
      <c r="L1680" s="20" t="s">
        <v>1422</v>
      </c>
      <c r="M1680" s="7">
        <f>IF(ISBLANK($B1680),_xlfn.XLOOKUP($A1680,'2. TEUs &amp; Activities - EF'!$A$9:$A$190,'2. TEUs &amp; Activities - EF'!$J$9:$J$190),_xlfn.XLOOKUP($B1680,'2. TEUs &amp; Activities - EF'!$B$9:$B$190,'2. TEUs &amp; Activities - EF'!$J$9:$J$190))*'3. Pollutant Emissions - EF'!$I1680*IF(OR(ISBLANK($E1680),$G1680="Yes"),1,$E1680)*IF($H1680="Yes",1,(1-$F1680))</f>
        <v>0.74951934117647057</v>
      </c>
      <c r="N1680" s="5">
        <f>IF(ISBLANK($B1680),_xlfn.XLOOKUP($A1680,'2. TEUs &amp; Activities - EF'!$A$9:$A$190,'2. TEUs &amp; Activities - EF'!$M$9:$M$190),_xlfn.XLOOKUP($B1680,'2. TEUs &amp; Activities - EF'!$B$9:$B$190,'2. TEUs &amp; Activities - EF'!$M$9:$M$190))*'3. Pollutant Emissions - EF'!$J1680*IF(OR(ISBLANK($E1680),$G1680="Yes"),1,$E1680)*IF($H1680="Yes",1,(1-$F1680))</f>
        <v>2.0534776470588234E-3</v>
      </c>
      <c r="O1680" s="130"/>
    </row>
    <row r="1681" spans="1:15" ht="15" x14ac:dyDescent="0.25">
      <c r="A1681" s="5" t="s">
        <v>1636</v>
      </c>
      <c r="B1681" s="7"/>
      <c r="C1681" s="13" t="s">
        <v>51</v>
      </c>
      <c r="D1681" s="19" t="str">
        <f>IFERROR(IF(C1681="No CAS","",INDEX('DEQ Pollutant List'!$B$7:$B$611,MATCH('3. Pollutant Emissions - EF'!C1681,'DEQ Pollutant List'!$A$7:$A$611,0))),"")</f>
        <v>Acrolein</v>
      </c>
      <c r="E1681" s="23">
        <v>0</v>
      </c>
      <c r="F1681" s="21">
        <v>0</v>
      </c>
      <c r="G1681" s="23" t="s">
        <v>1415</v>
      </c>
      <c r="H1681" s="21" t="s">
        <v>1415</v>
      </c>
      <c r="I1681" s="34">
        <v>2.7000000000000001E-3</v>
      </c>
      <c r="J1681" s="11">
        <f t="shared" si="61"/>
        <v>2.7000000000000001E-3</v>
      </c>
      <c r="K1681" s="6" t="s">
        <v>1416</v>
      </c>
      <c r="L1681" s="20" t="s">
        <v>1422</v>
      </c>
      <c r="M1681" s="7">
        <f>IF(ISBLANK($B1681),_xlfn.XLOOKUP($A1681,'2. TEUs &amp; Activities - EF'!$A$9:$A$190,'2. TEUs &amp; Activities - EF'!$J$9:$J$190),_xlfn.XLOOKUP($B1681,'2. TEUs &amp; Activities - EF'!$B$9:$B$190,'2. TEUs &amp; Activities - EF'!$J$9:$J$190))*'3. Pollutant Emissions - EF'!$I1681*IF(OR(ISBLANK($E1681),$G1681="Yes"),1,$E1681)*IF($H1681="Yes",1,(1-$F1681))</f>
        <v>0.47062842352941175</v>
      </c>
      <c r="N1681" s="5">
        <f>IF(ISBLANK($B1681),_xlfn.XLOOKUP($A1681,'2. TEUs &amp; Activities - EF'!$A$9:$A$190,'2. TEUs &amp; Activities - EF'!$M$9:$M$190),_xlfn.XLOOKUP($B1681,'2. TEUs &amp; Activities - EF'!$B$9:$B$190,'2. TEUs &amp; Activities - EF'!$M$9:$M$190))*'3. Pollutant Emissions - EF'!$J1681*IF(OR(ISBLANK($E1681),$G1681="Yes"),1,$E1681)*IF($H1681="Yes",1,(1-$F1681))</f>
        <v>1.2893929411764706E-3</v>
      </c>
      <c r="O1681" s="130"/>
    </row>
    <row r="1682" spans="1:15" ht="15" x14ac:dyDescent="0.25">
      <c r="A1682" s="5" t="s">
        <v>1636</v>
      </c>
      <c r="B1682" s="7"/>
      <c r="C1682" s="13" t="s">
        <v>52</v>
      </c>
      <c r="D1682" s="19" t="str">
        <f>IFERROR(IF(C1682="No CAS","",INDEX('DEQ Pollutant List'!$B$7:$B$611,MATCH('3. Pollutant Emissions - EF'!C1682,'DEQ Pollutant List'!$A$7:$A$611,0))),"")</f>
        <v>Ammonia</v>
      </c>
      <c r="E1682" s="23">
        <v>0</v>
      </c>
      <c r="F1682" s="21">
        <v>0</v>
      </c>
      <c r="G1682" s="23" t="s">
        <v>1415</v>
      </c>
      <c r="H1682" s="21" t="s">
        <v>1415</v>
      </c>
      <c r="I1682" s="34">
        <v>3.2</v>
      </c>
      <c r="J1682" s="11">
        <f t="shared" si="61"/>
        <v>3.2</v>
      </c>
      <c r="K1682" s="6" t="s">
        <v>1416</v>
      </c>
      <c r="L1682" s="20" t="s">
        <v>1586</v>
      </c>
      <c r="M1682" s="7">
        <f>IF(ISBLANK($B1682),_xlfn.XLOOKUP($A1682,'2. TEUs &amp; Activities - EF'!$A$9:$A$190,'2. TEUs &amp; Activities - EF'!$J$9:$J$190),_xlfn.XLOOKUP($B1682,'2. TEUs &amp; Activities - EF'!$B$9:$B$190,'2. TEUs &amp; Activities - EF'!$J$9:$J$190))*'3. Pollutant Emissions - EF'!$I1682*IF(OR(ISBLANK($E1682),$G1682="Yes"),1,$E1682)*IF($H1682="Yes",1,(1-$F1682))</f>
        <v>557.78183529411763</v>
      </c>
      <c r="N1682" s="5">
        <f>IF(ISBLANK($B1682),_xlfn.XLOOKUP($A1682,'2. TEUs &amp; Activities - EF'!$A$9:$A$190,'2. TEUs &amp; Activities - EF'!$M$9:$M$190),_xlfn.XLOOKUP($B1682,'2. TEUs &amp; Activities - EF'!$B$9:$B$190,'2. TEUs &amp; Activities - EF'!$M$9:$M$190))*'3. Pollutant Emissions - EF'!$J1682*IF(OR(ISBLANK($E1682),$G1682="Yes"),1,$E1682)*IF($H1682="Yes",1,(1-$F1682))</f>
        <v>1.528169411764706</v>
      </c>
      <c r="O1682" s="130"/>
    </row>
    <row r="1683" spans="1:15" ht="15" x14ac:dyDescent="0.25">
      <c r="A1683" s="5" t="s">
        <v>1636</v>
      </c>
      <c r="B1683" s="7"/>
      <c r="C1683" s="13" t="s">
        <v>53</v>
      </c>
      <c r="D1683" s="19" t="str">
        <f>IFERROR(IF(C1683="No CAS","",INDEX('DEQ Pollutant List'!$B$7:$B$611,MATCH('3. Pollutant Emissions - EF'!C1683,'DEQ Pollutant List'!$A$7:$A$611,0))),"")</f>
        <v>Arsenic and compounds</v>
      </c>
      <c r="E1683" s="23">
        <v>0</v>
      </c>
      <c r="F1683" s="21">
        <v>0</v>
      </c>
      <c r="G1683" s="23" t="s">
        <v>1415</v>
      </c>
      <c r="H1683" s="21" t="s">
        <v>1415</v>
      </c>
      <c r="I1683" s="34">
        <v>2.0000000000000001E-4</v>
      </c>
      <c r="J1683" s="11">
        <f t="shared" si="61"/>
        <v>2.0000000000000001E-4</v>
      </c>
      <c r="K1683" s="6" t="s">
        <v>1416</v>
      </c>
      <c r="L1683" s="20" t="s">
        <v>1422</v>
      </c>
      <c r="M1683" s="7">
        <f>IF(ISBLANK($B1683),_xlfn.XLOOKUP($A1683,'2. TEUs &amp; Activities - EF'!$A$9:$A$190,'2. TEUs &amp; Activities - EF'!$J$9:$J$190),_xlfn.XLOOKUP($B1683,'2. TEUs &amp; Activities - EF'!$B$9:$B$190,'2. TEUs &amp; Activities - EF'!$J$9:$J$190))*'3. Pollutant Emissions - EF'!$I1683*IF(OR(ISBLANK($E1683),$G1683="Yes"),1,$E1683)*IF($H1683="Yes",1,(1-$F1683))</f>
        <v>3.4861364705882351E-2</v>
      </c>
      <c r="N1683" s="5">
        <f>IF(ISBLANK($B1683),_xlfn.XLOOKUP($A1683,'2. TEUs &amp; Activities - EF'!$A$9:$A$190,'2. TEUs &amp; Activities - EF'!$M$9:$M$190),_xlfn.XLOOKUP($B1683,'2. TEUs &amp; Activities - EF'!$B$9:$B$190,'2. TEUs &amp; Activities - EF'!$M$9:$M$190))*'3. Pollutant Emissions - EF'!$J1683*IF(OR(ISBLANK($E1683),$G1683="Yes"),1,$E1683)*IF($H1683="Yes",1,(1-$F1683))</f>
        <v>9.5510588235294118E-5</v>
      </c>
      <c r="O1683" s="130"/>
    </row>
    <row r="1684" spans="1:15" ht="15" x14ac:dyDescent="0.25">
      <c r="A1684" s="5" t="s">
        <v>1636</v>
      </c>
      <c r="B1684" s="7"/>
      <c r="C1684" s="13" t="s">
        <v>54</v>
      </c>
      <c r="D1684" s="19" t="str">
        <f>IFERROR(IF(C1684="No CAS","",INDEX('DEQ Pollutant List'!$B$7:$B$611,MATCH('3. Pollutant Emissions - EF'!C1684,'DEQ Pollutant List'!$A$7:$A$611,0))),"")</f>
        <v>Barium and compounds</v>
      </c>
      <c r="E1684" s="23">
        <v>0</v>
      </c>
      <c r="F1684" s="21">
        <v>0</v>
      </c>
      <c r="G1684" s="23" t="s">
        <v>1415</v>
      </c>
      <c r="H1684" s="21" t="s">
        <v>1415</v>
      </c>
      <c r="I1684" s="34">
        <v>4.4000000000000003E-3</v>
      </c>
      <c r="J1684" s="11">
        <f t="shared" si="61"/>
        <v>4.4000000000000003E-3</v>
      </c>
      <c r="K1684" s="6" t="s">
        <v>1416</v>
      </c>
      <c r="L1684" s="20" t="s">
        <v>1422</v>
      </c>
      <c r="M1684" s="7">
        <f>IF(ISBLANK($B1684),_xlfn.XLOOKUP($A1684,'2. TEUs &amp; Activities - EF'!$A$9:$A$190,'2. TEUs &amp; Activities - EF'!$J$9:$J$190),_xlfn.XLOOKUP($B1684,'2. TEUs &amp; Activities - EF'!$B$9:$B$190,'2. TEUs &amp; Activities - EF'!$J$9:$J$190))*'3. Pollutant Emissions - EF'!$I1684*IF(OR(ISBLANK($E1684),$G1684="Yes"),1,$E1684)*IF($H1684="Yes",1,(1-$F1684))</f>
        <v>0.76695002352941177</v>
      </c>
      <c r="N1684" s="5">
        <f>IF(ISBLANK($B1684),_xlfn.XLOOKUP($A1684,'2. TEUs &amp; Activities - EF'!$A$9:$A$190,'2. TEUs &amp; Activities - EF'!$M$9:$M$190),_xlfn.XLOOKUP($B1684,'2. TEUs &amp; Activities - EF'!$B$9:$B$190,'2. TEUs &amp; Activities - EF'!$M$9:$M$190))*'3. Pollutant Emissions - EF'!$J1684*IF(OR(ISBLANK($E1684),$G1684="Yes"),1,$E1684)*IF($H1684="Yes",1,(1-$F1684))</f>
        <v>2.1012329411764707E-3</v>
      </c>
      <c r="O1684" s="130"/>
    </row>
    <row r="1685" spans="1:15" ht="15" x14ac:dyDescent="0.25">
      <c r="A1685" s="5" t="s">
        <v>1636</v>
      </c>
      <c r="B1685" s="7"/>
      <c r="C1685" s="13" t="s">
        <v>46</v>
      </c>
      <c r="D1685" s="19" t="str">
        <f>IFERROR(IF(C1685="No CAS","",INDEX('DEQ Pollutant List'!$B$7:$B$611,MATCH('3. Pollutant Emissions - EF'!C1685,'DEQ Pollutant List'!$A$7:$A$611,0))),"")</f>
        <v>Benzene</v>
      </c>
      <c r="E1685" s="23">
        <v>0</v>
      </c>
      <c r="F1685" s="21">
        <v>0</v>
      </c>
      <c r="G1685" s="23" t="s">
        <v>1415</v>
      </c>
      <c r="H1685" s="21" t="s">
        <v>1415</v>
      </c>
      <c r="I1685" s="34">
        <v>8.0000000000000002E-3</v>
      </c>
      <c r="J1685" s="11">
        <f t="shared" si="61"/>
        <v>8.0000000000000002E-3</v>
      </c>
      <c r="K1685" s="6" t="s">
        <v>1416</v>
      </c>
      <c r="L1685" s="20" t="s">
        <v>1422</v>
      </c>
      <c r="M1685" s="7">
        <f>IF(ISBLANK($B1685),_xlfn.XLOOKUP($A1685,'2. TEUs &amp; Activities - EF'!$A$9:$A$190,'2. TEUs &amp; Activities - EF'!$J$9:$J$190),_xlfn.XLOOKUP($B1685,'2. TEUs &amp; Activities - EF'!$B$9:$B$190,'2. TEUs &amp; Activities - EF'!$J$9:$J$190))*'3. Pollutant Emissions - EF'!$I1685*IF(OR(ISBLANK($E1685),$G1685="Yes"),1,$E1685)*IF($H1685="Yes",1,(1-$F1685))</f>
        <v>1.3944545882352941</v>
      </c>
      <c r="N1685" s="5">
        <f>IF(ISBLANK($B1685),_xlfn.XLOOKUP($A1685,'2. TEUs &amp; Activities - EF'!$A$9:$A$190,'2. TEUs &amp; Activities - EF'!$M$9:$M$190),_xlfn.XLOOKUP($B1685,'2. TEUs &amp; Activities - EF'!$B$9:$B$190,'2. TEUs &amp; Activities - EF'!$M$9:$M$190))*'3. Pollutant Emissions - EF'!$J1685*IF(OR(ISBLANK($E1685),$G1685="Yes"),1,$E1685)*IF($H1685="Yes",1,(1-$F1685))</f>
        <v>3.8204235294117647E-3</v>
      </c>
      <c r="O1685" s="130"/>
    </row>
    <row r="1686" spans="1:15" ht="15" x14ac:dyDescent="0.25">
      <c r="A1686" s="5" t="s">
        <v>1636</v>
      </c>
      <c r="B1686" s="7"/>
      <c r="C1686" s="13" t="s">
        <v>55</v>
      </c>
      <c r="D1686" s="19" t="str">
        <f>IFERROR(IF(C1686="No CAS","",INDEX('DEQ Pollutant List'!$B$7:$B$611,MATCH('3. Pollutant Emissions - EF'!C1686,'DEQ Pollutant List'!$A$7:$A$611,0))),"")</f>
        <v>Beryllium and compounds</v>
      </c>
      <c r="E1686" s="23">
        <v>0</v>
      </c>
      <c r="F1686" s="21">
        <v>0</v>
      </c>
      <c r="G1686" s="23" t="s">
        <v>1415</v>
      </c>
      <c r="H1686" s="21" t="s">
        <v>1415</v>
      </c>
      <c r="I1686" s="34">
        <v>1.2E-5</v>
      </c>
      <c r="J1686" s="11">
        <f t="shared" si="61"/>
        <v>1.2E-5</v>
      </c>
      <c r="K1686" s="6" t="s">
        <v>1416</v>
      </c>
      <c r="L1686" s="20" t="s">
        <v>1422</v>
      </c>
      <c r="M1686" s="7">
        <f>IF(ISBLANK($B1686),_xlfn.XLOOKUP($A1686,'2. TEUs &amp; Activities - EF'!$A$9:$A$190,'2. TEUs &amp; Activities - EF'!$J$9:$J$190),_xlfn.XLOOKUP($B1686,'2. TEUs &amp; Activities - EF'!$B$9:$B$190,'2. TEUs &amp; Activities - EF'!$J$9:$J$190))*'3. Pollutant Emissions - EF'!$I1686*IF(OR(ISBLANK($E1686),$G1686="Yes"),1,$E1686)*IF($H1686="Yes",1,(1-$F1686))</f>
        <v>2.0916818823529413E-3</v>
      </c>
      <c r="N1686" s="5">
        <f>IF(ISBLANK($B1686),_xlfn.XLOOKUP($A1686,'2. TEUs &amp; Activities - EF'!$A$9:$A$190,'2. TEUs &amp; Activities - EF'!$M$9:$M$190),_xlfn.XLOOKUP($B1686,'2. TEUs &amp; Activities - EF'!$B$9:$B$190,'2. TEUs &amp; Activities - EF'!$M$9:$M$190))*'3. Pollutant Emissions - EF'!$J1686*IF(OR(ISBLANK($E1686),$G1686="Yes"),1,$E1686)*IF($H1686="Yes",1,(1-$F1686))</f>
        <v>5.7306352941176471E-6</v>
      </c>
      <c r="O1686" s="130"/>
    </row>
    <row r="1687" spans="1:15" ht="15" x14ac:dyDescent="0.25">
      <c r="A1687" s="5" t="s">
        <v>1636</v>
      </c>
      <c r="B1687" s="7"/>
      <c r="C1687" s="13" t="s">
        <v>56</v>
      </c>
      <c r="D1687" s="19" t="str">
        <f>IFERROR(IF(C1687="No CAS","",INDEX('DEQ Pollutant List'!$B$7:$B$611,MATCH('3. Pollutant Emissions - EF'!C1687,'DEQ Pollutant List'!$A$7:$A$611,0))),"")</f>
        <v>Cadmium and compounds</v>
      </c>
      <c r="E1687" s="23">
        <v>0</v>
      </c>
      <c r="F1687" s="21">
        <v>0</v>
      </c>
      <c r="G1687" s="23" t="s">
        <v>1415</v>
      </c>
      <c r="H1687" s="21" t="s">
        <v>1415</v>
      </c>
      <c r="I1687" s="34">
        <v>1.1000000000000001E-3</v>
      </c>
      <c r="J1687" s="11">
        <f t="shared" si="61"/>
        <v>1.1000000000000001E-3</v>
      </c>
      <c r="K1687" s="6" t="s">
        <v>1416</v>
      </c>
      <c r="L1687" s="20" t="s">
        <v>1422</v>
      </c>
      <c r="M1687" s="7">
        <f>IF(ISBLANK($B1687),_xlfn.XLOOKUP($A1687,'2. TEUs &amp; Activities - EF'!$A$9:$A$190,'2. TEUs &amp; Activities - EF'!$J$9:$J$190),_xlfn.XLOOKUP($B1687,'2. TEUs &amp; Activities - EF'!$B$9:$B$190,'2. TEUs &amp; Activities - EF'!$J$9:$J$190))*'3. Pollutant Emissions - EF'!$I1687*IF(OR(ISBLANK($E1687),$G1687="Yes"),1,$E1687)*IF($H1687="Yes",1,(1-$F1687))</f>
        <v>0.19173750588235294</v>
      </c>
      <c r="N1687" s="5">
        <f>IF(ISBLANK($B1687),_xlfn.XLOOKUP($A1687,'2. TEUs &amp; Activities - EF'!$A$9:$A$190,'2. TEUs &amp; Activities - EF'!$M$9:$M$190),_xlfn.XLOOKUP($B1687,'2. TEUs &amp; Activities - EF'!$B$9:$B$190,'2. TEUs &amp; Activities - EF'!$M$9:$M$190))*'3. Pollutant Emissions - EF'!$J1687*IF(OR(ISBLANK($E1687),$G1687="Yes"),1,$E1687)*IF($H1687="Yes",1,(1-$F1687))</f>
        <v>5.2530823529411768E-4</v>
      </c>
      <c r="O1687" s="130"/>
    </row>
    <row r="1688" spans="1:15" ht="15" x14ac:dyDescent="0.25">
      <c r="A1688" s="5" t="s">
        <v>1636</v>
      </c>
      <c r="B1688" s="7"/>
      <c r="C1688" s="13" t="s">
        <v>57</v>
      </c>
      <c r="D1688" s="19" t="str">
        <f>IFERROR(IF(C1688="No CAS","",INDEX('DEQ Pollutant List'!$B$7:$B$611,MATCH('3. Pollutant Emissions - EF'!C1688,'DEQ Pollutant List'!$A$7:$A$611,0))),"")</f>
        <v>Chromium VI, chromate and dichromate particulate</v>
      </c>
      <c r="E1688" s="23">
        <v>0</v>
      </c>
      <c r="F1688" s="21">
        <v>0</v>
      </c>
      <c r="G1688" s="23" t="s">
        <v>1415</v>
      </c>
      <c r="H1688" s="21" t="s">
        <v>1415</v>
      </c>
      <c r="I1688" s="34">
        <v>1.4E-3</v>
      </c>
      <c r="J1688" s="11">
        <f t="shared" si="61"/>
        <v>1.4E-3</v>
      </c>
      <c r="K1688" s="6" t="s">
        <v>1416</v>
      </c>
      <c r="L1688" s="20" t="s">
        <v>1422</v>
      </c>
      <c r="M1688" s="7">
        <f>IF(ISBLANK($B1688),_xlfn.XLOOKUP($A1688,'2. TEUs &amp; Activities - EF'!$A$9:$A$190,'2. TEUs &amp; Activities - EF'!$J$9:$J$190),_xlfn.XLOOKUP($B1688,'2. TEUs &amp; Activities - EF'!$B$9:$B$190,'2. TEUs &amp; Activities - EF'!$J$9:$J$190))*'3. Pollutant Emissions - EF'!$I1688*IF(OR(ISBLANK($E1688),$G1688="Yes"),1,$E1688)*IF($H1688="Yes",1,(1-$F1688))</f>
        <v>0.24402955294117645</v>
      </c>
      <c r="N1688" s="5">
        <f>IF(ISBLANK($B1688),_xlfn.XLOOKUP($A1688,'2. TEUs &amp; Activities - EF'!$A$9:$A$190,'2. TEUs &amp; Activities - EF'!$M$9:$M$190),_xlfn.XLOOKUP($B1688,'2. TEUs &amp; Activities - EF'!$B$9:$B$190,'2. TEUs &amp; Activities - EF'!$M$9:$M$190))*'3. Pollutant Emissions - EF'!$J1688*IF(OR(ISBLANK($E1688),$G1688="Yes"),1,$E1688)*IF($H1688="Yes",1,(1-$F1688))</f>
        <v>6.6857411764705877E-4</v>
      </c>
      <c r="O1688" s="130"/>
    </row>
    <row r="1689" spans="1:15" ht="15" x14ac:dyDescent="0.25">
      <c r="A1689" s="5" t="s">
        <v>1636</v>
      </c>
      <c r="B1689" s="7"/>
      <c r="C1689" s="13" t="s">
        <v>58</v>
      </c>
      <c r="D1689" s="19" t="str">
        <f>IFERROR(IF(C1689="No CAS","",INDEX('DEQ Pollutant List'!$B$7:$B$611,MATCH('3. Pollutant Emissions - EF'!C1689,'DEQ Pollutant List'!$A$7:$A$611,0))),"")</f>
        <v>Cobalt and compounds</v>
      </c>
      <c r="E1689" s="23">
        <v>0</v>
      </c>
      <c r="F1689" s="21">
        <v>0</v>
      </c>
      <c r="G1689" s="23" t="s">
        <v>1415</v>
      </c>
      <c r="H1689" s="21" t="s">
        <v>1415</v>
      </c>
      <c r="I1689" s="34">
        <v>8.3999999999999995E-5</v>
      </c>
      <c r="J1689" s="11">
        <f t="shared" si="61"/>
        <v>8.3999999999999995E-5</v>
      </c>
      <c r="K1689" s="6" t="s">
        <v>1416</v>
      </c>
      <c r="L1689" s="20" t="s">
        <v>1422</v>
      </c>
      <c r="M1689" s="7">
        <f>IF(ISBLANK($B1689),_xlfn.XLOOKUP($A1689,'2. TEUs &amp; Activities - EF'!$A$9:$A$190,'2. TEUs &amp; Activities - EF'!$J$9:$J$190),_xlfn.XLOOKUP($B1689,'2. TEUs &amp; Activities - EF'!$B$9:$B$190,'2. TEUs &amp; Activities - EF'!$J$9:$J$190))*'3. Pollutant Emissions - EF'!$I1689*IF(OR(ISBLANK($E1689),$G1689="Yes"),1,$E1689)*IF($H1689="Yes",1,(1-$F1689))</f>
        <v>1.4641773176470587E-2</v>
      </c>
      <c r="N1689" s="5">
        <f>IF(ISBLANK($B1689),_xlfn.XLOOKUP($A1689,'2. TEUs &amp; Activities - EF'!$A$9:$A$190,'2. TEUs &amp; Activities - EF'!$M$9:$M$190),_xlfn.XLOOKUP($B1689,'2. TEUs &amp; Activities - EF'!$B$9:$B$190,'2. TEUs &amp; Activities - EF'!$M$9:$M$190))*'3. Pollutant Emissions - EF'!$J1689*IF(OR(ISBLANK($E1689),$G1689="Yes"),1,$E1689)*IF($H1689="Yes",1,(1-$F1689))</f>
        <v>4.0114447058823523E-5</v>
      </c>
      <c r="O1689" s="130"/>
    </row>
    <row r="1690" spans="1:15" ht="15" x14ac:dyDescent="0.25">
      <c r="A1690" s="5" t="s">
        <v>1636</v>
      </c>
      <c r="B1690" s="7"/>
      <c r="C1690" s="13" t="s">
        <v>59</v>
      </c>
      <c r="D1690" s="19" t="str">
        <f>IFERROR(IF(C1690="No CAS","",INDEX('DEQ Pollutant List'!$B$7:$B$611,MATCH('3. Pollutant Emissions - EF'!C1690,'DEQ Pollutant List'!$A$7:$A$611,0))),"")</f>
        <v>Copper and compounds</v>
      </c>
      <c r="E1690" s="23">
        <v>0</v>
      </c>
      <c r="F1690" s="21">
        <v>0</v>
      </c>
      <c r="G1690" s="23" t="s">
        <v>1415</v>
      </c>
      <c r="H1690" s="21" t="s">
        <v>1415</v>
      </c>
      <c r="I1690" s="34">
        <v>8.4999999999999995E-4</v>
      </c>
      <c r="J1690" s="11">
        <f t="shared" si="61"/>
        <v>8.4999999999999995E-4</v>
      </c>
      <c r="K1690" s="6" t="s">
        <v>1416</v>
      </c>
      <c r="L1690" s="20" t="s">
        <v>1422</v>
      </c>
      <c r="M1690" s="7">
        <f>IF(ISBLANK($B1690),_xlfn.XLOOKUP($A1690,'2. TEUs &amp; Activities - EF'!$A$9:$A$190,'2. TEUs &amp; Activities - EF'!$J$9:$J$190),_xlfn.XLOOKUP($B1690,'2. TEUs &amp; Activities - EF'!$B$9:$B$190,'2. TEUs &amp; Activities - EF'!$J$9:$J$190))*'3. Pollutant Emissions - EF'!$I1690*IF(OR(ISBLANK($E1690),$G1690="Yes"),1,$E1690)*IF($H1690="Yes",1,(1-$F1690))</f>
        <v>0.14816079999999998</v>
      </c>
      <c r="N1690" s="5">
        <f>IF(ISBLANK($B1690),_xlfn.XLOOKUP($A1690,'2. TEUs &amp; Activities - EF'!$A$9:$A$190,'2. TEUs &amp; Activities - EF'!$M$9:$M$190),_xlfn.XLOOKUP($B1690,'2. TEUs &amp; Activities - EF'!$B$9:$B$190,'2. TEUs &amp; Activities - EF'!$M$9:$M$190))*'3. Pollutant Emissions - EF'!$J1690*IF(OR(ISBLANK($E1690),$G1690="Yes"),1,$E1690)*IF($H1690="Yes",1,(1-$F1690))</f>
        <v>4.0591999999999994E-4</v>
      </c>
      <c r="O1690" s="130"/>
    </row>
    <row r="1691" spans="1:15" ht="15" x14ac:dyDescent="0.25">
      <c r="A1691" s="5" t="s">
        <v>1636</v>
      </c>
      <c r="B1691" s="7"/>
      <c r="C1691" s="13" t="s">
        <v>60</v>
      </c>
      <c r="D1691" s="19" t="str">
        <f>IFERROR(IF(C1691="No CAS","",INDEX('DEQ Pollutant List'!$B$7:$B$611,MATCH('3. Pollutant Emissions - EF'!C1691,'DEQ Pollutant List'!$A$7:$A$611,0))),"")</f>
        <v>Ethyl benzene</v>
      </c>
      <c r="E1691" s="23">
        <v>0</v>
      </c>
      <c r="F1691" s="21">
        <v>0</v>
      </c>
      <c r="G1691" s="23" t="s">
        <v>1415</v>
      </c>
      <c r="H1691" s="21" t="s">
        <v>1415</v>
      </c>
      <c r="I1691" s="34">
        <v>9.4999999999999998E-3</v>
      </c>
      <c r="J1691" s="11">
        <f t="shared" si="61"/>
        <v>9.4999999999999998E-3</v>
      </c>
      <c r="K1691" s="6" t="s">
        <v>1416</v>
      </c>
      <c r="L1691" s="20" t="s">
        <v>1422</v>
      </c>
      <c r="M1691" s="7">
        <f>IF(ISBLANK($B1691),_xlfn.XLOOKUP($A1691,'2. TEUs &amp; Activities - EF'!$A$9:$A$190,'2. TEUs &amp; Activities - EF'!$J$9:$J$190),_xlfn.XLOOKUP($B1691,'2. TEUs &amp; Activities - EF'!$B$9:$B$190,'2. TEUs &amp; Activities - EF'!$J$9:$J$190))*'3. Pollutant Emissions - EF'!$I1691*IF(OR(ISBLANK($E1691),$G1691="Yes"),1,$E1691)*IF($H1691="Yes",1,(1-$F1691))</f>
        <v>1.6559148235294117</v>
      </c>
      <c r="N1691" s="5">
        <f>IF(ISBLANK($B1691),_xlfn.XLOOKUP($A1691,'2. TEUs &amp; Activities - EF'!$A$9:$A$190,'2. TEUs &amp; Activities - EF'!$M$9:$M$190),_xlfn.XLOOKUP($B1691,'2. TEUs &amp; Activities - EF'!$B$9:$B$190,'2. TEUs &amp; Activities - EF'!$M$9:$M$190))*'3. Pollutant Emissions - EF'!$J1691*IF(OR(ISBLANK($E1691),$G1691="Yes"),1,$E1691)*IF($H1691="Yes",1,(1-$F1691))</f>
        <v>4.5367529411764699E-3</v>
      </c>
      <c r="O1691" s="130"/>
    </row>
    <row r="1692" spans="1:15" ht="15" x14ac:dyDescent="0.25">
      <c r="A1692" s="5" t="s">
        <v>1636</v>
      </c>
      <c r="B1692" s="7"/>
      <c r="C1692" s="13" t="s">
        <v>47</v>
      </c>
      <c r="D1692" s="19" t="str">
        <f>IFERROR(IF(C1692="No CAS","",INDEX('DEQ Pollutant List'!$B$7:$B$611,MATCH('3. Pollutant Emissions - EF'!C1692,'DEQ Pollutant List'!$A$7:$A$611,0))),"")</f>
        <v>Formaldehyde</v>
      </c>
      <c r="E1692" s="23">
        <v>0</v>
      </c>
      <c r="F1692" s="21">
        <v>0</v>
      </c>
      <c r="G1692" s="23" t="s">
        <v>1415</v>
      </c>
      <c r="H1692" s="21" t="s">
        <v>1415</v>
      </c>
      <c r="I1692" s="34">
        <v>1.7000000000000001E-2</v>
      </c>
      <c r="J1692" s="11">
        <f t="shared" si="61"/>
        <v>1.7000000000000001E-2</v>
      </c>
      <c r="K1692" s="6" t="s">
        <v>1416</v>
      </c>
      <c r="L1692" s="20" t="s">
        <v>1422</v>
      </c>
      <c r="M1692" s="7">
        <f>IF(ISBLANK($B1692),_xlfn.XLOOKUP($A1692,'2. TEUs &amp; Activities - EF'!$A$9:$A$190,'2. TEUs &amp; Activities - EF'!$J$9:$J$190),_xlfn.XLOOKUP($B1692,'2. TEUs &amp; Activities - EF'!$B$9:$B$190,'2. TEUs &amp; Activities - EF'!$J$9:$J$190))*'3. Pollutant Emissions - EF'!$I1692*IF(OR(ISBLANK($E1692),$G1692="Yes"),1,$E1692)*IF($H1692="Yes",1,(1-$F1692))</f>
        <v>2.9632160000000001</v>
      </c>
      <c r="N1692" s="5">
        <f>IF(ISBLANK($B1692),_xlfn.XLOOKUP($A1692,'2. TEUs &amp; Activities - EF'!$A$9:$A$190,'2. TEUs &amp; Activities - EF'!$M$9:$M$190),_xlfn.XLOOKUP($B1692,'2. TEUs &amp; Activities - EF'!$B$9:$B$190,'2. TEUs &amp; Activities - EF'!$M$9:$M$190))*'3. Pollutant Emissions - EF'!$J1692*IF(OR(ISBLANK($E1692),$G1692="Yes"),1,$E1692)*IF($H1692="Yes",1,(1-$F1692))</f>
        <v>8.1183999999999996E-3</v>
      </c>
      <c r="O1692" s="130"/>
    </row>
    <row r="1693" spans="1:15" ht="15" x14ac:dyDescent="0.25">
      <c r="A1693" s="5" t="s">
        <v>1636</v>
      </c>
      <c r="B1693" s="7"/>
      <c r="C1693" s="13" t="s">
        <v>61</v>
      </c>
      <c r="D1693" s="19" t="str">
        <f>IFERROR(IF(C1693="No CAS","",INDEX('DEQ Pollutant List'!$B$7:$B$611,MATCH('3. Pollutant Emissions - EF'!C1693,'DEQ Pollutant List'!$A$7:$A$611,0))),"")</f>
        <v>Hexane</v>
      </c>
      <c r="E1693" s="23">
        <v>0</v>
      </c>
      <c r="F1693" s="21">
        <v>0</v>
      </c>
      <c r="G1693" s="23" t="s">
        <v>1415</v>
      </c>
      <c r="H1693" s="21" t="s">
        <v>1415</v>
      </c>
      <c r="I1693" s="34">
        <v>6.3E-3</v>
      </c>
      <c r="J1693" s="11">
        <f t="shared" si="61"/>
        <v>6.3E-3</v>
      </c>
      <c r="K1693" s="6" t="s">
        <v>1416</v>
      </c>
      <c r="L1693" s="20" t="s">
        <v>1422</v>
      </c>
      <c r="M1693" s="7">
        <f>IF(ISBLANK($B1693),_xlfn.XLOOKUP($A1693,'2. TEUs &amp; Activities - EF'!$A$9:$A$190,'2. TEUs &amp; Activities - EF'!$J$9:$J$190),_xlfn.XLOOKUP($B1693,'2. TEUs &amp; Activities - EF'!$B$9:$B$190,'2. TEUs &amp; Activities - EF'!$J$9:$J$190))*'3. Pollutant Emissions - EF'!$I1693*IF(OR(ISBLANK($E1693),$G1693="Yes"),1,$E1693)*IF($H1693="Yes",1,(1-$F1693))</f>
        <v>1.0981329882352941</v>
      </c>
      <c r="N1693" s="5">
        <f>IF(ISBLANK($B1693),_xlfn.XLOOKUP($A1693,'2. TEUs &amp; Activities - EF'!$A$9:$A$190,'2. TEUs &amp; Activities - EF'!$M$9:$M$190),_xlfn.XLOOKUP($B1693,'2. TEUs &amp; Activities - EF'!$B$9:$B$190,'2. TEUs &amp; Activities - EF'!$M$9:$M$190))*'3. Pollutant Emissions - EF'!$J1693*IF(OR(ISBLANK($E1693),$G1693="Yes"),1,$E1693)*IF($H1693="Yes",1,(1-$F1693))</f>
        <v>3.0085835294117644E-3</v>
      </c>
      <c r="O1693" s="130"/>
    </row>
    <row r="1694" spans="1:15" ht="15" x14ac:dyDescent="0.25">
      <c r="A1694" s="5" t="s">
        <v>1636</v>
      </c>
      <c r="B1694" s="7"/>
      <c r="C1694" s="13" t="s">
        <v>62</v>
      </c>
      <c r="D1694" s="19" t="str">
        <f>IFERROR(IF(C1694="No CAS","",INDEX('DEQ Pollutant List'!$B$7:$B$611,MATCH('3. Pollutant Emissions - EF'!C1694,'DEQ Pollutant List'!$A$7:$A$611,0))),"")</f>
        <v>Lead and compounds</v>
      </c>
      <c r="E1694" s="23">
        <v>0</v>
      </c>
      <c r="F1694" s="21">
        <v>0</v>
      </c>
      <c r="G1694" s="23" t="s">
        <v>1415</v>
      </c>
      <c r="H1694" s="21" t="s">
        <v>1415</v>
      </c>
      <c r="I1694" s="34">
        <v>5.0000000000000001E-4</v>
      </c>
      <c r="J1694" s="11">
        <f t="shared" si="61"/>
        <v>5.0000000000000001E-4</v>
      </c>
      <c r="K1694" s="6" t="s">
        <v>1416</v>
      </c>
      <c r="L1694" s="20" t="s">
        <v>1422</v>
      </c>
      <c r="M1694" s="7">
        <f>IF(ISBLANK($B1694),_xlfn.XLOOKUP($A1694,'2. TEUs &amp; Activities - EF'!$A$9:$A$190,'2. TEUs &amp; Activities - EF'!$J$9:$J$190),_xlfn.XLOOKUP($B1694,'2. TEUs &amp; Activities - EF'!$B$9:$B$190,'2. TEUs &amp; Activities - EF'!$J$9:$J$190))*'3. Pollutant Emissions - EF'!$I1694*IF(OR(ISBLANK($E1694),$G1694="Yes"),1,$E1694)*IF($H1694="Yes",1,(1-$F1694))</f>
        <v>8.7153411764705882E-2</v>
      </c>
      <c r="N1694" s="5">
        <f>IF(ISBLANK($B1694),_xlfn.XLOOKUP($A1694,'2. TEUs &amp; Activities - EF'!$A$9:$A$190,'2. TEUs &amp; Activities - EF'!$M$9:$M$190),_xlfn.XLOOKUP($B1694,'2. TEUs &amp; Activities - EF'!$B$9:$B$190,'2. TEUs &amp; Activities - EF'!$M$9:$M$190))*'3. Pollutant Emissions - EF'!$J1694*IF(OR(ISBLANK($E1694),$G1694="Yes"),1,$E1694)*IF($H1694="Yes",1,(1-$F1694))</f>
        <v>2.387764705882353E-4</v>
      </c>
      <c r="O1694" s="130"/>
    </row>
    <row r="1695" spans="1:15" ht="15" x14ac:dyDescent="0.25">
      <c r="A1695" s="5" t="s">
        <v>1636</v>
      </c>
      <c r="B1695" s="7"/>
      <c r="C1695" s="13" t="s">
        <v>63</v>
      </c>
      <c r="D1695" s="19" t="str">
        <f>IFERROR(IF(C1695="No CAS","",INDEX('DEQ Pollutant List'!$B$7:$B$611,MATCH('3. Pollutant Emissions - EF'!C1695,'DEQ Pollutant List'!$A$7:$A$611,0))),"")</f>
        <v>Manganese and compounds</v>
      </c>
      <c r="E1695" s="23">
        <v>0</v>
      </c>
      <c r="F1695" s="21">
        <v>0</v>
      </c>
      <c r="G1695" s="23" t="s">
        <v>1415</v>
      </c>
      <c r="H1695" s="21" t="s">
        <v>1415</v>
      </c>
      <c r="I1695" s="34">
        <v>3.8000000000000002E-4</v>
      </c>
      <c r="J1695" s="11">
        <f t="shared" si="61"/>
        <v>3.8000000000000002E-4</v>
      </c>
      <c r="K1695" s="6" t="s">
        <v>1416</v>
      </c>
      <c r="L1695" s="20" t="s">
        <v>1422</v>
      </c>
      <c r="M1695" s="7">
        <f>IF(ISBLANK($B1695),_xlfn.XLOOKUP($A1695,'2. TEUs &amp; Activities - EF'!$A$9:$A$190,'2. TEUs &amp; Activities - EF'!$J$9:$J$190),_xlfn.XLOOKUP($B1695,'2. TEUs &amp; Activities - EF'!$B$9:$B$190,'2. TEUs &amp; Activities - EF'!$J$9:$J$190))*'3. Pollutant Emissions - EF'!$I1695*IF(OR(ISBLANK($E1695),$G1695="Yes"),1,$E1695)*IF($H1695="Yes",1,(1-$F1695))</f>
        <v>6.6236592941176467E-2</v>
      </c>
      <c r="N1695" s="5">
        <f>IF(ISBLANK($B1695),_xlfn.XLOOKUP($A1695,'2. TEUs &amp; Activities - EF'!$A$9:$A$190,'2. TEUs &amp; Activities - EF'!$M$9:$M$190),_xlfn.XLOOKUP($B1695,'2. TEUs &amp; Activities - EF'!$B$9:$B$190,'2. TEUs &amp; Activities - EF'!$M$9:$M$190))*'3. Pollutant Emissions - EF'!$J1695*IF(OR(ISBLANK($E1695),$G1695="Yes"),1,$E1695)*IF($H1695="Yes",1,(1-$F1695))</f>
        <v>1.8147011764705882E-4</v>
      </c>
      <c r="O1695" s="130"/>
    </row>
    <row r="1696" spans="1:15" ht="15" x14ac:dyDescent="0.25">
      <c r="A1696" s="5" t="s">
        <v>1636</v>
      </c>
      <c r="B1696" s="7"/>
      <c r="C1696" s="13" t="s">
        <v>64</v>
      </c>
      <c r="D1696" s="19" t="str">
        <f>IFERROR(IF(C1696="No CAS","",INDEX('DEQ Pollutant List'!$B$7:$B$611,MATCH('3. Pollutant Emissions - EF'!C1696,'DEQ Pollutant List'!$A$7:$A$611,0))),"")</f>
        <v>Mercury and compounds</v>
      </c>
      <c r="E1696" s="23">
        <v>0</v>
      </c>
      <c r="F1696" s="21">
        <v>0</v>
      </c>
      <c r="G1696" s="23" t="s">
        <v>1415</v>
      </c>
      <c r="H1696" s="21" t="s">
        <v>1415</v>
      </c>
      <c r="I1696" s="34">
        <v>2.5999999999999998E-4</v>
      </c>
      <c r="J1696" s="11">
        <f t="shared" si="61"/>
        <v>2.5999999999999998E-4</v>
      </c>
      <c r="K1696" s="6" t="s">
        <v>1416</v>
      </c>
      <c r="L1696" s="20" t="s">
        <v>1422</v>
      </c>
      <c r="M1696" s="7">
        <f>IF(ISBLANK($B1696),_xlfn.XLOOKUP($A1696,'2. TEUs &amp; Activities - EF'!$A$9:$A$190,'2. TEUs &amp; Activities - EF'!$J$9:$J$190),_xlfn.XLOOKUP($B1696,'2. TEUs &amp; Activities - EF'!$B$9:$B$190,'2. TEUs &amp; Activities - EF'!$J$9:$J$190))*'3. Pollutant Emissions - EF'!$I1696*IF(OR(ISBLANK($E1696),$G1696="Yes"),1,$E1696)*IF($H1696="Yes",1,(1-$F1696))</f>
        <v>4.5319774117647052E-2</v>
      </c>
      <c r="N1696" s="5">
        <f>IF(ISBLANK($B1696),_xlfn.XLOOKUP($A1696,'2. TEUs &amp; Activities - EF'!$A$9:$A$190,'2. TEUs &amp; Activities - EF'!$M$9:$M$190),_xlfn.XLOOKUP($B1696,'2. TEUs &amp; Activities - EF'!$B$9:$B$190,'2. TEUs &amp; Activities - EF'!$M$9:$M$190))*'3. Pollutant Emissions - EF'!$J1696*IF(OR(ISBLANK($E1696),$G1696="Yes"),1,$E1696)*IF($H1696="Yes",1,(1-$F1696))</f>
        <v>1.2416376470588233E-4</v>
      </c>
      <c r="O1696" s="130"/>
    </row>
    <row r="1697" spans="1:15" ht="15" x14ac:dyDescent="0.25">
      <c r="A1697" s="5" t="s">
        <v>1636</v>
      </c>
      <c r="B1697" s="7"/>
      <c r="C1697" s="13" t="s">
        <v>65</v>
      </c>
      <c r="D1697" s="19" t="str">
        <f>IFERROR(IF(C1697="No CAS","",INDEX('DEQ Pollutant List'!$B$7:$B$611,MATCH('3. Pollutant Emissions - EF'!C1697,'DEQ Pollutant List'!$A$7:$A$611,0))),"")</f>
        <v>Molybdenum trioxide</v>
      </c>
      <c r="E1697" s="23">
        <v>0</v>
      </c>
      <c r="F1697" s="21">
        <v>0</v>
      </c>
      <c r="G1697" s="23" t="s">
        <v>1415</v>
      </c>
      <c r="H1697" s="21" t="s">
        <v>1415</v>
      </c>
      <c r="I1697" s="34">
        <v>1.65E-3</v>
      </c>
      <c r="J1697" s="11">
        <f t="shared" si="61"/>
        <v>1.65E-3</v>
      </c>
      <c r="K1697" s="6" t="s">
        <v>1416</v>
      </c>
      <c r="L1697" s="20" t="s">
        <v>1422</v>
      </c>
      <c r="M1697" s="7">
        <f>IF(ISBLANK($B1697),_xlfn.XLOOKUP($A1697,'2. TEUs &amp; Activities - EF'!$A$9:$A$190,'2. TEUs &amp; Activities - EF'!$J$9:$J$190),_xlfn.XLOOKUP($B1697,'2. TEUs &amp; Activities - EF'!$B$9:$B$190,'2. TEUs &amp; Activities - EF'!$J$9:$J$190))*'3. Pollutant Emissions - EF'!$I1697*IF(OR(ISBLANK($E1697),$G1697="Yes"),1,$E1697)*IF($H1697="Yes",1,(1-$F1697))</f>
        <v>0.28760625882352941</v>
      </c>
      <c r="N1697" s="5">
        <f>IF(ISBLANK($B1697),_xlfn.XLOOKUP($A1697,'2. TEUs &amp; Activities - EF'!$A$9:$A$190,'2. TEUs &amp; Activities - EF'!$M$9:$M$190),_xlfn.XLOOKUP($B1697,'2. TEUs &amp; Activities - EF'!$B$9:$B$190,'2. TEUs &amp; Activities - EF'!$M$9:$M$190))*'3. Pollutant Emissions - EF'!$J1697*IF(OR(ISBLANK($E1697),$G1697="Yes"),1,$E1697)*IF($H1697="Yes",1,(1-$F1697))</f>
        <v>7.8796235294117641E-4</v>
      </c>
      <c r="O1697" s="130"/>
    </row>
    <row r="1698" spans="1:15" ht="15" x14ac:dyDescent="0.25">
      <c r="A1698" s="5" t="s">
        <v>1636</v>
      </c>
      <c r="B1698" s="7"/>
      <c r="C1698" s="13" t="s">
        <v>49</v>
      </c>
      <c r="D1698" s="19" t="str">
        <f>IFERROR(IF(C1698="No CAS","",INDEX('DEQ Pollutant List'!$B$7:$B$611,MATCH('3. Pollutant Emissions - EF'!C1698,'DEQ Pollutant List'!$A$7:$A$611,0))),"")</f>
        <v>Naphthalene</v>
      </c>
      <c r="E1698" s="23">
        <v>0</v>
      </c>
      <c r="F1698" s="21">
        <v>0</v>
      </c>
      <c r="G1698" s="23" t="s">
        <v>1415</v>
      </c>
      <c r="H1698" s="21" t="s">
        <v>1415</v>
      </c>
      <c r="I1698" s="34">
        <v>2.9999999999999997E-4</v>
      </c>
      <c r="J1698" s="11">
        <f t="shared" si="61"/>
        <v>2.9999999999999997E-4</v>
      </c>
      <c r="K1698" s="6" t="s">
        <v>1416</v>
      </c>
      <c r="L1698" s="20" t="s">
        <v>1422</v>
      </c>
      <c r="M1698" s="7">
        <f>IF(ISBLANK($B1698),_xlfn.XLOOKUP($A1698,'2. TEUs &amp; Activities - EF'!$A$9:$A$190,'2. TEUs &amp; Activities - EF'!$J$9:$J$190),_xlfn.XLOOKUP($B1698,'2. TEUs &amp; Activities - EF'!$B$9:$B$190,'2. TEUs &amp; Activities - EF'!$J$9:$J$190))*'3. Pollutant Emissions - EF'!$I1698*IF(OR(ISBLANK($E1698),$G1698="Yes"),1,$E1698)*IF($H1698="Yes",1,(1-$F1698))</f>
        <v>5.2292047058823524E-2</v>
      </c>
      <c r="N1698" s="5">
        <f>IF(ISBLANK($B1698),_xlfn.XLOOKUP($A1698,'2. TEUs &amp; Activities - EF'!$A$9:$A$190,'2. TEUs &amp; Activities - EF'!$M$9:$M$190),_xlfn.XLOOKUP($B1698,'2. TEUs &amp; Activities - EF'!$B$9:$B$190,'2. TEUs &amp; Activities - EF'!$M$9:$M$190))*'3. Pollutant Emissions - EF'!$J1698*IF(OR(ISBLANK($E1698),$G1698="Yes"),1,$E1698)*IF($H1698="Yes",1,(1-$F1698))</f>
        <v>1.4326588235294115E-4</v>
      </c>
      <c r="O1698" s="130"/>
    </row>
    <row r="1699" spans="1:15" ht="15" x14ac:dyDescent="0.25">
      <c r="A1699" s="5" t="s">
        <v>1636</v>
      </c>
      <c r="B1699" s="7"/>
      <c r="C1699" s="13" t="s">
        <v>66</v>
      </c>
      <c r="D1699" s="19" t="str">
        <f>IFERROR(IF(C1699="No CAS","",INDEX('DEQ Pollutant List'!$B$7:$B$611,MATCH('3. Pollutant Emissions - EF'!C1699,'DEQ Pollutant List'!$A$7:$A$611,0))),"")</f>
        <v>Nickel and compounds</v>
      </c>
      <c r="E1699" s="23">
        <v>0</v>
      </c>
      <c r="F1699" s="21">
        <v>0</v>
      </c>
      <c r="G1699" s="23" t="s">
        <v>1415</v>
      </c>
      <c r="H1699" s="21" t="s">
        <v>1415</v>
      </c>
      <c r="I1699" s="34">
        <v>2.0999999999999999E-3</v>
      </c>
      <c r="J1699" s="11">
        <f t="shared" si="61"/>
        <v>2.0999999999999999E-3</v>
      </c>
      <c r="K1699" s="6" t="s">
        <v>1416</v>
      </c>
      <c r="L1699" s="20" t="s">
        <v>1422</v>
      </c>
      <c r="M1699" s="7">
        <f>IF(ISBLANK($B1699),_xlfn.XLOOKUP($A1699,'2. TEUs &amp; Activities - EF'!$A$9:$A$190,'2. TEUs &amp; Activities - EF'!$J$9:$J$190),_xlfn.XLOOKUP($B1699,'2. TEUs &amp; Activities - EF'!$B$9:$B$190,'2. TEUs &amp; Activities - EF'!$J$9:$J$190))*'3. Pollutant Emissions - EF'!$I1699*IF(OR(ISBLANK($E1699),$G1699="Yes"),1,$E1699)*IF($H1699="Yes",1,(1-$F1699))</f>
        <v>0.36604432941176468</v>
      </c>
      <c r="N1699" s="5">
        <f>IF(ISBLANK($B1699),_xlfn.XLOOKUP($A1699,'2. TEUs &amp; Activities - EF'!$A$9:$A$190,'2. TEUs &amp; Activities - EF'!$M$9:$M$190),_xlfn.XLOOKUP($B1699,'2. TEUs &amp; Activities - EF'!$B$9:$B$190,'2. TEUs &amp; Activities - EF'!$M$9:$M$190))*'3. Pollutant Emissions - EF'!$J1699*IF(OR(ISBLANK($E1699),$G1699="Yes"),1,$E1699)*IF($H1699="Yes",1,(1-$F1699))</f>
        <v>1.0028611764705882E-3</v>
      </c>
      <c r="O1699" s="130"/>
    </row>
    <row r="1700" spans="1:15" ht="15" x14ac:dyDescent="0.25">
      <c r="A1700" s="5" t="s">
        <v>1636</v>
      </c>
      <c r="B1700" s="7"/>
      <c r="C1700" s="13">
        <v>401</v>
      </c>
      <c r="D1700" s="19" t="str">
        <f>IFERROR(IF(C1700="No CAS","",INDEX('DEQ Pollutant List'!$B$7:$B$611,MATCH('3. Pollutant Emissions - EF'!C1700,'DEQ Pollutant List'!$A$7:$A$611,0))),"")</f>
        <v>Polycyclic aromatic hydrocarbons (PAHs)</v>
      </c>
      <c r="E1700" s="23">
        <v>0</v>
      </c>
      <c r="F1700" s="21">
        <v>0</v>
      </c>
      <c r="G1700" s="23" t="s">
        <v>1415</v>
      </c>
      <c r="H1700" s="21" t="s">
        <v>1415</v>
      </c>
      <c r="I1700" s="34">
        <v>1E-4</v>
      </c>
      <c r="J1700" s="11">
        <f t="shared" si="61"/>
        <v>1E-4</v>
      </c>
      <c r="K1700" s="6" t="s">
        <v>1416</v>
      </c>
      <c r="L1700" s="20" t="s">
        <v>1422</v>
      </c>
      <c r="M1700" s="7">
        <f>IF(ISBLANK($B1700),_xlfn.XLOOKUP($A1700,'2. TEUs &amp; Activities - EF'!$A$9:$A$190,'2. TEUs &amp; Activities - EF'!$J$9:$J$190),_xlfn.XLOOKUP($B1700,'2. TEUs &amp; Activities - EF'!$B$9:$B$190,'2. TEUs &amp; Activities - EF'!$J$9:$J$190))*'3. Pollutant Emissions - EF'!$I1700*IF(OR(ISBLANK($E1700),$G1700="Yes"),1,$E1700)*IF($H1700="Yes",1,(1-$F1700))</f>
        <v>1.7430682352941176E-2</v>
      </c>
      <c r="N1700" s="5">
        <f>IF(ISBLANK($B1700),_xlfn.XLOOKUP($A1700,'2. TEUs &amp; Activities - EF'!$A$9:$A$190,'2. TEUs &amp; Activities - EF'!$M$9:$M$190),_xlfn.XLOOKUP($B1700,'2. TEUs &amp; Activities - EF'!$B$9:$B$190,'2. TEUs &amp; Activities - EF'!$M$9:$M$190))*'3. Pollutant Emissions - EF'!$J1700*IF(OR(ISBLANK($E1700),$G1700="Yes"),1,$E1700)*IF($H1700="Yes",1,(1-$F1700))</f>
        <v>4.7755294117647059E-5</v>
      </c>
      <c r="O1700" s="130"/>
    </row>
    <row r="1701" spans="1:15" ht="15" x14ac:dyDescent="0.25">
      <c r="A1701" s="5" t="s">
        <v>1636</v>
      </c>
      <c r="B1701" s="7"/>
      <c r="C1701" s="13" t="s">
        <v>67</v>
      </c>
      <c r="D1701" s="19" t="str">
        <f>IFERROR(IF(C1701="No CAS","",INDEX('DEQ Pollutant List'!$B$7:$B$611,MATCH('3. Pollutant Emissions - EF'!C1701,'DEQ Pollutant List'!$A$7:$A$611,0))),"")</f>
        <v>Selenium and compounds</v>
      </c>
      <c r="E1701" s="23">
        <v>0</v>
      </c>
      <c r="F1701" s="21">
        <v>0</v>
      </c>
      <c r="G1701" s="23" t="s">
        <v>1415</v>
      </c>
      <c r="H1701" s="21" t="s">
        <v>1415</v>
      </c>
      <c r="I1701" s="34">
        <v>2.4000000000000001E-5</v>
      </c>
      <c r="J1701" s="11">
        <f t="shared" si="61"/>
        <v>2.4000000000000001E-5</v>
      </c>
      <c r="K1701" s="6" t="s">
        <v>1416</v>
      </c>
      <c r="L1701" s="20" t="s">
        <v>1422</v>
      </c>
      <c r="M1701" s="7">
        <f>IF(ISBLANK($B1701),_xlfn.XLOOKUP($A1701,'2. TEUs &amp; Activities - EF'!$A$9:$A$190,'2. TEUs &amp; Activities - EF'!$J$9:$J$190),_xlfn.XLOOKUP($B1701,'2. TEUs &amp; Activities - EF'!$B$9:$B$190,'2. TEUs &amp; Activities - EF'!$J$9:$J$190))*'3. Pollutant Emissions - EF'!$I1701*IF(OR(ISBLANK($E1701),$G1701="Yes"),1,$E1701)*IF($H1701="Yes",1,(1-$F1701))</f>
        <v>4.1833637647058827E-3</v>
      </c>
      <c r="N1701" s="5">
        <f>IF(ISBLANK($B1701),_xlfn.XLOOKUP($A1701,'2. TEUs &amp; Activities - EF'!$A$9:$A$190,'2. TEUs &amp; Activities - EF'!$M$9:$M$190),_xlfn.XLOOKUP($B1701,'2. TEUs &amp; Activities - EF'!$B$9:$B$190,'2. TEUs &amp; Activities - EF'!$M$9:$M$190))*'3. Pollutant Emissions - EF'!$J1701*IF(OR(ISBLANK($E1701),$G1701="Yes"),1,$E1701)*IF($H1701="Yes",1,(1-$F1701))</f>
        <v>1.1461270588235294E-5</v>
      </c>
      <c r="O1701" s="130"/>
    </row>
    <row r="1702" spans="1:15" ht="15" x14ac:dyDescent="0.25">
      <c r="A1702" s="5" t="s">
        <v>1636</v>
      </c>
      <c r="B1702" s="7"/>
      <c r="C1702" s="13" t="s">
        <v>68</v>
      </c>
      <c r="D1702" s="19" t="str">
        <f>IFERROR(IF(C1702="No CAS","",INDEX('DEQ Pollutant List'!$B$7:$B$611,MATCH('3. Pollutant Emissions - EF'!C1702,'DEQ Pollutant List'!$A$7:$A$611,0))),"")</f>
        <v>Toluene</v>
      </c>
      <c r="E1702" s="23">
        <v>0</v>
      </c>
      <c r="F1702" s="21">
        <v>0</v>
      </c>
      <c r="G1702" s="23" t="s">
        <v>1415</v>
      </c>
      <c r="H1702" s="21" t="s">
        <v>1415</v>
      </c>
      <c r="I1702" s="34">
        <v>3.6600000000000001E-2</v>
      </c>
      <c r="J1702" s="11">
        <f t="shared" si="61"/>
        <v>3.6600000000000001E-2</v>
      </c>
      <c r="K1702" s="6" t="s">
        <v>1416</v>
      </c>
      <c r="L1702" s="20" t="s">
        <v>1422</v>
      </c>
      <c r="M1702" s="7">
        <f>IF(ISBLANK($B1702),_xlfn.XLOOKUP($A1702,'2. TEUs &amp; Activities - EF'!$A$9:$A$190,'2. TEUs &amp; Activities - EF'!$J$9:$J$190),_xlfn.XLOOKUP($B1702,'2. TEUs &amp; Activities - EF'!$B$9:$B$190,'2. TEUs &amp; Activities - EF'!$J$9:$J$190))*'3. Pollutant Emissions - EF'!$I1702*IF(OR(ISBLANK($E1702),$G1702="Yes"),1,$E1702)*IF($H1702="Yes",1,(1-$F1702))</f>
        <v>6.3796297411764709</v>
      </c>
      <c r="N1702" s="5">
        <f>IF(ISBLANK($B1702),_xlfn.XLOOKUP($A1702,'2. TEUs &amp; Activities - EF'!$A$9:$A$190,'2. TEUs &amp; Activities - EF'!$M$9:$M$190),_xlfn.XLOOKUP($B1702,'2. TEUs &amp; Activities - EF'!$B$9:$B$190,'2. TEUs &amp; Activities - EF'!$M$9:$M$190))*'3. Pollutant Emissions - EF'!$J1702*IF(OR(ISBLANK($E1702),$G1702="Yes"),1,$E1702)*IF($H1702="Yes",1,(1-$F1702))</f>
        <v>1.7478437647058823E-2</v>
      </c>
      <c r="O1702" s="130"/>
    </row>
    <row r="1703" spans="1:15" ht="15" x14ac:dyDescent="0.25">
      <c r="A1703" s="5" t="s">
        <v>1636</v>
      </c>
      <c r="B1703" s="7"/>
      <c r="C1703" s="13" t="s">
        <v>69</v>
      </c>
      <c r="D1703" s="19" t="str">
        <f>IFERROR(IF(C1703="No CAS","",INDEX('DEQ Pollutant List'!$B$7:$B$611,MATCH('3. Pollutant Emissions - EF'!C1703,'DEQ Pollutant List'!$A$7:$A$611,0))),"")</f>
        <v>Vanadium (fume or dust)</v>
      </c>
      <c r="E1703" s="23">
        <v>0</v>
      </c>
      <c r="F1703" s="21">
        <v>0</v>
      </c>
      <c r="G1703" s="23" t="s">
        <v>1415</v>
      </c>
      <c r="H1703" s="21" t="s">
        <v>1415</v>
      </c>
      <c r="I1703" s="34">
        <v>2.3E-3</v>
      </c>
      <c r="J1703" s="11">
        <f t="shared" si="61"/>
        <v>2.3E-3</v>
      </c>
      <c r="K1703" s="6" t="s">
        <v>1416</v>
      </c>
      <c r="L1703" s="20" t="s">
        <v>1422</v>
      </c>
      <c r="M1703" s="7">
        <f>IF(ISBLANK($B1703),_xlfn.XLOOKUP($A1703,'2. TEUs &amp; Activities - EF'!$A$9:$A$190,'2. TEUs &amp; Activities - EF'!$J$9:$J$190),_xlfn.XLOOKUP($B1703,'2. TEUs &amp; Activities - EF'!$B$9:$B$190,'2. TEUs &amp; Activities - EF'!$J$9:$J$190))*'3. Pollutant Emissions - EF'!$I1703*IF(OR(ISBLANK($E1703),$G1703="Yes"),1,$E1703)*IF($H1703="Yes",1,(1-$F1703))</f>
        <v>0.40090569411764704</v>
      </c>
      <c r="N1703" s="5">
        <f>IF(ISBLANK($B1703),_xlfn.XLOOKUP($A1703,'2. TEUs &amp; Activities - EF'!$A$9:$A$190,'2. TEUs &amp; Activities - EF'!$M$9:$M$190),_xlfn.XLOOKUP($B1703,'2. TEUs &amp; Activities - EF'!$B$9:$B$190,'2. TEUs &amp; Activities - EF'!$M$9:$M$190))*'3. Pollutant Emissions - EF'!$J1703*IF(OR(ISBLANK($E1703),$G1703="Yes"),1,$E1703)*IF($H1703="Yes",1,(1-$F1703))</f>
        <v>1.0983717647058823E-3</v>
      </c>
      <c r="O1703" s="130"/>
    </row>
    <row r="1704" spans="1:15" ht="15" x14ac:dyDescent="0.25">
      <c r="A1704" s="5" t="s">
        <v>1636</v>
      </c>
      <c r="B1704" s="7"/>
      <c r="C1704" s="13" t="s">
        <v>70</v>
      </c>
      <c r="D1704" s="19" t="str">
        <f>IFERROR(IF(C1704="No CAS","",INDEX('DEQ Pollutant List'!$B$7:$B$611,MATCH('3. Pollutant Emissions - EF'!C1704,'DEQ Pollutant List'!$A$7:$A$611,0))),"")</f>
        <v>Xylene (mixture), including m-xylene, o-xylene, p-xylene</v>
      </c>
      <c r="E1704" s="23">
        <v>0</v>
      </c>
      <c r="F1704" s="21">
        <v>0</v>
      </c>
      <c r="G1704" s="23" t="s">
        <v>1415</v>
      </c>
      <c r="H1704" s="21" t="s">
        <v>1415</v>
      </c>
      <c r="I1704" s="34">
        <v>2.7199999999999998E-2</v>
      </c>
      <c r="J1704" s="11">
        <f t="shared" si="61"/>
        <v>2.7199999999999998E-2</v>
      </c>
      <c r="K1704" s="6" t="s">
        <v>1416</v>
      </c>
      <c r="L1704" s="20" t="s">
        <v>1422</v>
      </c>
      <c r="M1704" s="7">
        <f>IF(ISBLANK($B1704),_xlfn.XLOOKUP($A1704,'2. TEUs &amp; Activities - EF'!$A$9:$A$190,'2. TEUs &amp; Activities - EF'!$J$9:$J$190),_xlfn.XLOOKUP($B1704,'2. TEUs &amp; Activities - EF'!$B$9:$B$190,'2. TEUs &amp; Activities - EF'!$J$9:$J$190))*'3. Pollutant Emissions - EF'!$I1704*IF(OR(ISBLANK($E1704),$G1704="Yes"),1,$E1704)*IF($H1704="Yes",1,(1-$F1704))</f>
        <v>4.7411455999999994</v>
      </c>
      <c r="N1704" s="5">
        <f>IF(ISBLANK($B1704),_xlfn.XLOOKUP($A1704,'2. TEUs &amp; Activities - EF'!$A$9:$A$190,'2. TEUs &amp; Activities - EF'!$M$9:$M$190),_xlfn.XLOOKUP($B1704,'2. TEUs &amp; Activities - EF'!$B$9:$B$190,'2. TEUs &amp; Activities - EF'!$M$9:$M$190))*'3. Pollutant Emissions - EF'!$J1704*IF(OR(ISBLANK($E1704),$G1704="Yes"),1,$E1704)*IF($H1704="Yes",1,(1-$F1704))</f>
        <v>1.2989439999999998E-2</v>
      </c>
      <c r="O1704" s="130"/>
    </row>
    <row r="1705" spans="1:15" ht="15" x14ac:dyDescent="0.25">
      <c r="A1705" s="5" t="s">
        <v>1636</v>
      </c>
      <c r="B1705" s="7"/>
      <c r="C1705" s="13" t="s">
        <v>71</v>
      </c>
      <c r="D1705" s="19" t="str">
        <f>IFERROR(IF(C1705="No CAS","",INDEX('DEQ Pollutant List'!$B$7:$B$611,MATCH('3. Pollutant Emissions - EF'!C1705,'DEQ Pollutant List'!$A$7:$A$611,0))),"")</f>
        <v>Zinc and compounds</v>
      </c>
      <c r="E1705" s="23">
        <v>0</v>
      </c>
      <c r="F1705" s="21">
        <v>0</v>
      </c>
      <c r="G1705" s="23" t="s">
        <v>1415</v>
      </c>
      <c r="H1705" s="21" t="s">
        <v>1415</v>
      </c>
      <c r="I1705" s="34">
        <v>2.9000000000000001E-2</v>
      </c>
      <c r="J1705" s="11">
        <f t="shared" si="61"/>
        <v>2.9000000000000001E-2</v>
      </c>
      <c r="K1705" s="6" t="s">
        <v>1416</v>
      </c>
      <c r="L1705" s="20" t="s">
        <v>1422</v>
      </c>
      <c r="M1705" s="7">
        <f>IF(ISBLANK($B1705),_xlfn.XLOOKUP($A1705,'2. TEUs &amp; Activities - EF'!$A$9:$A$190,'2. TEUs &amp; Activities - EF'!$J$9:$J$190),_xlfn.XLOOKUP($B1705,'2. TEUs &amp; Activities - EF'!$B$9:$B$190,'2. TEUs &amp; Activities - EF'!$J$9:$J$190))*'3. Pollutant Emissions - EF'!$I1705*IF(OR(ISBLANK($E1705),$G1705="Yes"),1,$E1705)*IF($H1705="Yes",1,(1-$F1705))</f>
        <v>5.0548978823529414</v>
      </c>
      <c r="N1705" s="5">
        <f>IF(ISBLANK($B1705),_xlfn.XLOOKUP($A1705,'2. TEUs &amp; Activities - EF'!$A$9:$A$190,'2. TEUs &amp; Activities - EF'!$M$9:$M$190),_xlfn.XLOOKUP($B1705,'2. TEUs &amp; Activities - EF'!$B$9:$B$190,'2. TEUs &amp; Activities - EF'!$M$9:$M$190))*'3. Pollutant Emissions - EF'!$J1705*IF(OR(ISBLANK($E1705),$G1705="Yes"),1,$E1705)*IF($H1705="Yes",1,(1-$F1705))</f>
        <v>1.3849035294117648E-2</v>
      </c>
      <c r="O1705" s="130"/>
    </row>
    <row r="1706" spans="1:15" ht="15" x14ac:dyDescent="0.25">
      <c r="A1706" s="5"/>
      <c r="B1706" s="7"/>
      <c r="C1706" s="13"/>
      <c r="D1706" s="19" t="str">
        <f>IFERROR(IF(C1706="No CAS","",INDEX('DEQ Pollutant List'!$B$7:$B$611,MATCH('3. Pollutant Emissions - EF'!C1706,'DEQ Pollutant List'!$A$7:$A$611,0))),"")</f>
        <v/>
      </c>
      <c r="E1706" s="23"/>
      <c r="F1706" s="21"/>
      <c r="G1706" s="23"/>
      <c r="H1706" s="21"/>
      <c r="I1706" s="34"/>
      <c r="J1706" s="11"/>
      <c r="K1706" s="6"/>
      <c r="L1706" s="20"/>
      <c r="M1706" s="7">
        <f>IF(ISBLANK($B1706),_xlfn.XLOOKUP($A1706,'2. TEUs &amp; Activities - EF'!$A$9:$A$190,'2. TEUs &amp; Activities - EF'!$J$9:$J$190),_xlfn.XLOOKUP($B1706,'2. TEUs &amp; Activities - EF'!$B$9:$B$190,'2. TEUs &amp; Activities - EF'!$J$9:$J$190))*'3. Pollutant Emissions - EF'!$I1706*IF(OR(ISBLANK($E1706),$G1706="Yes"),1,$E1706)*IF($H1706="Yes",1,(1-$F1706))</f>
        <v>0</v>
      </c>
      <c r="N1706" s="5">
        <f>IF(ISBLANK($B1706),_xlfn.XLOOKUP($A1706,'2. TEUs &amp; Activities - EF'!$A$9:$A$190,'2. TEUs &amp; Activities - EF'!$M$9:$M$190),_xlfn.XLOOKUP($B1706,'2. TEUs &amp; Activities - EF'!$B$9:$B$190,'2. TEUs &amp; Activities - EF'!$M$9:$M$190))*'3. Pollutant Emissions - EF'!$J1706*IF(OR(ISBLANK($E1706),$G1706="Yes"),1,$E1706)*IF($H1706="Yes",1,(1-$F1706))</f>
        <v>0</v>
      </c>
      <c r="O1706" s="130"/>
    </row>
    <row r="1707" spans="1:15" ht="15" x14ac:dyDescent="0.25">
      <c r="A1707" s="5" t="s">
        <v>1635</v>
      </c>
      <c r="B1707" s="7"/>
      <c r="C1707" s="13" t="s">
        <v>48</v>
      </c>
      <c r="D1707" s="19" t="str">
        <f>IFERROR(IF(C1707="No CAS","",INDEX('DEQ Pollutant List'!$B$7:$B$611,MATCH('3. Pollutant Emissions - EF'!C1707,'DEQ Pollutant List'!$A$7:$A$611,0))),"")</f>
        <v>Benzo[a]pyrene</v>
      </c>
      <c r="E1707" s="23">
        <v>0</v>
      </c>
      <c r="F1707" s="21">
        <v>0</v>
      </c>
      <c r="G1707" s="23" t="s">
        <v>1415</v>
      </c>
      <c r="H1707" s="21" t="s">
        <v>1415</v>
      </c>
      <c r="I1707" s="34">
        <v>1.1999999999999999E-6</v>
      </c>
      <c r="J1707" s="11">
        <f t="shared" ref="J1707:J1733" si="62">I1707</f>
        <v>1.1999999999999999E-6</v>
      </c>
      <c r="K1707" s="6" t="s">
        <v>1416</v>
      </c>
      <c r="L1707" s="20" t="s">
        <v>1422</v>
      </c>
      <c r="M1707" s="7">
        <f>IF(ISBLANK($B1707),_xlfn.XLOOKUP($A1707,'2. TEUs &amp; Activities - EF'!$A$9:$A$190,'2. TEUs &amp; Activities - EF'!$J$9:$J$190),_xlfn.XLOOKUP($B1707,'2. TEUs &amp; Activities - EF'!$B$9:$B$190,'2. TEUs &amp; Activities - EF'!$J$9:$J$190))*'3. Pollutant Emissions - EF'!$I1707*IF(OR(ISBLANK($E1707),$G1707="Yes"),1,$E1707)*IF($H1707="Yes",1,(1-$F1707))</f>
        <v>2.4734117647058819E-6</v>
      </c>
      <c r="N1707" s="5">
        <f>IF(ISBLANK($B1707),_xlfn.XLOOKUP($A1707,'2. TEUs &amp; Activities - EF'!$A$9:$A$190,'2. TEUs &amp; Activities - EF'!$M$9:$M$190),_xlfn.XLOOKUP($B1707,'2. TEUs &amp; Activities - EF'!$B$9:$B$190,'2. TEUs &amp; Activities - EF'!$M$9:$M$190))*'3. Pollutant Emissions - EF'!$J1707*IF(OR(ISBLANK($E1707),$G1707="Yes"),1,$E1707)*IF($H1707="Yes",1,(1-$F1707))</f>
        <v>6.7764705882352931E-9</v>
      </c>
      <c r="O1707" s="130"/>
    </row>
    <row r="1708" spans="1:15" ht="15" x14ac:dyDescent="0.25">
      <c r="A1708" s="5" t="s">
        <v>1635</v>
      </c>
      <c r="B1708" s="7"/>
      <c r="C1708" s="13" t="s">
        <v>50</v>
      </c>
      <c r="D1708" s="19" t="str">
        <f>IFERROR(IF(C1708="No CAS","",INDEX('DEQ Pollutant List'!$B$7:$B$611,MATCH('3. Pollutant Emissions - EF'!C1708,'DEQ Pollutant List'!$A$7:$A$611,0))),"")</f>
        <v>Acetaldehyde</v>
      </c>
      <c r="E1708" s="23">
        <v>0</v>
      </c>
      <c r="F1708" s="21">
        <v>0</v>
      </c>
      <c r="G1708" s="23" t="s">
        <v>1415</v>
      </c>
      <c r="H1708" s="21" t="s">
        <v>1415</v>
      </c>
      <c r="I1708" s="34">
        <v>4.3E-3</v>
      </c>
      <c r="J1708" s="11">
        <f t="shared" si="62"/>
        <v>4.3E-3</v>
      </c>
      <c r="K1708" s="6" t="s">
        <v>1416</v>
      </c>
      <c r="L1708" s="20" t="s">
        <v>1422</v>
      </c>
      <c r="M1708" s="7">
        <f>IF(ISBLANK($B1708),_xlfn.XLOOKUP($A1708,'2. TEUs &amp; Activities - EF'!$A$9:$A$190,'2. TEUs &amp; Activities - EF'!$J$9:$J$190),_xlfn.XLOOKUP($B1708,'2. TEUs &amp; Activities - EF'!$B$9:$B$190,'2. TEUs &amp; Activities - EF'!$J$9:$J$190))*'3. Pollutant Emissions - EF'!$I1708*IF(OR(ISBLANK($E1708),$G1708="Yes"),1,$E1708)*IF($H1708="Yes",1,(1-$F1708))</f>
        <v>8.8630588235294114E-3</v>
      </c>
      <c r="N1708" s="5">
        <f>IF(ISBLANK($B1708),_xlfn.XLOOKUP($A1708,'2. TEUs &amp; Activities - EF'!$A$9:$A$190,'2. TEUs &amp; Activities - EF'!$M$9:$M$190),_xlfn.XLOOKUP($B1708,'2. TEUs &amp; Activities - EF'!$B$9:$B$190,'2. TEUs &amp; Activities - EF'!$M$9:$M$190))*'3. Pollutant Emissions - EF'!$J1708*IF(OR(ISBLANK($E1708),$G1708="Yes"),1,$E1708)*IF($H1708="Yes",1,(1-$F1708))</f>
        <v>2.428235294117647E-5</v>
      </c>
      <c r="O1708" s="130"/>
    </row>
    <row r="1709" spans="1:15" ht="15" x14ac:dyDescent="0.25">
      <c r="A1709" s="5" t="s">
        <v>1635</v>
      </c>
      <c r="B1709" s="7"/>
      <c r="C1709" s="13" t="s">
        <v>51</v>
      </c>
      <c r="D1709" s="19" t="str">
        <f>IFERROR(IF(C1709="No CAS","",INDEX('DEQ Pollutant List'!$B$7:$B$611,MATCH('3. Pollutant Emissions - EF'!C1709,'DEQ Pollutant List'!$A$7:$A$611,0))),"")</f>
        <v>Acrolein</v>
      </c>
      <c r="E1709" s="23">
        <v>0</v>
      </c>
      <c r="F1709" s="21">
        <v>0</v>
      </c>
      <c r="G1709" s="23" t="s">
        <v>1415</v>
      </c>
      <c r="H1709" s="21" t="s">
        <v>1415</v>
      </c>
      <c r="I1709" s="34">
        <v>2.7000000000000001E-3</v>
      </c>
      <c r="J1709" s="11">
        <f t="shared" si="62"/>
        <v>2.7000000000000001E-3</v>
      </c>
      <c r="K1709" s="6" t="s">
        <v>1416</v>
      </c>
      <c r="L1709" s="20" t="s">
        <v>1422</v>
      </c>
      <c r="M1709" s="7">
        <f>IF(ISBLANK($B1709),_xlfn.XLOOKUP($A1709,'2. TEUs &amp; Activities - EF'!$A$9:$A$190,'2. TEUs &amp; Activities - EF'!$J$9:$J$190),_xlfn.XLOOKUP($B1709,'2. TEUs &amp; Activities - EF'!$B$9:$B$190,'2. TEUs &amp; Activities - EF'!$J$9:$J$190))*'3. Pollutant Emissions - EF'!$I1709*IF(OR(ISBLANK($E1709),$G1709="Yes"),1,$E1709)*IF($H1709="Yes",1,(1-$F1709))</f>
        <v>5.5651764705882348E-3</v>
      </c>
      <c r="N1709" s="5">
        <f>IF(ISBLANK($B1709),_xlfn.XLOOKUP($A1709,'2. TEUs &amp; Activities - EF'!$A$9:$A$190,'2. TEUs &amp; Activities - EF'!$M$9:$M$190),_xlfn.XLOOKUP($B1709,'2. TEUs &amp; Activities - EF'!$B$9:$B$190,'2. TEUs &amp; Activities - EF'!$M$9:$M$190))*'3. Pollutant Emissions - EF'!$J1709*IF(OR(ISBLANK($E1709),$G1709="Yes"),1,$E1709)*IF($H1709="Yes",1,(1-$F1709))</f>
        <v>1.5247058823529411E-5</v>
      </c>
      <c r="O1709" s="130"/>
    </row>
    <row r="1710" spans="1:15" ht="15" x14ac:dyDescent="0.25">
      <c r="A1710" s="5" t="s">
        <v>1635</v>
      </c>
      <c r="B1710" s="7"/>
      <c r="C1710" s="13" t="s">
        <v>52</v>
      </c>
      <c r="D1710" s="19" t="str">
        <f>IFERROR(IF(C1710="No CAS","",INDEX('DEQ Pollutant List'!$B$7:$B$611,MATCH('3. Pollutant Emissions - EF'!C1710,'DEQ Pollutant List'!$A$7:$A$611,0))),"")</f>
        <v>Ammonia</v>
      </c>
      <c r="E1710" s="23">
        <v>0</v>
      </c>
      <c r="F1710" s="21">
        <v>0</v>
      </c>
      <c r="G1710" s="23" t="s">
        <v>1415</v>
      </c>
      <c r="H1710" s="21" t="s">
        <v>1415</v>
      </c>
      <c r="I1710" s="34">
        <v>3.2</v>
      </c>
      <c r="J1710" s="11">
        <f t="shared" si="62"/>
        <v>3.2</v>
      </c>
      <c r="K1710" s="6" t="s">
        <v>1416</v>
      </c>
      <c r="L1710" s="20" t="s">
        <v>1586</v>
      </c>
      <c r="M1710" s="7">
        <f>IF(ISBLANK($B1710),_xlfn.XLOOKUP($A1710,'2. TEUs &amp; Activities - EF'!$A$9:$A$190,'2. TEUs &amp; Activities - EF'!$J$9:$J$190),_xlfn.XLOOKUP($B1710,'2. TEUs &amp; Activities - EF'!$B$9:$B$190,'2. TEUs &amp; Activities - EF'!$J$9:$J$190))*'3. Pollutant Emissions - EF'!$I1710*IF(OR(ISBLANK($E1710),$G1710="Yes"),1,$E1710)*IF($H1710="Yes",1,(1-$F1710))</f>
        <v>6.5957647058823525</v>
      </c>
      <c r="N1710" s="5">
        <f>IF(ISBLANK($B1710),_xlfn.XLOOKUP($A1710,'2. TEUs &amp; Activities - EF'!$A$9:$A$190,'2. TEUs &amp; Activities - EF'!$M$9:$M$190),_xlfn.XLOOKUP($B1710,'2. TEUs &amp; Activities - EF'!$B$9:$B$190,'2. TEUs &amp; Activities - EF'!$M$9:$M$190))*'3. Pollutant Emissions - EF'!$J1710*IF(OR(ISBLANK($E1710),$G1710="Yes"),1,$E1710)*IF($H1710="Yes",1,(1-$F1710))</f>
        <v>1.8070588235294116E-2</v>
      </c>
      <c r="O1710" s="130"/>
    </row>
    <row r="1711" spans="1:15" ht="15" x14ac:dyDescent="0.25">
      <c r="A1711" s="5" t="s">
        <v>1635</v>
      </c>
      <c r="B1711" s="7"/>
      <c r="C1711" s="13" t="s">
        <v>53</v>
      </c>
      <c r="D1711" s="19" t="str">
        <f>IFERROR(IF(C1711="No CAS","",INDEX('DEQ Pollutant List'!$B$7:$B$611,MATCH('3. Pollutant Emissions - EF'!C1711,'DEQ Pollutant List'!$A$7:$A$611,0))),"")</f>
        <v>Arsenic and compounds</v>
      </c>
      <c r="E1711" s="23">
        <v>0</v>
      </c>
      <c r="F1711" s="21">
        <v>0</v>
      </c>
      <c r="G1711" s="23" t="s">
        <v>1415</v>
      </c>
      <c r="H1711" s="21" t="s">
        <v>1415</v>
      </c>
      <c r="I1711" s="34">
        <v>2.0000000000000001E-4</v>
      </c>
      <c r="J1711" s="11">
        <f t="shared" si="62"/>
        <v>2.0000000000000001E-4</v>
      </c>
      <c r="K1711" s="6" t="s">
        <v>1416</v>
      </c>
      <c r="L1711" s="20" t="s">
        <v>1422</v>
      </c>
      <c r="M1711" s="7">
        <f>IF(ISBLANK($B1711),_xlfn.XLOOKUP($A1711,'2. TEUs &amp; Activities - EF'!$A$9:$A$190,'2. TEUs &amp; Activities - EF'!$J$9:$J$190),_xlfn.XLOOKUP($B1711,'2. TEUs &amp; Activities - EF'!$B$9:$B$190,'2. TEUs &amp; Activities - EF'!$J$9:$J$190))*'3. Pollutant Emissions - EF'!$I1711*IF(OR(ISBLANK($E1711),$G1711="Yes"),1,$E1711)*IF($H1711="Yes",1,(1-$F1711))</f>
        <v>4.1223529411764707E-4</v>
      </c>
      <c r="N1711" s="5">
        <f>IF(ISBLANK($B1711),_xlfn.XLOOKUP($A1711,'2. TEUs &amp; Activities - EF'!$A$9:$A$190,'2. TEUs &amp; Activities - EF'!$M$9:$M$190),_xlfn.XLOOKUP($B1711,'2. TEUs &amp; Activities - EF'!$B$9:$B$190,'2. TEUs &amp; Activities - EF'!$M$9:$M$190))*'3. Pollutant Emissions - EF'!$J1711*IF(OR(ISBLANK($E1711),$G1711="Yes"),1,$E1711)*IF($H1711="Yes",1,(1-$F1711))</f>
        <v>1.1294117647058824E-6</v>
      </c>
      <c r="O1711" s="130"/>
    </row>
    <row r="1712" spans="1:15" ht="15" x14ac:dyDescent="0.25">
      <c r="A1712" s="5" t="s">
        <v>1635</v>
      </c>
      <c r="B1712" s="7"/>
      <c r="C1712" s="13" t="s">
        <v>54</v>
      </c>
      <c r="D1712" s="19" t="str">
        <f>IFERROR(IF(C1712="No CAS","",INDEX('DEQ Pollutant List'!$B$7:$B$611,MATCH('3. Pollutant Emissions - EF'!C1712,'DEQ Pollutant List'!$A$7:$A$611,0))),"")</f>
        <v>Barium and compounds</v>
      </c>
      <c r="E1712" s="23">
        <v>0</v>
      </c>
      <c r="F1712" s="21">
        <v>0</v>
      </c>
      <c r="G1712" s="23" t="s">
        <v>1415</v>
      </c>
      <c r="H1712" s="21" t="s">
        <v>1415</v>
      </c>
      <c r="I1712" s="34">
        <v>4.4000000000000003E-3</v>
      </c>
      <c r="J1712" s="11">
        <f t="shared" si="62"/>
        <v>4.4000000000000003E-3</v>
      </c>
      <c r="K1712" s="6" t="s">
        <v>1416</v>
      </c>
      <c r="L1712" s="20" t="s">
        <v>1422</v>
      </c>
      <c r="M1712" s="7">
        <f>IF(ISBLANK($B1712),_xlfn.XLOOKUP($A1712,'2. TEUs &amp; Activities - EF'!$A$9:$A$190,'2. TEUs &amp; Activities - EF'!$J$9:$J$190),_xlfn.XLOOKUP($B1712,'2. TEUs &amp; Activities - EF'!$B$9:$B$190,'2. TEUs &amp; Activities - EF'!$J$9:$J$190))*'3. Pollutant Emissions - EF'!$I1712*IF(OR(ISBLANK($E1712),$G1712="Yes"),1,$E1712)*IF($H1712="Yes",1,(1-$F1712))</f>
        <v>9.069176470588235E-3</v>
      </c>
      <c r="N1712" s="5">
        <f>IF(ISBLANK($B1712),_xlfn.XLOOKUP($A1712,'2. TEUs &amp; Activities - EF'!$A$9:$A$190,'2. TEUs &amp; Activities - EF'!$M$9:$M$190),_xlfn.XLOOKUP($B1712,'2. TEUs &amp; Activities - EF'!$B$9:$B$190,'2. TEUs &amp; Activities - EF'!$M$9:$M$190))*'3. Pollutant Emissions - EF'!$J1712*IF(OR(ISBLANK($E1712),$G1712="Yes"),1,$E1712)*IF($H1712="Yes",1,(1-$F1712))</f>
        <v>2.4847058823529412E-5</v>
      </c>
      <c r="O1712" s="130"/>
    </row>
    <row r="1713" spans="1:15" ht="15" x14ac:dyDescent="0.25">
      <c r="A1713" s="5" t="s">
        <v>1635</v>
      </c>
      <c r="B1713" s="7"/>
      <c r="C1713" s="13" t="s">
        <v>46</v>
      </c>
      <c r="D1713" s="19" t="str">
        <f>IFERROR(IF(C1713="No CAS","",INDEX('DEQ Pollutant List'!$B$7:$B$611,MATCH('3. Pollutant Emissions - EF'!C1713,'DEQ Pollutant List'!$A$7:$A$611,0))),"")</f>
        <v>Benzene</v>
      </c>
      <c r="E1713" s="23">
        <v>0</v>
      </c>
      <c r="F1713" s="21">
        <v>0</v>
      </c>
      <c r="G1713" s="23" t="s">
        <v>1415</v>
      </c>
      <c r="H1713" s="21" t="s">
        <v>1415</v>
      </c>
      <c r="I1713" s="34">
        <v>8.0000000000000002E-3</v>
      </c>
      <c r="J1713" s="11">
        <f t="shared" si="62"/>
        <v>8.0000000000000002E-3</v>
      </c>
      <c r="K1713" s="6" t="s">
        <v>1416</v>
      </c>
      <c r="L1713" s="20" t="s">
        <v>1422</v>
      </c>
      <c r="M1713" s="7">
        <f>IF(ISBLANK($B1713),_xlfn.XLOOKUP($A1713,'2. TEUs &amp; Activities - EF'!$A$9:$A$190,'2. TEUs &amp; Activities - EF'!$J$9:$J$190),_xlfn.XLOOKUP($B1713,'2. TEUs &amp; Activities - EF'!$B$9:$B$190,'2. TEUs &amp; Activities - EF'!$J$9:$J$190))*'3. Pollutant Emissions - EF'!$I1713*IF(OR(ISBLANK($E1713),$G1713="Yes"),1,$E1713)*IF($H1713="Yes",1,(1-$F1713))</f>
        <v>1.6489411764705881E-2</v>
      </c>
      <c r="N1713" s="5">
        <f>IF(ISBLANK($B1713),_xlfn.XLOOKUP($A1713,'2. TEUs &amp; Activities - EF'!$A$9:$A$190,'2. TEUs &amp; Activities - EF'!$M$9:$M$190),_xlfn.XLOOKUP($B1713,'2. TEUs &amp; Activities - EF'!$B$9:$B$190,'2. TEUs &amp; Activities - EF'!$M$9:$M$190))*'3. Pollutant Emissions - EF'!$J1713*IF(OR(ISBLANK($E1713),$G1713="Yes"),1,$E1713)*IF($H1713="Yes",1,(1-$F1713))</f>
        <v>4.5176470588235293E-5</v>
      </c>
      <c r="O1713" s="130"/>
    </row>
    <row r="1714" spans="1:15" ht="15" x14ac:dyDescent="0.25">
      <c r="A1714" s="5" t="s">
        <v>1635</v>
      </c>
      <c r="B1714" s="7"/>
      <c r="C1714" s="13" t="s">
        <v>55</v>
      </c>
      <c r="D1714" s="19" t="str">
        <f>IFERROR(IF(C1714="No CAS","",INDEX('DEQ Pollutant List'!$B$7:$B$611,MATCH('3. Pollutant Emissions - EF'!C1714,'DEQ Pollutant List'!$A$7:$A$611,0))),"")</f>
        <v>Beryllium and compounds</v>
      </c>
      <c r="E1714" s="23">
        <v>0</v>
      </c>
      <c r="F1714" s="21">
        <v>0</v>
      </c>
      <c r="G1714" s="23" t="s">
        <v>1415</v>
      </c>
      <c r="H1714" s="21" t="s">
        <v>1415</v>
      </c>
      <c r="I1714" s="34">
        <v>1.2E-5</v>
      </c>
      <c r="J1714" s="11">
        <f t="shared" si="62"/>
        <v>1.2E-5</v>
      </c>
      <c r="K1714" s="6" t="s">
        <v>1416</v>
      </c>
      <c r="L1714" s="20" t="s">
        <v>1422</v>
      </c>
      <c r="M1714" s="7">
        <f>IF(ISBLANK($B1714),_xlfn.XLOOKUP($A1714,'2. TEUs &amp; Activities - EF'!$A$9:$A$190,'2. TEUs &amp; Activities - EF'!$J$9:$J$190),_xlfn.XLOOKUP($B1714,'2. TEUs &amp; Activities - EF'!$B$9:$B$190,'2. TEUs &amp; Activities - EF'!$J$9:$J$190))*'3. Pollutant Emissions - EF'!$I1714*IF(OR(ISBLANK($E1714),$G1714="Yes"),1,$E1714)*IF($H1714="Yes",1,(1-$F1714))</f>
        <v>2.4734117647058823E-5</v>
      </c>
      <c r="N1714" s="5">
        <f>IF(ISBLANK($B1714),_xlfn.XLOOKUP($A1714,'2. TEUs &amp; Activities - EF'!$A$9:$A$190,'2. TEUs &amp; Activities - EF'!$M$9:$M$190),_xlfn.XLOOKUP($B1714,'2. TEUs &amp; Activities - EF'!$B$9:$B$190,'2. TEUs &amp; Activities - EF'!$M$9:$M$190))*'3. Pollutant Emissions - EF'!$J1714*IF(OR(ISBLANK($E1714),$G1714="Yes"),1,$E1714)*IF($H1714="Yes",1,(1-$F1714))</f>
        <v>6.7764705882352938E-8</v>
      </c>
      <c r="O1714" s="130"/>
    </row>
    <row r="1715" spans="1:15" ht="15" x14ac:dyDescent="0.25">
      <c r="A1715" s="5" t="s">
        <v>1635</v>
      </c>
      <c r="B1715" s="7"/>
      <c r="C1715" s="13" t="s">
        <v>56</v>
      </c>
      <c r="D1715" s="19" t="str">
        <f>IFERROR(IF(C1715="No CAS","",INDEX('DEQ Pollutant List'!$B$7:$B$611,MATCH('3. Pollutant Emissions - EF'!C1715,'DEQ Pollutant List'!$A$7:$A$611,0))),"")</f>
        <v>Cadmium and compounds</v>
      </c>
      <c r="E1715" s="23">
        <v>0</v>
      </c>
      <c r="F1715" s="21">
        <v>0</v>
      </c>
      <c r="G1715" s="23" t="s">
        <v>1415</v>
      </c>
      <c r="H1715" s="21" t="s">
        <v>1415</v>
      </c>
      <c r="I1715" s="34">
        <v>1.1000000000000001E-3</v>
      </c>
      <c r="J1715" s="11">
        <f t="shared" si="62"/>
        <v>1.1000000000000001E-3</v>
      </c>
      <c r="K1715" s="6" t="s">
        <v>1416</v>
      </c>
      <c r="L1715" s="20" t="s">
        <v>1422</v>
      </c>
      <c r="M1715" s="7">
        <f>IF(ISBLANK($B1715),_xlfn.XLOOKUP($A1715,'2. TEUs &amp; Activities - EF'!$A$9:$A$190,'2. TEUs &amp; Activities - EF'!$J$9:$J$190),_xlfn.XLOOKUP($B1715,'2. TEUs &amp; Activities - EF'!$B$9:$B$190,'2. TEUs &amp; Activities - EF'!$J$9:$J$190))*'3. Pollutant Emissions - EF'!$I1715*IF(OR(ISBLANK($E1715),$G1715="Yes"),1,$E1715)*IF($H1715="Yes",1,(1-$F1715))</f>
        <v>2.2672941176470588E-3</v>
      </c>
      <c r="N1715" s="5">
        <f>IF(ISBLANK($B1715),_xlfn.XLOOKUP($A1715,'2. TEUs &amp; Activities - EF'!$A$9:$A$190,'2. TEUs &amp; Activities - EF'!$M$9:$M$190),_xlfn.XLOOKUP($B1715,'2. TEUs &amp; Activities - EF'!$B$9:$B$190,'2. TEUs &amp; Activities - EF'!$M$9:$M$190))*'3. Pollutant Emissions - EF'!$J1715*IF(OR(ISBLANK($E1715),$G1715="Yes"),1,$E1715)*IF($H1715="Yes",1,(1-$F1715))</f>
        <v>6.2117647058823531E-6</v>
      </c>
      <c r="O1715" s="130"/>
    </row>
    <row r="1716" spans="1:15" ht="15" x14ac:dyDescent="0.25">
      <c r="A1716" s="5" t="s">
        <v>1635</v>
      </c>
      <c r="B1716" s="7"/>
      <c r="C1716" s="13" t="s">
        <v>57</v>
      </c>
      <c r="D1716" s="19" t="str">
        <f>IFERROR(IF(C1716="No CAS","",INDEX('DEQ Pollutant List'!$B$7:$B$611,MATCH('3. Pollutant Emissions - EF'!C1716,'DEQ Pollutant List'!$A$7:$A$611,0))),"")</f>
        <v>Chromium VI, chromate and dichromate particulate</v>
      </c>
      <c r="E1716" s="23">
        <v>0</v>
      </c>
      <c r="F1716" s="21">
        <v>0</v>
      </c>
      <c r="G1716" s="23" t="s">
        <v>1415</v>
      </c>
      <c r="H1716" s="21" t="s">
        <v>1415</v>
      </c>
      <c r="I1716" s="34">
        <v>1.4E-3</v>
      </c>
      <c r="J1716" s="11">
        <f t="shared" si="62"/>
        <v>1.4E-3</v>
      </c>
      <c r="K1716" s="6" t="s">
        <v>1416</v>
      </c>
      <c r="L1716" s="20" t="s">
        <v>1422</v>
      </c>
      <c r="M1716" s="7">
        <f>IF(ISBLANK($B1716),_xlfn.XLOOKUP($A1716,'2. TEUs &amp; Activities - EF'!$A$9:$A$190,'2. TEUs &amp; Activities - EF'!$J$9:$J$190),_xlfn.XLOOKUP($B1716,'2. TEUs &amp; Activities - EF'!$B$9:$B$190,'2. TEUs &amp; Activities - EF'!$J$9:$J$190))*'3. Pollutant Emissions - EF'!$I1716*IF(OR(ISBLANK($E1716),$G1716="Yes"),1,$E1716)*IF($H1716="Yes",1,(1-$F1716))</f>
        <v>2.8856470588235292E-3</v>
      </c>
      <c r="N1716" s="5">
        <f>IF(ISBLANK($B1716),_xlfn.XLOOKUP($A1716,'2. TEUs &amp; Activities - EF'!$A$9:$A$190,'2. TEUs &amp; Activities - EF'!$M$9:$M$190),_xlfn.XLOOKUP($B1716,'2. TEUs &amp; Activities - EF'!$B$9:$B$190,'2. TEUs &amp; Activities - EF'!$M$9:$M$190))*'3. Pollutant Emissions - EF'!$J1716*IF(OR(ISBLANK($E1716),$G1716="Yes"),1,$E1716)*IF($H1716="Yes",1,(1-$F1716))</f>
        <v>7.9058823529411759E-6</v>
      </c>
      <c r="O1716" s="130"/>
    </row>
    <row r="1717" spans="1:15" ht="15" x14ac:dyDescent="0.25">
      <c r="A1717" s="5" t="s">
        <v>1635</v>
      </c>
      <c r="B1717" s="7"/>
      <c r="C1717" s="13" t="s">
        <v>58</v>
      </c>
      <c r="D1717" s="19" t="str">
        <f>IFERROR(IF(C1717="No CAS","",INDEX('DEQ Pollutant List'!$B$7:$B$611,MATCH('3. Pollutant Emissions - EF'!C1717,'DEQ Pollutant List'!$A$7:$A$611,0))),"")</f>
        <v>Cobalt and compounds</v>
      </c>
      <c r="E1717" s="23">
        <v>0</v>
      </c>
      <c r="F1717" s="21">
        <v>0</v>
      </c>
      <c r="G1717" s="23" t="s">
        <v>1415</v>
      </c>
      <c r="H1717" s="21" t="s">
        <v>1415</v>
      </c>
      <c r="I1717" s="34">
        <v>8.3999999999999995E-5</v>
      </c>
      <c r="J1717" s="11">
        <f t="shared" si="62"/>
        <v>8.3999999999999995E-5</v>
      </c>
      <c r="K1717" s="6" t="s">
        <v>1416</v>
      </c>
      <c r="L1717" s="20" t="s">
        <v>1422</v>
      </c>
      <c r="M1717" s="7">
        <f>IF(ISBLANK($B1717),_xlfn.XLOOKUP($A1717,'2. TEUs &amp; Activities - EF'!$A$9:$A$190,'2. TEUs &amp; Activities - EF'!$J$9:$J$190),_xlfn.XLOOKUP($B1717,'2. TEUs &amp; Activities - EF'!$B$9:$B$190,'2. TEUs &amp; Activities - EF'!$J$9:$J$190))*'3. Pollutant Emissions - EF'!$I1717*IF(OR(ISBLANK($E1717),$G1717="Yes"),1,$E1717)*IF($H1717="Yes",1,(1-$F1717))</f>
        <v>1.7313882352941175E-4</v>
      </c>
      <c r="N1717" s="5">
        <f>IF(ISBLANK($B1717),_xlfn.XLOOKUP($A1717,'2. TEUs &amp; Activities - EF'!$A$9:$A$190,'2. TEUs &amp; Activities - EF'!$M$9:$M$190),_xlfn.XLOOKUP($B1717,'2. TEUs &amp; Activities - EF'!$B$9:$B$190,'2. TEUs &amp; Activities - EF'!$M$9:$M$190))*'3. Pollutant Emissions - EF'!$J1717*IF(OR(ISBLANK($E1717),$G1717="Yes"),1,$E1717)*IF($H1717="Yes",1,(1-$F1717))</f>
        <v>4.7435294117647051E-7</v>
      </c>
      <c r="O1717" s="130"/>
    </row>
    <row r="1718" spans="1:15" ht="15" x14ac:dyDescent="0.25">
      <c r="A1718" s="5" t="s">
        <v>1635</v>
      </c>
      <c r="B1718" s="7"/>
      <c r="C1718" s="13" t="s">
        <v>59</v>
      </c>
      <c r="D1718" s="19" t="str">
        <f>IFERROR(IF(C1718="No CAS","",INDEX('DEQ Pollutant List'!$B$7:$B$611,MATCH('3. Pollutant Emissions - EF'!C1718,'DEQ Pollutant List'!$A$7:$A$611,0))),"")</f>
        <v>Copper and compounds</v>
      </c>
      <c r="E1718" s="23">
        <v>0</v>
      </c>
      <c r="F1718" s="21">
        <v>0</v>
      </c>
      <c r="G1718" s="23" t="s">
        <v>1415</v>
      </c>
      <c r="H1718" s="21" t="s">
        <v>1415</v>
      </c>
      <c r="I1718" s="34">
        <v>8.4999999999999995E-4</v>
      </c>
      <c r="J1718" s="11">
        <f t="shared" si="62"/>
        <v>8.4999999999999995E-4</v>
      </c>
      <c r="K1718" s="6" t="s">
        <v>1416</v>
      </c>
      <c r="L1718" s="20" t="s">
        <v>1422</v>
      </c>
      <c r="M1718" s="7">
        <f>IF(ISBLANK($B1718),_xlfn.XLOOKUP($A1718,'2. TEUs &amp; Activities - EF'!$A$9:$A$190,'2. TEUs &amp; Activities - EF'!$J$9:$J$190),_xlfn.XLOOKUP($B1718,'2. TEUs &amp; Activities - EF'!$B$9:$B$190,'2. TEUs &amp; Activities - EF'!$J$9:$J$190))*'3. Pollutant Emissions - EF'!$I1718*IF(OR(ISBLANK($E1718),$G1718="Yes"),1,$E1718)*IF($H1718="Yes",1,(1-$F1718))</f>
        <v>1.7519999999999999E-3</v>
      </c>
      <c r="N1718" s="5">
        <f>IF(ISBLANK($B1718),_xlfn.XLOOKUP($A1718,'2. TEUs &amp; Activities - EF'!$A$9:$A$190,'2. TEUs &amp; Activities - EF'!$M$9:$M$190),_xlfn.XLOOKUP($B1718,'2. TEUs &amp; Activities - EF'!$B$9:$B$190,'2. TEUs &amp; Activities - EF'!$M$9:$M$190))*'3. Pollutant Emissions - EF'!$J1718*IF(OR(ISBLANK($E1718),$G1718="Yes"),1,$E1718)*IF($H1718="Yes",1,(1-$F1718))</f>
        <v>4.7999999999999989E-6</v>
      </c>
      <c r="O1718" s="130"/>
    </row>
    <row r="1719" spans="1:15" ht="15" x14ac:dyDescent="0.25">
      <c r="A1719" s="5" t="s">
        <v>1635</v>
      </c>
      <c r="B1719" s="7"/>
      <c r="C1719" s="13" t="s">
        <v>60</v>
      </c>
      <c r="D1719" s="19" t="str">
        <f>IFERROR(IF(C1719="No CAS","",INDEX('DEQ Pollutant List'!$B$7:$B$611,MATCH('3. Pollutant Emissions - EF'!C1719,'DEQ Pollutant List'!$A$7:$A$611,0))),"")</f>
        <v>Ethyl benzene</v>
      </c>
      <c r="E1719" s="23">
        <v>0</v>
      </c>
      <c r="F1719" s="21">
        <v>0</v>
      </c>
      <c r="G1719" s="23" t="s">
        <v>1415</v>
      </c>
      <c r="H1719" s="21" t="s">
        <v>1415</v>
      </c>
      <c r="I1719" s="34">
        <v>9.4999999999999998E-3</v>
      </c>
      <c r="J1719" s="11">
        <f t="shared" si="62"/>
        <v>9.4999999999999998E-3</v>
      </c>
      <c r="K1719" s="6" t="s">
        <v>1416</v>
      </c>
      <c r="L1719" s="20" t="s">
        <v>1422</v>
      </c>
      <c r="M1719" s="7">
        <f>IF(ISBLANK($B1719),_xlfn.XLOOKUP($A1719,'2. TEUs &amp; Activities - EF'!$A$9:$A$190,'2. TEUs &amp; Activities - EF'!$J$9:$J$190),_xlfn.XLOOKUP($B1719,'2. TEUs &amp; Activities - EF'!$B$9:$B$190,'2. TEUs &amp; Activities - EF'!$J$9:$J$190))*'3. Pollutant Emissions - EF'!$I1719*IF(OR(ISBLANK($E1719),$G1719="Yes"),1,$E1719)*IF($H1719="Yes",1,(1-$F1719))</f>
        <v>1.9581176470588234E-2</v>
      </c>
      <c r="N1719" s="5">
        <f>IF(ISBLANK($B1719),_xlfn.XLOOKUP($A1719,'2. TEUs &amp; Activities - EF'!$A$9:$A$190,'2. TEUs &amp; Activities - EF'!$M$9:$M$190),_xlfn.XLOOKUP($B1719,'2. TEUs &amp; Activities - EF'!$B$9:$B$190,'2. TEUs &amp; Activities - EF'!$M$9:$M$190))*'3. Pollutant Emissions - EF'!$J1719*IF(OR(ISBLANK($E1719),$G1719="Yes"),1,$E1719)*IF($H1719="Yes",1,(1-$F1719))</f>
        <v>5.3647058823529404E-5</v>
      </c>
      <c r="O1719" s="130"/>
    </row>
    <row r="1720" spans="1:15" ht="15" x14ac:dyDescent="0.25">
      <c r="A1720" s="5" t="s">
        <v>1635</v>
      </c>
      <c r="B1720" s="7"/>
      <c r="C1720" s="13" t="s">
        <v>47</v>
      </c>
      <c r="D1720" s="19" t="str">
        <f>IFERROR(IF(C1720="No CAS","",INDEX('DEQ Pollutant List'!$B$7:$B$611,MATCH('3. Pollutant Emissions - EF'!C1720,'DEQ Pollutant List'!$A$7:$A$611,0))),"")</f>
        <v>Formaldehyde</v>
      </c>
      <c r="E1720" s="23">
        <v>0</v>
      </c>
      <c r="F1720" s="21">
        <v>0</v>
      </c>
      <c r="G1720" s="23" t="s">
        <v>1415</v>
      </c>
      <c r="H1720" s="21" t="s">
        <v>1415</v>
      </c>
      <c r="I1720" s="34">
        <v>1.7000000000000001E-2</v>
      </c>
      <c r="J1720" s="11">
        <f t="shared" si="62"/>
        <v>1.7000000000000001E-2</v>
      </c>
      <c r="K1720" s="6" t="s">
        <v>1416</v>
      </c>
      <c r="L1720" s="20" t="s">
        <v>1422</v>
      </c>
      <c r="M1720" s="7">
        <f>IF(ISBLANK($B1720),_xlfn.XLOOKUP($A1720,'2. TEUs &amp; Activities - EF'!$A$9:$A$190,'2. TEUs &amp; Activities - EF'!$J$9:$J$190),_xlfn.XLOOKUP($B1720,'2. TEUs &amp; Activities - EF'!$B$9:$B$190,'2. TEUs &amp; Activities - EF'!$J$9:$J$190))*'3. Pollutant Emissions - EF'!$I1720*IF(OR(ISBLANK($E1720),$G1720="Yes"),1,$E1720)*IF($H1720="Yes",1,(1-$F1720))</f>
        <v>3.5040000000000002E-2</v>
      </c>
      <c r="N1720" s="5">
        <f>IF(ISBLANK($B1720),_xlfn.XLOOKUP($A1720,'2. TEUs &amp; Activities - EF'!$A$9:$A$190,'2. TEUs &amp; Activities - EF'!$M$9:$M$190),_xlfn.XLOOKUP($B1720,'2. TEUs &amp; Activities - EF'!$B$9:$B$190,'2. TEUs &amp; Activities - EF'!$M$9:$M$190))*'3. Pollutant Emissions - EF'!$J1720*IF(OR(ISBLANK($E1720),$G1720="Yes"),1,$E1720)*IF($H1720="Yes",1,(1-$F1720))</f>
        <v>9.6000000000000002E-5</v>
      </c>
      <c r="O1720" s="130"/>
    </row>
    <row r="1721" spans="1:15" ht="15" x14ac:dyDescent="0.25">
      <c r="A1721" s="5" t="s">
        <v>1635</v>
      </c>
      <c r="B1721" s="7"/>
      <c r="C1721" s="13" t="s">
        <v>61</v>
      </c>
      <c r="D1721" s="19" t="str">
        <f>IFERROR(IF(C1721="No CAS","",INDEX('DEQ Pollutant List'!$B$7:$B$611,MATCH('3. Pollutant Emissions - EF'!C1721,'DEQ Pollutant List'!$A$7:$A$611,0))),"")</f>
        <v>Hexane</v>
      </c>
      <c r="E1721" s="23">
        <v>0</v>
      </c>
      <c r="F1721" s="21">
        <v>0</v>
      </c>
      <c r="G1721" s="23" t="s">
        <v>1415</v>
      </c>
      <c r="H1721" s="21" t="s">
        <v>1415</v>
      </c>
      <c r="I1721" s="34">
        <v>6.3E-3</v>
      </c>
      <c r="J1721" s="11">
        <f t="shared" si="62"/>
        <v>6.3E-3</v>
      </c>
      <c r="K1721" s="6" t="s">
        <v>1416</v>
      </c>
      <c r="L1721" s="20" t="s">
        <v>1422</v>
      </c>
      <c r="M1721" s="7">
        <f>IF(ISBLANK($B1721),_xlfn.XLOOKUP($A1721,'2. TEUs &amp; Activities - EF'!$A$9:$A$190,'2. TEUs &amp; Activities - EF'!$J$9:$J$190),_xlfn.XLOOKUP($B1721,'2. TEUs &amp; Activities - EF'!$B$9:$B$190,'2. TEUs &amp; Activities - EF'!$J$9:$J$190))*'3. Pollutant Emissions - EF'!$I1721*IF(OR(ISBLANK($E1721),$G1721="Yes"),1,$E1721)*IF($H1721="Yes",1,(1-$F1721))</f>
        <v>1.2985411764705882E-2</v>
      </c>
      <c r="N1721" s="5">
        <f>IF(ISBLANK($B1721),_xlfn.XLOOKUP($A1721,'2. TEUs &amp; Activities - EF'!$A$9:$A$190,'2. TEUs &amp; Activities - EF'!$M$9:$M$190),_xlfn.XLOOKUP($B1721,'2. TEUs &amp; Activities - EF'!$B$9:$B$190,'2. TEUs &amp; Activities - EF'!$M$9:$M$190))*'3. Pollutant Emissions - EF'!$J1721*IF(OR(ISBLANK($E1721),$G1721="Yes"),1,$E1721)*IF($H1721="Yes",1,(1-$F1721))</f>
        <v>3.557647058823529E-5</v>
      </c>
      <c r="O1721" s="130"/>
    </row>
    <row r="1722" spans="1:15" ht="15" x14ac:dyDescent="0.25">
      <c r="A1722" s="5" t="s">
        <v>1635</v>
      </c>
      <c r="B1722" s="7"/>
      <c r="C1722" s="13" t="s">
        <v>62</v>
      </c>
      <c r="D1722" s="19" t="str">
        <f>IFERROR(IF(C1722="No CAS","",INDEX('DEQ Pollutant List'!$B$7:$B$611,MATCH('3. Pollutant Emissions - EF'!C1722,'DEQ Pollutant List'!$A$7:$A$611,0))),"")</f>
        <v>Lead and compounds</v>
      </c>
      <c r="E1722" s="23">
        <v>0</v>
      </c>
      <c r="F1722" s="21">
        <v>0</v>
      </c>
      <c r="G1722" s="23" t="s">
        <v>1415</v>
      </c>
      <c r="H1722" s="21" t="s">
        <v>1415</v>
      </c>
      <c r="I1722" s="34">
        <v>5.0000000000000001E-4</v>
      </c>
      <c r="J1722" s="11">
        <f t="shared" si="62"/>
        <v>5.0000000000000001E-4</v>
      </c>
      <c r="K1722" s="6" t="s">
        <v>1416</v>
      </c>
      <c r="L1722" s="20" t="s">
        <v>1422</v>
      </c>
      <c r="M1722" s="7">
        <f>IF(ISBLANK($B1722),_xlfn.XLOOKUP($A1722,'2. TEUs &amp; Activities - EF'!$A$9:$A$190,'2. TEUs &amp; Activities - EF'!$J$9:$J$190),_xlfn.XLOOKUP($B1722,'2. TEUs &amp; Activities - EF'!$B$9:$B$190,'2. TEUs &amp; Activities - EF'!$J$9:$J$190))*'3. Pollutant Emissions - EF'!$I1722*IF(OR(ISBLANK($E1722),$G1722="Yes"),1,$E1722)*IF($H1722="Yes",1,(1-$F1722))</f>
        <v>1.0305882352941176E-3</v>
      </c>
      <c r="N1722" s="5">
        <f>IF(ISBLANK($B1722),_xlfn.XLOOKUP($A1722,'2. TEUs &amp; Activities - EF'!$A$9:$A$190,'2. TEUs &amp; Activities - EF'!$M$9:$M$190),_xlfn.XLOOKUP($B1722,'2. TEUs &amp; Activities - EF'!$B$9:$B$190,'2. TEUs &amp; Activities - EF'!$M$9:$M$190))*'3. Pollutant Emissions - EF'!$J1722*IF(OR(ISBLANK($E1722),$G1722="Yes"),1,$E1722)*IF($H1722="Yes",1,(1-$F1722))</f>
        <v>2.8235294117647058E-6</v>
      </c>
      <c r="O1722" s="130"/>
    </row>
    <row r="1723" spans="1:15" ht="15" x14ac:dyDescent="0.25">
      <c r="A1723" s="5" t="s">
        <v>1635</v>
      </c>
      <c r="B1723" s="7"/>
      <c r="C1723" s="13" t="s">
        <v>63</v>
      </c>
      <c r="D1723" s="19" t="str">
        <f>IFERROR(IF(C1723="No CAS","",INDEX('DEQ Pollutant List'!$B$7:$B$611,MATCH('3. Pollutant Emissions - EF'!C1723,'DEQ Pollutant List'!$A$7:$A$611,0))),"")</f>
        <v>Manganese and compounds</v>
      </c>
      <c r="E1723" s="23">
        <v>0</v>
      </c>
      <c r="F1723" s="21">
        <v>0</v>
      </c>
      <c r="G1723" s="23" t="s">
        <v>1415</v>
      </c>
      <c r="H1723" s="21" t="s">
        <v>1415</v>
      </c>
      <c r="I1723" s="34">
        <v>3.8000000000000002E-4</v>
      </c>
      <c r="J1723" s="11">
        <f t="shared" si="62"/>
        <v>3.8000000000000002E-4</v>
      </c>
      <c r="K1723" s="6" t="s">
        <v>1416</v>
      </c>
      <c r="L1723" s="20" t="s">
        <v>1422</v>
      </c>
      <c r="M1723" s="7">
        <f>IF(ISBLANK($B1723),_xlfn.XLOOKUP($A1723,'2. TEUs &amp; Activities - EF'!$A$9:$A$190,'2. TEUs &amp; Activities - EF'!$J$9:$J$190),_xlfn.XLOOKUP($B1723,'2. TEUs &amp; Activities - EF'!$B$9:$B$190,'2. TEUs &amp; Activities - EF'!$J$9:$J$190))*'3. Pollutant Emissions - EF'!$I1723*IF(OR(ISBLANK($E1723),$G1723="Yes"),1,$E1723)*IF($H1723="Yes",1,(1-$F1723))</f>
        <v>7.8324705882352943E-4</v>
      </c>
      <c r="N1723" s="5">
        <f>IF(ISBLANK($B1723),_xlfn.XLOOKUP($A1723,'2. TEUs &amp; Activities - EF'!$A$9:$A$190,'2. TEUs &amp; Activities - EF'!$M$9:$M$190),_xlfn.XLOOKUP($B1723,'2. TEUs &amp; Activities - EF'!$B$9:$B$190,'2. TEUs &amp; Activities - EF'!$M$9:$M$190))*'3. Pollutant Emissions - EF'!$J1723*IF(OR(ISBLANK($E1723),$G1723="Yes"),1,$E1723)*IF($H1723="Yes",1,(1-$F1723))</f>
        <v>2.1458823529411764E-6</v>
      </c>
      <c r="O1723" s="130"/>
    </row>
    <row r="1724" spans="1:15" ht="15" x14ac:dyDescent="0.25">
      <c r="A1724" s="5" t="s">
        <v>1635</v>
      </c>
      <c r="B1724" s="7"/>
      <c r="C1724" s="13" t="s">
        <v>64</v>
      </c>
      <c r="D1724" s="19" t="str">
        <f>IFERROR(IF(C1724="No CAS","",INDEX('DEQ Pollutant List'!$B$7:$B$611,MATCH('3. Pollutant Emissions - EF'!C1724,'DEQ Pollutant List'!$A$7:$A$611,0))),"")</f>
        <v>Mercury and compounds</v>
      </c>
      <c r="E1724" s="23">
        <v>0</v>
      </c>
      <c r="F1724" s="21">
        <v>0</v>
      </c>
      <c r="G1724" s="23" t="s">
        <v>1415</v>
      </c>
      <c r="H1724" s="21" t="s">
        <v>1415</v>
      </c>
      <c r="I1724" s="34">
        <v>2.5999999999999998E-4</v>
      </c>
      <c r="J1724" s="11">
        <f t="shared" si="62"/>
        <v>2.5999999999999998E-4</v>
      </c>
      <c r="K1724" s="6" t="s">
        <v>1416</v>
      </c>
      <c r="L1724" s="20" t="s">
        <v>1422</v>
      </c>
      <c r="M1724" s="7">
        <f>IF(ISBLANK($B1724),_xlfn.XLOOKUP($A1724,'2. TEUs &amp; Activities - EF'!$A$9:$A$190,'2. TEUs &amp; Activities - EF'!$J$9:$J$190),_xlfn.XLOOKUP($B1724,'2. TEUs &amp; Activities - EF'!$B$9:$B$190,'2. TEUs &amp; Activities - EF'!$J$9:$J$190))*'3. Pollutant Emissions - EF'!$I1724*IF(OR(ISBLANK($E1724),$G1724="Yes"),1,$E1724)*IF($H1724="Yes",1,(1-$F1724))</f>
        <v>5.3590588235294108E-4</v>
      </c>
      <c r="N1724" s="5">
        <f>IF(ISBLANK($B1724),_xlfn.XLOOKUP($A1724,'2. TEUs &amp; Activities - EF'!$A$9:$A$190,'2. TEUs &amp; Activities - EF'!$M$9:$M$190),_xlfn.XLOOKUP($B1724,'2. TEUs &amp; Activities - EF'!$B$9:$B$190,'2. TEUs &amp; Activities - EF'!$M$9:$M$190))*'3. Pollutant Emissions - EF'!$J1724*IF(OR(ISBLANK($E1724),$G1724="Yes"),1,$E1724)*IF($H1724="Yes",1,(1-$F1724))</f>
        <v>1.4682352941176468E-6</v>
      </c>
      <c r="O1724" s="130"/>
    </row>
    <row r="1725" spans="1:15" ht="15" x14ac:dyDescent="0.25">
      <c r="A1725" s="5" t="s">
        <v>1635</v>
      </c>
      <c r="B1725" s="7"/>
      <c r="C1725" s="13" t="s">
        <v>65</v>
      </c>
      <c r="D1725" s="19" t="str">
        <f>IFERROR(IF(C1725="No CAS","",INDEX('DEQ Pollutant List'!$B$7:$B$611,MATCH('3. Pollutant Emissions - EF'!C1725,'DEQ Pollutant List'!$A$7:$A$611,0))),"")</f>
        <v>Molybdenum trioxide</v>
      </c>
      <c r="E1725" s="23">
        <v>0</v>
      </c>
      <c r="F1725" s="21">
        <v>0</v>
      </c>
      <c r="G1725" s="23" t="s">
        <v>1415</v>
      </c>
      <c r="H1725" s="21" t="s">
        <v>1415</v>
      </c>
      <c r="I1725" s="34">
        <v>1.65E-3</v>
      </c>
      <c r="J1725" s="11">
        <f t="shared" si="62"/>
        <v>1.65E-3</v>
      </c>
      <c r="K1725" s="6" t="s">
        <v>1416</v>
      </c>
      <c r="L1725" s="20" t="s">
        <v>1422</v>
      </c>
      <c r="M1725" s="7">
        <f>IF(ISBLANK($B1725),_xlfn.XLOOKUP($A1725,'2. TEUs &amp; Activities - EF'!$A$9:$A$190,'2. TEUs &amp; Activities - EF'!$J$9:$J$190),_xlfn.XLOOKUP($B1725,'2. TEUs &amp; Activities - EF'!$B$9:$B$190,'2. TEUs &amp; Activities - EF'!$J$9:$J$190))*'3. Pollutant Emissions - EF'!$I1725*IF(OR(ISBLANK($E1725),$G1725="Yes"),1,$E1725)*IF($H1725="Yes",1,(1-$F1725))</f>
        <v>3.4009411764705879E-3</v>
      </c>
      <c r="N1725" s="5">
        <f>IF(ISBLANK($B1725),_xlfn.XLOOKUP($A1725,'2. TEUs &amp; Activities - EF'!$A$9:$A$190,'2. TEUs &amp; Activities - EF'!$M$9:$M$190),_xlfn.XLOOKUP($B1725,'2. TEUs &amp; Activities - EF'!$B$9:$B$190,'2. TEUs &amp; Activities - EF'!$M$9:$M$190))*'3. Pollutant Emissions - EF'!$J1725*IF(OR(ISBLANK($E1725),$G1725="Yes"),1,$E1725)*IF($H1725="Yes",1,(1-$F1725))</f>
        <v>9.3176470588235284E-6</v>
      </c>
      <c r="O1725" s="130"/>
    </row>
    <row r="1726" spans="1:15" ht="15" x14ac:dyDescent="0.25">
      <c r="A1726" s="5" t="s">
        <v>1635</v>
      </c>
      <c r="B1726" s="7"/>
      <c r="C1726" s="13" t="s">
        <v>49</v>
      </c>
      <c r="D1726" s="19" t="str">
        <f>IFERROR(IF(C1726="No CAS","",INDEX('DEQ Pollutant List'!$B$7:$B$611,MATCH('3. Pollutant Emissions - EF'!C1726,'DEQ Pollutant List'!$A$7:$A$611,0))),"")</f>
        <v>Naphthalene</v>
      </c>
      <c r="E1726" s="23">
        <v>0</v>
      </c>
      <c r="F1726" s="21">
        <v>0</v>
      </c>
      <c r="G1726" s="23" t="s">
        <v>1415</v>
      </c>
      <c r="H1726" s="21" t="s">
        <v>1415</v>
      </c>
      <c r="I1726" s="34">
        <v>2.9999999999999997E-4</v>
      </c>
      <c r="J1726" s="11">
        <f t="shared" si="62"/>
        <v>2.9999999999999997E-4</v>
      </c>
      <c r="K1726" s="6" t="s">
        <v>1416</v>
      </c>
      <c r="L1726" s="20" t="s">
        <v>1422</v>
      </c>
      <c r="M1726" s="7">
        <f>IF(ISBLANK($B1726),_xlfn.XLOOKUP($A1726,'2. TEUs &amp; Activities - EF'!$A$9:$A$190,'2. TEUs &amp; Activities - EF'!$J$9:$J$190),_xlfn.XLOOKUP($B1726,'2. TEUs &amp; Activities - EF'!$B$9:$B$190,'2. TEUs &amp; Activities - EF'!$J$9:$J$190))*'3. Pollutant Emissions - EF'!$I1726*IF(OR(ISBLANK($E1726),$G1726="Yes"),1,$E1726)*IF($H1726="Yes",1,(1-$F1726))</f>
        <v>6.1835294117647049E-4</v>
      </c>
      <c r="N1726" s="5">
        <f>IF(ISBLANK($B1726),_xlfn.XLOOKUP($A1726,'2. TEUs &amp; Activities - EF'!$A$9:$A$190,'2. TEUs &amp; Activities - EF'!$M$9:$M$190),_xlfn.XLOOKUP($B1726,'2. TEUs &amp; Activities - EF'!$B$9:$B$190,'2. TEUs &amp; Activities - EF'!$M$9:$M$190))*'3. Pollutant Emissions - EF'!$J1726*IF(OR(ISBLANK($E1726),$G1726="Yes"),1,$E1726)*IF($H1726="Yes",1,(1-$F1726))</f>
        <v>1.6941176470588232E-6</v>
      </c>
      <c r="O1726" s="130"/>
    </row>
    <row r="1727" spans="1:15" ht="15" x14ac:dyDescent="0.25">
      <c r="A1727" s="5" t="s">
        <v>1635</v>
      </c>
      <c r="B1727" s="7"/>
      <c r="C1727" s="13" t="s">
        <v>66</v>
      </c>
      <c r="D1727" s="19" t="str">
        <f>IFERROR(IF(C1727="No CAS","",INDEX('DEQ Pollutant List'!$B$7:$B$611,MATCH('3. Pollutant Emissions - EF'!C1727,'DEQ Pollutant List'!$A$7:$A$611,0))),"")</f>
        <v>Nickel and compounds</v>
      </c>
      <c r="E1727" s="23">
        <v>0</v>
      </c>
      <c r="F1727" s="21">
        <v>0</v>
      </c>
      <c r="G1727" s="23" t="s">
        <v>1415</v>
      </c>
      <c r="H1727" s="21" t="s">
        <v>1415</v>
      </c>
      <c r="I1727" s="34">
        <v>2.0999999999999999E-3</v>
      </c>
      <c r="J1727" s="11">
        <f t="shared" si="62"/>
        <v>2.0999999999999999E-3</v>
      </c>
      <c r="K1727" s="6" t="s">
        <v>1416</v>
      </c>
      <c r="L1727" s="20" t="s">
        <v>1422</v>
      </c>
      <c r="M1727" s="7">
        <f>IF(ISBLANK($B1727),_xlfn.XLOOKUP($A1727,'2. TEUs &amp; Activities - EF'!$A$9:$A$190,'2. TEUs &amp; Activities - EF'!$J$9:$J$190),_xlfn.XLOOKUP($B1727,'2. TEUs &amp; Activities - EF'!$B$9:$B$190,'2. TEUs &amp; Activities - EF'!$J$9:$J$190))*'3. Pollutant Emissions - EF'!$I1727*IF(OR(ISBLANK($E1727),$G1727="Yes"),1,$E1727)*IF($H1727="Yes",1,(1-$F1727))</f>
        <v>4.3284705882352939E-3</v>
      </c>
      <c r="N1727" s="5">
        <f>IF(ISBLANK($B1727),_xlfn.XLOOKUP($A1727,'2. TEUs &amp; Activities - EF'!$A$9:$A$190,'2. TEUs &amp; Activities - EF'!$M$9:$M$190),_xlfn.XLOOKUP($B1727,'2. TEUs &amp; Activities - EF'!$B$9:$B$190,'2. TEUs &amp; Activities - EF'!$M$9:$M$190))*'3. Pollutant Emissions - EF'!$J1727*IF(OR(ISBLANK($E1727),$G1727="Yes"),1,$E1727)*IF($H1727="Yes",1,(1-$F1727))</f>
        <v>1.1858823529411762E-5</v>
      </c>
      <c r="O1727" s="130"/>
    </row>
    <row r="1728" spans="1:15" ht="15" x14ac:dyDescent="0.25">
      <c r="A1728" s="5" t="s">
        <v>1635</v>
      </c>
      <c r="B1728" s="7"/>
      <c r="C1728" s="13">
        <v>401</v>
      </c>
      <c r="D1728" s="19" t="str">
        <f>IFERROR(IF(C1728="No CAS","",INDEX('DEQ Pollutant List'!$B$7:$B$611,MATCH('3. Pollutant Emissions - EF'!C1728,'DEQ Pollutant List'!$A$7:$A$611,0))),"")</f>
        <v>Polycyclic aromatic hydrocarbons (PAHs)</v>
      </c>
      <c r="E1728" s="23">
        <v>0</v>
      </c>
      <c r="F1728" s="21">
        <v>0</v>
      </c>
      <c r="G1728" s="23" t="s">
        <v>1415</v>
      </c>
      <c r="H1728" s="21" t="s">
        <v>1415</v>
      </c>
      <c r="I1728" s="34">
        <v>1E-4</v>
      </c>
      <c r="J1728" s="11">
        <f t="shared" si="62"/>
        <v>1E-4</v>
      </c>
      <c r="K1728" s="6" t="s">
        <v>1416</v>
      </c>
      <c r="L1728" s="20" t="s">
        <v>1422</v>
      </c>
      <c r="M1728" s="7">
        <f>IF(ISBLANK($B1728),_xlfn.XLOOKUP($A1728,'2. TEUs &amp; Activities - EF'!$A$9:$A$190,'2. TEUs &amp; Activities - EF'!$J$9:$J$190),_xlfn.XLOOKUP($B1728,'2. TEUs &amp; Activities - EF'!$B$9:$B$190,'2. TEUs &amp; Activities - EF'!$J$9:$J$190))*'3. Pollutant Emissions - EF'!$I1728*IF(OR(ISBLANK($E1728),$G1728="Yes"),1,$E1728)*IF($H1728="Yes",1,(1-$F1728))</f>
        <v>2.0611764705882353E-4</v>
      </c>
      <c r="N1728" s="5">
        <f>IF(ISBLANK($B1728),_xlfn.XLOOKUP($A1728,'2. TEUs &amp; Activities - EF'!$A$9:$A$190,'2. TEUs &amp; Activities - EF'!$M$9:$M$190),_xlfn.XLOOKUP($B1728,'2. TEUs &amp; Activities - EF'!$B$9:$B$190,'2. TEUs &amp; Activities - EF'!$M$9:$M$190))*'3. Pollutant Emissions - EF'!$J1728*IF(OR(ISBLANK($E1728),$G1728="Yes"),1,$E1728)*IF($H1728="Yes",1,(1-$F1728))</f>
        <v>5.6470588235294118E-7</v>
      </c>
      <c r="O1728" s="130"/>
    </row>
    <row r="1729" spans="1:15" ht="15" x14ac:dyDescent="0.25">
      <c r="A1729" s="5" t="s">
        <v>1635</v>
      </c>
      <c r="B1729" s="7"/>
      <c r="C1729" s="13" t="s">
        <v>67</v>
      </c>
      <c r="D1729" s="19" t="str">
        <f>IFERROR(IF(C1729="No CAS","",INDEX('DEQ Pollutant List'!$B$7:$B$611,MATCH('3. Pollutant Emissions - EF'!C1729,'DEQ Pollutant List'!$A$7:$A$611,0))),"")</f>
        <v>Selenium and compounds</v>
      </c>
      <c r="E1729" s="23">
        <v>0</v>
      </c>
      <c r="F1729" s="21">
        <v>0</v>
      </c>
      <c r="G1729" s="23" t="s">
        <v>1415</v>
      </c>
      <c r="H1729" s="21" t="s">
        <v>1415</v>
      </c>
      <c r="I1729" s="34">
        <v>2.4000000000000001E-5</v>
      </c>
      <c r="J1729" s="11">
        <f t="shared" si="62"/>
        <v>2.4000000000000001E-5</v>
      </c>
      <c r="K1729" s="6" t="s">
        <v>1416</v>
      </c>
      <c r="L1729" s="20" t="s">
        <v>1422</v>
      </c>
      <c r="M1729" s="7">
        <f>IF(ISBLANK($B1729),_xlfn.XLOOKUP($A1729,'2. TEUs &amp; Activities - EF'!$A$9:$A$190,'2. TEUs &amp; Activities - EF'!$J$9:$J$190),_xlfn.XLOOKUP($B1729,'2. TEUs &amp; Activities - EF'!$B$9:$B$190,'2. TEUs &amp; Activities - EF'!$J$9:$J$190))*'3. Pollutant Emissions - EF'!$I1729*IF(OR(ISBLANK($E1729),$G1729="Yes"),1,$E1729)*IF($H1729="Yes",1,(1-$F1729))</f>
        <v>4.9468235294117647E-5</v>
      </c>
      <c r="N1729" s="5">
        <f>IF(ISBLANK($B1729),_xlfn.XLOOKUP($A1729,'2. TEUs &amp; Activities - EF'!$A$9:$A$190,'2. TEUs &amp; Activities - EF'!$M$9:$M$190),_xlfn.XLOOKUP($B1729,'2. TEUs &amp; Activities - EF'!$B$9:$B$190,'2. TEUs &amp; Activities - EF'!$M$9:$M$190))*'3. Pollutant Emissions - EF'!$J1729*IF(OR(ISBLANK($E1729),$G1729="Yes"),1,$E1729)*IF($H1729="Yes",1,(1-$F1729))</f>
        <v>1.3552941176470588E-7</v>
      </c>
      <c r="O1729" s="130"/>
    </row>
    <row r="1730" spans="1:15" ht="15" x14ac:dyDescent="0.25">
      <c r="A1730" s="5" t="s">
        <v>1635</v>
      </c>
      <c r="B1730" s="7"/>
      <c r="C1730" s="13" t="s">
        <v>68</v>
      </c>
      <c r="D1730" s="19" t="str">
        <f>IFERROR(IF(C1730="No CAS","",INDEX('DEQ Pollutant List'!$B$7:$B$611,MATCH('3. Pollutant Emissions - EF'!C1730,'DEQ Pollutant List'!$A$7:$A$611,0))),"")</f>
        <v>Toluene</v>
      </c>
      <c r="E1730" s="23">
        <v>0</v>
      </c>
      <c r="F1730" s="21">
        <v>0</v>
      </c>
      <c r="G1730" s="23" t="s">
        <v>1415</v>
      </c>
      <c r="H1730" s="21" t="s">
        <v>1415</v>
      </c>
      <c r="I1730" s="34">
        <v>3.6600000000000001E-2</v>
      </c>
      <c r="J1730" s="11">
        <f t="shared" si="62"/>
        <v>3.6600000000000001E-2</v>
      </c>
      <c r="K1730" s="6" t="s">
        <v>1416</v>
      </c>
      <c r="L1730" s="20" t="s">
        <v>1422</v>
      </c>
      <c r="M1730" s="7">
        <f>IF(ISBLANK($B1730),_xlfn.XLOOKUP($A1730,'2. TEUs &amp; Activities - EF'!$A$9:$A$190,'2. TEUs &amp; Activities - EF'!$J$9:$J$190),_xlfn.XLOOKUP($B1730,'2. TEUs &amp; Activities - EF'!$B$9:$B$190,'2. TEUs &amp; Activities - EF'!$J$9:$J$190))*'3. Pollutant Emissions - EF'!$I1730*IF(OR(ISBLANK($E1730),$G1730="Yes"),1,$E1730)*IF($H1730="Yes",1,(1-$F1730))</f>
        <v>7.5439058823529415E-2</v>
      </c>
      <c r="N1730" s="5">
        <f>IF(ISBLANK($B1730),_xlfn.XLOOKUP($A1730,'2. TEUs &amp; Activities - EF'!$A$9:$A$190,'2. TEUs &amp; Activities - EF'!$M$9:$M$190),_xlfn.XLOOKUP($B1730,'2. TEUs &amp; Activities - EF'!$B$9:$B$190,'2. TEUs &amp; Activities - EF'!$M$9:$M$190))*'3. Pollutant Emissions - EF'!$J1730*IF(OR(ISBLANK($E1730),$G1730="Yes"),1,$E1730)*IF($H1730="Yes",1,(1-$F1730))</f>
        <v>2.0668235294117644E-4</v>
      </c>
      <c r="O1730" s="130"/>
    </row>
    <row r="1731" spans="1:15" ht="15" x14ac:dyDescent="0.25">
      <c r="A1731" s="5" t="s">
        <v>1635</v>
      </c>
      <c r="B1731" s="7"/>
      <c r="C1731" s="13" t="s">
        <v>69</v>
      </c>
      <c r="D1731" s="19" t="str">
        <f>IFERROR(IF(C1731="No CAS","",INDEX('DEQ Pollutant List'!$B$7:$B$611,MATCH('3. Pollutant Emissions - EF'!C1731,'DEQ Pollutant List'!$A$7:$A$611,0))),"")</f>
        <v>Vanadium (fume or dust)</v>
      </c>
      <c r="E1731" s="23">
        <v>0</v>
      </c>
      <c r="F1731" s="21">
        <v>0</v>
      </c>
      <c r="G1731" s="23" t="s">
        <v>1415</v>
      </c>
      <c r="H1731" s="21" t="s">
        <v>1415</v>
      </c>
      <c r="I1731" s="34">
        <v>2.3E-3</v>
      </c>
      <c r="J1731" s="11">
        <f t="shared" si="62"/>
        <v>2.3E-3</v>
      </c>
      <c r="K1731" s="6" t="s">
        <v>1416</v>
      </c>
      <c r="L1731" s="20" t="s">
        <v>1422</v>
      </c>
      <c r="M1731" s="7">
        <f>IF(ISBLANK($B1731),_xlfn.XLOOKUP($A1731,'2. TEUs &amp; Activities - EF'!$A$9:$A$190,'2. TEUs &amp; Activities - EF'!$J$9:$J$190),_xlfn.XLOOKUP($B1731,'2. TEUs &amp; Activities - EF'!$B$9:$B$190,'2. TEUs &amp; Activities - EF'!$J$9:$J$190))*'3. Pollutant Emissions - EF'!$I1731*IF(OR(ISBLANK($E1731),$G1731="Yes"),1,$E1731)*IF($H1731="Yes",1,(1-$F1731))</f>
        <v>4.7407058823529412E-3</v>
      </c>
      <c r="N1731" s="5">
        <f>IF(ISBLANK($B1731),_xlfn.XLOOKUP($A1731,'2. TEUs &amp; Activities - EF'!$A$9:$A$190,'2. TEUs &amp; Activities - EF'!$M$9:$M$190),_xlfn.XLOOKUP($B1731,'2. TEUs &amp; Activities - EF'!$B$9:$B$190,'2. TEUs &amp; Activities - EF'!$M$9:$M$190))*'3. Pollutant Emissions - EF'!$J1731*IF(OR(ISBLANK($E1731),$G1731="Yes"),1,$E1731)*IF($H1731="Yes",1,(1-$F1731))</f>
        <v>1.2988235294117645E-5</v>
      </c>
      <c r="O1731" s="130"/>
    </row>
    <row r="1732" spans="1:15" ht="15" x14ac:dyDescent="0.25">
      <c r="A1732" s="5" t="s">
        <v>1635</v>
      </c>
      <c r="B1732" s="7"/>
      <c r="C1732" s="13" t="s">
        <v>70</v>
      </c>
      <c r="D1732" s="19" t="str">
        <f>IFERROR(IF(C1732="No CAS","",INDEX('DEQ Pollutant List'!$B$7:$B$611,MATCH('3. Pollutant Emissions - EF'!C1732,'DEQ Pollutant List'!$A$7:$A$611,0))),"")</f>
        <v>Xylene (mixture), including m-xylene, o-xylene, p-xylene</v>
      </c>
      <c r="E1732" s="23">
        <v>0</v>
      </c>
      <c r="F1732" s="21">
        <v>0</v>
      </c>
      <c r="G1732" s="23" t="s">
        <v>1415</v>
      </c>
      <c r="H1732" s="21" t="s">
        <v>1415</v>
      </c>
      <c r="I1732" s="34">
        <v>2.7199999999999998E-2</v>
      </c>
      <c r="J1732" s="11">
        <f t="shared" si="62"/>
        <v>2.7199999999999998E-2</v>
      </c>
      <c r="K1732" s="6" t="s">
        <v>1416</v>
      </c>
      <c r="L1732" s="20" t="s">
        <v>1422</v>
      </c>
      <c r="M1732" s="7">
        <f>IF(ISBLANK($B1732),_xlfn.XLOOKUP($A1732,'2. TEUs &amp; Activities - EF'!$A$9:$A$190,'2. TEUs &amp; Activities - EF'!$J$9:$J$190),_xlfn.XLOOKUP($B1732,'2. TEUs &amp; Activities - EF'!$B$9:$B$190,'2. TEUs &amp; Activities - EF'!$J$9:$J$190))*'3. Pollutant Emissions - EF'!$I1732*IF(OR(ISBLANK($E1732),$G1732="Yes"),1,$E1732)*IF($H1732="Yes",1,(1-$F1732))</f>
        <v>5.6063999999999996E-2</v>
      </c>
      <c r="N1732" s="5">
        <f>IF(ISBLANK($B1732),_xlfn.XLOOKUP($A1732,'2. TEUs &amp; Activities - EF'!$A$9:$A$190,'2. TEUs &amp; Activities - EF'!$M$9:$M$190),_xlfn.XLOOKUP($B1732,'2. TEUs &amp; Activities - EF'!$B$9:$B$190,'2. TEUs &amp; Activities - EF'!$M$9:$M$190))*'3. Pollutant Emissions - EF'!$J1732*IF(OR(ISBLANK($E1732),$G1732="Yes"),1,$E1732)*IF($H1732="Yes",1,(1-$F1732))</f>
        <v>1.5359999999999997E-4</v>
      </c>
      <c r="O1732" s="130"/>
    </row>
    <row r="1733" spans="1:15" ht="15" x14ac:dyDescent="0.25">
      <c r="A1733" s="5" t="s">
        <v>1635</v>
      </c>
      <c r="B1733" s="7"/>
      <c r="C1733" s="13" t="s">
        <v>71</v>
      </c>
      <c r="D1733" s="19" t="str">
        <f>IFERROR(IF(C1733="No CAS","",INDEX('DEQ Pollutant List'!$B$7:$B$611,MATCH('3. Pollutant Emissions - EF'!C1733,'DEQ Pollutant List'!$A$7:$A$611,0))),"")</f>
        <v>Zinc and compounds</v>
      </c>
      <c r="E1733" s="23">
        <v>0</v>
      </c>
      <c r="F1733" s="21">
        <v>0</v>
      </c>
      <c r="G1733" s="23" t="s">
        <v>1415</v>
      </c>
      <c r="H1733" s="21" t="s">
        <v>1415</v>
      </c>
      <c r="I1733" s="34">
        <v>2.9000000000000001E-2</v>
      </c>
      <c r="J1733" s="11">
        <f t="shared" si="62"/>
        <v>2.9000000000000001E-2</v>
      </c>
      <c r="K1733" s="6" t="s">
        <v>1416</v>
      </c>
      <c r="L1733" s="20" t="s">
        <v>1422</v>
      </c>
      <c r="M1733" s="7">
        <f>IF(ISBLANK($B1733),_xlfn.XLOOKUP($A1733,'2. TEUs &amp; Activities - EF'!$A$9:$A$190,'2. TEUs &amp; Activities - EF'!$J$9:$J$190),_xlfn.XLOOKUP($B1733,'2. TEUs &amp; Activities - EF'!$B$9:$B$190,'2. TEUs &amp; Activities - EF'!$J$9:$J$190))*'3. Pollutant Emissions - EF'!$I1733*IF(OR(ISBLANK($E1733),$G1733="Yes"),1,$E1733)*IF($H1733="Yes",1,(1-$F1733))</f>
        <v>5.9774117647058825E-2</v>
      </c>
      <c r="N1733" s="5">
        <f>IF(ISBLANK($B1733),_xlfn.XLOOKUP($A1733,'2. TEUs &amp; Activities - EF'!$A$9:$A$190,'2. TEUs &amp; Activities - EF'!$M$9:$M$190),_xlfn.XLOOKUP($B1733,'2. TEUs &amp; Activities - EF'!$B$9:$B$190,'2. TEUs &amp; Activities - EF'!$M$9:$M$190))*'3. Pollutant Emissions - EF'!$J1733*IF(OR(ISBLANK($E1733),$G1733="Yes"),1,$E1733)*IF($H1733="Yes",1,(1-$F1733))</f>
        <v>1.6376470588235295E-4</v>
      </c>
      <c r="O1733" s="130"/>
    </row>
    <row r="1734" spans="1:15" ht="15" x14ac:dyDescent="0.25">
      <c r="A1734" s="5"/>
      <c r="B1734" s="7"/>
      <c r="C1734" s="13"/>
      <c r="D1734" s="19" t="str">
        <f>IFERROR(IF(C1734="No CAS","",INDEX('DEQ Pollutant List'!$B$7:$B$611,MATCH('3. Pollutant Emissions - EF'!C1734,'DEQ Pollutant List'!$A$7:$A$611,0))),"")</f>
        <v/>
      </c>
      <c r="E1734" s="23"/>
      <c r="F1734" s="21"/>
      <c r="G1734" s="23"/>
      <c r="H1734" s="21"/>
      <c r="I1734" s="34"/>
      <c r="J1734" s="11"/>
      <c r="K1734" s="6"/>
      <c r="L1734" s="20"/>
      <c r="M1734" s="7">
        <f>IF(ISBLANK($B1734),_xlfn.XLOOKUP($A1734,'2. TEUs &amp; Activities - EF'!$A$9:$A$190,'2. TEUs &amp; Activities - EF'!$J$9:$J$190),_xlfn.XLOOKUP($B1734,'2. TEUs &amp; Activities - EF'!$B$9:$B$190,'2. TEUs &amp; Activities - EF'!$J$9:$J$190))*'3. Pollutant Emissions - EF'!$I1734*IF(OR(ISBLANK($E1734),$G1734="Yes"),1,$E1734)*IF($H1734="Yes",1,(1-$F1734))</f>
        <v>0</v>
      </c>
      <c r="N1734" s="5">
        <f>IF(ISBLANK($B1734),_xlfn.XLOOKUP($A1734,'2. TEUs &amp; Activities - EF'!$A$9:$A$190,'2. TEUs &amp; Activities - EF'!$M$9:$M$190),_xlfn.XLOOKUP($B1734,'2. TEUs &amp; Activities - EF'!$B$9:$B$190,'2. TEUs &amp; Activities - EF'!$M$9:$M$190))*'3. Pollutant Emissions - EF'!$J1734*IF(OR(ISBLANK($E1734),$G1734="Yes"),1,$E1734)*IF($H1734="Yes",1,(1-$F1734))</f>
        <v>0</v>
      </c>
      <c r="O1734" s="130"/>
    </row>
    <row r="1735" spans="1:15" ht="15" x14ac:dyDescent="0.25">
      <c r="A1735" s="5" t="s">
        <v>1634</v>
      </c>
      <c r="B1735" s="7"/>
      <c r="C1735" s="13" t="s">
        <v>48</v>
      </c>
      <c r="D1735" s="19" t="str">
        <f>IFERROR(IF(C1735="No CAS","",INDEX('DEQ Pollutant List'!$B$7:$B$611,MATCH('3. Pollutant Emissions - EF'!C1735,'DEQ Pollutant List'!$A$7:$A$611,0))),"")</f>
        <v>Benzo[a]pyrene</v>
      </c>
      <c r="E1735" s="23">
        <v>0</v>
      </c>
      <c r="F1735" s="21">
        <v>0</v>
      </c>
      <c r="G1735" s="23" t="s">
        <v>1415</v>
      </c>
      <c r="H1735" s="21" t="s">
        <v>1415</v>
      </c>
      <c r="I1735" s="34">
        <v>1.1999999999999999E-6</v>
      </c>
      <c r="J1735" s="11">
        <f t="shared" ref="J1735:J1761" si="63">I1735</f>
        <v>1.1999999999999999E-6</v>
      </c>
      <c r="K1735" s="6" t="s">
        <v>1416</v>
      </c>
      <c r="L1735" s="20" t="s">
        <v>1422</v>
      </c>
      <c r="M1735" s="7">
        <f>IF(ISBLANK($B1735),_xlfn.XLOOKUP($A1735,'2. TEUs &amp; Activities - EF'!$A$9:$A$190,'2. TEUs &amp; Activities - EF'!$J$9:$J$190),_xlfn.XLOOKUP($B1735,'2. TEUs &amp; Activities - EF'!$B$9:$B$190,'2. TEUs &amp; Activities - EF'!$J$9:$J$190))*'3. Pollutant Emissions - EF'!$I1735*IF(OR(ISBLANK($E1735),$G1735="Yes"),1,$E1735)*IF($H1735="Yes",1,(1-$F1735))</f>
        <v>2.3085176470588234E-5</v>
      </c>
      <c r="N1735" s="5">
        <f>IF(ISBLANK($B1735),_xlfn.XLOOKUP($A1735,'2. TEUs &amp; Activities - EF'!$A$9:$A$190,'2. TEUs &amp; Activities - EF'!$M$9:$M$190),_xlfn.XLOOKUP($B1735,'2. TEUs &amp; Activities - EF'!$B$9:$B$190,'2. TEUs &amp; Activities - EF'!$M$9:$M$190))*'3. Pollutant Emissions - EF'!$J1735*IF(OR(ISBLANK($E1735),$G1735="Yes"),1,$E1735)*IF($H1735="Yes",1,(1-$F1735))</f>
        <v>6.3247058823529407E-8</v>
      </c>
      <c r="O1735" s="130"/>
    </row>
    <row r="1736" spans="1:15" ht="15" x14ac:dyDescent="0.25">
      <c r="A1736" s="5" t="s">
        <v>1634</v>
      </c>
      <c r="B1736" s="7"/>
      <c r="C1736" s="13" t="s">
        <v>50</v>
      </c>
      <c r="D1736" s="19" t="str">
        <f>IFERROR(IF(C1736="No CAS","",INDEX('DEQ Pollutant List'!$B$7:$B$611,MATCH('3. Pollutant Emissions - EF'!C1736,'DEQ Pollutant List'!$A$7:$A$611,0))),"")</f>
        <v>Acetaldehyde</v>
      </c>
      <c r="E1736" s="23">
        <v>0</v>
      </c>
      <c r="F1736" s="21">
        <v>0</v>
      </c>
      <c r="G1736" s="23" t="s">
        <v>1415</v>
      </c>
      <c r="H1736" s="21" t="s">
        <v>1415</v>
      </c>
      <c r="I1736" s="34">
        <v>4.3E-3</v>
      </c>
      <c r="J1736" s="11">
        <f t="shared" si="63"/>
        <v>4.3E-3</v>
      </c>
      <c r="K1736" s="6" t="s">
        <v>1416</v>
      </c>
      <c r="L1736" s="20" t="s">
        <v>1422</v>
      </c>
      <c r="M1736" s="7">
        <f>IF(ISBLANK($B1736),_xlfn.XLOOKUP($A1736,'2. TEUs &amp; Activities - EF'!$A$9:$A$190,'2. TEUs &amp; Activities - EF'!$J$9:$J$190),_xlfn.XLOOKUP($B1736,'2. TEUs &amp; Activities - EF'!$B$9:$B$190,'2. TEUs &amp; Activities - EF'!$J$9:$J$190))*'3. Pollutant Emissions - EF'!$I1736*IF(OR(ISBLANK($E1736),$G1736="Yes"),1,$E1736)*IF($H1736="Yes",1,(1-$F1736))</f>
        <v>8.2721882352941173E-2</v>
      </c>
      <c r="N1736" s="5">
        <f>IF(ISBLANK($B1736),_xlfn.XLOOKUP($A1736,'2. TEUs &amp; Activities - EF'!$A$9:$A$190,'2. TEUs &amp; Activities - EF'!$M$9:$M$190),_xlfn.XLOOKUP($B1736,'2. TEUs &amp; Activities - EF'!$B$9:$B$190,'2. TEUs &amp; Activities - EF'!$M$9:$M$190))*'3. Pollutant Emissions - EF'!$J1736*IF(OR(ISBLANK($E1736),$G1736="Yes"),1,$E1736)*IF($H1736="Yes",1,(1-$F1736))</f>
        <v>2.2663529411764708E-4</v>
      </c>
      <c r="O1736" s="130"/>
    </row>
    <row r="1737" spans="1:15" ht="15" x14ac:dyDescent="0.25">
      <c r="A1737" s="5" t="s">
        <v>1634</v>
      </c>
      <c r="B1737" s="7"/>
      <c r="C1737" s="13" t="s">
        <v>51</v>
      </c>
      <c r="D1737" s="19" t="str">
        <f>IFERROR(IF(C1737="No CAS","",INDEX('DEQ Pollutant List'!$B$7:$B$611,MATCH('3. Pollutant Emissions - EF'!C1737,'DEQ Pollutant List'!$A$7:$A$611,0))),"")</f>
        <v>Acrolein</v>
      </c>
      <c r="E1737" s="23">
        <v>0</v>
      </c>
      <c r="F1737" s="21">
        <v>0</v>
      </c>
      <c r="G1737" s="23" t="s">
        <v>1415</v>
      </c>
      <c r="H1737" s="21" t="s">
        <v>1415</v>
      </c>
      <c r="I1737" s="34">
        <v>2.7000000000000001E-3</v>
      </c>
      <c r="J1737" s="11">
        <f t="shared" si="63"/>
        <v>2.7000000000000001E-3</v>
      </c>
      <c r="K1737" s="6" t="s">
        <v>1416</v>
      </c>
      <c r="L1737" s="20" t="s">
        <v>1422</v>
      </c>
      <c r="M1737" s="7">
        <f>IF(ISBLANK($B1737),_xlfn.XLOOKUP($A1737,'2. TEUs &amp; Activities - EF'!$A$9:$A$190,'2. TEUs &amp; Activities - EF'!$J$9:$J$190),_xlfn.XLOOKUP($B1737,'2. TEUs &amp; Activities - EF'!$B$9:$B$190,'2. TEUs &amp; Activities - EF'!$J$9:$J$190))*'3. Pollutant Emissions - EF'!$I1737*IF(OR(ISBLANK($E1737),$G1737="Yes"),1,$E1737)*IF($H1737="Yes",1,(1-$F1737))</f>
        <v>5.1941647058823537E-2</v>
      </c>
      <c r="N1737" s="5">
        <f>IF(ISBLANK($B1737),_xlfn.XLOOKUP($A1737,'2. TEUs &amp; Activities - EF'!$A$9:$A$190,'2. TEUs &amp; Activities - EF'!$M$9:$M$190),_xlfn.XLOOKUP($B1737,'2. TEUs &amp; Activities - EF'!$B$9:$B$190,'2. TEUs &amp; Activities - EF'!$M$9:$M$190))*'3. Pollutant Emissions - EF'!$J1737*IF(OR(ISBLANK($E1737),$G1737="Yes"),1,$E1737)*IF($H1737="Yes",1,(1-$F1737))</f>
        <v>1.4230588235294119E-4</v>
      </c>
      <c r="O1737" s="130"/>
    </row>
    <row r="1738" spans="1:15" ht="15" x14ac:dyDescent="0.25">
      <c r="A1738" s="5" t="s">
        <v>1634</v>
      </c>
      <c r="B1738" s="7"/>
      <c r="C1738" s="13" t="s">
        <v>52</v>
      </c>
      <c r="D1738" s="19" t="str">
        <f>IFERROR(IF(C1738="No CAS","",INDEX('DEQ Pollutant List'!$B$7:$B$611,MATCH('3. Pollutant Emissions - EF'!C1738,'DEQ Pollutant List'!$A$7:$A$611,0))),"")</f>
        <v>Ammonia</v>
      </c>
      <c r="E1738" s="23">
        <v>0</v>
      </c>
      <c r="F1738" s="21">
        <v>0</v>
      </c>
      <c r="G1738" s="23" t="s">
        <v>1415</v>
      </c>
      <c r="H1738" s="21" t="s">
        <v>1415</v>
      </c>
      <c r="I1738" s="34">
        <v>3.2</v>
      </c>
      <c r="J1738" s="11">
        <f t="shared" si="63"/>
        <v>3.2</v>
      </c>
      <c r="K1738" s="6" t="s">
        <v>1416</v>
      </c>
      <c r="L1738" s="20" t="s">
        <v>1586</v>
      </c>
      <c r="M1738" s="7">
        <f>IF(ISBLANK($B1738),_xlfn.XLOOKUP($A1738,'2. TEUs &amp; Activities - EF'!$A$9:$A$190,'2. TEUs &amp; Activities - EF'!$J$9:$J$190),_xlfn.XLOOKUP($B1738,'2. TEUs &amp; Activities - EF'!$B$9:$B$190,'2. TEUs &amp; Activities - EF'!$J$9:$J$190))*'3. Pollutant Emissions - EF'!$I1738*IF(OR(ISBLANK($E1738),$G1738="Yes"),1,$E1738)*IF($H1738="Yes",1,(1-$F1738))</f>
        <v>61.560470588235297</v>
      </c>
      <c r="N1738" s="5">
        <f>IF(ISBLANK($B1738),_xlfn.XLOOKUP($A1738,'2. TEUs &amp; Activities - EF'!$A$9:$A$190,'2. TEUs &amp; Activities - EF'!$M$9:$M$190),_xlfn.XLOOKUP($B1738,'2. TEUs &amp; Activities - EF'!$B$9:$B$190,'2. TEUs &amp; Activities - EF'!$M$9:$M$190))*'3. Pollutant Emissions - EF'!$J1738*IF(OR(ISBLANK($E1738),$G1738="Yes"),1,$E1738)*IF($H1738="Yes",1,(1-$F1738))</f>
        <v>0.16865882352941178</v>
      </c>
      <c r="O1738" s="130"/>
    </row>
    <row r="1739" spans="1:15" ht="15" x14ac:dyDescent="0.25">
      <c r="A1739" s="5" t="s">
        <v>1634</v>
      </c>
      <c r="B1739" s="7"/>
      <c r="C1739" s="13" t="s">
        <v>53</v>
      </c>
      <c r="D1739" s="19" t="str">
        <f>IFERROR(IF(C1739="No CAS","",INDEX('DEQ Pollutant List'!$B$7:$B$611,MATCH('3. Pollutant Emissions - EF'!C1739,'DEQ Pollutant List'!$A$7:$A$611,0))),"")</f>
        <v>Arsenic and compounds</v>
      </c>
      <c r="E1739" s="23">
        <v>0</v>
      </c>
      <c r="F1739" s="21">
        <v>0</v>
      </c>
      <c r="G1739" s="23" t="s">
        <v>1415</v>
      </c>
      <c r="H1739" s="21" t="s">
        <v>1415</v>
      </c>
      <c r="I1739" s="34">
        <v>2.0000000000000001E-4</v>
      </c>
      <c r="J1739" s="11">
        <f t="shared" si="63"/>
        <v>2.0000000000000001E-4</v>
      </c>
      <c r="K1739" s="6" t="s">
        <v>1416</v>
      </c>
      <c r="L1739" s="20" t="s">
        <v>1422</v>
      </c>
      <c r="M1739" s="7">
        <f>IF(ISBLANK($B1739),_xlfn.XLOOKUP($A1739,'2. TEUs &amp; Activities - EF'!$A$9:$A$190,'2. TEUs &amp; Activities - EF'!$J$9:$J$190),_xlfn.XLOOKUP($B1739,'2. TEUs &amp; Activities - EF'!$B$9:$B$190,'2. TEUs &amp; Activities - EF'!$J$9:$J$190))*'3. Pollutant Emissions - EF'!$I1739*IF(OR(ISBLANK($E1739),$G1739="Yes"),1,$E1739)*IF($H1739="Yes",1,(1-$F1739))</f>
        <v>3.8475294117647062E-3</v>
      </c>
      <c r="N1739" s="5">
        <f>IF(ISBLANK($B1739),_xlfn.XLOOKUP($A1739,'2. TEUs &amp; Activities - EF'!$A$9:$A$190,'2. TEUs &amp; Activities - EF'!$M$9:$M$190),_xlfn.XLOOKUP($B1739,'2. TEUs &amp; Activities - EF'!$B$9:$B$190,'2. TEUs &amp; Activities - EF'!$M$9:$M$190))*'3. Pollutant Emissions - EF'!$J1739*IF(OR(ISBLANK($E1739),$G1739="Yes"),1,$E1739)*IF($H1739="Yes",1,(1-$F1739))</f>
        <v>1.0541176470588237E-5</v>
      </c>
      <c r="O1739" s="130"/>
    </row>
    <row r="1740" spans="1:15" ht="15" x14ac:dyDescent="0.25">
      <c r="A1740" s="5" t="s">
        <v>1634</v>
      </c>
      <c r="B1740" s="7"/>
      <c r="C1740" s="13" t="s">
        <v>54</v>
      </c>
      <c r="D1740" s="19" t="str">
        <f>IFERROR(IF(C1740="No CAS","",INDEX('DEQ Pollutant List'!$B$7:$B$611,MATCH('3. Pollutant Emissions - EF'!C1740,'DEQ Pollutant List'!$A$7:$A$611,0))),"")</f>
        <v>Barium and compounds</v>
      </c>
      <c r="E1740" s="23">
        <v>0</v>
      </c>
      <c r="F1740" s="21">
        <v>0</v>
      </c>
      <c r="G1740" s="23" t="s">
        <v>1415</v>
      </c>
      <c r="H1740" s="21" t="s">
        <v>1415</v>
      </c>
      <c r="I1740" s="34">
        <v>4.4000000000000003E-3</v>
      </c>
      <c r="J1740" s="11">
        <f t="shared" si="63"/>
        <v>4.4000000000000003E-3</v>
      </c>
      <c r="K1740" s="6" t="s">
        <v>1416</v>
      </c>
      <c r="L1740" s="20" t="s">
        <v>1422</v>
      </c>
      <c r="M1740" s="7">
        <f>IF(ISBLANK($B1740),_xlfn.XLOOKUP($A1740,'2. TEUs &amp; Activities - EF'!$A$9:$A$190,'2. TEUs &amp; Activities - EF'!$J$9:$J$190),_xlfn.XLOOKUP($B1740,'2. TEUs &amp; Activities - EF'!$B$9:$B$190,'2. TEUs &amp; Activities - EF'!$J$9:$J$190))*'3. Pollutant Emissions - EF'!$I1740*IF(OR(ISBLANK($E1740),$G1740="Yes"),1,$E1740)*IF($H1740="Yes",1,(1-$F1740))</f>
        <v>8.4645647058823534E-2</v>
      </c>
      <c r="N1740" s="5">
        <f>IF(ISBLANK($B1740),_xlfn.XLOOKUP($A1740,'2. TEUs &amp; Activities - EF'!$A$9:$A$190,'2. TEUs &amp; Activities - EF'!$M$9:$M$190),_xlfn.XLOOKUP($B1740,'2. TEUs &amp; Activities - EF'!$B$9:$B$190,'2. TEUs &amp; Activities - EF'!$M$9:$M$190))*'3. Pollutant Emissions - EF'!$J1740*IF(OR(ISBLANK($E1740),$G1740="Yes"),1,$E1740)*IF($H1740="Yes",1,(1-$F1740))</f>
        <v>2.319058823529412E-4</v>
      </c>
      <c r="O1740" s="130"/>
    </row>
    <row r="1741" spans="1:15" ht="15" x14ac:dyDescent="0.25">
      <c r="A1741" s="5" t="s">
        <v>1634</v>
      </c>
      <c r="B1741" s="7"/>
      <c r="C1741" s="13" t="s">
        <v>46</v>
      </c>
      <c r="D1741" s="19" t="str">
        <f>IFERROR(IF(C1741="No CAS","",INDEX('DEQ Pollutant List'!$B$7:$B$611,MATCH('3. Pollutant Emissions - EF'!C1741,'DEQ Pollutant List'!$A$7:$A$611,0))),"")</f>
        <v>Benzene</v>
      </c>
      <c r="E1741" s="23">
        <v>0</v>
      </c>
      <c r="F1741" s="21">
        <v>0</v>
      </c>
      <c r="G1741" s="23" t="s">
        <v>1415</v>
      </c>
      <c r="H1741" s="21" t="s">
        <v>1415</v>
      </c>
      <c r="I1741" s="34">
        <v>8.0000000000000002E-3</v>
      </c>
      <c r="J1741" s="11">
        <f t="shared" si="63"/>
        <v>8.0000000000000002E-3</v>
      </c>
      <c r="K1741" s="6" t="s">
        <v>1416</v>
      </c>
      <c r="L1741" s="20" t="s">
        <v>1422</v>
      </c>
      <c r="M1741" s="7">
        <f>IF(ISBLANK($B1741),_xlfn.XLOOKUP($A1741,'2. TEUs &amp; Activities - EF'!$A$9:$A$190,'2. TEUs &amp; Activities - EF'!$J$9:$J$190),_xlfn.XLOOKUP($B1741,'2. TEUs &amp; Activities - EF'!$B$9:$B$190,'2. TEUs &amp; Activities - EF'!$J$9:$J$190))*'3. Pollutant Emissions - EF'!$I1741*IF(OR(ISBLANK($E1741),$G1741="Yes"),1,$E1741)*IF($H1741="Yes",1,(1-$F1741))</f>
        <v>0.15390117647058824</v>
      </c>
      <c r="N1741" s="5">
        <f>IF(ISBLANK($B1741),_xlfn.XLOOKUP($A1741,'2. TEUs &amp; Activities - EF'!$A$9:$A$190,'2. TEUs &amp; Activities - EF'!$M$9:$M$190),_xlfn.XLOOKUP($B1741,'2. TEUs &amp; Activities - EF'!$B$9:$B$190,'2. TEUs &amp; Activities - EF'!$M$9:$M$190))*'3. Pollutant Emissions - EF'!$J1741*IF(OR(ISBLANK($E1741),$G1741="Yes"),1,$E1741)*IF($H1741="Yes",1,(1-$F1741))</f>
        <v>4.2164705882352942E-4</v>
      </c>
      <c r="O1741" s="130"/>
    </row>
    <row r="1742" spans="1:15" ht="15" x14ac:dyDescent="0.25">
      <c r="A1742" s="5" t="s">
        <v>1634</v>
      </c>
      <c r="B1742" s="7"/>
      <c r="C1742" s="13" t="s">
        <v>55</v>
      </c>
      <c r="D1742" s="19" t="str">
        <f>IFERROR(IF(C1742="No CAS","",INDEX('DEQ Pollutant List'!$B$7:$B$611,MATCH('3. Pollutant Emissions - EF'!C1742,'DEQ Pollutant List'!$A$7:$A$611,0))),"")</f>
        <v>Beryllium and compounds</v>
      </c>
      <c r="E1742" s="23">
        <v>0</v>
      </c>
      <c r="F1742" s="21">
        <v>0</v>
      </c>
      <c r="G1742" s="23" t="s">
        <v>1415</v>
      </c>
      <c r="H1742" s="21" t="s">
        <v>1415</v>
      </c>
      <c r="I1742" s="34">
        <v>1.2E-5</v>
      </c>
      <c r="J1742" s="11">
        <f t="shared" si="63"/>
        <v>1.2E-5</v>
      </c>
      <c r="K1742" s="6" t="s">
        <v>1416</v>
      </c>
      <c r="L1742" s="20" t="s">
        <v>1422</v>
      </c>
      <c r="M1742" s="7">
        <f>IF(ISBLANK($B1742),_xlfn.XLOOKUP($A1742,'2. TEUs &amp; Activities - EF'!$A$9:$A$190,'2. TEUs &amp; Activities - EF'!$J$9:$J$190),_xlfn.XLOOKUP($B1742,'2. TEUs &amp; Activities - EF'!$B$9:$B$190,'2. TEUs &amp; Activities - EF'!$J$9:$J$190))*'3. Pollutant Emissions - EF'!$I1742*IF(OR(ISBLANK($E1742),$G1742="Yes"),1,$E1742)*IF($H1742="Yes",1,(1-$F1742))</f>
        <v>2.3085176470588237E-4</v>
      </c>
      <c r="N1742" s="5">
        <f>IF(ISBLANK($B1742),_xlfn.XLOOKUP($A1742,'2. TEUs &amp; Activities - EF'!$A$9:$A$190,'2. TEUs &amp; Activities - EF'!$M$9:$M$190),_xlfn.XLOOKUP($B1742,'2. TEUs &amp; Activities - EF'!$B$9:$B$190,'2. TEUs &amp; Activities - EF'!$M$9:$M$190))*'3. Pollutant Emissions - EF'!$J1742*IF(OR(ISBLANK($E1742),$G1742="Yes"),1,$E1742)*IF($H1742="Yes",1,(1-$F1742))</f>
        <v>6.3247058823529412E-7</v>
      </c>
      <c r="O1742" s="130"/>
    </row>
    <row r="1743" spans="1:15" ht="15" x14ac:dyDescent="0.25">
      <c r="A1743" s="5" t="s">
        <v>1634</v>
      </c>
      <c r="B1743" s="7"/>
      <c r="C1743" s="13" t="s">
        <v>56</v>
      </c>
      <c r="D1743" s="19" t="str">
        <f>IFERROR(IF(C1743="No CAS","",INDEX('DEQ Pollutant List'!$B$7:$B$611,MATCH('3. Pollutant Emissions - EF'!C1743,'DEQ Pollutant List'!$A$7:$A$611,0))),"")</f>
        <v>Cadmium and compounds</v>
      </c>
      <c r="E1743" s="23">
        <v>0</v>
      </c>
      <c r="F1743" s="21">
        <v>0</v>
      </c>
      <c r="G1743" s="23" t="s">
        <v>1415</v>
      </c>
      <c r="H1743" s="21" t="s">
        <v>1415</v>
      </c>
      <c r="I1743" s="34">
        <v>1.1000000000000001E-3</v>
      </c>
      <c r="J1743" s="11">
        <f t="shared" si="63"/>
        <v>1.1000000000000001E-3</v>
      </c>
      <c r="K1743" s="6" t="s">
        <v>1416</v>
      </c>
      <c r="L1743" s="20" t="s">
        <v>1422</v>
      </c>
      <c r="M1743" s="7">
        <f>IF(ISBLANK($B1743),_xlfn.XLOOKUP($A1743,'2. TEUs &amp; Activities - EF'!$A$9:$A$190,'2. TEUs &amp; Activities - EF'!$J$9:$J$190),_xlfn.XLOOKUP($B1743,'2. TEUs &amp; Activities - EF'!$B$9:$B$190,'2. TEUs &amp; Activities - EF'!$J$9:$J$190))*'3. Pollutant Emissions - EF'!$I1743*IF(OR(ISBLANK($E1743),$G1743="Yes"),1,$E1743)*IF($H1743="Yes",1,(1-$F1743))</f>
        <v>2.1161411764705883E-2</v>
      </c>
      <c r="N1743" s="5">
        <f>IF(ISBLANK($B1743),_xlfn.XLOOKUP($A1743,'2. TEUs &amp; Activities - EF'!$A$9:$A$190,'2. TEUs &amp; Activities - EF'!$M$9:$M$190),_xlfn.XLOOKUP($B1743,'2. TEUs &amp; Activities - EF'!$B$9:$B$190,'2. TEUs &amp; Activities - EF'!$M$9:$M$190))*'3. Pollutant Emissions - EF'!$J1743*IF(OR(ISBLANK($E1743),$G1743="Yes"),1,$E1743)*IF($H1743="Yes",1,(1-$F1743))</f>
        <v>5.7976470588235299E-5</v>
      </c>
      <c r="O1743" s="130"/>
    </row>
    <row r="1744" spans="1:15" ht="15" x14ac:dyDescent="0.25">
      <c r="A1744" s="5" t="s">
        <v>1634</v>
      </c>
      <c r="B1744" s="7"/>
      <c r="C1744" s="13" t="s">
        <v>57</v>
      </c>
      <c r="D1744" s="19" t="str">
        <f>IFERROR(IF(C1744="No CAS","",INDEX('DEQ Pollutant List'!$B$7:$B$611,MATCH('3. Pollutant Emissions - EF'!C1744,'DEQ Pollutant List'!$A$7:$A$611,0))),"")</f>
        <v>Chromium VI, chromate and dichromate particulate</v>
      </c>
      <c r="E1744" s="23">
        <v>0</v>
      </c>
      <c r="F1744" s="21">
        <v>0</v>
      </c>
      <c r="G1744" s="23" t="s">
        <v>1415</v>
      </c>
      <c r="H1744" s="21" t="s">
        <v>1415</v>
      </c>
      <c r="I1744" s="34">
        <v>1.4E-3</v>
      </c>
      <c r="J1744" s="11">
        <f t="shared" si="63"/>
        <v>1.4E-3</v>
      </c>
      <c r="K1744" s="6" t="s">
        <v>1416</v>
      </c>
      <c r="L1744" s="20" t="s">
        <v>1422</v>
      </c>
      <c r="M1744" s="7">
        <f>IF(ISBLANK($B1744),_xlfn.XLOOKUP($A1744,'2. TEUs &amp; Activities - EF'!$A$9:$A$190,'2. TEUs &amp; Activities - EF'!$J$9:$J$190),_xlfn.XLOOKUP($B1744,'2. TEUs &amp; Activities - EF'!$B$9:$B$190,'2. TEUs &amp; Activities - EF'!$J$9:$J$190))*'3. Pollutant Emissions - EF'!$I1744*IF(OR(ISBLANK($E1744),$G1744="Yes"),1,$E1744)*IF($H1744="Yes",1,(1-$F1744))</f>
        <v>2.6932705882352942E-2</v>
      </c>
      <c r="N1744" s="5">
        <f>IF(ISBLANK($B1744),_xlfn.XLOOKUP($A1744,'2. TEUs &amp; Activities - EF'!$A$9:$A$190,'2. TEUs &amp; Activities - EF'!$M$9:$M$190),_xlfn.XLOOKUP($B1744,'2. TEUs &amp; Activities - EF'!$B$9:$B$190,'2. TEUs &amp; Activities - EF'!$M$9:$M$190))*'3. Pollutant Emissions - EF'!$J1744*IF(OR(ISBLANK($E1744),$G1744="Yes"),1,$E1744)*IF($H1744="Yes",1,(1-$F1744))</f>
        <v>7.3788235294117651E-5</v>
      </c>
      <c r="O1744" s="130"/>
    </row>
    <row r="1745" spans="1:15" ht="15" x14ac:dyDescent="0.25">
      <c r="A1745" s="5" t="s">
        <v>1634</v>
      </c>
      <c r="B1745" s="7"/>
      <c r="C1745" s="13" t="s">
        <v>58</v>
      </c>
      <c r="D1745" s="19" t="str">
        <f>IFERROR(IF(C1745="No CAS","",INDEX('DEQ Pollutant List'!$B$7:$B$611,MATCH('3. Pollutant Emissions - EF'!C1745,'DEQ Pollutant List'!$A$7:$A$611,0))),"")</f>
        <v>Cobalt and compounds</v>
      </c>
      <c r="E1745" s="23">
        <v>0</v>
      </c>
      <c r="F1745" s="21">
        <v>0</v>
      </c>
      <c r="G1745" s="23" t="s">
        <v>1415</v>
      </c>
      <c r="H1745" s="21" t="s">
        <v>1415</v>
      </c>
      <c r="I1745" s="34">
        <v>8.3999999999999995E-5</v>
      </c>
      <c r="J1745" s="11">
        <f t="shared" si="63"/>
        <v>8.3999999999999995E-5</v>
      </c>
      <c r="K1745" s="6" t="s">
        <v>1416</v>
      </c>
      <c r="L1745" s="20" t="s">
        <v>1422</v>
      </c>
      <c r="M1745" s="7">
        <f>IF(ISBLANK($B1745),_xlfn.XLOOKUP($A1745,'2. TEUs &amp; Activities - EF'!$A$9:$A$190,'2. TEUs &amp; Activities - EF'!$J$9:$J$190),_xlfn.XLOOKUP($B1745,'2. TEUs &amp; Activities - EF'!$B$9:$B$190,'2. TEUs &amp; Activities - EF'!$J$9:$J$190))*'3. Pollutant Emissions - EF'!$I1745*IF(OR(ISBLANK($E1745),$G1745="Yes"),1,$E1745)*IF($H1745="Yes",1,(1-$F1745))</f>
        <v>1.6159623529411764E-3</v>
      </c>
      <c r="N1745" s="5">
        <f>IF(ISBLANK($B1745),_xlfn.XLOOKUP($A1745,'2. TEUs &amp; Activities - EF'!$A$9:$A$190,'2. TEUs &amp; Activities - EF'!$M$9:$M$190),_xlfn.XLOOKUP($B1745,'2. TEUs &amp; Activities - EF'!$B$9:$B$190,'2. TEUs &amp; Activities - EF'!$M$9:$M$190))*'3. Pollutant Emissions - EF'!$J1745*IF(OR(ISBLANK($E1745),$G1745="Yes"),1,$E1745)*IF($H1745="Yes",1,(1-$F1745))</f>
        <v>4.4272941176470592E-6</v>
      </c>
      <c r="O1745" s="130"/>
    </row>
    <row r="1746" spans="1:15" ht="15" x14ac:dyDescent="0.25">
      <c r="A1746" s="5" t="s">
        <v>1634</v>
      </c>
      <c r="B1746" s="7"/>
      <c r="C1746" s="13" t="s">
        <v>59</v>
      </c>
      <c r="D1746" s="19" t="str">
        <f>IFERROR(IF(C1746="No CAS","",INDEX('DEQ Pollutant List'!$B$7:$B$611,MATCH('3. Pollutant Emissions - EF'!C1746,'DEQ Pollutant List'!$A$7:$A$611,0))),"")</f>
        <v>Copper and compounds</v>
      </c>
      <c r="E1746" s="23">
        <v>0</v>
      </c>
      <c r="F1746" s="21">
        <v>0</v>
      </c>
      <c r="G1746" s="23" t="s">
        <v>1415</v>
      </c>
      <c r="H1746" s="21" t="s">
        <v>1415</v>
      </c>
      <c r="I1746" s="34">
        <v>8.4999999999999995E-4</v>
      </c>
      <c r="J1746" s="11">
        <f t="shared" si="63"/>
        <v>8.4999999999999995E-4</v>
      </c>
      <c r="K1746" s="6" t="s">
        <v>1416</v>
      </c>
      <c r="L1746" s="20" t="s">
        <v>1422</v>
      </c>
      <c r="M1746" s="7">
        <f>IF(ISBLANK($B1746),_xlfn.XLOOKUP($A1746,'2. TEUs &amp; Activities - EF'!$A$9:$A$190,'2. TEUs &amp; Activities - EF'!$J$9:$J$190),_xlfn.XLOOKUP($B1746,'2. TEUs &amp; Activities - EF'!$B$9:$B$190,'2. TEUs &amp; Activities - EF'!$J$9:$J$190))*'3. Pollutant Emissions - EF'!$I1746*IF(OR(ISBLANK($E1746),$G1746="Yes"),1,$E1746)*IF($H1746="Yes",1,(1-$F1746))</f>
        <v>1.6351999999999998E-2</v>
      </c>
      <c r="N1746" s="5">
        <f>IF(ISBLANK($B1746),_xlfn.XLOOKUP($A1746,'2. TEUs &amp; Activities - EF'!$A$9:$A$190,'2. TEUs &amp; Activities - EF'!$M$9:$M$190),_xlfn.XLOOKUP($B1746,'2. TEUs &amp; Activities - EF'!$B$9:$B$190,'2. TEUs &amp; Activities - EF'!$M$9:$M$190))*'3. Pollutant Emissions - EF'!$J1746*IF(OR(ISBLANK($E1746),$G1746="Yes"),1,$E1746)*IF($H1746="Yes",1,(1-$F1746))</f>
        <v>4.4799999999999998E-5</v>
      </c>
      <c r="O1746" s="130"/>
    </row>
    <row r="1747" spans="1:15" ht="15" x14ac:dyDescent="0.25">
      <c r="A1747" s="5" t="s">
        <v>1634</v>
      </c>
      <c r="B1747" s="7"/>
      <c r="C1747" s="13" t="s">
        <v>60</v>
      </c>
      <c r="D1747" s="19" t="str">
        <f>IFERROR(IF(C1747="No CAS","",INDEX('DEQ Pollutant List'!$B$7:$B$611,MATCH('3. Pollutant Emissions - EF'!C1747,'DEQ Pollutant List'!$A$7:$A$611,0))),"")</f>
        <v>Ethyl benzene</v>
      </c>
      <c r="E1747" s="23">
        <v>0</v>
      </c>
      <c r="F1747" s="21">
        <v>0</v>
      </c>
      <c r="G1747" s="23" t="s">
        <v>1415</v>
      </c>
      <c r="H1747" s="21" t="s">
        <v>1415</v>
      </c>
      <c r="I1747" s="34">
        <v>9.4999999999999998E-3</v>
      </c>
      <c r="J1747" s="11">
        <f t="shared" si="63"/>
        <v>9.4999999999999998E-3</v>
      </c>
      <c r="K1747" s="6" t="s">
        <v>1416</v>
      </c>
      <c r="L1747" s="20" t="s">
        <v>1422</v>
      </c>
      <c r="M1747" s="7">
        <f>IF(ISBLANK($B1747),_xlfn.XLOOKUP($A1747,'2. TEUs &amp; Activities - EF'!$A$9:$A$190,'2. TEUs &amp; Activities - EF'!$J$9:$J$190),_xlfn.XLOOKUP($B1747,'2. TEUs &amp; Activities - EF'!$B$9:$B$190,'2. TEUs &amp; Activities - EF'!$J$9:$J$190))*'3. Pollutant Emissions - EF'!$I1747*IF(OR(ISBLANK($E1747),$G1747="Yes"),1,$E1747)*IF($H1747="Yes",1,(1-$F1747))</f>
        <v>0.18275764705882352</v>
      </c>
      <c r="N1747" s="5">
        <f>IF(ISBLANK($B1747),_xlfn.XLOOKUP($A1747,'2. TEUs &amp; Activities - EF'!$A$9:$A$190,'2. TEUs &amp; Activities - EF'!$M$9:$M$190),_xlfn.XLOOKUP($B1747,'2. TEUs &amp; Activities - EF'!$B$9:$B$190,'2. TEUs &amp; Activities - EF'!$M$9:$M$190))*'3. Pollutant Emissions - EF'!$J1747*IF(OR(ISBLANK($E1747),$G1747="Yes"),1,$E1747)*IF($H1747="Yes",1,(1-$F1747))</f>
        <v>5.007058823529412E-4</v>
      </c>
      <c r="O1747" s="130"/>
    </row>
    <row r="1748" spans="1:15" ht="15" x14ac:dyDescent="0.25">
      <c r="A1748" s="5" t="s">
        <v>1634</v>
      </c>
      <c r="B1748" s="7"/>
      <c r="C1748" s="13" t="s">
        <v>47</v>
      </c>
      <c r="D1748" s="19" t="str">
        <f>IFERROR(IF(C1748="No CAS","",INDEX('DEQ Pollutant List'!$B$7:$B$611,MATCH('3. Pollutant Emissions - EF'!C1748,'DEQ Pollutant List'!$A$7:$A$611,0))),"")</f>
        <v>Formaldehyde</v>
      </c>
      <c r="E1748" s="23">
        <v>0</v>
      </c>
      <c r="F1748" s="21">
        <v>0</v>
      </c>
      <c r="G1748" s="23" t="s">
        <v>1415</v>
      </c>
      <c r="H1748" s="21" t="s">
        <v>1415</v>
      </c>
      <c r="I1748" s="34">
        <v>1.7000000000000001E-2</v>
      </c>
      <c r="J1748" s="11">
        <f t="shared" si="63"/>
        <v>1.7000000000000001E-2</v>
      </c>
      <c r="K1748" s="6" t="s">
        <v>1416</v>
      </c>
      <c r="L1748" s="20" t="s">
        <v>1422</v>
      </c>
      <c r="M1748" s="7">
        <f>IF(ISBLANK($B1748),_xlfn.XLOOKUP($A1748,'2. TEUs &amp; Activities - EF'!$A$9:$A$190,'2. TEUs &amp; Activities - EF'!$J$9:$J$190),_xlfn.XLOOKUP($B1748,'2. TEUs &amp; Activities - EF'!$B$9:$B$190,'2. TEUs &amp; Activities - EF'!$J$9:$J$190))*'3. Pollutant Emissions - EF'!$I1748*IF(OR(ISBLANK($E1748),$G1748="Yes"),1,$E1748)*IF($H1748="Yes",1,(1-$F1748))</f>
        <v>0.32704000000000005</v>
      </c>
      <c r="N1748" s="5">
        <f>IF(ISBLANK($B1748),_xlfn.XLOOKUP($A1748,'2. TEUs &amp; Activities - EF'!$A$9:$A$190,'2. TEUs &amp; Activities - EF'!$M$9:$M$190),_xlfn.XLOOKUP($B1748,'2. TEUs &amp; Activities - EF'!$B$9:$B$190,'2. TEUs &amp; Activities - EF'!$M$9:$M$190))*'3. Pollutant Emissions - EF'!$J1748*IF(OR(ISBLANK($E1748),$G1748="Yes"),1,$E1748)*IF($H1748="Yes",1,(1-$F1748))</f>
        <v>8.9600000000000009E-4</v>
      </c>
      <c r="O1748" s="130"/>
    </row>
    <row r="1749" spans="1:15" ht="15" x14ac:dyDescent="0.25">
      <c r="A1749" s="5" t="s">
        <v>1634</v>
      </c>
      <c r="B1749" s="7"/>
      <c r="C1749" s="13" t="s">
        <v>61</v>
      </c>
      <c r="D1749" s="19" t="str">
        <f>IFERROR(IF(C1749="No CAS","",INDEX('DEQ Pollutant List'!$B$7:$B$611,MATCH('3. Pollutant Emissions - EF'!C1749,'DEQ Pollutant List'!$A$7:$A$611,0))),"")</f>
        <v>Hexane</v>
      </c>
      <c r="E1749" s="23">
        <v>0</v>
      </c>
      <c r="F1749" s="21">
        <v>0</v>
      </c>
      <c r="G1749" s="23" t="s">
        <v>1415</v>
      </c>
      <c r="H1749" s="21" t="s">
        <v>1415</v>
      </c>
      <c r="I1749" s="34">
        <v>6.3E-3</v>
      </c>
      <c r="J1749" s="11">
        <f t="shared" si="63"/>
        <v>6.3E-3</v>
      </c>
      <c r="K1749" s="6" t="s">
        <v>1416</v>
      </c>
      <c r="L1749" s="20" t="s">
        <v>1422</v>
      </c>
      <c r="M1749" s="7">
        <f>IF(ISBLANK($B1749),_xlfn.XLOOKUP($A1749,'2. TEUs &amp; Activities - EF'!$A$9:$A$190,'2. TEUs &amp; Activities - EF'!$J$9:$J$190),_xlfn.XLOOKUP($B1749,'2. TEUs &amp; Activities - EF'!$B$9:$B$190,'2. TEUs &amp; Activities - EF'!$J$9:$J$190))*'3. Pollutant Emissions - EF'!$I1749*IF(OR(ISBLANK($E1749),$G1749="Yes"),1,$E1749)*IF($H1749="Yes",1,(1-$F1749))</f>
        <v>0.12119717647058824</v>
      </c>
      <c r="N1749" s="5">
        <f>IF(ISBLANK($B1749),_xlfn.XLOOKUP($A1749,'2. TEUs &amp; Activities - EF'!$A$9:$A$190,'2. TEUs &amp; Activities - EF'!$M$9:$M$190),_xlfn.XLOOKUP($B1749,'2. TEUs &amp; Activities - EF'!$B$9:$B$190,'2. TEUs &amp; Activities - EF'!$M$9:$M$190))*'3. Pollutant Emissions - EF'!$J1749*IF(OR(ISBLANK($E1749),$G1749="Yes"),1,$E1749)*IF($H1749="Yes",1,(1-$F1749))</f>
        <v>3.3204705882352941E-4</v>
      </c>
      <c r="O1749" s="130"/>
    </row>
    <row r="1750" spans="1:15" ht="15" x14ac:dyDescent="0.25">
      <c r="A1750" s="5" t="s">
        <v>1634</v>
      </c>
      <c r="B1750" s="7"/>
      <c r="C1750" s="13" t="s">
        <v>62</v>
      </c>
      <c r="D1750" s="19" t="str">
        <f>IFERROR(IF(C1750="No CAS","",INDEX('DEQ Pollutant List'!$B$7:$B$611,MATCH('3. Pollutant Emissions - EF'!C1750,'DEQ Pollutant List'!$A$7:$A$611,0))),"")</f>
        <v>Lead and compounds</v>
      </c>
      <c r="E1750" s="23">
        <v>0</v>
      </c>
      <c r="F1750" s="21">
        <v>0</v>
      </c>
      <c r="G1750" s="23" t="s">
        <v>1415</v>
      </c>
      <c r="H1750" s="21" t="s">
        <v>1415</v>
      </c>
      <c r="I1750" s="34">
        <v>5.0000000000000001E-4</v>
      </c>
      <c r="J1750" s="11">
        <f t="shared" si="63"/>
        <v>5.0000000000000001E-4</v>
      </c>
      <c r="K1750" s="6" t="s">
        <v>1416</v>
      </c>
      <c r="L1750" s="20" t="s">
        <v>1422</v>
      </c>
      <c r="M1750" s="7">
        <f>IF(ISBLANK($B1750),_xlfn.XLOOKUP($A1750,'2. TEUs &amp; Activities - EF'!$A$9:$A$190,'2. TEUs &amp; Activities - EF'!$J$9:$J$190),_xlfn.XLOOKUP($B1750,'2. TEUs &amp; Activities - EF'!$B$9:$B$190,'2. TEUs &amp; Activities - EF'!$J$9:$J$190))*'3. Pollutant Emissions - EF'!$I1750*IF(OR(ISBLANK($E1750),$G1750="Yes"),1,$E1750)*IF($H1750="Yes",1,(1-$F1750))</f>
        <v>9.6188235294117647E-3</v>
      </c>
      <c r="N1750" s="5">
        <f>IF(ISBLANK($B1750),_xlfn.XLOOKUP($A1750,'2. TEUs &amp; Activities - EF'!$A$9:$A$190,'2. TEUs &amp; Activities - EF'!$M$9:$M$190),_xlfn.XLOOKUP($B1750,'2. TEUs &amp; Activities - EF'!$B$9:$B$190,'2. TEUs &amp; Activities - EF'!$M$9:$M$190))*'3. Pollutant Emissions - EF'!$J1750*IF(OR(ISBLANK($E1750),$G1750="Yes"),1,$E1750)*IF($H1750="Yes",1,(1-$F1750))</f>
        <v>2.6352941176470589E-5</v>
      </c>
      <c r="O1750" s="130"/>
    </row>
    <row r="1751" spans="1:15" ht="15" x14ac:dyDescent="0.25">
      <c r="A1751" s="5" t="s">
        <v>1634</v>
      </c>
      <c r="B1751" s="7"/>
      <c r="C1751" s="13" t="s">
        <v>63</v>
      </c>
      <c r="D1751" s="19" t="str">
        <f>IFERROR(IF(C1751="No CAS","",INDEX('DEQ Pollutant List'!$B$7:$B$611,MATCH('3. Pollutant Emissions - EF'!C1751,'DEQ Pollutant List'!$A$7:$A$611,0))),"")</f>
        <v>Manganese and compounds</v>
      </c>
      <c r="E1751" s="23">
        <v>0</v>
      </c>
      <c r="F1751" s="21">
        <v>0</v>
      </c>
      <c r="G1751" s="23" t="s">
        <v>1415</v>
      </c>
      <c r="H1751" s="21" t="s">
        <v>1415</v>
      </c>
      <c r="I1751" s="34">
        <v>3.8000000000000002E-4</v>
      </c>
      <c r="J1751" s="11">
        <f t="shared" si="63"/>
        <v>3.8000000000000002E-4</v>
      </c>
      <c r="K1751" s="6" t="s">
        <v>1416</v>
      </c>
      <c r="L1751" s="20" t="s">
        <v>1422</v>
      </c>
      <c r="M1751" s="7">
        <f>IF(ISBLANK($B1751),_xlfn.XLOOKUP($A1751,'2. TEUs &amp; Activities - EF'!$A$9:$A$190,'2. TEUs &amp; Activities - EF'!$J$9:$J$190),_xlfn.XLOOKUP($B1751,'2. TEUs &amp; Activities - EF'!$B$9:$B$190,'2. TEUs &amp; Activities - EF'!$J$9:$J$190))*'3. Pollutant Emissions - EF'!$I1751*IF(OR(ISBLANK($E1751),$G1751="Yes"),1,$E1751)*IF($H1751="Yes",1,(1-$F1751))</f>
        <v>7.310305882352942E-3</v>
      </c>
      <c r="N1751" s="5">
        <f>IF(ISBLANK($B1751),_xlfn.XLOOKUP($A1751,'2. TEUs &amp; Activities - EF'!$A$9:$A$190,'2. TEUs &amp; Activities - EF'!$M$9:$M$190),_xlfn.XLOOKUP($B1751,'2. TEUs &amp; Activities - EF'!$B$9:$B$190,'2. TEUs &amp; Activities - EF'!$M$9:$M$190))*'3. Pollutant Emissions - EF'!$J1751*IF(OR(ISBLANK($E1751),$G1751="Yes"),1,$E1751)*IF($H1751="Yes",1,(1-$F1751))</f>
        <v>2.0028235294117651E-5</v>
      </c>
      <c r="O1751" s="130"/>
    </row>
    <row r="1752" spans="1:15" ht="15" x14ac:dyDescent="0.25">
      <c r="A1752" s="5" t="s">
        <v>1634</v>
      </c>
      <c r="B1752" s="7"/>
      <c r="C1752" s="13" t="s">
        <v>64</v>
      </c>
      <c r="D1752" s="19" t="str">
        <f>IFERROR(IF(C1752="No CAS","",INDEX('DEQ Pollutant List'!$B$7:$B$611,MATCH('3. Pollutant Emissions - EF'!C1752,'DEQ Pollutant List'!$A$7:$A$611,0))),"")</f>
        <v>Mercury and compounds</v>
      </c>
      <c r="E1752" s="23">
        <v>0</v>
      </c>
      <c r="F1752" s="21">
        <v>0</v>
      </c>
      <c r="G1752" s="23" t="s">
        <v>1415</v>
      </c>
      <c r="H1752" s="21" t="s">
        <v>1415</v>
      </c>
      <c r="I1752" s="34">
        <v>2.5999999999999998E-4</v>
      </c>
      <c r="J1752" s="11">
        <f t="shared" si="63"/>
        <v>2.5999999999999998E-4</v>
      </c>
      <c r="K1752" s="6" t="s">
        <v>1416</v>
      </c>
      <c r="L1752" s="20" t="s">
        <v>1422</v>
      </c>
      <c r="M1752" s="7">
        <f>IF(ISBLANK($B1752),_xlfn.XLOOKUP($A1752,'2. TEUs &amp; Activities - EF'!$A$9:$A$190,'2. TEUs &amp; Activities - EF'!$J$9:$J$190),_xlfn.XLOOKUP($B1752,'2. TEUs &amp; Activities - EF'!$B$9:$B$190,'2. TEUs &amp; Activities - EF'!$J$9:$J$190))*'3. Pollutant Emissions - EF'!$I1752*IF(OR(ISBLANK($E1752),$G1752="Yes"),1,$E1752)*IF($H1752="Yes",1,(1-$F1752))</f>
        <v>5.0017882352941176E-3</v>
      </c>
      <c r="N1752" s="5">
        <f>IF(ISBLANK($B1752),_xlfn.XLOOKUP($A1752,'2. TEUs &amp; Activities - EF'!$A$9:$A$190,'2. TEUs &amp; Activities - EF'!$M$9:$M$190),_xlfn.XLOOKUP($B1752,'2. TEUs &amp; Activities - EF'!$B$9:$B$190,'2. TEUs &amp; Activities - EF'!$M$9:$M$190))*'3. Pollutant Emissions - EF'!$J1752*IF(OR(ISBLANK($E1752),$G1752="Yes"),1,$E1752)*IF($H1752="Yes",1,(1-$F1752))</f>
        <v>1.3703529411764706E-5</v>
      </c>
      <c r="O1752" s="130"/>
    </row>
    <row r="1753" spans="1:15" ht="15" x14ac:dyDescent="0.25">
      <c r="A1753" s="5" t="s">
        <v>1634</v>
      </c>
      <c r="B1753" s="7"/>
      <c r="C1753" s="13" t="s">
        <v>65</v>
      </c>
      <c r="D1753" s="19" t="str">
        <f>IFERROR(IF(C1753="No CAS","",INDEX('DEQ Pollutant List'!$B$7:$B$611,MATCH('3. Pollutant Emissions - EF'!C1753,'DEQ Pollutant List'!$A$7:$A$611,0))),"")</f>
        <v>Molybdenum trioxide</v>
      </c>
      <c r="E1753" s="23">
        <v>0</v>
      </c>
      <c r="F1753" s="21">
        <v>0</v>
      </c>
      <c r="G1753" s="23" t="s">
        <v>1415</v>
      </c>
      <c r="H1753" s="21" t="s">
        <v>1415</v>
      </c>
      <c r="I1753" s="34">
        <v>1.65E-3</v>
      </c>
      <c r="J1753" s="11">
        <f t="shared" si="63"/>
        <v>1.65E-3</v>
      </c>
      <c r="K1753" s="6" t="s">
        <v>1416</v>
      </c>
      <c r="L1753" s="20" t="s">
        <v>1422</v>
      </c>
      <c r="M1753" s="7">
        <f>IF(ISBLANK($B1753),_xlfn.XLOOKUP($A1753,'2. TEUs &amp; Activities - EF'!$A$9:$A$190,'2. TEUs &amp; Activities - EF'!$J$9:$J$190),_xlfn.XLOOKUP($B1753,'2. TEUs &amp; Activities - EF'!$B$9:$B$190,'2. TEUs &amp; Activities - EF'!$J$9:$J$190))*'3. Pollutant Emissions - EF'!$I1753*IF(OR(ISBLANK($E1753),$G1753="Yes"),1,$E1753)*IF($H1753="Yes",1,(1-$F1753))</f>
        <v>3.1742117647058823E-2</v>
      </c>
      <c r="N1753" s="5">
        <f>IF(ISBLANK($B1753),_xlfn.XLOOKUP($A1753,'2. TEUs &amp; Activities - EF'!$A$9:$A$190,'2. TEUs &amp; Activities - EF'!$M$9:$M$190),_xlfn.XLOOKUP($B1753,'2. TEUs &amp; Activities - EF'!$B$9:$B$190,'2. TEUs &amp; Activities - EF'!$M$9:$M$190))*'3. Pollutant Emissions - EF'!$J1753*IF(OR(ISBLANK($E1753),$G1753="Yes"),1,$E1753)*IF($H1753="Yes",1,(1-$F1753))</f>
        <v>8.6964705882352938E-5</v>
      </c>
      <c r="O1753" s="130"/>
    </row>
    <row r="1754" spans="1:15" ht="15" x14ac:dyDescent="0.25">
      <c r="A1754" s="5" t="s">
        <v>1634</v>
      </c>
      <c r="B1754" s="7"/>
      <c r="C1754" s="13" t="s">
        <v>49</v>
      </c>
      <c r="D1754" s="19" t="str">
        <f>IFERROR(IF(C1754="No CAS","",INDEX('DEQ Pollutant List'!$B$7:$B$611,MATCH('3. Pollutant Emissions - EF'!C1754,'DEQ Pollutant List'!$A$7:$A$611,0))),"")</f>
        <v>Naphthalene</v>
      </c>
      <c r="E1754" s="23">
        <v>0</v>
      </c>
      <c r="F1754" s="21">
        <v>0</v>
      </c>
      <c r="G1754" s="23" t="s">
        <v>1415</v>
      </c>
      <c r="H1754" s="21" t="s">
        <v>1415</v>
      </c>
      <c r="I1754" s="34">
        <v>2.9999999999999997E-4</v>
      </c>
      <c r="J1754" s="11">
        <f t="shared" si="63"/>
        <v>2.9999999999999997E-4</v>
      </c>
      <c r="K1754" s="6" t="s">
        <v>1416</v>
      </c>
      <c r="L1754" s="20" t="s">
        <v>1422</v>
      </c>
      <c r="M1754" s="7">
        <f>IF(ISBLANK($B1754),_xlfn.XLOOKUP($A1754,'2. TEUs &amp; Activities - EF'!$A$9:$A$190,'2. TEUs &amp; Activities - EF'!$J$9:$J$190),_xlfn.XLOOKUP($B1754,'2. TEUs &amp; Activities - EF'!$B$9:$B$190,'2. TEUs &amp; Activities - EF'!$J$9:$J$190))*'3. Pollutant Emissions - EF'!$I1754*IF(OR(ISBLANK($E1754),$G1754="Yes"),1,$E1754)*IF($H1754="Yes",1,(1-$F1754))</f>
        <v>5.7712941176470585E-3</v>
      </c>
      <c r="N1754" s="5">
        <f>IF(ISBLANK($B1754),_xlfn.XLOOKUP($A1754,'2. TEUs &amp; Activities - EF'!$A$9:$A$190,'2. TEUs &amp; Activities - EF'!$M$9:$M$190),_xlfn.XLOOKUP($B1754,'2. TEUs &amp; Activities - EF'!$B$9:$B$190,'2. TEUs &amp; Activities - EF'!$M$9:$M$190))*'3. Pollutant Emissions - EF'!$J1754*IF(OR(ISBLANK($E1754),$G1754="Yes"),1,$E1754)*IF($H1754="Yes",1,(1-$F1754))</f>
        <v>1.5811764705882352E-5</v>
      </c>
      <c r="O1754" s="130"/>
    </row>
    <row r="1755" spans="1:15" ht="15" x14ac:dyDescent="0.25">
      <c r="A1755" s="5" t="s">
        <v>1634</v>
      </c>
      <c r="B1755" s="7"/>
      <c r="C1755" s="13" t="s">
        <v>66</v>
      </c>
      <c r="D1755" s="19" t="str">
        <f>IFERROR(IF(C1755="No CAS","",INDEX('DEQ Pollutant List'!$B$7:$B$611,MATCH('3. Pollutant Emissions - EF'!C1755,'DEQ Pollutant List'!$A$7:$A$611,0))),"")</f>
        <v>Nickel and compounds</v>
      </c>
      <c r="E1755" s="23">
        <v>0</v>
      </c>
      <c r="F1755" s="21">
        <v>0</v>
      </c>
      <c r="G1755" s="23" t="s">
        <v>1415</v>
      </c>
      <c r="H1755" s="21" t="s">
        <v>1415</v>
      </c>
      <c r="I1755" s="34">
        <v>2.0999999999999999E-3</v>
      </c>
      <c r="J1755" s="11">
        <f t="shared" si="63"/>
        <v>2.0999999999999999E-3</v>
      </c>
      <c r="K1755" s="6" t="s">
        <v>1416</v>
      </c>
      <c r="L1755" s="20" t="s">
        <v>1422</v>
      </c>
      <c r="M1755" s="7">
        <f>IF(ISBLANK($B1755),_xlfn.XLOOKUP($A1755,'2. TEUs &amp; Activities - EF'!$A$9:$A$190,'2. TEUs &amp; Activities - EF'!$J$9:$J$190),_xlfn.XLOOKUP($B1755,'2. TEUs &amp; Activities - EF'!$B$9:$B$190,'2. TEUs &amp; Activities - EF'!$J$9:$J$190))*'3. Pollutant Emissions - EF'!$I1755*IF(OR(ISBLANK($E1755),$G1755="Yes"),1,$E1755)*IF($H1755="Yes",1,(1-$F1755))</f>
        <v>4.0399058823529413E-2</v>
      </c>
      <c r="N1755" s="5">
        <f>IF(ISBLANK($B1755),_xlfn.XLOOKUP($A1755,'2. TEUs &amp; Activities - EF'!$A$9:$A$190,'2. TEUs &amp; Activities - EF'!$M$9:$M$190),_xlfn.XLOOKUP($B1755,'2. TEUs &amp; Activities - EF'!$B$9:$B$190,'2. TEUs &amp; Activities - EF'!$M$9:$M$190))*'3. Pollutant Emissions - EF'!$J1755*IF(OR(ISBLANK($E1755),$G1755="Yes"),1,$E1755)*IF($H1755="Yes",1,(1-$F1755))</f>
        <v>1.1068235294117647E-4</v>
      </c>
      <c r="O1755" s="130"/>
    </row>
    <row r="1756" spans="1:15" ht="15" x14ac:dyDescent="0.25">
      <c r="A1756" s="5" t="s">
        <v>1634</v>
      </c>
      <c r="B1756" s="7"/>
      <c r="C1756" s="13">
        <v>401</v>
      </c>
      <c r="D1756" s="19" t="str">
        <f>IFERROR(IF(C1756="No CAS","",INDEX('DEQ Pollutant List'!$B$7:$B$611,MATCH('3. Pollutant Emissions - EF'!C1756,'DEQ Pollutant List'!$A$7:$A$611,0))),"")</f>
        <v>Polycyclic aromatic hydrocarbons (PAHs)</v>
      </c>
      <c r="E1756" s="23">
        <v>0</v>
      </c>
      <c r="F1756" s="21">
        <v>0</v>
      </c>
      <c r="G1756" s="23" t="s">
        <v>1415</v>
      </c>
      <c r="H1756" s="21" t="s">
        <v>1415</v>
      </c>
      <c r="I1756" s="34">
        <v>1E-4</v>
      </c>
      <c r="J1756" s="11">
        <f t="shared" si="63"/>
        <v>1E-4</v>
      </c>
      <c r="K1756" s="6" t="s">
        <v>1416</v>
      </c>
      <c r="L1756" s="20" t="s">
        <v>1422</v>
      </c>
      <c r="M1756" s="7">
        <f>IF(ISBLANK($B1756),_xlfn.XLOOKUP($A1756,'2. TEUs &amp; Activities - EF'!$A$9:$A$190,'2. TEUs &amp; Activities - EF'!$J$9:$J$190),_xlfn.XLOOKUP($B1756,'2. TEUs &amp; Activities - EF'!$B$9:$B$190,'2. TEUs &amp; Activities - EF'!$J$9:$J$190))*'3. Pollutant Emissions - EF'!$I1756*IF(OR(ISBLANK($E1756),$G1756="Yes"),1,$E1756)*IF($H1756="Yes",1,(1-$F1756))</f>
        <v>1.9237647058823531E-3</v>
      </c>
      <c r="N1756" s="5">
        <f>IF(ISBLANK($B1756),_xlfn.XLOOKUP($A1756,'2. TEUs &amp; Activities - EF'!$A$9:$A$190,'2. TEUs &amp; Activities - EF'!$M$9:$M$190),_xlfn.XLOOKUP($B1756,'2. TEUs &amp; Activities - EF'!$B$9:$B$190,'2. TEUs &amp; Activities - EF'!$M$9:$M$190))*'3. Pollutant Emissions - EF'!$J1756*IF(OR(ISBLANK($E1756),$G1756="Yes"),1,$E1756)*IF($H1756="Yes",1,(1-$F1756))</f>
        <v>5.2705882352941184E-6</v>
      </c>
      <c r="O1756" s="130"/>
    </row>
    <row r="1757" spans="1:15" ht="15" x14ac:dyDescent="0.25">
      <c r="A1757" s="5" t="s">
        <v>1634</v>
      </c>
      <c r="B1757" s="7"/>
      <c r="C1757" s="13" t="s">
        <v>67</v>
      </c>
      <c r="D1757" s="19" t="str">
        <f>IFERROR(IF(C1757="No CAS","",INDEX('DEQ Pollutant List'!$B$7:$B$611,MATCH('3. Pollutant Emissions - EF'!C1757,'DEQ Pollutant List'!$A$7:$A$611,0))),"")</f>
        <v>Selenium and compounds</v>
      </c>
      <c r="E1757" s="23">
        <v>0</v>
      </c>
      <c r="F1757" s="21">
        <v>0</v>
      </c>
      <c r="G1757" s="23" t="s">
        <v>1415</v>
      </c>
      <c r="H1757" s="21" t="s">
        <v>1415</v>
      </c>
      <c r="I1757" s="34">
        <v>2.4000000000000001E-5</v>
      </c>
      <c r="J1757" s="11">
        <f t="shared" si="63"/>
        <v>2.4000000000000001E-5</v>
      </c>
      <c r="K1757" s="6" t="s">
        <v>1416</v>
      </c>
      <c r="L1757" s="20" t="s">
        <v>1422</v>
      </c>
      <c r="M1757" s="7">
        <f>IF(ISBLANK($B1757),_xlfn.XLOOKUP($A1757,'2. TEUs &amp; Activities - EF'!$A$9:$A$190,'2. TEUs &amp; Activities - EF'!$J$9:$J$190),_xlfn.XLOOKUP($B1757,'2. TEUs &amp; Activities - EF'!$B$9:$B$190,'2. TEUs &amp; Activities - EF'!$J$9:$J$190))*'3. Pollutant Emissions - EF'!$I1757*IF(OR(ISBLANK($E1757),$G1757="Yes"),1,$E1757)*IF($H1757="Yes",1,(1-$F1757))</f>
        <v>4.6170352941176475E-4</v>
      </c>
      <c r="N1757" s="5">
        <f>IF(ISBLANK($B1757),_xlfn.XLOOKUP($A1757,'2. TEUs &amp; Activities - EF'!$A$9:$A$190,'2. TEUs &amp; Activities - EF'!$M$9:$M$190),_xlfn.XLOOKUP($B1757,'2. TEUs &amp; Activities - EF'!$B$9:$B$190,'2. TEUs &amp; Activities - EF'!$M$9:$M$190))*'3. Pollutant Emissions - EF'!$J1757*IF(OR(ISBLANK($E1757),$G1757="Yes"),1,$E1757)*IF($H1757="Yes",1,(1-$F1757))</f>
        <v>1.2649411764705882E-6</v>
      </c>
      <c r="O1757" s="130"/>
    </row>
    <row r="1758" spans="1:15" ht="15" x14ac:dyDescent="0.25">
      <c r="A1758" s="5" t="s">
        <v>1634</v>
      </c>
      <c r="B1758" s="7"/>
      <c r="C1758" s="13" t="s">
        <v>68</v>
      </c>
      <c r="D1758" s="19" t="str">
        <f>IFERROR(IF(C1758="No CAS","",INDEX('DEQ Pollutant List'!$B$7:$B$611,MATCH('3. Pollutant Emissions - EF'!C1758,'DEQ Pollutant List'!$A$7:$A$611,0))),"")</f>
        <v>Toluene</v>
      </c>
      <c r="E1758" s="23">
        <v>0</v>
      </c>
      <c r="F1758" s="21">
        <v>0</v>
      </c>
      <c r="G1758" s="23" t="s">
        <v>1415</v>
      </c>
      <c r="H1758" s="21" t="s">
        <v>1415</v>
      </c>
      <c r="I1758" s="34">
        <v>3.6600000000000001E-2</v>
      </c>
      <c r="J1758" s="11">
        <f t="shared" si="63"/>
        <v>3.6600000000000001E-2</v>
      </c>
      <c r="K1758" s="6" t="s">
        <v>1416</v>
      </c>
      <c r="L1758" s="20" t="s">
        <v>1422</v>
      </c>
      <c r="M1758" s="7">
        <f>IF(ISBLANK($B1758),_xlfn.XLOOKUP($A1758,'2. TEUs &amp; Activities - EF'!$A$9:$A$190,'2. TEUs &amp; Activities - EF'!$J$9:$J$190),_xlfn.XLOOKUP($B1758,'2. TEUs &amp; Activities - EF'!$B$9:$B$190,'2. TEUs &amp; Activities - EF'!$J$9:$J$190))*'3. Pollutant Emissions - EF'!$I1758*IF(OR(ISBLANK($E1758),$G1758="Yes"),1,$E1758)*IF($H1758="Yes",1,(1-$F1758))</f>
        <v>0.70409788235294124</v>
      </c>
      <c r="N1758" s="5">
        <f>IF(ISBLANK($B1758),_xlfn.XLOOKUP($A1758,'2. TEUs &amp; Activities - EF'!$A$9:$A$190,'2. TEUs &amp; Activities - EF'!$M$9:$M$190),_xlfn.XLOOKUP($B1758,'2. TEUs &amp; Activities - EF'!$B$9:$B$190,'2. TEUs &amp; Activities - EF'!$M$9:$M$190))*'3. Pollutant Emissions - EF'!$J1758*IF(OR(ISBLANK($E1758),$G1758="Yes"),1,$E1758)*IF($H1758="Yes",1,(1-$F1758))</f>
        <v>1.9290352941176471E-3</v>
      </c>
      <c r="O1758" s="130"/>
    </row>
    <row r="1759" spans="1:15" ht="15" x14ac:dyDescent="0.25">
      <c r="A1759" s="5" t="s">
        <v>1634</v>
      </c>
      <c r="B1759" s="7"/>
      <c r="C1759" s="13" t="s">
        <v>69</v>
      </c>
      <c r="D1759" s="19" t="str">
        <f>IFERROR(IF(C1759="No CAS","",INDEX('DEQ Pollutant List'!$B$7:$B$611,MATCH('3. Pollutant Emissions - EF'!C1759,'DEQ Pollutant List'!$A$7:$A$611,0))),"")</f>
        <v>Vanadium (fume or dust)</v>
      </c>
      <c r="E1759" s="23">
        <v>0</v>
      </c>
      <c r="F1759" s="21">
        <v>0</v>
      </c>
      <c r="G1759" s="23" t="s">
        <v>1415</v>
      </c>
      <c r="H1759" s="21" t="s">
        <v>1415</v>
      </c>
      <c r="I1759" s="34">
        <v>2.3E-3</v>
      </c>
      <c r="J1759" s="11">
        <f t="shared" si="63"/>
        <v>2.3E-3</v>
      </c>
      <c r="K1759" s="6" t="s">
        <v>1416</v>
      </c>
      <c r="L1759" s="20" t="s">
        <v>1422</v>
      </c>
      <c r="M1759" s="7">
        <f>IF(ISBLANK($B1759),_xlfn.XLOOKUP($A1759,'2. TEUs &amp; Activities - EF'!$A$9:$A$190,'2. TEUs &amp; Activities - EF'!$J$9:$J$190),_xlfn.XLOOKUP($B1759,'2. TEUs &amp; Activities - EF'!$B$9:$B$190,'2. TEUs &amp; Activities - EF'!$J$9:$J$190))*'3. Pollutant Emissions - EF'!$I1759*IF(OR(ISBLANK($E1759),$G1759="Yes"),1,$E1759)*IF($H1759="Yes",1,(1-$F1759))</f>
        <v>4.4246588235294121E-2</v>
      </c>
      <c r="N1759" s="5">
        <f>IF(ISBLANK($B1759),_xlfn.XLOOKUP($A1759,'2. TEUs &amp; Activities - EF'!$A$9:$A$190,'2. TEUs &amp; Activities - EF'!$M$9:$M$190),_xlfn.XLOOKUP($B1759,'2. TEUs &amp; Activities - EF'!$B$9:$B$190,'2. TEUs &amp; Activities - EF'!$M$9:$M$190))*'3. Pollutant Emissions - EF'!$J1759*IF(OR(ISBLANK($E1759),$G1759="Yes"),1,$E1759)*IF($H1759="Yes",1,(1-$F1759))</f>
        <v>1.2122352941176471E-4</v>
      </c>
      <c r="O1759" s="130"/>
    </row>
    <row r="1760" spans="1:15" ht="15" x14ac:dyDescent="0.25">
      <c r="A1760" s="5" t="s">
        <v>1634</v>
      </c>
      <c r="B1760" s="7"/>
      <c r="C1760" s="13" t="s">
        <v>70</v>
      </c>
      <c r="D1760" s="19" t="str">
        <f>IFERROR(IF(C1760="No CAS","",INDEX('DEQ Pollutant List'!$B$7:$B$611,MATCH('3. Pollutant Emissions - EF'!C1760,'DEQ Pollutant List'!$A$7:$A$611,0))),"")</f>
        <v>Xylene (mixture), including m-xylene, o-xylene, p-xylene</v>
      </c>
      <c r="E1760" s="23">
        <v>0</v>
      </c>
      <c r="F1760" s="21">
        <v>0</v>
      </c>
      <c r="G1760" s="23" t="s">
        <v>1415</v>
      </c>
      <c r="H1760" s="21" t="s">
        <v>1415</v>
      </c>
      <c r="I1760" s="34">
        <v>2.7199999999999998E-2</v>
      </c>
      <c r="J1760" s="11">
        <f t="shared" si="63"/>
        <v>2.7199999999999998E-2</v>
      </c>
      <c r="K1760" s="6" t="s">
        <v>1416</v>
      </c>
      <c r="L1760" s="20" t="s">
        <v>1422</v>
      </c>
      <c r="M1760" s="7">
        <f>IF(ISBLANK($B1760),_xlfn.XLOOKUP($A1760,'2. TEUs &amp; Activities - EF'!$A$9:$A$190,'2. TEUs &amp; Activities - EF'!$J$9:$J$190),_xlfn.XLOOKUP($B1760,'2. TEUs &amp; Activities - EF'!$B$9:$B$190,'2. TEUs &amp; Activities - EF'!$J$9:$J$190))*'3. Pollutant Emissions - EF'!$I1760*IF(OR(ISBLANK($E1760),$G1760="Yes"),1,$E1760)*IF($H1760="Yes",1,(1-$F1760))</f>
        <v>0.52326399999999995</v>
      </c>
      <c r="N1760" s="5">
        <f>IF(ISBLANK($B1760),_xlfn.XLOOKUP($A1760,'2. TEUs &amp; Activities - EF'!$A$9:$A$190,'2. TEUs &amp; Activities - EF'!$M$9:$M$190),_xlfn.XLOOKUP($B1760,'2. TEUs &amp; Activities - EF'!$B$9:$B$190,'2. TEUs &amp; Activities - EF'!$M$9:$M$190))*'3. Pollutant Emissions - EF'!$J1760*IF(OR(ISBLANK($E1760),$G1760="Yes"),1,$E1760)*IF($H1760="Yes",1,(1-$F1760))</f>
        <v>1.4335999999999999E-3</v>
      </c>
      <c r="O1760" s="130"/>
    </row>
    <row r="1761" spans="1:15" ht="15" x14ac:dyDescent="0.25">
      <c r="A1761" s="5" t="s">
        <v>1634</v>
      </c>
      <c r="B1761" s="7"/>
      <c r="C1761" s="13" t="s">
        <v>71</v>
      </c>
      <c r="D1761" s="19" t="str">
        <f>IFERROR(IF(C1761="No CAS","",INDEX('DEQ Pollutant List'!$B$7:$B$611,MATCH('3. Pollutant Emissions - EF'!C1761,'DEQ Pollutant List'!$A$7:$A$611,0))),"")</f>
        <v>Zinc and compounds</v>
      </c>
      <c r="E1761" s="23">
        <v>0</v>
      </c>
      <c r="F1761" s="21">
        <v>0</v>
      </c>
      <c r="G1761" s="23" t="s">
        <v>1415</v>
      </c>
      <c r="H1761" s="21" t="s">
        <v>1415</v>
      </c>
      <c r="I1761" s="34">
        <v>2.9000000000000001E-2</v>
      </c>
      <c r="J1761" s="11">
        <f t="shared" si="63"/>
        <v>2.9000000000000001E-2</v>
      </c>
      <c r="K1761" s="6" t="s">
        <v>1416</v>
      </c>
      <c r="L1761" s="20" t="s">
        <v>1422</v>
      </c>
      <c r="M1761" s="7">
        <f>IF(ISBLANK($B1761),_xlfn.XLOOKUP($A1761,'2. TEUs &amp; Activities - EF'!$A$9:$A$190,'2. TEUs &amp; Activities - EF'!$J$9:$J$190),_xlfn.XLOOKUP($B1761,'2. TEUs &amp; Activities - EF'!$B$9:$B$190,'2. TEUs &amp; Activities - EF'!$J$9:$J$190))*'3. Pollutant Emissions - EF'!$I1761*IF(OR(ISBLANK($E1761),$G1761="Yes"),1,$E1761)*IF($H1761="Yes",1,(1-$F1761))</f>
        <v>0.55789176470588242</v>
      </c>
      <c r="N1761" s="5">
        <f>IF(ISBLANK($B1761),_xlfn.XLOOKUP($A1761,'2. TEUs &amp; Activities - EF'!$A$9:$A$190,'2. TEUs &amp; Activities - EF'!$M$9:$M$190),_xlfn.XLOOKUP($B1761,'2. TEUs &amp; Activities - EF'!$B$9:$B$190,'2. TEUs &amp; Activities - EF'!$M$9:$M$190))*'3. Pollutant Emissions - EF'!$J1761*IF(OR(ISBLANK($E1761),$G1761="Yes"),1,$E1761)*IF($H1761="Yes",1,(1-$F1761))</f>
        <v>1.5284705882352943E-3</v>
      </c>
      <c r="O1761" s="130"/>
    </row>
    <row r="1762" spans="1:15" ht="15" x14ac:dyDescent="0.25">
      <c r="A1762" s="5"/>
      <c r="B1762" s="7"/>
      <c r="C1762" s="13"/>
      <c r="D1762" s="19" t="str">
        <f>IFERROR(IF(C1762="No CAS","",INDEX('DEQ Pollutant List'!$B$7:$B$611,MATCH('3. Pollutant Emissions - EF'!C1762,'DEQ Pollutant List'!$A$7:$A$611,0))),"")</f>
        <v/>
      </c>
      <c r="E1762" s="23"/>
      <c r="F1762" s="21"/>
      <c r="G1762" s="23"/>
      <c r="H1762" s="21"/>
      <c r="I1762" s="34"/>
      <c r="J1762" s="11"/>
      <c r="K1762" s="6"/>
      <c r="L1762" s="20"/>
      <c r="M1762" s="7">
        <f>IF(ISBLANK($B1762),_xlfn.XLOOKUP($A1762,'2. TEUs &amp; Activities - EF'!$A$9:$A$190,'2. TEUs &amp; Activities - EF'!$J$9:$J$190),_xlfn.XLOOKUP($B1762,'2. TEUs &amp; Activities - EF'!$B$9:$B$190,'2. TEUs &amp; Activities - EF'!$J$9:$J$190))*'3. Pollutant Emissions - EF'!$I1762*IF(OR(ISBLANK($E1762),$G1762="Yes"),1,$E1762)*IF($H1762="Yes",1,(1-$F1762))</f>
        <v>0</v>
      </c>
      <c r="N1762" s="5">
        <f>IF(ISBLANK($B1762),_xlfn.XLOOKUP($A1762,'2. TEUs &amp; Activities - EF'!$A$9:$A$190,'2. TEUs &amp; Activities - EF'!$M$9:$M$190),_xlfn.XLOOKUP($B1762,'2. TEUs &amp; Activities - EF'!$B$9:$B$190,'2. TEUs &amp; Activities - EF'!$M$9:$M$190))*'3. Pollutant Emissions - EF'!$J1762*IF(OR(ISBLANK($E1762),$G1762="Yes"),1,$E1762)*IF($H1762="Yes",1,(1-$F1762))</f>
        <v>0</v>
      </c>
      <c r="O1762" s="130"/>
    </row>
    <row r="1763" spans="1:15" ht="15" x14ac:dyDescent="0.25">
      <c r="A1763" s="5" t="s">
        <v>1633</v>
      </c>
      <c r="B1763" s="7"/>
      <c r="C1763" s="13" t="s">
        <v>48</v>
      </c>
      <c r="D1763" s="19" t="str">
        <f>IFERROR(IF(C1763="No CAS","",INDEX('DEQ Pollutant List'!$B$7:$B$611,MATCH('3. Pollutant Emissions - EF'!C1763,'DEQ Pollutant List'!$A$7:$A$611,0))),"")</f>
        <v>Benzo[a]pyrene</v>
      </c>
      <c r="E1763" s="23">
        <v>0</v>
      </c>
      <c r="F1763" s="21">
        <v>0</v>
      </c>
      <c r="G1763" s="23" t="s">
        <v>1415</v>
      </c>
      <c r="H1763" s="21" t="s">
        <v>1415</v>
      </c>
      <c r="I1763" s="34">
        <v>1.1999999999999999E-6</v>
      </c>
      <c r="J1763" s="11">
        <f t="shared" ref="J1763:J1789" si="64">I1763</f>
        <v>1.1999999999999999E-6</v>
      </c>
      <c r="K1763" s="6" t="s">
        <v>1416</v>
      </c>
      <c r="L1763" s="20" t="s">
        <v>1422</v>
      </c>
      <c r="M1763" s="7">
        <f>IF(ISBLANK($B1763),_xlfn.XLOOKUP($A1763,'2. TEUs &amp; Activities - EF'!$A$9:$A$190,'2. TEUs &amp; Activities - EF'!$J$9:$J$190),_xlfn.XLOOKUP($B1763,'2. TEUs &amp; Activities - EF'!$B$9:$B$190,'2. TEUs &amp; Activities - EF'!$J$9:$J$190))*'3. Pollutant Emissions - EF'!$I1763*IF(OR(ISBLANK($E1763),$G1763="Yes"),1,$E1763)*IF($H1763="Yes",1,(1-$F1763))</f>
        <v>8.2447058823529417E-6</v>
      </c>
      <c r="N1763" s="5">
        <f>IF(ISBLANK($B1763),_xlfn.XLOOKUP($A1763,'2. TEUs &amp; Activities - EF'!$A$9:$A$190,'2. TEUs &amp; Activities - EF'!$M$9:$M$190),_xlfn.XLOOKUP($B1763,'2. TEUs &amp; Activities - EF'!$B$9:$B$190,'2. TEUs &amp; Activities - EF'!$M$9:$M$190))*'3. Pollutant Emissions - EF'!$J1763*IF(OR(ISBLANK($E1763),$G1763="Yes"),1,$E1763)*IF($H1763="Yes",1,(1-$F1763))</f>
        <v>2.2588235294117648E-8</v>
      </c>
      <c r="O1763" s="130"/>
    </row>
    <row r="1764" spans="1:15" ht="15" x14ac:dyDescent="0.25">
      <c r="A1764" s="5" t="s">
        <v>1633</v>
      </c>
      <c r="B1764" s="7"/>
      <c r="C1764" s="13" t="s">
        <v>50</v>
      </c>
      <c r="D1764" s="19" t="str">
        <f>IFERROR(IF(C1764="No CAS","",INDEX('DEQ Pollutant List'!$B$7:$B$611,MATCH('3. Pollutant Emissions - EF'!C1764,'DEQ Pollutant List'!$A$7:$A$611,0))),"")</f>
        <v>Acetaldehyde</v>
      </c>
      <c r="E1764" s="23">
        <v>0</v>
      </c>
      <c r="F1764" s="21">
        <v>0</v>
      </c>
      <c r="G1764" s="23" t="s">
        <v>1415</v>
      </c>
      <c r="H1764" s="21" t="s">
        <v>1415</v>
      </c>
      <c r="I1764" s="34">
        <v>4.3E-3</v>
      </c>
      <c r="J1764" s="11">
        <f t="shared" si="64"/>
        <v>4.3E-3</v>
      </c>
      <c r="K1764" s="6" t="s">
        <v>1416</v>
      </c>
      <c r="L1764" s="20" t="s">
        <v>1422</v>
      </c>
      <c r="M1764" s="7">
        <f>IF(ISBLANK($B1764),_xlfn.XLOOKUP($A1764,'2. TEUs &amp; Activities - EF'!$A$9:$A$190,'2. TEUs &amp; Activities - EF'!$J$9:$J$190),_xlfn.XLOOKUP($B1764,'2. TEUs &amp; Activities - EF'!$B$9:$B$190,'2. TEUs &amp; Activities - EF'!$J$9:$J$190))*'3. Pollutant Emissions - EF'!$I1764*IF(OR(ISBLANK($E1764),$G1764="Yes"),1,$E1764)*IF($H1764="Yes",1,(1-$F1764))</f>
        <v>2.9543529411764708E-2</v>
      </c>
      <c r="N1764" s="5">
        <f>IF(ISBLANK($B1764),_xlfn.XLOOKUP($A1764,'2. TEUs &amp; Activities - EF'!$A$9:$A$190,'2. TEUs &amp; Activities - EF'!$M$9:$M$190),_xlfn.XLOOKUP($B1764,'2. TEUs &amp; Activities - EF'!$B$9:$B$190,'2. TEUs &amp; Activities - EF'!$M$9:$M$190))*'3. Pollutant Emissions - EF'!$J1764*IF(OR(ISBLANK($E1764),$G1764="Yes"),1,$E1764)*IF($H1764="Yes",1,(1-$F1764))</f>
        <v>8.0941176470588247E-5</v>
      </c>
      <c r="O1764" s="130"/>
    </row>
    <row r="1765" spans="1:15" ht="15" x14ac:dyDescent="0.25">
      <c r="A1765" s="5" t="s">
        <v>1633</v>
      </c>
      <c r="B1765" s="7"/>
      <c r="C1765" s="13" t="s">
        <v>51</v>
      </c>
      <c r="D1765" s="19" t="str">
        <f>IFERROR(IF(C1765="No CAS","",INDEX('DEQ Pollutant List'!$B$7:$B$611,MATCH('3. Pollutant Emissions - EF'!C1765,'DEQ Pollutant List'!$A$7:$A$611,0))),"")</f>
        <v>Acrolein</v>
      </c>
      <c r="E1765" s="23">
        <v>0</v>
      </c>
      <c r="F1765" s="21">
        <v>0</v>
      </c>
      <c r="G1765" s="23" t="s">
        <v>1415</v>
      </c>
      <c r="H1765" s="21" t="s">
        <v>1415</v>
      </c>
      <c r="I1765" s="34">
        <v>2.7000000000000001E-3</v>
      </c>
      <c r="J1765" s="11">
        <f t="shared" si="64"/>
        <v>2.7000000000000001E-3</v>
      </c>
      <c r="K1765" s="6" t="s">
        <v>1416</v>
      </c>
      <c r="L1765" s="20" t="s">
        <v>1422</v>
      </c>
      <c r="M1765" s="7">
        <f>IF(ISBLANK($B1765),_xlfn.XLOOKUP($A1765,'2. TEUs &amp; Activities - EF'!$A$9:$A$190,'2. TEUs &amp; Activities - EF'!$J$9:$J$190),_xlfn.XLOOKUP($B1765,'2. TEUs &amp; Activities - EF'!$B$9:$B$190,'2. TEUs &amp; Activities - EF'!$J$9:$J$190))*'3. Pollutant Emissions - EF'!$I1765*IF(OR(ISBLANK($E1765),$G1765="Yes"),1,$E1765)*IF($H1765="Yes",1,(1-$F1765))</f>
        <v>1.8550588235294121E-2</v>
      </c>
      <c r="N1765" s="5">
        <f>IF(ISBLANK($B1765),_xlfn.XLOOKUP($A1765,'2. TEUs &amp; Activities - EF'!$A$9:$A$190,'2. TEUs &amp; Activities - EF'!$M$9:$M$190),_xlfn.XLOOKUP($B1765,'2. TEUs &amp; Activities - EF'!$B$9:$B$190,'2. TEUs &amp; Activities - EF'!$M$9:$M$190))*'3. Pollutant Emissions - EF'!$J1765*IF(OR(ISBLANK($E1765),$G1765="Yes"),1,$E1765)*IF($H1765="Yes",1,(1-$F1765))</f>
        <v>5.0823529411764716E-5</v>
      </c>
      <c r="O1765" s="130"/>
    </row>
    <row r="1766" spans="1:15" ht="15" x14ac:dyDescent="0.25">
      <c r="A1766" s="5" t="s">
        <v>1633</v>
      </c>
      <c r="B1766" s="7"/>
      <c r="C1766" s="13" t="s">
        <v>52</v>
      </c>
      <c r="D1766" s="19" t="str">
        <f>IFERROR(IF(C1766="No CAS","",INDEX('DEQ Pollutant List'!$B$7:$B$611,MATCH('3. Pollutant Emissions - EF'!C1766,'DEQ Pollutant List'!$A$7:$A$611,0))),"")</f>
        <v>Ammonia</v>
      </c>
      <c r="E1766" s="23">
        <v>0</v>
      </c>
      <c r="F1766" s="21">
        <v>0</v>
      </c>
      <c r="G1766" s="23" t="s">
        <v>1415</v>
      </c>
      <c r="H1766" s="21" t="s">
        <v>1415</v>
      </c>
      <c r="I1766" s="34">
        <v>3.2</v>
      </c>
      <c r="J1766" s="11">
        <f t="shared" si="64"/>
        <v>3.2</v>
      </c>
      <c r="K1766" s="6" t="s">
        <v>1416</v>
      </c>
      <c r="L1766" s="20" t="s">
        <v>1586</v>
      </c>
      <c r="M1766" s="7">
        <f>IF(ISBLANK($B1766),_xlfn.XLOOKUP($A1766,'2. TEUs &amp; Activities - EF'!$A$9:$A$190,'2. TEUs &amp; Activities - EF'!$J$9:$J$190),_xlfn.XLOOKUP($B1766,'2. TEUs &amp; Activities - EF'!$B$9:$B$190,'2. TEUs &amp; Activities - EF'!$J$9:$J$190))*'3. Pollutant Emissions - EF'!$I1766*IF(OR(ISBLANK($E1766),$G1766="Yes"),1,$E1766)*IF($H1766="Yes",1,(1-$F1766))</f>
        <v>21.985882352941179</v>
      </c>
      <c r="N1766" s="5">
        <f>IF(ISBLANK($B1766),_xlfn.XLOOKUP($A1766,'2. TEUs &amp; Activities - EF'!$A$9:$A$190,'2. TEUs &amp; Activities - EF'!$M$9:$M$190),_xlfn.XLOOKUP($B1766,'2. TEUs &amp; Activities - EF'!$B$9:$B$190,'2. TEUs &amp; Activities - EF'!$M$9:$M$190))*'3. Pollutant Emissions - EF'!$J1766*IF(OR(ISBLANK($E1766),$G1766="Yes"),1,$E1766)*IF($H1766="Yes",1,(1-$F1766))</f>
        <v>6.0235294117647067E-2</v>
      </c>
      <c r="O1766" s="130"/>
    </row>
    <row r="1767" spans="1:15" ht="15" x14ac:dyDescent="0.25">
      <c r="A1767" s="5" t="s">
        <v>1633</v>
      </c>
      <c r="B1767" s="7"/>
      <c r="C1767" s="13" t="s">
        <v>53</v>
      </c>
      <c r="D1767" s="19" t="str">
        <f>IFERROR(IF(C1767="No CAS","",INDEX('DEQ Pollutant List'!$B$7:$B$611,MATCH('3. Pollutant Emissions - EF'!C1767,'DEQ Pollutant List'!$A$7:$A$611,0))),"")</f>
        <v>Arsenic and compounds</v>
      </c>
      <c r="E1767" s="23">
        <v>0</v>
      </c>
      <c r="F1767" s="21">
        <v>0</v>
      </c>
      <c r="G1767" s="23" t="s">
        <v>1415</v>
      </c>
      <c r="H1767" s="21" t="s">
        <v>1415</v>
      </c>
      <c r="I1767" s="34">
        <v>2.0000000000000001E-4</v>
      </c>
      <c r="J1767" s="11">
        <f t="shared" si="64"/>
        <v>2.0000000000000001E-4</v>
      </c>
      <c r="K1767" s="6" t="s">
        <v>1416</v>
      </c>
      <c r="L1767" s="20" t="s">
        <v>1422</v>
      </c>
      <c r="M1767" s="7">
        <f>IF(ISBLANK($B1767),_xlfn.XLOOKUP($A1767,'2. TEUs &amp; Activities - EF'!$A$9:$A$190,'2. TEUs &amp; Activities - EF'!$J$9:$J$190),_xlfn.XLOOKUP($B1767,'2. TEUs &amp; Activities - EF'!$B$9:$B$190,'2. TEUs &amp; Activities - EF'!$J$9:$J$190))*'3. Pollutant Emissions - EF'!$I1767*IF(OR(ISBLANK($E1767),$G1767="Yes"),1,$E1767)*IF($H1767="Yes",1,(1-$F1767))</f>
        <v>1.3741176470588236E-3</v>
      </c>
      <c r="N1767" s="5">
        <f>IF(ISBLANK($B1767),_xlfn.XLOOKUP($A1767,'2. TEUs &amp; Activities - EF'!$A$9:$A$190,'2. TEUs &amp; Activities - EF'!$M$9:$M$190),_xlfn.XLOOKUP($B1767,'2. TEUs &amp; Activities - EF'!$B$9:$B$190,'2. TEUs &amp; Activities - EF'!$M$9:$M$190))*'3. Pollutant Emissions - EF'!$J1767*IF(OR(ISBLANK($E1767),$G1767="Yes"),1,$E1767)*IF($H1767="Yes",1,(1-$F1767))</f>
        <v>3.7647058823529418E-6</v>
      </c>
      <c r="O1767" s="130"/>
    </row>
    <row r="1768" spans="1:15" ht="15" x14ac:dyDescent="0.25">
      <c r="A1768" s="5" t="s">
        <v>1633</v>
      </c>
      <c r="B1768" s="7"/>
      <c r="C1768" s="13" t="s">
        <v>54</v>
      </c>
      <c r="D1768" s="19" t="str">
        <f>IFERROR(IF(C1768="No CAS","",INDEX('DEQ Pollutant List'!$B$7:$B$611,MATCH('3. Pollutant Emissions - EF'!C1768,'DEQ Pollutant List'!$A$7:$A$611,0))),"")</f>
        <v>Barium and compounds</v>
      </c>
      <c r="E1768" s="23">
        <v>0</v>
      </c>
      <c r="F1768" s="21">
        <v>0</v>
      </c>
      <c r="G1768" s="23" t="s">
        <v>1415</v>
      </c>
      <c r="H1768" s="21" t="s">
        <v>1415</v>
      </c>
      <c r="I1768" s="34">
        <v>4.4000000000000003E-3</v>
      </c>
      <c r="J1768" s="11">
        <f t="shared" si="64"/>
        <v>4.4000000000000003E-3</v>
      </c>
      <c r="K1768" s="6" t="s">
        <v>1416</v>
      </c>
      <c r="L1768" s="20" t="s">
        <v>1422</v>
      </c>
      <c r="M1768" s="7">
        <f>IF(ISBLANK($B1768),_xlfn.XLOOKUP($A1768,'2. TEUs &amp; Activities - EF'!$A$9:$A$190,'2. TEUs &amp; Activities - EF'!$J$9:$J$190),_xlfn.XLOOKUP($B1768,'2. TEUs &amp; Activities - EF'!$B$9:$B$190,'2. TEUs &amp; Activities - EF'!$J$9:$J$190))*'3. Pollutant Emissions - EF'!$I1768*IF(OR(ISBLANK($E1768),$G1768="Yes"),1,$E1768)*IF($H1768="Yes",1,(1-$F1768))</f>
        <v>3.023058823529412E-2</v>
      </c>
      <c r="N1768" s="5">
        <f>IF(ISBLANK($B1768),_xlfn.XLOOKUP($A1768,'2. TEUs &amp; Activities - EF'!$A$9:$A$190,'2. TEUs &amp; Activities - EF'!$M$9:$M$190),_xlfn.XLOOKUP($B1768,'2. TEUs &amp; Activities - EF'!$B$9:$B$190,'2. TEUs &amp; Activities - EF'!$M$9:$M$190))*'3. Pollutant Emissions - EF'!$J1768*IF(OR(ISBLANK($E1768),$G1768="Yes"),1,$E1768)*IF($H1768="Yes",1,(1-$F1768))</f>
        <v>8.2823529411764715E-5</v>
      </c>
      <c r="O1768" s="130"/>
    </row>
    <row r="1769" spans="1:15" ht="15" x14ac:dyDescent="0.25">
      <c r="A1769" s="5" t="s">
        <v>1633</v>
      </c>
      <c r="B1769" s="7"/>
      <c r="C1769" s="13" t="s">
        <v>46</v>
      </c>
      <c r="D1769" s="19" t="str">
        <f>IFERROR(IF(C1769="No CAS","",INDEX('DEQ Pollutant List'!$B$7:$B$611,MATCH('3. Pollutant Emissions - EF'!C1769,'DEQ Pollutant List'!$A$7:$A$611,0))),"")</f>
        <v>Benzene</v>
      </c>
      <c r="E1769" s="23">
        <v>0</v>
      </c>
      <c r="F1769" s="21">
        <v>0</v>
      </c>
      <c r="G1769" s="23" t="s">
        <v>1415</v>
      </c>
      <c r="H1769" s="21" t="s">
        <v>1415</v>
      </c>
      <c r="I1769" s="34">
        <v>8.0000000000000002E-3</v>
      </c>
      <c r="J1769" s="11">
        <f t="shared" si="64"/>
        <v>8.0000000000000002E-3</v>
      </c>
      <c r="K1769" s="6" t="s">
        <v>1416</v>
      </c>
      <c r="L1769" s="20" t="s">
        <v>1422</v>
      </c>
      <c r="M1769" s="7">
        <f>IF(ISBLANK($B1769),_xlfn.XLOOKUP($A1769,'2. TEUs &amp; Activities - EF'!$A$9:$A$190,'2. TEUs &amp; Activities - EF'!$J$9:$J$190),_xlfn.XLOOKUP($B1769,'2. TEUs &amp; Activities - EF'!$B$9:$B$190,'2. TEUs &amp; Activities - EF'!$J$9:$J$190))*'3. Pollutant Emissions - EF'!$I1769*IF(OR(ISBLANK($E1769),$G1769="Yes"),1,$E1769)*IF($H1769="Yes",1,(1-$F1769))</f>
        <v>5.4964705882352943E-2</v>
      </c>
      <c r="N1769" s="5">
        <f>IF(ISBLANK($B1769),_xlfn.XLOOKUP($A1769,'2. TEUs &amp; Activities - EF'!$A$9:$A$190,'2. TEUs &amp; Activities - EF'!$M$9:$M$190),_xlfn.XLOOKUP($B1769,'2. TEUs &amp; Activities - EF'!$B$9:$B$190,'2. TEUs &amp; Activities - EF'!$M$9:$M$190))*'3. Pollutant Emissions - EF'!$J1769*IF(OR(ISBLANK($E1769),$G1769="Yes"),1,$E1769)*IF($H1769="Yes",1,(1-$F1769))</f>
        <v>1.5058823529411766E-4</v>
      </c>
      <c r="O1769" s="130"/>
    </row>
    <row r="1770" spans="1:15" ht="15" x14ac:dyDescent="0.25">
      <c r="A1770" s="5" t="s">
        <v>1633</v>
      </c>
      <c r="B1770" s="7"/>
      <c r="C1770" s="13" t="s">
        <v>55</v>
      </c>
      <c r="D1770" s="19" t="str">
        <f>IFERROR(IF(C1770="No CAS","",INDEX('DEQ Pollutant List'!$B$7:$B$611,MATCH('3. Pollutant Emissions - EF'!C1770,'DEQ Pollutant List'!$A$7:$A$611,0))),"")</f>
        <v>Beryllium and compounds</v>
      </c>
      <c r="E1770" s="23">
        <v>0</v>
      </c>
      <c r="F1770" s="21">
        <v>0</v>
      </c>
      <c r="G1770" s="23" t="s">
        <v>1415</v>
      </c>
      <c r="H1770" s="21" t="s">
        <v>1415</v>
      </c>
      <c r="I1770" s="34">
        <v>1.2E-5</v>
      </c>
      <c r="J1770" s="11">
        <f t="shared" si="64"/>
        <v>1.2E-5</v>
      </c>
      <c r="K1770" s="6" t="s">
        <v>1416</v>
      </c>
      <c r="L1770" s="20" t="s">
        <v>1422</v>
      </c>
      <c r="M1770" s="7">
        <f>IF(ISBLANK($B1770),_xlfn.XLOOKUP($A1770,'2. TEUs &amp; Activities - EF'!$A$9:$A$190,'2. TEUs &amp; Activities - EF'!$J$9:$J$190),_xlfn.XLOOKUP($B1770,'2. TEUs &amp; Activities - EF'!$B$9:$B$190,'2. TEUs &amp; Activities - EF'!$J$9:$J$190))*'3. Pollutant Emissions - EF'!$I1770*IF(OR(ISBLANK($E1770),$G1770="Yes"),1,$E1770)*IF($H1770="Yes",1,(1-$F1770))</f>
        <v>8.2447058823529413E-5</v>
      </c>
      <c r="N1770" s="5">
        <f>IF(ISBLANK($B1770),_xlfn.XLOOKUP($A1770,'2. TEUs &amp; Activities - EF'!$A$9:$A$190,'2. TEUs &amp; Activities - EF'!$M$9:$M$190),_xlfn.XLOOKUP($B1770,'2. TEUs &amp; Activities - EF'!$B$9:$B$190,'2. TEUs &amp; Activities - EF'!$M$9:$M$190))*'3. Pollutant Emissions - EF'!$J1770*IF(OR(ISBLANK($E1770),$G1770="Yes"),1,$E1770)*IF($H1770="Yes",1,(1-$F1770))</f>
        <v>2.2588235294117649E-7</v>
      </c>
      <c r="O1770" s="130"/>
    </row>
    <row r="1771" spans="1:15" ht="15" x14ac:dyDescent="0.25">
      <c r="A1771" s="5" t="s">
        <v>1633</v>
      </c>
      <c r="B1771" s="7"/>
      <c r="C1771" s="13" t="s">
        <v>56</v>
      </c>
      <c r="D1771" s="19" t="str">
        <f>IFERROR(IF(C1771="No CAS","",INDEX('DEQ Pollutant List'!$B$7:$B$611,MATCH('3. Pollutant Emissions - EF'!C1771,'DEQ Pollutant List'!$A$7:$A$611,0))),"")</f>
        <v>Cadmium and compounds</v>
      </c>
      <c r="E1771" s="23">
        <v>0</v>
      </c>
      <c r="F1771" s="21">
        <v>0</v>
      </c>
      <c r="G1771" s="23" t="s">
        <v>1415</v>
      </c>
      <c r="H1771" s="21" t="s">
        <v>1415</v>
      </c>
      <c r="I1771" s="34">
        <v>1.1000000000000001E-3</v>
      </c>
      <c r="J1771" s="11">
        <f t="shared" si="64"/>
        <v>1.1000000000000001E-3</v>
      </c>
      <c r="K1771" s="6" t="s">
        <v>1416</v>
      </c>
      <c r="L1771" s="20" t="s">
        <v>1422</v>
      </c>
      <c r="M1771" s="7">
        <f>IF(ISBLANK($B1771),_xlfn.XLOOKUP($A1771,'2. TEUs &amp; Activities - EF'!$A$9:$A$190,'2. TEUs &amp; Activities - EF'!$J$9:$J$190),_xlfn.XLOOKUP($B1771,'2. TEUs &amp; Activities - EF'!$B$9:$B$190,'2. TEUs &amp; Activities - EF'!$J$9:$J$190))*'3. Pollutant Emissions - EF'!$I1771*IF(OR(ISBLANK($E1771),$G1771="Yes"),1,$E1771)*IF($H1771="Yes",1,(1-$F1771))</f>
        <v>7.5576470588235301E-3</v>
      </c>
      <c r="N1771" s="5">
        <f>IF(ISBLANK($B1771),_xlfn.XLOOKUP($A1771,'2. TEUs &amp; Activities - EF'!$A$9:$A$190,'2. TEUs &amp; Activities - EF'!$M$9:$M$190),_xlfn.XLOOKUP($B1771,'2. TEUs &amp; Activities - EF'!$B$9:$B$190,'2. TEUs &amp; Activities - EF'!$M$9:$M$190))*'3. Pollutant Emissions - EF'!$J1771*IF(OR(ISBLANK($E1771),$G1771="Yes"),1,$E1771)*IF($H1771="Yes",1,(1-$F1771))</f>
        <v>2.0705882352941179E-5</v>
      </c>
      <c r="O1771" s="130"/>
    </row>
    <row r="1772" spans="1:15" ht="15" x14ac:dyDescent="0.25">
      <c r="A1772" s="5" t="s">
        <v>1633</v>
      </c>
      <c r="B1772" s="7"/>
      <c r="C1772" s="13" t="s">
        <v>57</v>
      </c>
      <c r="D1772" s="19" t="str">
        <f>IFERROR(IF(C1772="No CAS","",INDEX('DEQ Pollutant List'!$B$7:$B$611,MATCH('3. Pollutant Emissions - EF'!C1772,'DEQ Pollutant List'!$A$7:$A$611,0))),"")</f>
        <v>Chromium VI, chromate and dichromate particulate</v>
      </c>
      <c r="E1772" s="23">
        <v>0</v>
      </c>
      <c r="F1772" s="21">
        <v>0</v>
      </c>
      <c r="G1772" s="23" t="s">
        <v>1415</v>
      </c>
      <c r="H1772" s="21" t="s">
        <v>1415</v>
      </c>
      <c r="I1772" s="34">
        <v>1.4E-3</v>
      </c>
      <c r="J1772" s="11">
        <f t="shared" si="64"/>
        <v>1.4E-3</v>
      </c>
      <c r="K1772" s="6" t="s">
        <v>1416</v>
      </c>
      <c r="L1772" s="20" t="s">
        <v>1422</v>
      </c>
      <c r="M1772" s="7">
        <f>IF(ISBLANK($B1772),_xlfn.XLOOKUP($A1772,'2. TEUs &amp; Activities - EF'!$A$9:$A$190,'2. TEUs &amp; Activities - EF'!$J$9:$J$190),_xlfn.XLOOKUP($B1772,'2. TEUs &amp; Activities - EF'!$B$9:$B$190,'2. TEUs &amp; Activities - EF'!$J$9:$J$190))*'3. Pollutant Emissions - EF'!$I1772*IF(OR(ISBLANK($E1772),$G1772="Yes"),1,$E1772)*IF($H1772="Yes",1,(1-$F1772))</f>
        <v>9.6188235294117647E-3</v>
      </c>
      <c r="N1772" s="5">
        <f>IF(ISBLANK($B1772),_xlfn.XLOOKUP($A1772,'2. TEUs &amp; Activities - EF'!$A$9:$A$190,'2. TEUs &amp; Activities - EF'!$M$9:$M$190),_xlfn.XLOOKUP($B1772,'2. TEUs &amp; Activities - EF'!$B$9:$B$190,'2. TEUs &amp; Activities - EF'!$M$9:$M$190))*'3. Pollutant Emissions - EF'!$J1772*IF(OR(ISBLANK($E1772),$G1772="Yes"),1,$E1772)*IF($H1772="Yes",1,(1-$F1772))</f>
        <v>2.6352941176470592E-5</v>
      </c>
      <c r="O1772" s="130"/>
    </row>
    <row r="1773" spans="1:15" ht="15" x14ac:dyDescent="0.25">
      <c r="A1773" s="5" t="s">
        <v>1633</v>
      </c>
      <c r="B1773" s="7"/>
      <c r="C1773" s="13" t="s">
        <v>58</v>
      </c>
      <c r="D1773" s="19" t="str">
        <f>IFERROR(IF(C1773="No CAS","",INDEX('DEQ Pollutant List'!$B$7:$B$611,MATCH('3. Pollutant Emissions - EF'!C1773,'DEQ Pollutant List'!$A$7:$A$611,0))),"")</f>
        <v>Cobalt and compounds</v>
      </c>
      <c r="E1773" s="23">
        <v>0</v>
      </c>
      <c r="F1773" s="21">
        <v>0</v>
      </c>
      <c r="G1773" s="23" t="s">
        <v>1415</v>
      </c>
      <c r="H1773" s="21" t="s">
        <v>1415</v>
      </c>
      <c r="I1773" s="34">
        <v>8.3999999999999995E-5</v>
      </c>
      <c r="J1773" s="11">
        <f t="shared" si="64"/>
        <v>8.3999999999999995E-5</v>
      </c>
      <c r="K1773" s="6" t="s">
        <v>1416</v>
      </c>
      <c r="L1773" s="20" t="s">
        <v>1422</v>
      </c>
      <c r="M1773" s="7">
        <f>IF(ISBLANK($B1773),_xlfn.XLOOKUP($A1773,'2. TEUs &amp; Activities - EF'!$A$9:$A$190,'2. TEUs &amp; Activities - EF'!$J$9:$J$190),_xlfn.XLOOKUP($B1773,'2. TEUs &amp; Activities - EF'!$B$9:$B$190,'2. TEUs &amp; Activities - EF'!$J$9:$J$190))*'3. Pollutant Emissions - EF'!$I1773*IF(OR(ISBLANK($E1773),$G1773="Yes"),1,$E1773)*IF($H1773="Yes",1,(1-$F1773))</f>
        <v>5.7712941176470589E-4</v>
      </c>
      <c r="N1773" s="5">
        <f>IF(ISBLANK($B1773),_xlfn.XLOOKUP($A1773,'2. TEUs &amp; Activities - EF'!$A$9:$A$190,'2. TEUs &amp; Activities - EF'!$M$9:$M$190),_xlfn.XLOOKUP($B1773,'2. TEUs &amp; Activities - EF'!$B$9:$B$190,'2. TEUs &amp; Activities - EF'!$M$9:$M$190))*'3. Pollutant Emissions - EF'!$J1773*IF(OR(ISBLANK($E1773),$G1773="Yes"),1,$E1773)*IF($H1773="Yes",1,(1-$F1773))</f>
        <v>1.5811764705882354E-6</v>
      </c>
      <c r="O1773" s="130"/>
    </row>
    <row r="1774" spans="1:15" ht="15" x14ac:dyDescent="0.25">
      <c r="A1774" s="5" t="s">
        <v>1633</v>
      </c>
      <c r="B1774" s="7"/>
      <c r="C1774" s="13" t="s">
        <v>59</v>
      </c>
      <c r="D1774" s="19" t="str">
        <f>IFERROR(IF(C1774="No CAS","",INDEX('DEQ Pollutant List'!$B$7:$B$611,MATCH('3. Pollutant Emissions - EF'!C1774,'DEQ Pollutant List'!$A$7:$A$611,0))),"")</f>
        <v>Copper and compounds</v>
      </c>
      <c r="E1774" s="23">
        <v>0</v>
      </c>
      <c r="F1774" s="21">
        <v>0</v>
      </c>
      <c r="G1774" s="23" t="s">
        <v>1415</v>
      </c>
      <c r="H1774" s="21" t="s">
        <v>1415</v>
      </c>
      <c r="I1774" s="34">
        <v>8.4999999999999995E-4</v>
      </c>
      <c r="J1774" s="11">
        <f t="shared" si="64"/>
        <v>8.4999999999999995E-4</v>
      </c>
      <c r="K1774" s="6" t="s">
        <v>1416</v>
      </c>
      <c r="L1774" s="20" t="s">
        <v>1422</v>
      </c>
      <c r="M1774" s="7">
        <f>IF(ISBLANK($B1774),_xlfn.XLOOKUP($A1774,'2. TEUs &amp; Activities - EF'!$A$9:$A$190,'2. TEUs &amp; Activities - EF'!$J$9:$J$190),_xlfn.XLOOKUP($B1774,'2. TEUs &amp; Activities - EF'!$B$9:$B$190,'2. TEUs &amp; Activities - EF'!$J$9:$J$190))*'3. Pollutant Emissions - EF'!$I1774*IF(OR(ISBLANK($E1774),$G1774="Yes"),1,$E1774)*IF($H1774="Yes",1,(1-$F1774))</f>
        <v>5.8399999999999997E-3</v>
      </c>
      <c r="N1774" s="5">
        <f>IF(ISBLANK($B1774),_xlfn.XLOOKUP($A1774,'2. TEUs &amp; Activities - EF'!$A$9:$A$190,'2. TEUs &amp; Activities - EF'!$M$9:$M$190),_xlfn.XLOOKUP($B1774,'2. TEUs &amp; Activities - EF'!$B$9:$B$190,'2. TEUs &amp; Activities - EF'!$M$9:$M$190))*'3. Pollutant Emissions - EF'!$J1774*IF(OR(ISBLANK($E1774),$G1774="Yes"),1,$E1774)*IF($H1774="Yes",1,(1-$F1774))</f>
        <v>1.5999999999999999E-5</v>
      </c>
      <c r="O1774" s="130"/>
    </row>
    <row r="1775" spans="1:15" ht="15" x14ac:dyDescent="0.25">
      <c r="A1775" s="5" t="s">
        <v>1633</v>
      </c>
      <c r="B1775" s="7"/>
      <c r="C1775" s="13" t="s">
        <v>60</v>
      </c>
      <c r="D1775" s="19" t="str">
        <f>IFERROR(IF(C1775="No CAS","",INDEX('DEQ Pollutant List'!$B$7:$B$611,MATCH('3. Pollutant Emissions - EF'!C1775,'DEQ Pollutant List'!$A$7:$A$611,0))),"")</f>
        <v>Ethyl benzene</v>
      </c>
      <c r="E1775" s="23">
        <v>0</v>
      </c>
      <c r="F1775" s="21">
        <v>0</v>
      </c>
      <c r="G1775" s="23" t="s">
        <v>1415</v>
      </c>
      <c r="H1775" s="21" t="s">
        <v>1415</v>
      </c>
      <c r="I1775" s="34">
        <v>9.4999999999999998E-3</v>
      </c>
      <c r="J1775" s="11">
        <f t="shared" si="64"/>
        <v>9.4999999999999998E-3</v>
      </c>
      <c r="K1775" s="6" t="s">
        <v>1416</v>
      </c>
      <c r="L1775" s="20" t="s">
        <v>1422</v>
      </c>
      <c r="M1775" s="7">
        <f>IF(ISBLANK($B1775),_xlfn.XLOOKUP($A1775,'2. TEUs &amp; Activities - EF'!$A$9:$A$190,'2. TEUs &amp; Activities - EF'!$J$9:$J$190),_xlfn.XLOOKUP($B1775,'2. TEUs &amp; Activities - EF'!$B$9:$B$190,'2. TEUs &amp; Activities - EF'!$J$9:$J$190))*'3. Pollutant Emissions - EF'!$I1775*IF(OR(ISBLANK($E1775),$G1775="Yes"),1,$E1775)*IF($H1775="Yes",1,(1-$F1775))</f>
        <v>6.5270588235294122E-2</v>
      </c>
      <c r="N1775" s="5">
        <f>IF(ISBLANK($B1775),_xlfn.XLOOKUP($A1775,'2. TEUs &amp; Activities - EF'!$A$9:$A$190,'2. TEUs &amp; Activities - EF'!$M$9:$M$190),_xlfn.XLOOKUP($B1775,'2. TEUs &amp; Activities - EF'!$B$9:$B$190,'2. TEUs &amp; Activities - EF'!$M$9:$M$190))*'3. Pollutant Emissions - EF'!$J1775*IF(OR(ISBLANK($E1775),$G1775="Yes"),1,$E1775)*IF($H1775="Yes",1,(1-$F1775))</f>
        <v>1.7882352941176472E-4</v>
      </c>
      <c r="O1775" s="130"/>
    </row>
    <row r="1776" spans="1:15" ht="15" x14ac:dyDescent="0.25">
      <c r="A1776" s="5" t="s">
        <v>1633</v>
      </c>
      <c r="B1776" s="7"/>
      <c r="C1776" s="13" t="s">
        <v>47</v>
      </c>
      <c r="D1776" s="19" t="str">
        <f>IFERROR(IF(C1776="No CAS","",INDEX('DEQ Pollutant List'!$B$7:$B$611,MATCH('3. Pollutant Emissions - EF'!C1776,'DEQ Pollutant List'!$A$7:$A$611,0))),"")</f>
        <v>Formaldehyde</v>
      </c>
      <c r="E1776" s="23">
        <v>0</v>
      </c>
      <c r="F1776" s="21">
        <v>0</v>
      </c>
      <c r="G1776" s="23" t="s">
        <v>1415</v>
      </c>
      <c r="H1776" s="21" t="s">
        <v>1415</v>
      </c>
      <c r="I1776" s="34">
        <v>1.7000000000000001E-2</v>
      </c>
      <c r="J1776" s="11">
        <f t="shared" si="64"/>
        <v>1.7000000000000001E-2</v>
      </c>
      <c r="K1776" s="6" t="s">
        <v>1416</v>
      </c>
      <c r="L1776" s="20" t="s">
        <v>1422</v>
      </c>
      <c r="M1776" s="7">
        <f>IF(ISBLANK($B1776),_xlfn.XLOOKUP($A1776,'2. TEUs &amp; Activities - EF'!$A$9:$A$190,'2. TEUs &amp; Activities - EF'!$J$9:$J$190),_xlfn.XLOOKUP($B1776,'2. TEUs &amp; Activities - EF'!$B$9:$B$190,'2. TEUs &amp; Activities - EF'!$J$9:$J$190))*'3. Pollutant Emissions - EF'!$I1776*IF(OR(ISBLANK($E1776),$G1776="Yes"),1,$E1776)*IF($H1776="Yes",1,(1-$F1776))</f>
        <v>0.11680000000000001</v>
      </c>
      <c r="N1776" s="5">
        <f>IF(ISBLANK($B1776),_xlfn.XLOOKUP($A1776,'2. TEUs &amp; Activities - EF'!$A$9:$A$190,'2. TEUs &amp; Activities - EF'!$M$9:$M$190),_xlfn.XLOOKUP($B1776,'2. TEUs &amp; Activities - EF'!$B$9:$B$190,'2. TEUs &amp; Activities - EF'!$M$9:$M$190))*'3. Pollutant Emissions - EF'!$J1776*IF(OR(ISBLANK($E1776),$G1776="Yes"),1,$E1776)*IF($H1776="Yes",1,(1-$F1776))</f>
        <v>3.2000000000000008E-4</v>
      </c>
      <c r="O1776" s="130"/>
    </row>
    <row r="1777" spans="1:15" ht="15" x14ac:dyDescent="0.25">
      <c r="A1777" s="5" t="s">
        <v>1633</v>
      </c>
      <c r="B1777" s="7"/>
      <c r="C1777" s="13" t="s">
        <v>61</v>
      </c>
      <c r="D1777" s="19" t="str">
        <f>IFERROR(IF(C1777="No CAS","",INDEX('DEQ Pollutant List'!$B$7:$B$611,MATCH('3. Pollutant Emissions - EF'!C1777,'DEQ Pollutant List'!$A$7:$A$611,0))),"")</f>
        <v>Hexane</v>
      </c>
      <c r="E1777" s="23">
        <v>0</v>
      </c>
      <c r="F1777" s="21">
        <v>0</v>
      </c>
      <c r="G1777" s="23" t="s">
        <v>1415</v>
      </c>
      <c r="H1777" s="21" t="s">
        <v>1415</v>
      </c>
      <c r="I1777" s="34">
        <v>6.3E-3</v>
      </c>
      <c r="J1777" s="11">
        <f t="shared" si="64"/>
        <v>6.3E-3</v>
      </c>
      <c r="K1777" s="6" t="s">
        <v>1416</v>
      </c>
      <c r="L1777" s="20" t="s">
        <v>1422</v>
      </c>
      <c r="M1777" s="7">
        <f>IF(ISBLANK($B1777),_xlfn.XLOOKUP($A1777,'2. TEUs &amp; Activities - EF'!$A$9:$A$190,'2. TEUs &amp; Activities - EF'!$J$9:$J$190),_xlfn.XLOOKUP($B1777,'2. TEUs &amp; Activities - EF'!$B$9:$B$190,'2. TEUs &amp; Activities - EF'!$J$9:$J$190))*'3. Pollutant Emissions - EF'!$I1777*IF(OR(ISBLANK($E1777),$G1777="Yes"),1,$E1777)*IF($H1777="Yes",1,(1-$F1777))</f>
        <v>4.3284705882352947E-2</v>
      </c>
      <c r="N1777" s="5">
        <f>IF(ISBLANK($B1777),_xlfn.XLOOKUP($A1777,'2. TEUs &amp; Activities - EF'!$A$9:$A$190,'2. TEUs &amp; Activities - EF'!$M$9:$M$190),_xlfn.XLOOKUP($B1777,'2. TEUs &amp; Activities - EF'!$B$9:$B$190,'2. TEUs &amp; Activities - EF'!$M$9:$M$190))*'3. Pollutant Emissions - EF'!$J1777*IF(OR(ISBLANK($E1777),$G1777="Yes"),1,$E1777)*IF($H1777="Yes",1,(1-$F1777))</f>
        <v>1.1858823529411766E-4</v>
      </c>
      <c r="O1777" s="130"/>
    </row>
    <row r="1778" spans="1:15" ht="15" x14ac:dyDescent="0.25">
      <c r="A1778" s="5" t="s">
        <v>1633</v>
      </c>
      <c r="B1778" s="7"/>
      <c r="C1778" s="13" t="s">
        <v>62</v>
      </c>
      <c r="D1778" s="19" t="str">
        <f>IFERROR(IF(C1778="No CAS","",INDEX('DEQ Pollutant List'!$B$7:$B$611,MATCH('3. Pollutant Emissions - EF'!C1778,'DEQ Pollutant List'!$A$7:$A$611,0))),"")</f>
        <v>Lead and compounds</v>
      </c>
      <c r="E1778" s="23">
        <v>0</v>
      </c>
      <c r="F1778" s="21">
        <v>0</v>
      </c>
      <c r="G1778" s="23" t="s">
        <v>1415</v>
      </c>
      <c r="H1778" s="21" t="s">
        <v>1415</v>
      </c>
      <c r="I1778" s="34">
        <v>5.0000000000000001E-4</v>
      </c>
      <c r="J1778" s="11">
        <f t="shared" si="64"/>
        <v>5.0000000000000001E-4</v>
      </c>
      <c r="K1778" s="6" t="s">
        <v>1416</v>
      </c>
      <c r="L1778" s="20" t="s">
        <v>1422</v>
      </c>
      <c r="M1778" s="7">
        <f>IF(ISBLANK($B1778),_xlfn.XLOOKUP($A1778,'2. TEUs &amp; Activities - EF'!$A$9:$A$190,'2. TEUs &amp; Activities - EF'!$J$9:$J$190),_xlfn.XLOOKUP($B1778,'2. TEUs &amp; Activities - EF'!$B$9:$B$190,'2. TEUs &amp; Activities - EF'!$J$9:$J$190))*'3. Pollutant Emissions - EF'!$I1778*IF(OR(ISBLANK($E1778),$G1778="Yes"),1,$E1778)*IF($H1778="Yes",1,(1-$F1778))</f>
        <v>3.435294117647059E-3</v>
      </c>
      <c r="N1778" s="5">
        <f>IF(ISBLANK($B1778),_xlfn.XLOOKUP($A1778,'2. TEUs &amp; Activities - EF'!$A$9:$A$190,'2. TEUs &amp; Activities - EF'!$M$9:$M$190),_xlfn.XLOOKUP($B1778,'2. TEUs &amp; Activities - EF'!$B$9:$B$190,'2. TEUs &amp; Activities - EF'!$M$9:$M$190))*'3. Pollutant Emissions - EF'!$J1778*IF(OR(ISBLANK($E1778),$G1778="Yes"),1,$E1778)*IF($H1778="Yes",1,(1-$F1778))</f>
        <v>9.4117647058823538E-6</v>
      </c>
      <c r="O1778" s="130"/>
    </row>
    <row r="1779" spans="1:15" ht="15" x14ac:dyDescent="0.25">
      <c r="A1779" s="5" t="s">
        <v>1633</v>
      </c>
      <c r="B1779" s="7"/>
      <c r="C1779" s="13" t="s">
        <v>63</v>
      </c>
      <c r="D1779" s="19" t="str">
        <f>IFERROR(IF(C1779="No CAS","",INDEX('DEQ Pollutant List'!$B$7:$B$611,MATCH('3. Pollutant Emissions - EF'!C1779,'DEQ Pollutant List'!$A$7:$A$611,0))),"")</f>
        <v>Manganese and compounds</v>
      </c>
      <c r="E1779" s="23">
        <v>0</v>
      </c>
      <c r="F1779" s="21">
        <v>0</v>
      </c>
      <c r="G1779" s="23" t="s">
        <v>1415</v>
      </c>
      <c r="H1779" s="21" t="s">
        <v>1415</v>
      </c>
      <c r="I1779" s="34">
        <v>3.8000000000000002E-4</v>
      </c>
      <c r="J1779" s="11">
        <f t="shared" si="64"/>
        <v>3.8000000000000002E-4</v>
      </c>
      <c r="K1779" s="6" t="s">
        <v>1416</v>
      </c>
      <c r="L1779" s="20" t="s">
        <v>1422</v>
      </c>
      <c r="M1779" s="7">
        <f>IF(ISBLANK($B1779),_xlfn.XLOOKUP($A1779,'2. TEUs &amp; Activities - EF'!$A$9:$A$190,'2. TEUs &amp; Activities - EF'!$J$9:$J$190),_xlfn.XLOOKUP($B1779,'2. TEUs &amp; Activities - EF'!$B$9:$B$190,'2. TEUs &amp; Activities - EF'!$J$9:$J$190))*'3. Pollutant Emissions - EF'!$I1779*IF(OR(ISBLANK($E1779),$G1779="Yes"),1,$E1779)*IF($H1779="Yes",1,(1-$F1779))</f>
        <v>2.6108235294117648E-3</v>
      </c>
      <c r="N1779" s="5">
        <f>IF(ISBLANK($B1779),_xlfn.XLOOKUP($A1779,'2. TEUs &amp; Activities - EF'!$A$9:$A$190,'2. TEUs &amp; Activities - EF'!$M$9:$M$190),_xlfn.XLOOKUP($B1779,'2. TEUs &amp; Activities - EF'!$B$9:$B$190,'2. TEUs &amp; Activities - EF'!$M$9:$M$190))*'3. Pollutant Emissions - EF'!$J1779*IF(OR(ISBLANK($E1779),$G1779="Yes"),1,$E1779)*IF($H1779="Yes",1,(1-$F1779))</f>
        <v>7.1529411764705895E-6</v>
      </c>
      <c r="O1779" s="130"/>
    </row>
    <row r="1780" spans="1:15" ht="15" x14ac:dyDescent="0.25">
      <c r="A1780" s="5" t="s">
        <v>1633</v>
      </c>
      <c r="B1780" s="7"/>
      <c r="C1780" s="13" t="s">
        <v>64</v>
      </c>
      <c r="D1780" s="19" t="str">
        <f>IFERROR(IF(C1780="No CAS","",INDEX('DEQ Pollutant List'!$B$7:$B$611,MATCH('3. Pollutant Emissions - EF'!C1780,'DEQ Pollutant List'!$A$7:$A$611,0))),"")</f>
        <v>Mercury and compounds</v>
      </c>
      <c r="E1780" s="23">
        <v>0</v>
      </c>
      <c r="F1780" s="21">
        <v>0</v>
      </c>
      <c r="G1780" s="23" t="s">
        <v>1415</v>
      </c>
      <c r="H1780" s="21" t="s">
        <v>1415</v>
      </c>
      <c r="I1780" s="34">
        <v>2.5999999999999998E-4</v>
      </c>
      <c r="J1780" s="11">
        <f t="shared" si="64"/>
        <v>2.5999999999999998E-4</v>
      </c>
      <c r="K1780" s="6" t="s">
        <v>1416</v>
      </c>
      <c r="L1780" s="20" t="s">
        <v>1422</v>
      </c>
      <c r="M1780" s="7">
        <f>IF(ISBLANK($B1780),_xlfn.XLOOKUP($A1780,'2. TEUs &amp; Activities - EF'!$A$9:$A$190,'2. TEUs &amp; Activities - EF'!$J$9:$J$190),_xlfn.XLOOKUP($B1780,'2. TEUs &amp; Activities - EF'!$B$9:$B$190,'2. TEUs &amp; Activities - EF'!$J$9:$J$190))*'3. Pollutant Emissions - EF'!$I1780*IF(OR(ISBLANK($E1780),$G1780="Yes"),1,$E1780)*IF($H1780="Yes",1,(1-$F1780))</f>
        <v>1.7863529411764705E-3</v>
      </c>
      <c r="N1780" s="5">
        <f>IF(ISBLANK($B1780),_xlfn.XLOOKUP($A1780,'2. TEUs &amp; Activities - EF'!$A$9:$A$190,'2. TEUs &amp; Activities - EF'!$M$9:$M$190),_xlfn.XLOOKUP($B1780,'2. TEUs &amp; Activities - EF'!$B$9:$B$190,'2. TEUs &amp; Activities - EF'!$M$9:$M$190))*'3. Pollutant Emissions - EF'!$J1780*IF(OR(ISBLANK($E1780),$G1780="Yes"),1,$E1780)*IF($H1780="Yes",1,(1-$F1780))</f>
        <v>4.8941176470588235E-6</v>
      </c>
      <c r="O1780" s="130"/>
    </row>
    <row r="1781" spans="1:15" ht="15" x14ac:dyDescent="0.25">
      <c r="A1781" s="5" t="s">
        <v>1633</v>
      </c>
      <c r="B1781" s="7"/>
      <c r="C1781" s="13" t="s">
        <v>65</v>
      </c>
      <c r="D1781" s="19" t="str">
        <f>IFERROR(IF(C1781="No CAS","",INDEX('DEQ Pollutant List'!$B$7:$B$611,MATCH('3. Pollutant Emissions - EF'!C1781,'DEQ Pollutant List'!$A$7:$A$611,0))),"")</f>
        <v>Molybdenum trioxide</v>
      </c>
      <c r="E1781" s="23">
        <v>0</v>
      </c>
      <c r="F1781" s="21">
        <v>0</v>
      </c>
      <c r="G1781" s="23" t="s">
        <v>1415</v>
      </c>
      <c r="H1781" s="21" t="s">
        <v>1415</v>
      </c>
      <c r="I1781" s="34">
        <v>1.65E-3</v>
      </c>
      <c r="J1781" s="11">
        <f t="shared" si="64"/>
        <v>1.65E-3</v>
      </c>
      <c r="K1781" s="6" t="s">
        <v>1416</v>
      </c>
      <c r="L1781" s="20" t="s">
        <v>1422</v>
      </c>
      <c r="M1781" s="7">
        <f>IF(ISBLANK($B1781),_xlfn.XLOOKUP($A1781,'2. TEUs &amp; Activities - EF'!$A$9:$A$190,'2. TEUs &amp; Activities - EF'!$J$9:$J$190),_xlfn.XLOOKUP($B1781,'2. TEUs &amp; Activities - EF'!$B$9:$B$190,'2. TEUs &amp; Activities - EF'!$J$9:$J$190))*'3. Pollutant Emissions - EF'!$I1781*IF(OR(ISBLANK($E1781),$G1781="Yes"),1,$E1781)*IF($H1781="Yes",1,(1-$F1781))</f>
        <v>1.1336470588235295E-2</v>
      </c>
      <c r="N1781" s="5">
        <f>IF(ISBLANK($B1781),_xlfn.XLOOKUP($A1781,'2. TEUs &amp; Activities - EF'!$A$9:$A$190,'2. TEUs &amp; Activities - EF'!$M$9:$M$190),_xlfn.XLOOKUP($B1781,'2. TEUs &amp; Activities - EF'!$B$9:$B$190,'2. TEUs &amp; Activities - EF'!$M$9:$M$190))*'3. Pollutant Emissions - EF'!$J1781*IF(OR(ISBLANK($E1781),$G1781="Yes"),1,$E1781)*IF($H1781="Yes",1,(1-$F1781))</f>
        <v>3.1058823529411765E-5</v>
      </c>
      <c r="O1781" s="130"/>
    </row>
    <row r="1782" spans="1:15" ht="15" x14ac:dyDescent="0.25">
      <c r="A1782" s="5" t="s">
        <v>1633</v>
      </c>
      <c r="B1782" s="7"/>
      <c r="C1782" s="13" t="s">
        <v>49</v>
      </c>
      <c r="D1782" s="19" t="str">
        <f>IFERROR(IF(C1782="No CAS","",INDEX('DEQ Pollutant List'!$B$7:$B$611,MATCH('3. Pollutant Emissions - EF'!C1782,'DEQ Pollutant List'!$A$7:$A$611,0))),"")</f>
        <v>Naphthalene</v>
      </c>
      <c r="E1782" s="23">
        <v>0</v>
      </c>
      <c r="F1782" s="21">
        <v>0</v>
      </c>
      <c r="G1782" s="23" t="s">
        <v>1415</v>
      </c>
      <c r="H1782" s="21" t="s">
        <v>1415</v>
      </c>
      <c r="I1782" s="34">
        <v>2.9999999999999997E-4</v>
      </c>
      <c r="J1782" s="11">
        <f t="shared" si="64"/>
        <v>2.9999999999999997E-4</v>
      </c>
      <c r="K1782" s="6" t="s">
        <v>1416</v>
      </c>
      <c r="L1782" s="20" t="s">
        <v>1422</v>
      </c>
      <c r="M1782" s="7">
        <f>IF(ISBLANK($B1782),_xlfn.XLOOKUP($A1782,'2. TEUs &amp; Activities - EF'!$A$9:$A$190,'2. TEUs &amp; Activities - EF'!$J$9:$J$190),_xlfn.XLOOKUP($B1782,'2. TEUs &amp; Activities - EF'!$B$9:$B$190,'2. TEUs &amp; Activities - EF'!$J$9:$J$190))*'3. Pollutant Emissions - EF'!$I1782*IF(OR(ISBLANK($E1782),$G1782="Yes"),1,$E1782)*IF($H1782="Yes",1,(1-$F1782))</f>
        <v>2.0611764705882351E-3</v>
      </c>
      <c r="N1782" s="5">
        <f>IF(ISBLANK($B1782),_xlfn.XLOOKUP($A1782,'2. TEUs &amp; Activities - EF'!$A$9:$A$190,'2. TEUs &amp; Activities - EF'!$M$9:$M$190),_xlfn.XLOOKUP($B1782,'2. TEUs &amp; Activities - EF'!$B$9:$B$190,'2. TEUs &amp; Activities - EF'!$M$9:$M$190))*'3. Pollutant Emissions - EF'!$J1782*IF(OR(ISBLANK($E1782),$G1782="Yes"),1,$E1782)*IF($H1782="Yes",1,(1-$F1782))</f>
        <v>5.6470588235294116E-6</v>
      </c>
      <c r="O1782" s="130"/>
    </row>
    <row r="1783" spans="1:15" ht="15" x14ac:dyDescent="0.25">
      <c r="A1783" s="5" t="s">
        <v>1633</v>
      </c>
      <c r="B1783" s="7"/>
      <c r="C1783" s="13" t="s">
        <v>66</v>
      </c>
      <c r="D1783" s="19" t="str">
        <f>IFERROR(IF(C1783="No CAS","",INDEX('DEQ Pollutant List'!$B$7:$B$611,MATCH('3. Pollutant Emissions - EF'!C1783,'DEQ Pollutant List'!$A$7:$A$611,0))),"")</f>
        <v>Nickel and compounds</v>
      </c>
      <c r="E1783" s="23">
        <v>0</v>
      </c>
      <c r="F1783" s="21">
        <v>0</v>
      </c>
      <c r="G1783" s="23" t="s">
        <v>1415</v>
      </c>
      <c r="H1783" s="21" t="s">
        <v>1415</v>
      </c>
      <c r="I1783" s="34">
        <v>2.0999999999999999E-3</v>
      </c>
      <c r="J1783" s="11">
        <f t="shared" si="64"/>
        <v>2.0999999999999999E-3</v>
      </c>
      <c r="K1783" s="6" t="s">
        <v>1416</v>
      </c>
      <c r="L1783" s="20" t="s">
        <v>1422</v>
      </c>
      <c r="M1783" s="7">
        <f>IF(ISBLANK($B1783),_xlfn.XLOOKUP($A1783,'2. TEUs &amp; Activities - EF'!$A$9:$A$190,'2. TEUs &amp; Activities - EF'!$J$9:$J$190),_xlfn.XLOOKUP($B1783,'2. TEUs &amp; Activities - EF'!$B$9:$B$190,'2. TEUs &amp; Activities - EF'!$J$9:$J$190))*'3. Pollutant Emissions - EF'!$I1783*IF(OR(ISBLANK($E1783),$G1783="Yes"),1,$E1783)*IF($H1783="Yes",1,(1-$F1783))</f>
        <v>1.4428235294117648E-2</v>
      </c>
      <c r="N1783" s="5">
        <f>IF(ISBLANK($B1783),_xlfn.XLOOKUP($A1783,'2. TEUs &amp; Activities - EF'!$A$9:$A$190,'2. TEUs &amp; Activities - EF'!$M$9:$M$190),_xlfn.XLOOKUP($B1783,'2. TEUs &amp; Activities - EF'!$B$9:$B$190,'2. TEUs &amp; Activities - EF'!$M$9:$M$190))*'3. Pollutant Emissions - EF'!$J1783*IF(OR(ISBLANK($E1783),$G1783="Yes"),1,$E1783)*IF($H1783="Yes",1,(1-$F1783))</f>
        <v>3.9529411764705883E-5</v>
      </c>
      <c r="O1783" s="130"/>
    </row>
    <row r="1784" spans="1:15" ht="15" x14ac:dyDescent="0.25">
      <c r="A1784" s="5" t="s">
        <v>1633</v>
      </c>
      <c r="B1784" s="7"/>
      <c r="C1784" s="13">
        <v>401</v>
      </c>
      <c r="D1784" s="19" t="str">
        <f>IFERROR(IF(C1784="No CAS","",INDEX('DEQ Pollutant List'!$B$7:$B$611,MATCH('3. Pollutant Emissions - EF'!C1784,'DEQ Pollutant List'!$A$7:$A$611,0))),"")</f>
        <v>Polycyclic aromatic hydrocarbons (PAHs)</v>
      </c>
      <c r="E1784" s="23">
        <v>0</v>
      </c>
      <c r="F1784" s="21">
        <v>0</v>
      </c>
      <c r="G1784" s="23" t="s">
        <v>1415</v>
      </c>
      <c r="H1784" s="21" t="s">
        <v>1415</v>
      </c>
      <c r="I1784" s="34">
        <v>1E-4</v>
      </c>
      <c r="J1784" s="11">
        <f t="shared" si="64"/>
        <v>1E-4</v>
      </c>
      <c r="K1784" s="6" t="s">
        <v>1416</v>
      </c>
      <c r="L1784" s="20" t="s">
        <v>1422</v>
      </c>
      <c r="M1784" s="7">
        <f>IF(ISBLANK($B1784),_xlfn.XLOOKUP($A1784,'2. TEUs &amp; Activities - EF'!$A$9:$A$190,'2. TEUs &amp; Activities - EF'!$J$9:$J$190),_xlfn.XLOOKUP($B1784,'2. TEUs &amp; Activities - EF'!$B$9:$B$190,'2. TEUs &amp; Activities - EF'!$J$9:$J$190))*'3. Pollutant Emissions - EF'!$I1784*IF(OR(ISBLANK($E1784),$G1784="Yes"),1,$E1784)*IF($H1784="Yes",1,(1-$F1784))</f>
        <v>6.8705882352941181E-4</v>
      </c>
      <c r="N1784" s="5">
        <f>IF(ISBLANK($B1784),_xlfn.XLOOKUP($A1784,'2. TEUs &amp; Activities - EF'!$A$9:$A$190,'2. TEUs &amp; Activities - EF'!$M$9:$M$190),_xlfn.XLOOKUP($B1784,'2. TEUs &amp; Activities - EF'!$B$9:$B$190,'2. TEUs &amp; Activities - EF'!$M$9:$M$190))*'3. Pollutant Emissions - EF'!$J1784*IF(OR(ISBLANK($E1784),$G1784="Yes"),1,$E1784)*IF($H1784="Yes",1,(1-$F1784))</f>
        <v>1.8823529411764709E-6</v>
      </c>
      <c r="O1784" s="130"/>
    </row>
    <row r="1785" spans="1:15" ht="15" x14ac:dyDescent="0.25">
      <c r="A1785" s="5" t="s">
        <v>1633</v>
      </c>
      <c r="B1785" s="7"/>
      <c r="C1785" s="13" t="s">
        <v>67</v>
      </c>
      <c r="D1785" s="19" t="str">
        <f>IFERROR(IF(C1785="No CAS","",INDEX('DEQ Pollutant List'!$B$7:$B$611,MATCH('3. Pollutant Emissions - EF'!C1785,'DEQ Pollutant List'!$A$7:$A$611,0))),"")</f>
        <v>Selenium and compounds</v>
      </c>
      <c r="E1785" s="23">
        <v>0</v>
      </c>
      <c r="F1785" s="21">
        <v>0</v>
      </c>
      <c r="G1785" s="23" t="s">
        <v>1415</v>
      </c>
      <c r="H1785" s="21" t="s">
        <v>1415</v>
      </c>
      <c r="I1785" s="34">
        <v>2.4000000000000001E-5</v>
      </c>
      <c r="J1785" s="11">
        <f t="shared" si="64"/>
        <v>2.4000000000000001E-5</v>
      </c>
      <c r="K1785" s="6" t="s">
        <v>1416</v>
      </c>
      <c r="L1785" s="20" t="s">
        <v>1422</v>
      </c>
      <c r="M1785" s="7">
        <f>IF(ISBLANK($B1785),_xlfn.XLOOKUP($A1785,'2. TEUs &amp; Activities - EF'!$A$9:$A$190,'2. TEUs &amp; Activities - EF'!$J$9:$J$190),_xlfn.XLOOKUP($B1785,'2. TEUs &amp; Activities - EF'!$B$9:$B$190,'2. TEUs &amp; Activities - EF'!$J$9:$J$190))*'3. Pollutant Emissions - EF'!$I1785*IF(OR(ISBLANK($E1785),$G1785="Yes"),1,$E1785)*IF($H1785="Yes",1,(1-$F1785))</f>
        <v>1.6489411764705883E-4</v>
      </c>
      <c r="N1785" s="5">
        <f>IF(ISBLANK($B1785),_xlfn.XLOOKUP($A1785,'2. TEUs &amp; Activities - EF'!$A$9:$A$190,'2. TEUs &amp; Activities - EF'!$M$9:$M$190),_xlfn.XLOOKUP($B1785,'2. TEUs &amp; Activities - EF'!$B$9:$B$190,'2. TEUs &amp; Activities - EF'!$M$9:$M$190))*'3. Pollutant Emissions - EF'!$J1785*IF(OR(ISBLANK($E1785),$G1785="Yes"),1,$E1785)*IF($H1785="Yes",1,(1-$F1785))</f>
        <v>4.5176470588235299E-7</v>
      </c>
      <c r="O1785" s="130"/>
    </row>
    <row r="1786" spans="1:15" ht="15" x14ac:dyDescent="0.25">
      <c r="A1786" s="5" t="s">
        <v>1633</v>
      </c>
      <c r="B1786" s="7"/>
      <c r="C1786" s="13" t="s">
        <v>68</v>
      </c>
      <c r="D1786" s="19" t="str">
        <f>IFERROR(IF(C1786="No CAS","",INDEX('DEQ Pollutant List'!$B$7:$B$611,MATCH('3. Pollutant Emissions - EF'!C1786,'DEQ Pollutant List'!$A$7:$A$611,0))),"")</f>
        <v>Toluene</v>
      </c>
      <c r="E1786" s="23">
        <v>0</v>
      </c>
      <c r="F1786" s="21">
        <v>0</v>
      </c>
      <c r="G1786" s="23" t="s">
        <v>1415</v>
      </c>
      <c r="H1786" s="21" t="s">
        <v>1415</v>
      </c>
      <c r="I1786" s="34">
        <v>3.6600000000000001E-2</v>
      </c>
      <c r="J1786" s="11">
        <f t="shared" si="64"/>
        <v>3.6600000000000001E-2</v>
      </c>
      <c r="K1786" s="6" t="s">
        <v>1416</v>
      </c>
      <c r="L1786" s="20" t="s">
        <v>1422</v>
      </c>
      <c r="M1786" s="7">
        <f>IF(ISBLANK($B1786),_xlfn.XLOOKUP($A1786,'2. TEUs &amp; Activities - EF'!$A$9:$A$190,'2. TEUs &amp; Activities - EF'!$J$9:$J$190),_xlfn.XLOOKUP($B1786,'2. TEUs &amp; Activities - EF'!$B$9:$B$190,'2. TEUs &amp; Activities - EF'!$J$9:$J$190))*'3. Pollutant Emissions - EF'!$I1786*IF(OR(ISBLANK($E1786),$G1786="Yes"),1,$E1786)*IF($H1786="Yes",1,(1-$F1786))</f>
        <v>0.25146352941176475</v>
      </c>
      <c r="N1786" s="5">
        <f>IF(ISBLANK($B1786),_xlfn.XLOOKUP($A1786,'2. TEUs &amp; Activities - EF'!$A$9:$A$190,'2. TEUs &amp; Activities - EF'!$M$9:$M$190),_xlfn.XLOOKUP($B1786,'2. TEUs &amp; Activities - EF'!$B$9:$B$190,'2. TEUs &amp; Activities - EF'!$M$9:$M$190))*'3. Pollutant Emissions - EF'!$J1786*IF(OR(ISBLANK($E1786),$G1786="Yes"),1,$E1786)*IF($H1786="Yes",1,(1-$F1786))</f>
        <v>6.8894117647058835E-4</v>
      </c>
      <c r="O1786" s="130"/>
    </row>
    <row r="1787" spans="1:15" ht="15" x14ac:dyDescent="0.25">
      <c r="A1787" s="5" t="s">
        <v>1633</v>
      </c>
      <c r="B1787" s="7"/>
      <c r="C1787" s="13" t="s">
        <v>69</v>
      </c>
      <c r="D1787" s="19" t="str">
        <f>IFERROR(IF(C1787="No CAS","",INDEX('DEQ Pollutant List'!$B$7:$B$611,MATCH('3. Pollutant Emissions - EF'!C1787,'DEQ Pollutant List'!$A$7:$A$611,0))),"")</f>
        <v>Vanadium (fume or dust)</v>
      </c>
      <c r="E1787" s="23">
        <v>0</v>
      </c>
      <c r="F1787" s="21">
        <v>0</v>
      </c>
      <c r="G1787" s="23" t="s">
        <v>1415</v>
      </c>
      <c r="H1787" s="21" t="s">
        <v>1415</v>
      </c>
      <c r="I1787" s="34">
        <v>2.3E-3</v>
      </c>
      <c r="J1787" s="11">
        <f t="shared" si="64"/>
        <v>2.3E-3</v>
      </c>
      <c r="K1787" s="6" t="s">
        <v>1416</v>
      </c>
      <c r="L1787" s="20" t="s">
        <v>1422</v>
      </c>
      <c r="M1787" s="7">
        <f>IF(ISBLANK($B1787),_xlfn.XLOOKUP($A1787,'2. TEUs &amp; Activities - EF'!$A$9:$A$190,'2. TEUs &amp; Activities - EF'!$J$9:$J$190),_xlfn.XLOOKUP($B1787,'2. TEUs &amp; Activities - EF'!$B$9:$B$190,'2. TEUs &amp; Activities - EF'!$J$9:$J$190))*'3. Pollutant Emissions - EF'!$I1787*IF(OR(ISBLANK($E1787),$G1787="Yes"),1,$E1787)*IF($H1787="Yes",1,(1-$F1787))</f>
        <v>1.5802352941176472E-2</v>
      </c>
      <c r="N1787" s="5">
        <f>IF(ISBLANK($B1787),_xlfn.XLOOKUP($A1787,'2. TEUs &amp; Activities - EF'!$A$9:$A$190,'2. TEUs &amp; Activities - EF'!$M$9:$M$190),_xlfn.XLOOKUP($B1787,'2. TEUs &amp; Activities - EF'!$B$9:$B$190,'2. TEUs &amp; Activities - EF'!$M$9:$M$190))*'3. Pollutant Emissions - EF'!$J1787*IF(OR(ISBLANK($E1787),$G1787="Yes"),1,$E1787)*IF($H1787="Yes",1,(1-$F1787))</f>
        <v>4.3294117647058825E-5</v>
      </c>
      <c r="O1787" s="130"/>
    </row>
    <row r="1788" spans="1:15" ht="15" x14ac:dyDescent="0.25">
      <c r="A1788" s="5" t="s">
        <v>1633</v>
      </c>
      <c r="B1788" s="7"/>
      <c r="C1788" s="13" t="s">
        <v>70</v>
      </c>
      <c r="D1788" s="19" t="str">
        <f>IFERROR(IF(C1788="No CAS","",INDEX('DEQ Pollutant List'!$B$7:$B$611,MATCH('3. Pollutant Emissions - EF'!C1788,'DEQ Pollutant List'!$A$7:$A$611,0))),"")</f>
        <v>Xylene (mixture), including m-xylene, o-xylene, p-xylene</v>
      </c>
      <c r="E1788" s="23">
        <v>0</v>
      </c>
      <c r="F1788" s="21">
        <v>0</v>
      </c>
      <c r="G1788" s="23" t="s">
        <v>1415</v>
      </c>
      <c r="H1788" s="21" t="s">
        <v>1415</v>
      </c>
      <c r="I1788" s="34">
        <v>2.7199999999999998E-2</v>
      </c>
      <c r="J1788" s="11">
        <f t="shared" si="64"/>
        <v>2.7199999999999998E-2</v>
      </c>
      <c r="K1788" s="6" t="s">
        <v>1416</v>
      </c>
      <c r="L1788" s="20" t="s">
        <v>1422</v>
      </c>
      <c r="M1788" s="7">
        <f>IF(ISBLANK($B1788),_xlfn.XLOOKUP($A1788,'2. TEUs &amp; Activities - EF'!$A$9:$A$190,'2. TEUs &amp; Activities - EF'!$J$9:$J$190),_xlfn.XLOOKUP($B1788,'2. TEUs &amp; Activities - EF'!$B$9:$B$190,'2. TEUs &amp; Activities - EF'!$J$9:$J$190))*'3. Pollutant Emissions - EF'!$I1788*IF(OR(ISBLANK($E1788),$G1788="Yes"),1,$E1788)*IF($H1788="Yes",1,(1-$F1788))</f>
        <v>0.18687999999999999</v>
      </c>
      <c r="N1788" s="5">
        <f>IF(ISBLANK($B1788),_xlfn.XLOOKUP($A1788,'2. TEUs &amp; Activities - EF'!$A$9:$A$190,'2. TEUs &amp; Activities - EF'!$M$9:$M$190),_xlfn.XLOOKUP($B1788,'2. TEUs &amp; Activities - EF'!$B$9:$B$190,'2. TEUs &amp; Activities - EF'!$M$9:$M$190))*'3. Pollutant Emissions - EF'!$J1788*IF(OR(ISBLANK($E1788),$G1788="Yes"),1,$E1788)*IF($H1788="Yes",1,(1-$F1788))</f>
        <v>5.1199999999999998E-4</v>
      </c>
      <c r="O1788" s="130"/>
    </row>
    <row r="1789" spans="1:15" ht="15" x14ac:dyDescent="0.25">
      <c r="A1789" s="5" t="s">
        <v>1633</v>
      </c>
      <c r="B1789" s="7"/>
      <c r="C1789" s="13" t="s">
        <v>71</v>
      </c>
      <c r="D1789" s="19" t="str">
        <f>IFERROR(IF(C1789="No CAS","",INDEX('DEQ Pollutant List'!$B$7:$B$611,MATCH('3. Pollutant Emissions - EF'!C1789,'DEQ Pollutant List'!$A$7:$A$611,0))),"")</f>
        <v>Zinc and compounds</v>
      </c>
      <c r="E1789" s="23">
        <v>0</v>
      </c>
      <c r="F1789" s="21">
        <v>0</v>
      </c>
      <c r="G1789" s="23" t="s">
        <v>1415</v>
      </c>
      <c r="H1789" s="21" t="s">
        <v>1415</v>
      </c>
      <c r="I1789" s="34">
        <v>2.9000000000000001E-2</v>
      </c>
      <c r="J1789" s="11">
        <f t="shared" si="64"/>
        <v>2.9000000000000001E-2</v>
      </c>
      <c r="K1789" s="6" t="s">
        <v>1416</v>
      </c>
      <c r="L1789" s="20" t="s">
        <v>1422</v>
      </c>
      <c r="M1789" s="7">
        <f>IF(ISBLANK($B1789),_xlfn.XLOOKUP($A1789,'2. TEUs &amp; Activities - EF'!$A$9:$A$190,'2. TEUs &amp; Activities - EF'!$J$9:$J$190),_xlfn.XLOOKUP($B1789,'2. TEUs &amp; Activities - EF'!$B$9:$B$190,'2. TEUs &amp; Activities - EF'!$J$9:$J$190))*'3. Pollutant Emissions - EF'!$I1789*IF(OR(ISBLANK($E1789),$G1789="Yes"),1,$E1789)*IF($H1789="Yes",1,(1-$F1789))</f>
        <v>0.19924705882352944</v>
      </c>
      <c r="N1789" s="5">
        <f>IF(ISBLANK($B1789),_xlfn.XLOOKUP($A1789,'2. TEUs &amp; Activities - EF'!$A$9:$A$190,'2. TEUs &amp; Activities - EF'!$M$9:$M$190),_xlfn.XLOOKUP($B1789,'2. TEUs &amp; Activities - EF'!$B$9:$B$190,'2. TEUs &amp; Activities - EF'!$M$9:$M$190))*'3. Pollutant Emissions - EF'!$J1789*IF(OR(ISBLANK($E1789),$G1789="Yes"),1,$E1789)*IF($H1789="Yes",1,(1-$F1789))</f>
        <v>5.4588235294117653E-4</v>
      </c>
      <c r="O1789" s="130"/>
    </row>
    <row r="1790" spans="1:15" ht="15" x14ac:dyDescent="0.25">
      <c r="A1790" s="5"/>
      <c r="B1790" s="7"/>
      <c r="C1790" s="13"/>
      <c r="D1790" s="19" t="str">
        <f>IFERROR(IF(C1790="No CAS","",INDEX('DEQ Pollutant List'!$B$7:$B$611,MATCH('3. Pollutant Emissions - EF'!C1790,'DEQ Pollutant List'!$A$7:$A$611,0))),"")</f>
        <v/>
      </c>
      <c r="E1790" s="23"/>
      <c r="F1790" s="21"/>
      <c r="G1790" s="23"/>
      <c r="H1790" s="21"/>
      <c r="I1790" s="34"/>
      <c r="J1790" s="11"/>
      <c r="K1790" s="6"/>
      <c r="L1790" s="20"/>
      <c r="M1790" s="7">
        <f>IF(ISBLANK($B1790),_xlfn.XLOOKUP($A1790,'2. TEUs &amp; Activities - EF'!$A$9:$A$190,'2. TEUs &amp; Activities - EF'!$J$9:$J$190),_xlfn.XLOOKUP($B1790,'2. TEUs &amp; Activities - EF'!$B$9:$B$190,'2. TEUs &amp; Activities - EF'!$J$9:$J$190))*'3. Pollutant Emissions - EF'!$I1790*IF(OR(ISBLANK($E1790),$G1790="Yes"),1,$E1790)*IF($H1790="Yes",1,(1-$F1790))</f>
        <v>0</v>
      </c>
      <c r="N1790" s="5">
        <f>IF(ISBLANK($B1790),_xlfn.XLOOKUP($A1790,'2. TEUs &amp; Activities - EF'!$A$9:$A$190,'2. TEUs &amp; Activities - EF'!$M$9:$M$190),_xlfn.XLOOKUP($B1790,'2. TEUs &amp; Activities - EF'!$B$9:$B$190,'2. TEUs &amp; Activities - EF'!$M$9:$M$190))*'3. Pollutant Emissions - EF'!$J1790*IF(OR(ISBLANK($E1790),$G1790="Yes"),1,$E1790)*IF($H1790="Yes",1,(1-$F1790))</f>
        <v>0</v>
      </c>
      <c r="O1790" s="130"/>
    </row>
    <row r="1791" spans="1:15" ht="15" x14ac:dyDescent="0.25">
      <c r="A1791" s="5" t="s">
        <v>1632</v>
      </c>
      <c r="B1791" s="7"/>
      <c r="C1791" s="13" t="s">
        <v>48</v>
      </c>
      <c r="D1791" s="19" t="str">
        <f>IFERROR(IF(C1791="No CAS","",INDEX('DEQ Pollutant List'!$B$7:$B$611,MATCH('3. Pollutant Emissions - EF'!C1791,'DEQ Pollutant List'!$A$7:$A$611,0))),"")</f>
        <v>Benzo[a]pyrene</v>
      </c>
      <c r="E1791" s="23">
        <v>0</v>
      </c>
      <c r="F1791" s="21">
        <v>0</v>
      </c>
      <c r="G1791" s="23" t="s">
        <v>1415</v>
      </c>
      <c r="H1791" s="21" t="s">
        <v>1415</v>
      </c>
      <c r="I1791" s="34">
        <v>1.1999999999999999E-6</v>
      </c>
      <c r="J1791" s="11">
        <f t="shared" ref="J1791:J1817" si="65">I1791</f>
        <v>1.1999999999999999E-6</v>
      </c>
      <c r="K1791" s="6" t="s">
        <v>1416</v>
      </c>
      <c r="L1791" s="20" t="s">
        <v>1422</v>
      </c>
      <c r="M1791" s="7">
        <f>IF(ISBLANK($B1791),_xlfn.XLOOKUP($A1791,'2. TEUs &amp; Activities - EF'!$A$9:$A$190,'2. TEUs &amp; Activities - EF'!$J$9:$J$190),_xlfn.XLOOKUP($B1791,'2. TEUs &amp; Activities - EF'!$B$9:$B$190,'2. TEUs &amp; Activities - EF'!$J$9:$J$190))*'3. Pollutant Emissions - EF'!$I1791*IF(OR(ISBLANK($E1791),$G1791="Yes"),1,$E1791)*IF($H1791="Yes",1,(1-$F1791))</f>
        <v>8.038588235294118E-6</v>
      </c>
      <c r="N1791" s="5">
        <f>IF(ISBLANK($B1791),_xlfn.XLOOKUP($A1791,'2. TEUs &amp; Activities - EF'!$A$9:$A$190,'2. TEUs &amp; Activities - EF'!$M$9:$M$190),_xlfn.XLOOKUP($B1791,'2. TEUs &amp; Activities - EF'!$B$9:$B$190,'2. TEUs &amp; Activities - EF'!$M$9:$M$190))*'3. Pollutant Emissions - EF'!$J1791*IF(OR(ISBLANK($E1791),$G1791="Yes"),1,$E1791)*IF($H1791="Yes",1,(1-$F1791))</f>
        <v>2.2023529411764707E-8</v>
      </c>
      <c r="O1791" s="130"/>
    </row>
    <row r="1792" spans="1:15" ht="15" x14ac:dyDescent="0.25">
      <c r="A1792" s="5" t="s">
        <v>1632</v>
      </c>
      <c r="B1792" s="7"/>
      <c r="C1792" s="13" t="s">
        <v>50</v>
      </c>
      <c r="D1792" s="19" t="str">
        <f>IFERROR(IF(C1792="No CAS","",INDEX('DEQ Pollutant List'!$B$7:$B$611,MATCH('3. Pollutant Emissions - EF'!C1792,'DEQ Pollutant List'!$A$7:$A$611,0))),"")</f>
        <v>Acetaldehyde</v>
      </c>
      <c r="E1792" s="23">
        <v>0</v>
      </c>
      <c r="F1792" s="21">
        <v>0</v>
      </c>
      <c r="G1792" s="23" t="s">
        <v>1415</v>
      </c>
      <c r="H1792" s="21" t="s">
        <v>1415</v>
      </c>
      <c r="I1792" s="34">
        <v>4.3E-3</v>
      </c>
      <c r="J1792" s="11">
        <f t="shared" si="65"/>
        <v>4.3E-3</v>
      </c>
      <c r="K1792" s="6" t="s">
        <v>1416</v>
      </c>
      <c r="L1792" s="20" t="s">
        <v>1422</v>
      </c>
      <c r="M1792" s="7">
        <f>IF(ISBLANK($B1792),_xlfn.XLOOKUP($A1792,'2. TEUs &amp; Activities - EF'!$A$9:$A$190,'2. TEUs &amp; Activities - EF'!$J$9:$J$190),_xlfn.XLOOKUP($B1792,'2. TEUs &amp; Activities - EF'!$B$9:$B$190,'2. TEUs &amp; Activities - EF'!$J$9:$J$190))*'3. Pollutant Emissions - EF'!$I1792*IF(OR(ISBLANK($E1792),$G1792="Yes"),1,$E1792)*IF($H1792="Yes",1,(1-$F1792))</f>
        <v>2.8804941176470589E-2</v>
      </c>
      <c r="N1792" s="5">
        <f>IF(ISBLANK($B1792),_xlfn.XLOOKUP($A1792,'2. TEUs &amp; Activities - EF'!$A$9:$A$190,'2. TEUs &amp; Activities - EF'!$M$9:$M$190),_xlfn.XLOOKUP($B1792,'2. TEUs &amp; Activities - EF'!$B$9:$B$190,'2. TEUs &amp; Activities - EF'!$M$9:$M$190))*'3. Pollutant Emissions - EF'!$J1792*IF(OR(ISBLANK($E1792),$G1792="Yes"),1,$E1792)*IF($H1792="Yes",1,(1-$F1792))</f>
        <v>7.8917647058823531E-5</v>
      </c>
      <c r="O1792" s="130"/>
    </row>
    <row r="1793" spans="1:15" ht="15" x14ac:dyDescent="0.25">
      <c r="A1793" s="5" t="s">
        <v>1632</v>
      </c>
      <c r="B1793" s="7"/>
      <c r="C1793" s="13" t="s">
        <v>51</v>
      </c>
      <c r="D1793" s="19" t="str">
        <f>IFERROR(IF(C1793="No CAS","",INDEX('DEQ Pollutant List'!$B$7:$B$611,MATCH('3. Pollutant Emissions - EF'!C1793,'DEQ Pollutant List'!$A$7:$A$611,0))),"")</f>
        <v>Acrolein</v>
      </c>
      <c r="E1793" s="23">
        <v>0</v>
      </c>
      <c r="F1793" s="21">
        <v>0</v>
      </c>
      <c r="G1793" s="23" t="s">
        <v>1415</v>
      </c>
      <c r="H1793" s="21" t="s">
        <v>1415</v>
      </c>
      <c r="I1793" s="34">
        <v>2.7000000000000001E-3</v>
      </c>
      <c r="J1793" s="11">
        <f t="shared" si="65"/>
        <v>2.7000000000000001E-3</v>
      </c>
      <c r="K1793" s="6" t="s">
        <v>1416</v>
      </c>
      <c r="L1793" s="20" t="s">
        <v>1422</v>
      </c>
      <c r="M1793" s="7">
        <f>IF(ISBLANK($B1793),_xlfn.XLOOKUP($A1793,'2. TEUs &amp; Activities - EF'!$A$9:$A$190,'2. TEUs &amp; Activities - EF'!$J$9:$J$190),_xlfn.XLOOKUP($B1793,'2. TEUs &amp; Activities - EF'!$B$9:$B$190,'2. TEUs &amp; Activities - EF'!$J$9:$J$190))*'3. Pollutant Emissions - EF'!$I1793*IF(OR(ISBLANK($E1793),$G1793="Yes"),1,$E1793)*IF($H1793="Yes",1,(1-$F1793))</f>
        <v>1.8086823529411766E-2</v>
      </c>
      <c r="N1793" s="5">
        <f>IF(ISBLANK($B1793),_xlfn.XLOOKUP($A1793,'2. TEUs &amp; Activities - EF'!$A$9:$A$190,'2. TEUs &amp; Activities - EF'!$M$9:$M$190),_xlfn.XLOOKUP($B1793,'2. TEUs &amp; Activities - EF'!$B$9:$B$190,'2. TEUs &amp; Activities - EF'!$M$9:$M$190))*'3. Pollutant Emissions - EF'!$J1793*IF(OR(ISBLANK($E1793),$G1793="Yes"),1,$E1793)*IF($H1793="Yes",1,(1-$F1793))</f>
        <v>4.9552941176470597E-5</v>
      </c>
      <c r="O1793" s="130"/>
    </row>
    <row r="1794" spans="1:15" ht="15" x14ac:dyDescent="0.25">
      <c r="A1794" s="5" t="s">
        <v>1632</v>
      </c>
      <c r="B1794" s="7"/>
      <c r="C1794" s="13" t="s">
        <v>52</v>
      </c>
      <c r="D1794" s="19" t="str">
        <f>IFERROR(IF(C1794="No CAS","",INDEX('DEQ Pollutant List'!$B$7:$B$611,MATCH('3. Pollutant Emissions - EF'!C1794,'DEQ Pollutant List'!$A$7:$A$611,0))),"")</f>
        <v>Ammonia</v>
      </c>
      <c r="E1794" s="23">
        <v>0</v>
      </c>
      <c r="F1794" s="21">
        <v>0</v>
      </c>
      <c r="G1794" s="23" t="s">
        <v>1415</v>
      </c>
      <c r="H1794" s="21" t="s">
        <v>1415</v>
      </c>
      <c r="I1794" s="34">
        <v>3.2</v>
      </c>
      <c r="J1794" s="11">
        <f t="shared" si="65"/>
        <v>3.2</v>
      </c>
      <c r="K1794" s="6" t="s">
        <v>1416</v>
      </c>
      <c r="L1794" s="20" t="s">
        <v>1586</v>
      </c>
      <c r="M1794" s="7">
        <f>IF(ISBLANK($B1794),_xlfn.XLOOKUP($A1794,'2. TEUs &amp; Activities - EF'!$A$9:$A$190,'2. TEUs &amp; Activities - EF'!$J$9:$J$190),_xlfn.XLOOKUP($B1794,'2. TEUs &amp; Activities - EF'!$B$9:$B$190,'2. TEUs &amp; Activities - EF'!$J$9:$J$190))*'3. Pollutant Emissions - EF'!$I1794*IF(OR(ISBLANK($E1794),$G1794="Yes"),1,$E1794)*IF($H1794="Yes",1,(1-$F1794))</f>
        <v>21.436235294117651</v>
      </c>
      <c r="N1794" s="5">
        <f>IF(ISBLANK($B1794),_xlfn.XLOOKUP($A1794,'2. TEUs &amp; Activities - EF'!$A$9:$A$190,'2. TEUs &amp; Activities - EF'!$M$9:$M$190),_xlfn.XLOOKUP($B1794,'2. TEUs &amp; Activities - EF'!$B$9:$B$190,'2. TEUs &amp; Activities - EF'!$M$9:$M$190))*'3. Pollutant Emissions - EF'!$J1794*IF(OR(ISBLANK($E1794),$G1794="Yes"),1,$E1794)*IF($H1794="Yes",1,(1-$F1794))</f>
        <v>5.8729411764705891E-2</v>
      </c>
      <c r="O1794" s="130"/>
    </row>
    <row r="1795" spans="1:15" ht="15" x14ac:dyDescent="0.25">
      <c r="A1795" s="5" t="s">
        <v>1632</v>
      </c>
      <c r="B1795" s="7"/>
      <c r="C1795" s="13" t="s">
        <v>53</v>
      </c>
      <c r="D1795" s="19" t="str">
        <f>IFERROR(IF(C1795="No CAS","",INDEX('DEQ Pollutant List'!$B$7:$B$611,MATCH('3. Pollutant Emissions - EF'!C1795,'DEQ Pollutant List'!$A$7:$A$611,0))),"")</f>
        <v>Arsenic and compounds</v>
      </c>
      <c r="E1795" s="23">
        <v>0</v>
      </c>
      <c r="F1795" s="21">
        <v>0</v>
      </c>
      <c r="G1795" s="23" t="s">
        <v>1415</v>
      </c>
      <c r="H1795" s="21" t="s">
        <v>1415</v>
      </c>
      <c r="I1795" s="34">
        <v>2.0000000000000001E-4</v>
      </c>
      <c r="J1795" s="11">
        <f t="shared" si="65"/>
        <v>2.0000000000000001E-4</v>
      </c>
      <c r="K1795" s="6" t="s">
        <v>1416</v>
      </c>
      <c r="L1795" s="20" t="s">
        <v>1422</v>
      </c>
      <c r="M1795" s="7">
        <f>IF(ISBLANK($B1795),_xlfn.XLOOKUP($A1795,'2. TEUs &amp; Activities - EF'!$A$9:$A$190,'2. TEUs &amp; Activities - EF'!$J$9:$J$190),_xlfn.XLOOKUP($B1795,'2. TEUs &amp; Activities - EF'!$B$9:$B$190,'2. TEUs &amp; Activities - EF'!$J$9:$J$190))*'3. Pollutant Emissions - EF'!$I1795*IF(OR(ISBLANK($E1795),$G1795="Yes"),1,$E1795)*IF($H1795="Yes",1,(1-$F1795))</f>
        <v>1.339764705882353E-3</v>
      </c>
      <c r="N1795" s="5">
        <f>IF(ISBLANK($B1795),_xlfn.XLOOKUP($A1795,'2. TEUs &amp; Activities - EF'!$A$9:$A$190,'2. TEUs &amp; Activities - EF'!$M$9:$M$190),_xlfn.XLOOKUP($B1795,'2. TEUs &amp; Activities - EF'!$B$9:$B$190,'2. TEUs &amp; Activities - EF'!$M$9:$M$190))*'3. Pollutant Emissions - EF'!$J1795*IF(OR(ISBLANK($E1795),$G1795="Yes"),1,$E1795)*IF($H1795="Yes",1,(1-$F1795))</f>
        <v>3.6705882352941181E-6</v>
      </c>
      <c r="O1795" s="130"/>
    </row>
    <row r="1796" spans="1:15" ht="15" x14ac:dyDescent="0.25">
      <c r="A1796" s="5" t="s">
        <v>1632</v>
      </c>
      <c r="B1796" s="7"/>
      <c r="C1796" s="13" t="s">
        <v>54</v>
      </c>
      <c r="D1796" s="19" t="str">
        <f>IFERROR(IF(C1796="No CAS","",INDEX('DEQ Pollutant List'!$B$7:$B$611,MATCH('3. Pollutant Emissions - EF'!C1796,'DEQ Pollutant List'!$A$7:$A$611,0))),"")</f>
        <v>Barium and compounds</v>
      </c>
      <c r="E1796" s="23">
        <v>0</v>
      </c>
      <c r="F1796" s="21">
        <v>0</v>
      </c>
      <c r="G1796" s="23" t="s">
        <v>1415</v>
      </c>
      <c r="H1796" s="21" t="s">
        <v>1415</v>
      </c>
      <c r="I1796" s="34">
        <v>4.4000000000000003E-3</v>
      </c>
      <c r="J1796" s="11">
        <f t="shared" si="65"/>
        <v>4.4000000000000003E-3</v>
      </c>
      <c r="K1796" s="6" t="s">
        <v>1416</v>
      </c>
      <c r="L1796" s="20" t="s">
        <v>1422</v>
      </c>
      <c r="M1796" s="7">
        <f>IF(ISBLANK($B1796),_xlfn.XLOOKUP($A1796,'2. TEUs &amp; Activities - EF'!$A$9:$A$190,'2. TEUs &amp; Activities - EF'!$J$9:$J$190),_xlfn.XLOOKUP($B1796,'2. TEUs &amp; Activities - EF'!$B$9:$B$190,'2. TEUs &amp; Activities - EF'!$J$9:$J$190))*'3. Pollutant Emissions - EF'!$I1796*IF(OR(ISBLANK($E1796),$G1796="Yes"),1,$E1796)*IF($H1796="Yes",1,(1-$F1796))</f>
        <v>2.9474823529411769E-2</v>
      </c>
      <c r="N1796" s="5">
        <f>IF(ISBLANK($B1796),_xlfn.XLOOKUP($A1796,'2. TEUs &amp; Activities - EF'!$A$9:$A$190,'2. TEUs &amp; Activities - EF'!$M$9:$M$190),_xlfn.XLOOKUP($B1796,'2. TEUs &amp; Activities - EF'!$B$9:$B$190,'2. TEUs &amp; Activities - EF'!$M$9:$M$190))*'3. Pollutant Emissions - EF'!$J1796*IF(OR(ISBLANK($E1796),$G1796="Yes"),1,$E1796)*IF($H1796="Yes",1,(1-$F1796))</f>
        <v>8.0752941176470596E-5</v>
      </c>
      <c r="O1796" s="130"/>
    </row>
    <row r="1797" spans="1:15" ht="15" x14ac:dyDescent="0.25">
      <c r="A1797" s="5" t="s">
        <v>1632</v>
      </c>
      <c r="B1797" s="7"/>
      <c r="C1797" s="13" t="s">
        <v>46</v>
      </c>
      <c r="D1797" s="19" t="str">
        <f>IFERROR(IF(C1797="No CAS","",INDEX('DEQ Pollutant List'!$B$7:$B$611,MATCH('3. Pollutant Emissions - EF'!C1797,'DEQ Pollutant List'!$A$7:$A$611,0))),"")</f>
        <v>Benzene</v>
      </c>
      <c r="E1797" s="23">
        <v>0</v>
      </c>
      <c r="F1797" s="21">
        <v>0</v>
      </c>
      <c r="G1797" s="23" t="s">
        <v>1415</v>
      </c>
      <c r="H1797" s="21" t="s">
        <v>1415</v>
      </c>
      <c r="I1797" s="34">
        <v>8.0000000000000002E-3</v>
      </c>
      <c r="J1797" s="11">
        <f t="shared" si="65"/>
        <v>8.0000000000000002E-3</v>
      </c>
      <c r="K1797" s="6" t="s">
        <v>1416</v>
      </c>
      <c r="L1797" s="20" t="s">
        <v>1422</v>
      </c>
      <c r="M1797" s="7">
        <f>IF(ISBLANK($B1797),_xlfn.XLOOKUP($A1797,'2. TEUs &amp; Activities - EF'!$A$9:$A$190,'2. TEUs &amp; Activities - EF'!$J$9:$J$190),_xlfn.XLOOKUP($B1797,'2. TEUs &amp; Activities - EF'!$B$9:$B$190,'2. TEUs &amp; Activities - EF'!$J$9:$J$190))*'3. Pollutant Emissions - EF'!$I1797*IF(OR(ISBLANK($E1797),$G1797="Yes"),1,$E1797)*IF($H1797="Yes",1,(1-$F1797))</f>
        <v>5.3590588235294119E-2</v>
      </c>
      <c r="N1797" s="5">
        <f>IF(ISBLANK($B1797),_xlfn.XLOOKUP($A1797,'2. TEUs &amp; Activities - EF'!$A$9:$A$190,'2. TEUs &amp; Activities - EF'!$M$9:$M$190),_xlfn.XLOOKUP($B1797,'2. TEUs &amp; Activities - EF'!$B$9:$B$190,'2. TEUs &amp; Activities - EF'!$M$9:$M$190))*'3. Pollutant Emissions - EF'!$J1797*IF(OR(ISBLANK($E1797),$G1797="Yes"),1,$E1797)*IF($H1797="Yes",1,(1-$F1797))</f>
        <v>1.4682352941176473E-4</v>
      </c>
      <c r="O1797" s="130"/>
    </row>
    <row r="1798" spans="1:15" ht="15" x14ac:dyDescent="0.25">
      <c r="A1798" s="5" t="s">
        <v>1632</v>
      </c>
      <c r="B1798" s="7"/>
      <c r="C1798" s="13" t="s">
        <v>55</v>
      </c>
      <c r="D1798" s="19" t="str">
        <f>IFERROR(IF(C1798="No CAS","",INDEX('DEQ Pollutant List'!$B$7:$B$611,MATCH('3. Pollutant Emissions - EF'!C1798,'DEQ Pollutant List'!$A$7:$A$611,0))),"")</f>
        <v>Beryllium and compounds</v>
      </c>
      <c r="E1798" s="23">
        <v>0</v>
      </c>
      <c r="F1798" s="21">
        <v>0</v>
      </c>
      <c r="G1798" s="23" t="s">
        <v>1415</v>
      </c>
      <c r="H1798" s="21" t="s">
        <v>1415</v>
      </c>
      <c r="I1798" s="34">
        <v>1.2E-5</v>
      </c>
      <c r="J1798" s="11">
        <f t="shared" si="65"/>
        <v>1.2E-5</v>
      </c>
      <c r="K1798" s="6" t="s">
        <v>1416</v>
      </c>
      <c r="L1798" s="20" t="s">
        <v>1422</v>
      </c>
      <c r="M1798" s="7">
        <f>IF(ISBLANK($B1798),_xlfn.XLOOKUP($A1798,'2. TEUs &amp; Activities - EF'!$A$9:$A$190,'2. TEUs &amp; Activities - EF'!$J$9:$J$190),_xlfn.XLOOKUP($B1798,'2. TEUs &amp; Activities - EF'!$B$9:$B$190,'2. TEUs &amp; Activities - EF'!$J$9:$J$190))*'3. Pollutant Emissions - EF'!$I1798*IF(OR(ISBLANK($E1798),$G1798="Yes"),1,$E1798)*IF($H1798="Yes",1,(1-$F1798))</f>
        <v>8.0385882352941183E-5</v>
      </c>
      <c r="N1798" s="5">
        <f>IF(ISBLANK($B1798),_xlfn.XLOOKUP($A1798,'2. TEUs &amp; Activities - EF'!$A$9:$A$190,'2. TEUs &amp; Activities - EF'!$M$9:$M$190),_xlfn.XLOOKUP($B1798,'2. TEUs &amp; Activities - EF'!$B$9:$B$190,'2. TEUs &amp; Activities - EF'!$M$9:$M$190))*'3. Pollutant Emissions - EF'!$J1798*IF(OR(ISBLANK($E1798),$G1798="Yes"),1,$E1798)*IF($H1798="Yes",1,(1-$F1798))</f>
        <v>2.2023529411764707E-7</v>
      </c>
      <c r="O1798" s="130"/>
    </row>
    <row r="1799" spans="1:15" ht="15" x14ac:dyDescent="0.25">
      <c r="A1799" s="5" t="s">
        <v>1632</v>
      </c>
      <c r="B1799" s="7"/>
      <c r="C1799" s="13" t="s">
        <v>56</v>
      </c>
      <c r="D1799" s="19" t="str">
        <f>IFERROR(IF(C1799="No CAS","",INDEX('DEQ Pollutant List'!$B$7:$B$611,MATCH('3. Pollutant Emissions - EF'!C1799,'DEQ Pollutant List'!$A$7:$A$611,0))),"")</f>
        <v>Cadmium and compounds</v>
      </c>
      <c r="E1799" s="23">
        <v>0</v>
      </c>
      <c r="F1799" s="21">
        <v>0</v>
      </c>
      <c r="G1799" s="23" t="s">
        <v>1415</v>
      </c>
      <c r="H1799" s="21" t="s">
        <v>1415</v>
      </c>
      <c r="I1799" s="34">
        <v>1.1000000000000001E-3</v>
      </c>
      <c r="J1799" s="11">
        <f t="shared" si="65"/>
        <v>1.1000000000000001E-3</v>
      </c>
      <c r="K1799" s="6" t="s">
        <v>1416</v>
      </c>
      <c r="L1799" s="20" t="s">
        <v>1422</v>
      </c>
      <c r="M1799" s="7">
        <f>IF(ISBLANK($B1799),_xlfn.XLOOKUP($A1799,'2. TEUs &amp; Activities - EF'!$A$9:$A$190,'2. TEUs &amp; Activities - EF'!$J$9:$J$190),_xlfn.XLOOKUP($B1799,'2. TEUs &amp; Activities - EF'!$B$9:$B$190,'2. TEUs &amp; Activities - EF'!$J$9:$J$190))*'3. Pollutant Emissions - EF'!$I1799*IF(OR(ISBLANK($E1799),$G1799="Yes"),1,$E1799)*IF($H1799="Yes",1,(1-$F1799))</f>
        <v>7.3687058823529421E-3</v>
      </c>
      <c r="N1799" s="5">
        <f>IF(ISBLANK($B1799),_xlfn.XLOOKUP($A1799,'2. TEUs &amp; Activities - EF'!$A$9:$A$190,'2. TEUs &amp; Activities - EF'!$M$9:$M$190),_xlfn.XLOOKUP($B1799,'2. TEUs &amp; Activities - EF'!$B$9:$B$190,'2. TEUs &amp; Activities - EF'!$M$9:$M$190))*'3. Pollutant Emissions - EF'!$J1799*IF(OR(ISBLANK($E1799),$G1799="Yes"),1,$E1799)*IF($H1799="Yes",1,(1-$F1799))</f>
        <v>2.0188235294117649E-5</v>
      </c>
      <c r="O1799" s="130"/>
    </row>
    <row r="1800" spans="1:15" ht="15" x14ac:dyDescent="0.25">
      <c r="A1800" s="5" t="s">
        <v>1632</v>
      </c>
      <c r="B1800" s="7"/>
      <c r="C1800" s="13" t="s">
        <v>57</v>
      </c>
      <c r="D1800" s="19" t="str">
        <f>IFERROR(IF(C1800="No CAS","",INDEX('DEQ Pollutant List'!$B$7:$B$611,MATCH('3. Pollutant Emissions - EF'!C1800,'DEQ Pollutant List'!$A$7:$A$611,0))),"")</f>
        <v>Chromium VI, chromate and dichromate particulate</v>
      </c>
      <c r="E1800" s="23">
        <v>0</v>
      </c>
      <c r="F1800" s="21">
        <v>0</v>
      </c>
      <c r="G1800" s="23" t="s">
        <v>1415</v>
      </c>
      <c r="H1800" s="21" t="s">
        <v>1415</v>
      </c>
      <c r="I1800" s="34">
        <v>1.4E-3</v>
      </c>
      <c r="J1800" s="11">
        <f t="shared" si="65"/>
        <v>1.4E-3</v>
      </c>
      <c r="K1800" s="6" t="s">
        <v>1416</v>
      </c>
      <c r="L1800" s="20" t="s">
        <v>1422</v>
      </c>
      <c r="M1800" s="7">
        <f>IF(ISBLANK($B1800),_xlfn.XLOOKUP($A1800,'2. TEUs &amp; Activities - EF'!$A$9:$A$190,'2. TEUs &amp; Activities - EF'!$J$9:$J$190),_xlfn.XLOOKUP($B1800,'2. TEUs &amp; Activities - EF'!$B$9:$B$190,'2. TEUs &amp; Activities - EF'!$J$9:$J$190))*'3. Pollutant Emissions - EF'!$I1800*IF(OR(ISBLANK($E1800),$G1800="Yes"),1,$E1800)*IF($H1800="Yes",1,(1-$F1800))</f>
        <v>9.3783529411764713E-3</v>
      </c>
      <c r="N1800" s="5">
        <f>IF(ISBLANK($B1800),_xlfn.XLOOKUP($A1800,'2. TEUs &amp; Activities - EF'!$A$9:$A$190,'2. TEUs &amp; Activities - EF'!$M$9:$M$190),_xlfn.XLOOKUP($B1800,'2. TEUs &amp; Activities - EF'!$B$9:$B$190,'2. TEUs &amp; Activities - EF'!$M$9:$M$190))*'3. Pollutant Emissions - EF'!$J1800*IF(OR(ISBLANK($E1800),$G1800="Yes"),1,$E1800)*IF($H1800="Yes",1,(1-$F1800))</f>
        <v>2.5694117647058824E-5</v>
      </c>
      <c r="O1800" s="130"/>
    </row>
    <row r="1801" spans="1:15" ht="15" x14ac:dyDescent="0.25">
      <c r="A1801" s="5" t="s">
        <v>1632</v>
      </c>
      <c r="B1801" s="7"/>
      <c r="C1801" s="13" t="s">
        <v>58</v>
      </c>
      <c r="D1801" s="19" t="str">
        <f>IFERROR(IF(C1801="No CAS","",INDEX('DEQ Pollutant List'!$B$7:$B$611,MATCH('3. Pollutant Emissions - EF'!C1801,'DEQ Pollutant List'!$A$7:$A$611,0))),"")</f>
        <v>Cobalt and compounds</v>
      </c>
      <c r="E1801" s="23">
        <v>0</v>
      </c>
      <c r="F1801" s="21">
        <v>0</v>
      </c>
      <c r="G1801" s="23" t="s">
        <v>1415</v>
      </c>
      <c r="H1801" s="21" t="s">
        <v>1415</v>
      </c>
      <c r="I1801" s="34">
        <v>8.3999999999999995E-5</v>
      </c>
      <c r="J1801" s="11">
        <f t="shared" si="65"/>
        <v>8.3999999999999995E-5</v>
      </c>
      <c r="K1801" s="6" t="s">
        <v>1416</v>
      </c>
      <c r="L1801" s="20" t="s">
        <v>1422</v>
      </c>
      <c r="M1801" s="7">
        <f>IF(ISBLANK($B1801),_xlfn.XLOOKUP($A1801,'2. TEUs &amp; Activities - EF'!$A$9:$A$190,'2. TEUs &amp; Activities - EF'!$J$9:$J$190),_xlfn.XLOOKUP($B1801,'2. TEUs &amp; Activities - EF'!$B$9:$B$190,'2. TEUs &amp; Activities - EF'!$J$9:$J$190))*'3. Pollutant Emissions - EF'!$I1801*IF(OR(ISBLANK($E1801),$G1801="Yes"),1,$E1801)*IF($H1801="Yes",1,(1-$F1801))</f>
        <v>5.6270117647058823E-4</v>
      </c>
      <c r="N1801" s="5">
        <f>IF(ISBLANK($B1801),_xlfn.XLOOKUP($A1801,'2. TEUs &amp; Activities - EF'!$A$9:$A$190,'2. TEUs &amp; Activities - EF'!$M$9:$M$190),_xlfn.XLOOKUP($B1801,'2. TEUs &amp; Activities - EF'!$B$9:$B$190,'2. TEUs &amp; Activities - EF'!$M$9:$M$190))*'3. Pollutant Emissions - EF'!$J1801*IF(OR(ISBLANK($E1801),$G1801="Yes"),1,$E1801)*IF($H1801="Yes",1,(1-$F1801))</f>
        <v>1.5416470588235295E-6</v>
      </c>
      <c r="O1801" s="130"/>
    </row>
    <row r="1802" spans="1:15" ht="15" x14ac:dyDescent="0.25">
      <c r="A1802" s="5" t="s">
        <v>1632</v>
      </c>
      <c r="B1802" s="7"/>
      <c r="C1802" s="13" t="s">
        <v>59</v>
      </c>
      <c r="D1802" s="19" t="str">
        <f>IFERROR(IF(C1802="No CAS","",INDEX('DEQ Pollutant List'!$B$7:$B$611,MATCH('3. Pollutant Emissions - EF'!C1802,'DEQ Pollutant List'!$A$7:$A$611,0))),"")</f>
        <v>Copper and compounds</v>
      </c>
      <c r="E1802" s="23">
        <v>0</v>
      </c>
      <c r="F1802" s="21">
        <v>0</v>
      </c>
      <c r="G1802" s="23" t="s">
        <v>1415</v>
      </c>
      <c r="H1802" s="21" t="s">
        <v>1415</v>
      </c>
      <c r="I1802" s="34">
        <v>8.4999999999999995E-4</v>
      </c>
      <c r="J1802" s="11">
        <f t="shared" si="65"/>
        <v>8.4999999999999995E-4</v>
      </c>
      <c r="K1802" s="6" t="s">
        <v>1416</v>
      </c>
      <c r="L1802" s="20" t="s">
        <v>1422</v>
      </c>
      <c r="M1802" s="7">
        <f>IF(ISBLANK($B1802),_xlfn.XLOOKUP($A1802,'2. TEUs &amp; Activities - EF'!$A$9:$A$190,'2. TEUs &amp; Activities - EF'!$J$9:$J$190),_xlfn.XLOOKUP($B1802,'2. TEUs &amp; Activities - EF'!$B$9:$B$190,'2. TEUs &amp; Activities - EF'!$J$9:$J$190))*'3. Pollutant Emissions - EF'!$I1802*IF(OR(ISBLANK($E1802),$G1802="Yes"),1,$E1802)*IF($H1802="Yes",1,(1-$F1802))</f>
        <v>5.6940000000000003E-3</v>
      </c>
      <c r="N1802" s="5">
        <f>IF(ISBLANK($B1802),_xlfn.XLOOKUP($A1802,'2. TEUs &amp; Activities - EF'!$A$9:$A$190,'2. TEUs &amp; Activities - EF'!$M$9:$M$190),_xlfn.XLOOKUP($B1802,'2. TEUs &amp; Activities - EF'!$B$9:$B$190,'2. TEUs &amp; Activities - EF'!$M$9:$M$190))*'3. Pollutant Emissions - EF'!$J1802*IF(OR(ISBLANK($E1802),$G1802="Yes"),1,$E1802)*IF($H1802="Yes",1,(1-$F1802))</f>
        <v>1.56E-5</v>
      </c>
      <c r="O1802" s="130"/>
    </row>
    <row r="1803" spans="1:15" ht="15" x14ac:dyDescent="0.25">
      <c r="A1803" s="5" t="s">
        <v>1632</v>
      </c>
      <c r="B1803" s="7"/>
      <c r="C1803" s="13" t="s">
        <v>60</v>
      </c>
      <c r="D1803" s="19" t="str">
        <f>IFERROR(IF(C1803="No CAS","",INDEX('DEQ Pollutant List'!$B$7:$B$611,MATCH('3. Pollutant Emissions - EF'!C1803,'DEQ Pollutant List'!$A$7:$A$611,0))),"")</f>
        <v>Ethyl benzene</v>
      </c>
      <c r="E1803" s="23">
        <v>0</v>
      </c>
      <c r="F1803" s="21">
        <v>0</v>
      </c>
      <c r="G1803" s="23" t="s">
        <v>1415</v>
      </c>
      <c r="H1803" s="21" t="s">
        <v>1415</v>
      </c>
      <c r="I1803" s="34">
        <v>9.4999999999999998E-3</v>
      </c>
      <c r="J1803" s="11">
        <f t="shared" si="65"/>
        <v>9.4999999999999998E-3</v>
      </c>
      <c r="K1803" s="6" t="s">
        <v>1416</v>
      </c>
      <c r="L1803" s="20" t="s">
        <v>1422</v>
      </c>
      <c r="M1803" s="7">
        <f>IF(ISBLANK($B1803),_xlfn.XLOOKUP($A1803,'2. TEUs &amp; Activities - EF'!$A$9:$A$190,'2. TEUs &amp; Activities - EF'!$J$9:$J$190),_xlfn.XLOOKUP($B1803,'2. TEUs &amp; Activities - EF'!$B$9:$B$190,'2. TEUs &amp; Activities - EF'!$J$9:$J$190))*'3. Pollutant Emissions - EF'!$I1803*IF(OR(ISBLANK($E1803),$G1803="Yes"),1,$E1803)*IF($H1803="Yes",1,(1-$F1803))</f>
        <v>6.3638823529411762E-2</v>
      </c>
      <c r="N1803" s="5">
        <f>IF(ISBLANK($B1803),_xlfn.XLOOKUP($A1803,'2. TEUs &amp; Activities - EF'!$A$9:$A$190,'2. TEUs &amp; Activities - EF'!$M$9:$M$190),_xlfn.XLOOKUP($B1803,'2. TEUs &amp; Activities - EF'!$B$9:$B$190,'2. TEUs &amp; Activities - EF'!$M$9:$M$190))*'3. Pollutant Emissions - EF'!$J1803*IF(OR(ISBLANK($E1803),$G1803="Yes"),1,$E1803)*IF($H1803="Yes",1,(1-$F1803))</f>
        <v>1.7435294117647059E-4</v>
      </c>
      <c r="O1803" s="130"/>
    </row>
    <row r="1804" spans="1:15" ht="15" x14ac:dyDescent="0.25">
      <c r="A1804" s="5" t="s">
        <v>1632</v>
      </c>
      <c r="B1804" s="7"/>
      <c r="C1804" s="13" t="s">
        <v>47</v>
      </c>
      <c r="D1804" s="19" t="str">
        <f>IFERROR(IF(C1804="No CAS","",INDEX('DEQ Pollutant List'!$B$7:$B$611,MATCH('3. Pollutant Emissions - EF'!C1804,'DEQ Pollutant List'!$A$7:$A$611,0))),"")</f>
        <v>Formaldehyde</v>
      </c>
      <c r="E1804" s="23">
        <v>0</v>
      </c>
      <c r="F1804" s="21">
        <v>0</v>
      </c>
      <c r="G1804" s="23" t="s">
        <v>1415</v>
      </c>
      <c r="H1804" s="21" t="s">
        <v>1415</v>
      </c>
      <c r="I1804" s="34">
        <v>1.7000000000000001E-2</v>
      </c>
      <c r="J1804" s="11">
        <f t="shared" si="65"/>
        <v>1.7000000000000001E-2</v>
      </c>
      <c r="K1804" s="6" t="s">
        <v>1416</v>
      </c>
      <c r="L1804" s="20" t="s">
        <v>1422</v>
      </c>
      <c r="M1804" s="7">
        <f>IF(ISBLANK($B1804),_xlfn.XLOOKUP($A1804,'2. TEUs &amp; Activities - EF'!$A$9:$A$190,'2. TEUs &amp; Activities - EF'!$J$9:$J$190),_xlfn.XLOOKUP($B1804,'2. TEUs &amp; Activities - EF'!$B$9:$B$190,'2. TEUs &amp; Activities - EF'!$J$9:$J$190))*'3. Pollutant Emissions - EF'!$I1804*IF(OR(ISBLANK($E1804),$G1804="Yes"),1,$E1804)*IF($H1804="Yes",1,(1-$F1804))</f>
        <v>0.11388000000000001</v>
      </c>
      <c r="N1804" s="5">
        <f>IF(ISBLANK($B1804),_xlfn.XLOOKUP($A1804,'2. TEUs &amp; Activities - EF'!$A$9:$A$190,'2. TEUs &amp; Activities - EF'!$M$9:$M$190),_xlfn.XLOOKUP($B1804,'2. TEUs &amp; Activities - EF'!$B$9:$B$190,'2. TEUs &amp; Activities - EF'!$M$9:$M$190))*'3. Pollutant Emissions - EF'!$J1804*IF(OR(ISBLANK($E1804),$G1804="Yes"),1,$E1804)*IF($H1804="Yes",1,(1-$F1804))</f>
        <v>3.1200000000000005E-4</v>
      </c>
      <c r="O1804" s="130"/>
    </row>
    <row r="1805" spans="1:15" ht="15" x14ac:dyDescent="0.25">
      <c r="A1805" s="5" t="s">
        <v>1632</v>
      </c>
      <c r="B1805" s="7"/>
      <c r="C1805" s="13" t="s">
        <v>61</v>
      </c>
      <c r="D1805" s="19" t="str">
        <f>IFERROR(IF(C1805="No CAS","",INDEX('DEQ Pollutant List'!$B$7:$B$611,MATCH('3. Pollutant Emissions - EF'!C1805,'DEQ Pollutant List'!$A$7:$A$611,0))),"")</f>
        <v>Hexane</v>
      </c>
      <c r="E1805" s="23">
        <v>0</v>
      </c>
      <c r="F1805" s="21">
        <v>0</v>
      </c>
      <c r="G1805" s="23" t="s">
        <v>1415</v>
      </c>
      <c r="H1805" s="21" t="s">
        <v>1415</v>
      </c>
      <c r="I1805" s="34">
        <v>6.3E-3</v>
      </c>
      <c r="J1805" s="11">
        <f t="shared" si="65"/>
        <v>6.3E-3</v>
      </c>
      <c r="K1805" s="6" t="s">
        <v>1416</v>
      </c>
      <c r="L1805" s="20" t="s">
        <v>1422</v>
      </c>
      <c r="M1805" s="7">
        <f>IF(ISBLANK($B1805),_xlfn.XLOOKUP($A1805,'2. TEUs &amp; Activities - EF'!$A$9:$A$190,'2. TEUs &amp; Activities - EF'!$J$9:$J$190),_xlfn.XLOOKUP($B1805,'2. TEUs &amp; Activities - EF'!$B$9:$B$190,'2. TEUs &amp; Activities - EF'!$J$9:$J$190))*'3. Pollutant Emissions - EF'!$I1805*IF(OR(ISBLANK($E1805),$G1805="Yes"),1,$E1805)*IF($H1805="Yes",1,(1-$F1805))</f>
        <v>4.2202588235294124E-2</v>
      </c>
      <c r="N1805" s="5">
        <f>IF(ISBLANK($B1805),_xlfn.XLOOKUP($A1805,'2. TEUs &amp; Activities - EF'!$A$9:$A$190,'2. TEUs &amp; Activities - EF'!$M$9:$M$190),_xlfn.XLOOKUP($B1805,'2. TEUs &amp; Activities - EF'!$B$9:$B$190,'2. TEUs &amp; Activities - EF'!$M$9:$M$190))*'3. Pollutant Emissions - EF'!$J1805*IF(OR(ISBLANK($E1805),$G1805="Yes"),1,$E1805)*IF($H1805="Yes",1,(1-$F1805))</f>
        <v>1.1562352941176471E-4</v>
      </c>
      <c r="O1805" s="130"/>
    </row>
    <row r="1806" spans="1:15" ht="15" x14ac:dyDescent="0.25">
      <c r="A1806" s="5" t="s">
        <v>1632</v>
      </c>
      <c r="B1806" s="7"/>
      <c r="C1806" s="13" t="s">
        <v>62</v>
      </c>
      <c r="D1806" s="19" t="str">
        <f>IFERROR(IF(C1806="No CAS","",INDEX('DEQ Pollutant List'!$B$7:$B$611,MATCH('3. Pollutant Emissions - EF'!C1806,'DEQ Pollutant List'!$A$7:$A$611,0))),"")</f>
        <v>Lead and compounds</v>
      </c>
      <c r="E1806" s="23">
        <v>0</v>
      </c>
      <c r="F1806" s="21">
        <v>0</v>
      </c>
      <c r="G1806" s="23" t="s">
        <v>1415</v>
      </c>
      <c r="H1806" s="21" t="s">
        <v>1415</v>
      </c>
      <c r="I1806" s="34">
        <v>5.0000000000000001E-4</v>
      </c>
      <c r="J1806" s="11">
        <f t="shared" si="65"/>
        <v>5.0000000000000001E-4</v>
      </c>
      <c r="K1806" s="6" t="s">
        <v>1416</v>
      </c>
      <c r="L1806" s="20" t="s">
        <v>1422</v>
      </c>
      <c r="M1806" s="7">
        <f>IF(ISBLANK($B1806),_xlfn.XLOOKUP($A1806,'2. TEUs &amp; Activities - EF'!$A$9:$A$190,'2. TEUs &amp; Activities - EF'!$J$9:$J$190),_xlfn.XLOOKUP($B1806,'2. TEUs &amp; Activities - EF'!$B$9:$B$190,'2. TEUs &amp; Activities - EF'!$J$9:$J$190))*'3. Pollutant Emissions - EF'!$I1806*IF(OR(ISBLANK($E1806),$G1806="Yes"),1,$E1806)*IF($H1806="Yes",1,(1-$F1806))</f>
        <v>3.3494117647058824E-3</v>
      </c>
      <c r="N1806" s="5">
        <f>IF(ISBLANK($B1806),_xlfn.XLOOKUP($A1806,'2. TEUs &amp; Activities - EF'!$A$9:$A$190,'2. TEUs &amp; Activities - EF'!$M$9:$M$190),_xlfn.XLOOKUP($B1806,'2. TEUs &amp; Activities - EF'!$B$9:$B$190,'2. TEUs &amp; Activities - EF'!$M$9:$M$190))*'3. Pollutant Emissions - EF'!$J1806*IF(OR(ISBLANK($E1806),$G1806="Yes"),1,$E1806)*IF($H1806="Yes",1,(1-$F1806))</f>
        <v>9.1764705882352953E-6</v>
      </c>
      <c r="O1806" s="130"/>
    </row>
    <row r="1807" spans="1:15" ht="15" x14ac:dyDescent="0.25">
      <c r="A1807" s="5" t="s">
        <v>1632</v>
      </c>
      <c r="B1807" s="7"/>
      <c r="C1807" s="13" t="s">
        <v>63</v>
      </c>
      <c r="D1807" s="19" t="str">
        <f>IFERROR(IF(C1807="No CAS","",INDEX('DEQ Pollutant List'!$B$7:$B$611,MATCH('3. Pollutant Emissions - EF'!C1807,'DEQ Pollutant List'!$A$7:$A$611,0))),"")</f>
        <v>Manganese and compounds</v>
      </c>
      <c r="E1807" s="23">
        <v>0</v>
      </c>
      <c r="F1807" s="21">
        <v>0</v>
      </c>
      <c r="G1807" s="23" t="s">
        <v>1415</v>
      </c>
      <c r="H1807" s="21" t="s">
        <v>1415</v>
      </c>
      <c r="I1807" s="34">
        <v>3.8000000000000002E-4</v>
      </c>
      <c r="J1807" s="11">
        <f t="shared" si="65"/>
        <v>3.8000000000000002E-4</v>
      </c>
      <c r="K1807" s="6" t="s">
        <v>1416</v>
      </c>
      <c r="L1807" s="20" t="s">
        <v>1422</v>
      </c>
      <c r="M1807" s="7">
        <f>IF(ISBLANK($B1807),_xlfn.XLOOKUP($A1807,'2. TEUs &amp; Activities - EF'!$A$9:$A$190,'2. TEUs &amp; Activities - EF'!$J$9:$J$190),_xlfn.XLOOKUP($B1807,'2. TEUs &amp; Activities - EF'!$B$9:$B$190,'2. TEUs &amp; Activities - EF'!$J$9:$J$190))*'3. Pollutant Emissions - EF'!$I1807*IF(OR(ISBLANK($E1807),$G1807="Yes"),1,$E1807)*IF($H1807="Yes",1,(1-$F1807))</f>
        <v>2.5455529411764709E-3</v>
      </c>
      <c r="N1807" s="5">
        <f>IF(ISBLANK($B1807),_xlfn.XLOOKUP($A1807,'2. TEUs &amp; Activities - EF'!$A$9:$A$190,'2. TEUs &amp; Activities - EF'!$M$9:$M$190),_xlfn.XLOOKUP($B1807,'2. TEUs &amp; Activities - EF'!$B$9:$B$190,'2. TEUs &amp; Activities - EF'!$M$9:$M$190))*'3. Pollutant Emissions - EF'!$J1807*IF(OR(ISBLANK($E1807),$G1807="Yes"),1,$E1807)*IF($H1807="Yes",1,(1-$F1807))</f>
        <v>6.9741176470588239E-6</v>
      </c>
      <c r="O1807" s="130"/>
    </row>
    <row r="1808" spans="1:15" ht="15" x14ac:dyDescent="0.25">
      <c r="A1808" s="5" t="s">
        <v>1632</v>
      </c>
      <c r="B1808" s="7"/>
      <c r="C1808" s="13" t="s">
        <v>64</v>
      </c>
      <c r="D1808" s="19" t="str">
        <f>IFERROR(IF(C1808="No CAS","",INDEX('DEQ Pollutant List'!$B$7:$B$611,MATCH('3. Pollutant Emissions - EF'!C1808,'DEQ Pollutant List'!$A$7:$A$611,0))),"")</f>
        <v>Mercury and compounds</v>
      </c>
      <c r="E1808" s="23">
        <v>0</v>
      </c>
      <c r="F1808" s="21">
        <v>0</v>
      </c>
      <c r="G1808" s="23" t="s">
        <v>1415</v>
      </c>
      <c r="H1808" s="21" t="s">
        <v>1415</v>
      </c>
      <c r="I1808" s="34">
        <v>2.5999999999999998E-4</v>
      </c>
      <c r="J1808" s="11">
        <f t="shared" si="65"/>
        <v>2.5999999999999998E-4</v>
      </c>
      <c r="K1808" s="6" t="s">
        <v>1416</v>
      </c>
      <c r="L1808" s="20" t="s">
        <v>1422</v>
      </c>
      <c r="M1808" s="7">
        <f>IF(ISBLANK($B1808),_xlfn.XLOOKUP($A1808,'2. TEUs &amp; Activities - EF'!$A$9:$A$190,'2. TEUs &amp; Activities - EF'!$J$9:$J$190),_xlfn.XLOOKUP($B1808,'2. TEUs &amp; Activities - EF'!$B$9:$B$190,'2. TEUs &amp; Activities - EF'!$J$9:$J$190))*'3. Pollutant Emissions - EF'!$I1808*IF(OR(ISBLANK($E1808),$G1808="Yes"),1,$E1808)*IF($H1808="Yes",1,(1-$F1808))</f>
        <v>1.7416941176470588E-3</v>
      </c>
      <c r="N1808" s="5">
        <f>IF(ISBLANK($B1808),_xlfn.XLOOKUP($A1808,'2. TEUs &amp; Activities - EF'!$A$9:$A$190,'2. TEUs &amp; Activities - EF'!$M$9:$M$190),_xlfn.XLOOKUP($B1808,'2. TEUs &amp; Activities - EF'!$B$9:$B$190,'2. TEUs &amp; Activities - EF'!$M$9:$M$190))*'3. Pollutant Emissions - EF'!$J1808*IF(OR(ISBLANK($E1808),$G1808="Yes"),1,$E1808)*IF($H1808="Yes",1,(1-$F1808))</f>
        <v>4.7717647058823525E-6</v>
      </c>
      <c r="O1808" s="130"/>
    </row>
    <row r="1809" spans="1:15" ht="15" x14ac:dyDescent="0.25">
      <c r="A1809" s="5" t="s">
        <v>1632</v>
      </c>
      <c r="B1809" s="7"/>
      <c r="C1809" s="13" t="s">
        <v>65</v>
      </c>
      <c r="D1809" s="19" t="str">
        <f>IFERROR(IF(C1809="No CAS","",INDEX('DEQ Pollutant List'!$B$7:$B$611,MATCH('3. Pollutant Emissions - EF'!C1809,'DEQ Pollutant List'!$A$7:$A$611,0))),"")</f>
        <v>Molybdenum trioxide</v>
      </c>
      <c r="E1809" s="23">
        <v>0</v>
      </c>
      <c r="F1809" s="21">
        <v>0</v>
      </c>
      <c r="G1809" s="23" t="s">
        <v>1415</v>
      </c>
      <c r="H1809" s="21" t="s">
        <v>1415</v>
      </c>
      <c r="I1809" s="34">
        <v>1.65E-3</v>
      </c>
      <c r="J1809" s="11">
        <f t="shared" si="65"/>
        <v>1.65E-3</v>
      </c>
      <c r="K1809" s="6" t="s">
        <v>1416</v>
      </c>
      <c r="L1809" s="20" t="s">
        <v>1422</v>
      </c>
      <c r="M1809" s="7">
        <f>IF(ISBLANK($B1809),_xlfn.XLOOKUP($A1809,'2. TEUs &amp; Activities - EF'!$A$9:$A$190,'2. TEUs &amp; Activities - EF'!$J$9:$J$190),_xlfn.XLOOKUP($B1809,'2. TEUs &amp; Activities - EF'!$B$9:$B$190,'2. TEUs &amp; Activities - EF'!$J$9:$J$190))*'3. Pollutant Emissions - EF'!$I1809*IF(OR(ISBLANK($E1809),$G1809="Yes"),1,$E1809)*IF($H1809="Yes",1,(1-$F1809))</f>
        <v>1.1053058823529412E-2</v>
      </c>
      <c r="N1809" s="5">
        <f>IF(ISBLANK($B1809),_xlfn.XLOOKUP($A1809,'2. TEUs &amp; Activities - EF'!$A$9:$A$190,'2. TEUs &amp; Activities - EF'!$M$9:$M$190),_xlfn.XLOOKUP($B1809,'2. TEUs &amp; Activities - EF'!$B$9:$B$190,'2. TEUs &amp; Activities - EF'!$M$9:$M$190))*'3. Pollutant Emissions - EF'!$J1809*IF(OR(ISBLANK($E1809),$G1809="Yes"),1,$E1809)*IF($H1809="Yes",1,(1-$F1809))</f>
        <v>3.0282352941176474E-5</v>
      </c>
      <c r="O1809" s="130"/>
    </row>
    <row r="1810" spans="1:15" ht="15" x14ac:dyDescent="0.25">
      <c r="A1810" s="5" t="s">
        <v>1632</v>
      </c>
      <c r="B1810" s="7"/>
      <c r="C1810" s="13" t="s">
        <v>49</v>
      </c>
      <c r="D1810" s="19" t="str">
        <f>IFERROR(IF(C1810="No CAS","",INDEX('DEQ Pollutant List'!$B$7:$B$611,MATCH('3. Pollutant Emissions - EF'!C1810,'DEQ Pollutant List'!$A$7:$A$611,0))),"")</f>
        <v>Naphthalene</v>
      </c>
      <c r="E1810" s="23">
        <v>0</v>
      </c>
      <c r="F1810" s="21">
        <v>0</v>
      </c>
      <c r="G1810" s="23" t="s">
        <v>1415</v>
      </c>
      <c r="H1810" s="21" t="s">
        <v>1415</v>
      </c>
      <c r="I1810" s="34">
        <v>2.9999999999999997E-4</v>
      </c>
      <c r="J1810" s="11">
        <f t="shared" si="65"/>
        <v>2.9999999999999997E-4</v>
      </c>
      <c r="K1810" s="6" t="s">
        <v>1416</v>
      </c>
      <c r="L1810" s="20" t="s">
        <v>1422</v>
      </c>
      <c r="M1810" s="7">
        <f>IF(ISBLANK($B1810),_xlfn.XLOOKUP($A1810,'2. TEUs &amp; Activities - EF'!$A$9:$A$190,'2. TEUs &amp; Activities - EF'!$J$9:$J$190),_xlfn.XLOOKUP($B1810,'2. TEUs &amp; Activities - EF'!$B$9:$B$190,'2. TEUs &amp; Activities - EF'!$J$9:$J$190))*'3. Pollutant Emissions - EF'!$I1810*IF(OR(ISBLANK($E1810),$G1810="Yes"),1,$E1810)*IF($H1810="Yes",1,(1-$F1810))</f>
        <v>2.0096470588235292E-3</v>
      </c>
      <c r="N1810" s="5">
        <f>IF(ISBLANK($B1810),_xlfn.XLOOKUP($A1810,'2. TEUs &amp; Activities - EF'!$A$9:$A$190,'2. TEUs &amp; Activities - EF'!$M$9:$M$190),_xlfn.XLOOKUP($B1810,'2. TEUs &amp; Activities - EF'!$B$9:$B$190,'2. TEUs &amp; Activities - EF'!$M$9:$M$190))*'3. Pollutant Emissions - EF'!$J1810*IF(OR(ISBLANK($E1810),$G1810="Yes"),1,$E1810)*IF($H1810="Yes",1,(1-$F1810))</f>
        <v>5.505882352941176E-6</v>
      </c>
      <c r="O1810" s="130"/>
    </row>
    <row r="1811" spans="1:15" ht="15" x14ac:dyDescent="0.25">
      <c r="A1811" s="5" t="s">
        <v>1632</v>
      </c>
      <c r="B1811" s="7"/>
      <c r="C1811" s="13" t="s">
        <v>66</v>
      </c>
      <c r="D1811" s="19" t="str">
        <f>IFERROR(IF(C1811="No CAS","",INDEX('DEQ Pollutant List'!$B$7:$B$611,MATCH('3. Pollutant Emissions - EF'!C1811,'DEQ Pollutant List'!$A$7:$A$611,0))),"")</f>
        <v>Nickel and compounds</v>
      </c>
      <c r="E1811" s="23">
        <v>0</v>
      </c>
      <c r="F1811" s="21">
        <v>0</v>
      </c>
      <c r="G1811" s="23" t="s">
        <v>1415</v>
      </c>
      <c r="H1811" s="21" t="s">
        <v>1415</v>
      </c>
      <c r="I1811" s="34">
        <v>2.0999999999999999E-3</v>
      </c>
      <c r="J1811" s="11">
        <f t="shared" si="65"/>
        <v>2.0999999999999999E-3</v>
      </c>
      <c r="K1811" s="6" t="s">
        <v>1416</v>
      </c>
      <c r="L1811" s="20" t="s">
        <v>1422</v>
      </c>
      <c r="M1811" s="7">
        <f>IF(ISBLANK($B1811),_xlfn.XLOOKUP($A1811,'2. TEUs &amp; Activities - EF'!$A$9:$A$190,'2. TEUs &amp; Activities - EF'!$J$9:$J$190),_xlfn.XLOOKUP($B1811,'2. TEUs &amp; Activities - EF'!$B$9:$B$190,'2. TEUs &amp; Activities - EF'!$J$9:$J$190))*'3. Pollutant Emissions - EF'!$I1811*IF(OR(ISBLANK($E1811),$G1811="Yes"),1,$E1811)*IF($H1811="Yes",1,(1-$F1811))</f>
        <v>1.4067529411764706E-2</v>
      </c>
      <c r="N1811" s="5">
        <f>IF(ISBLANK($B1811),_xlfn.XLOOKUP($A1811,'2. TEUs &amp; Activities - EF'!$A$9:$A$190,'2. TEUs &amp; Activities - EF'!$M$9:$M$190),_xlfn.XLOOKUP($B1811,'2. TEUs &amp; Activities - EF'!$B$9:$B$190,'2. TEUs &amp; Activities - EF'!$M$9:$M$190))*'3. Pollutant Emissions - EF'!$J1811*IF(OR(ISBLANK($E1811),$G1811="Yes"),1,$E1811)*IF($H1811="Yes",1,(1-$F1811))</f>
        <v>3.8541176470588233E-5</v>
      </c>
      <c r="O1811" s="130"/>
    </row>
    <row r="1812" spans="1:15" ht="15" x14ac:dyDescent="0.25">
      <c r="A1812" s="5" t="s">
        <v>1632</v>
      </c>
      <c r="B1812" s="7"/>
      <c r="C1812" s="13">
        <v>401</v>
      </c>
      <c r="D1812" s="19" t="str">
        <f>IFERROR(IF(C1812="No CAS","",INDEX('DEQ Pollutant List'!$B$7:$B$611,MATCH('3. Pollutant Emissions - EF'!C1812,'DEQ Pollutant List'!$A$7:$A$611,0))),"")</f>
        <v>Polycyclic aromatic hydrocarbons (PAHs)</v>
      </c>
      <c r="E1812" s="23">
        <v>0</v>
      </c>
      <c r="F1812" s="21">
        <v>0</v>
      </c>
      <c r="G1812" s="23" t="s">
        <v>1415</v>
      </c>
      <c r="H1812" s="21" t="s">
        <v>1415</v>
      </c>
      <c r="I1812" s="34">
        <v>1E-4</v>
      </c>
      <c r="J1812" s="11">
        <f t="shared" si="65"/>
        <v>1E-4</v>
      </c>
      <c r="K1812" s="6" t="s">
        <v>1416</v>
      </c>
      <c r="L1812" s="20" t="s">
        <v>1422</v>
      </c>
      <c r="M1812" s="7">
        <f>IF(ISBLANK($B1812),_xlfn.XLOOKUP($A1812,'2. TEUs &amp; Activities - EF'!$A$9:$A$190,'2. TEUs &amp; Activities - EF'!$J$9:$J$190),_xlfn.XLOOKUP($B1812,'2. TEUs &amp; Activities - EF'!$B$9:$B$190,'2. TEUs &amp; Activities - EF'!$J$9:$J$190))*'3. Pollutant Emissions - EF'!$I1812*IF(OR(ISBLANK($E1812),$G1812="Yes"),1,$E1812)*IF($H1812="Yes",1,(1-$F1812))</f>
        <v>6.6988235294117651E-4</v>
      </c>
      <c r="N1812" s="5">
        <f>IF(ISBLANK($B1812),_xlfn.XLOOKUP($A1812,'2. TEUs &amp; Activities - EF'!$A$9:$A$190,'2. TEUs &amp; Activities - EF'!$M$9:$M$190),_xlfn.XLOOKUP($B1812,'2. TEUs &amp; Activities - EF'!$B$9:$B$190,'2. TEUs &amp; Activities - EF'!$M$9:$M$190))*'3. Pollutant Emissions - EF'!$J1812*IF(OR(ISBLANK($E1812),$G1812="Yes"),1,$E1812)*IF($H1812="Yes",1,(1-$F1812))</f>
        <v>1.835294117647059E-6</v>
      </c>
      <c r="O1812" s="130"/>
    </row>
    <row r="1813" spans="1:15" ht="15" x14ac:dyDescent="0.25">
      <c r="A1813" s="5" t="s">
        <v>1632</v>
      </c>
      <c r="B1813" s="7"/>
      <c r="C1813" s="13" t="s">
        <v>67</v>
      </c>
      <c r="D1813" s="19" t="str">
        <f>IFERROR(IF(C1813="No CAS","",INDEX('DEQ Pollutant List'!$B$7:$B$611,MATCH('3. Pollutant Emissions - EF'!C1813,'DEQ Pollutant List'!$A$7:$A$611,0))),"")</f>
        <v>Selenium and compounds</v>
      </c>
      <c r="E1813" s="23">
        <v>0</v>
      </c>
      <c r="F1813" s="21">
        <v>0</v>
      </c>
      <c r="G1813" s="23" t="s">
        <v>1415</v>
      </c>
      <c r="H1813" s="21" t="s">
        <v>1415</v>
      </c>
      <c r="I1813" s="34">
        <v>2.4000000000000001E-5</v>
      </c>
      <c r="J1813" s="11">
        <f t="shared" si="65"/>
        <v>2.4000000000000001E-5</v>
      </c>
      <c r="K1813" s="6" t="s">
        <v>1416</v>
      </c>
      <c r="L1813" s="20" t="s">
        <v>1422</v>
      </c>
      <c r="M1813" s="7">
        <f>IF(ISBLANK($B1813),_xlfn.XLOOKUP($A1813,'2. TEUs &amp; Activities - EF'!$A$9:$A$190,'2. TEUs &amp; Activities - EF'!$J$9:$J$190),_xlfn.XLOOKUP($B1813,'2. TEUs &amp; Activities - EF'!$B$9:$B$190,'2. TEUs &amp; Activities - EF'!$J$9:$J$190))*'3. Pollutant Emissions - EF'!$I1813*IF(OR(ISBLANK($E1813),$G1813="Yes"),1,$E1813)*IF($H1813="Yes",1,(1-$F1813))</f>
        <v>1.6077176470588237E-4</v>
      </c>
      <c r="N1813" s="5">
        <f>IF(ISBLANK($B1813),_xlfn.XLOOKUP($A1813,'2. TEUs &amp; Activities - EF'!$A$9:$A$190,'2. TEUs &amp; Activities - EF'!$M$9:$M$190),_xlfn.XLOOKUP($B1813,'2. TEUs &amp; Activities - EF'!$B$9:$B$190,'2. TEUs &amp; Activities - EF'!$M$9:$M$190))*'3. Pollutant Emissions - EF'!$J1813*IF(OR(ISBLANK($E1813),$G1813="Yes"),1,$E1813)*IF($H1813="Yes",1,(1-$F1813))</f>
        <v>4.4047058823529415E-7</v>
      </c>
      <c r="O1813" s="130"/>
    </row>
    <row r="1814" spans="1:15" ht="15" x14ac:dyDescent="0.25">
      <c r="A1814" s="5" t="s">
        <v>1632</v>
      </c>
      <c r="B1814" s="7"/>
      <c r="C1814" s="13" t="s">
        <v>68</v>
      </c>
      <c r="D1814" s="19" t="str">
        <f>IFERROR(IF(C1814="No CAS","",INDEX('DEQ Pollutant List'!$B$7:$B$611,MATCH('3. Pollutant Emissions - EF'!C1814,'DEQ Pollutant List'!$A$7:$A$611,0))),"")</f>
        <v>Toluene</v>
      </c>
      <c r="E1814" s="23">
        <v>0</v>
      </c>
      <c r="F1814" s="21">
        <v>0</v>
      </c>
      <c r="G1814" s="23" t="s">
        <v>1415</v>
      </c>
      <c r="H1814" s="21" t="s">
        <v>1415</v>
      </c>
      <c r="I1814" s="34">
        <v>3.6600000000000001E-2</v>
      </c>
      <c r="J1814" s="11">
        <f t="shared" si="65"/>
        <v>3.6600000000000001E-2</v>
      </c>
      <c r="K1814" s="6" t="s">
        <v>1416</v>
      </c>
      <c r="L1814" s="20" t="s">
        <v>1422</v>
      </c>
      <c r="M1814" s="7">
        <f>IF(ISBLANK($B1814),_xlfn.XLOOKUP($A1814,'2. TEUs &amp; Activities - EF'!$A$9:$A$190,'2. TEUs &amp; Activities - EF'!$J$9:$J$190),_xlfn.XLOOKUP($B1814,'2. TEUs &amp; Activities - EF'!$B$9:$B$190,'2. TEUs &amp; Activities - EF'!$J$9:$J$190))*'3. Pollutant Emissions - EF'!$I1814*IF(OR(ISBLANK($E1814),$G1814="Yes"),1,$E1814)*IF($H1814="Yes",1,(1-$F1814))</f>
        <v>0.2451769411764706</v>
      </c>
      <c r="N1814" s="5">
        <f>IF(ISBLANK($B1814),_xlfn.XLOOKUP($A1814,'2. TEUs &amp; Activities - EF'!$A$9:$A$190,'2. TEUs &amp; Activities - EF'!$M$9:$M$190),_xlfn.XLOOKUP($B1814,'2. TEUs &amp; Activities - EF'!$B$9:$B$190,'2. TEUs &amp; Activities - EF'!$M$9:$M$190))*'3. Pollutant Emissions - EF'!$J1814*IF(OR(ISBLANK($E1814),$G1814="Yes"),1,$E1814)*IF($H1814="Yes",1,(1-$F1814))</f>
        <v>6.7171764705882357E-4</v>
      </c>
      <c r="O1814" s="130"/>
    </row>
    <row r="1815" spans="1:15" ht="15" x14ac:dyDescent="0.25">
      <c r="A1815" s="5" t="s">
        <v>1632</v>
      </c>
      <c r="B1815" s="7"/>
      <c r="C1815" s="13" t="s">
        <v>69</v>
      </c>
      <c r="D1815" s="19" t="str">
        <f>IFERROR(IF(C1815="No CAS","",INDEX('DEQ Pollutant List'!$B$7:$B$611,MATCH('3. Pollutant Emissions - EF'!C1815,'DEQ Pollutant List'!$A$7:$A$611,0))),"")</f>
        <v>Vanadium (fume or dust)</v>
      </c>
      <c r="E1815" s="23">
        <v>0</v>
      </c>
      <c r="F1815" s="21">
        <v>0</v>
      </c>
      <c r="G1815" s="23" t="s">
        <v>1415</v>
      </c>
      <c r="H1815" s="21" t="s">
        <v>1415</v>
      </c>
      <c r="I1815" s="34">
        <v>2.3E-3</v>
      </c>
      <c r="J1815" s="11">
        <f t="shared" si="65"/>
        <v>2.3E-3</v>
      </c>
      <c r="K1815" s="6" t="s">
        <v>1416</v>
      </c>
      <c r="L1815" s="20" t="s">
        <v>1422</v>
      </c>
      <c r="M1815" s="7">
        <f>IF(ISBLANK($B1815),_xlfn.XLOOKUP($A1815,'2. TEUs &amp; Activities - EF'!$A$9:$A$190,'2. TEUs &amp; Activities - EF'!$J$9:$J$190),_xlfn.XLOOKUP($B1815,'2. TEUs &amp; Activities - EF'!$B$9:$B$190,'2. TEUs &amp; Activities - EF'!$J$9:$J$190))*'3. Pollutant Emissions - EF'!$I1815*IF(OR(ISBLANK($E1815),$G1815="Yes"),1,$E1815)*IF($H1815="Yes",1,(1-$F1815))</f>
        <v>1.5407294117647059E-2</v>
      </c>
      <c r="N1815" s="5">
        <f>IF(ISBLANK($B1815),_xlfn.XLOOKUP($A1815,'2. TEUs &amp; Activities - EF'!$A$9:$A$190,'2. TEUs &amp; Activities - EF'!$M$9:$M$190),_xlfn.XLOOKUP($B1815,'2. TEUs &amp; Activities - EF'!$B$9:$B$190,'2. TEUs &amp; Activities - EF'!$M$9:$M$190))*'3. Pollutant Emissions - EF'!$J1815*IF(OR(ISBLANK($E1815),$G1815="Yes"),1,$E1815)*IF($H1815="Yes",1,(1-$F1815))</f>
        <v>4.2211764705882357E-5</v>
      </c>
      <c r="O1815" s="130"/>
    </row>
    <row r="1816" spans="1:15" ht="15" x14ac:dyDescent="0.25">
      <c r="A1816" s="5" t="s">
        <v>1632</v>
      </c>
      <c r="B1816" s="7"/>
      <c r="C1816" s="13" t="s">
        <v>70</v>
      </c>
      <c r="D1816" s="19" t="str">
        <f>IFERROR(IF(C1816="No CAS","",INDEX('DEQ Pollutant List'!$B$7:$B$611,MATCH('3. Pollutant Emissions - EF'!C1816,'DEQ Pollutant List'!$A$7:$A$611,0))),"")</f>
        <v>Xylene (mixture), including m-xylene, o-xylene, p-xylene</v>
      </c>
      <c r="E1816" s="23">
        <v>0</v>
      </c>
      <c r="F1816" s="21">
        <v>0</v>
      </c>
      <c r="G1816" s="23" t="s">
        <v>1415</v>
      </c>
      <c r="H1816" s="21" t="s">
        <v>1415</v>
      </c>
      <c r="I1816" s="34">
        <v>2.7199999999999998E-2</v>
      </c>
      <c r="J1816" s="11">
        <f t="shared" si="65"/>
        <v>2.7199999999999998E-2</v>
      </c>
      <c r="K1816" s="6" t="s">
        <v>1416</v>
      </c>
      <c r="L1816" s="20" t="s">
        <v>1422</v>
      </c>
      <c r="M1816" s="7">
        <f>IF(ISBLANK($B1816),_xlfn.XLOOKUP($A1816,'2. TEUs &amp; Activities - EF'!$A$9:$A$190,'2. TEUs &amp; Activities - EF'!$J$9:$J$190),_xlfn.XLOOKUP($B1816,'2. TEUs &amp; Activities - EF'!$B$9:$B$190,'2. TEUs &amp; Activities - EF'!$J$9:$J$190))*'3. Pollutant Emissions - EF'!$I1816*IF(OR(ISBLANK($E1816),$G1816="Yes"),1,$E1816)*IF($H1816="Yes",1,(1-$F1816))</f>
        <v>0.18220800000000001</v>
      </c>
      <c r="N1816" s="5">
        <f>IF(ISBLANK($B1816),_xlfn.XLOOKUP($A1816,'2. TEUs &amp; Activities - EF'!$A$9:$A$190,'2. TEUs &amp; Activities - EF'!$M$9:$M$190),_xlfn.XLOOKUP($B1816,'2. TEUs &amp; Activities - EF'!$B$9:$B$190,'2. TEUs &amp; Activities - EF'!$M$9:$M$190))*'3. Pollutant Emissions - EF'!$J1816*IF(OR(ISBLANK($E1816),$G1816="Yes"),1,$E1816)*IF($H1816="Yes",1,(1-$F1816))</f>
        <v>4.9919999999999999E-4</v>
      </c>
      <c r="O1816" s="130"/>
    </row>
    <row r="1817" spans="1:15" ht="15" x14ac:dyDescent="0.25">
      <c r="A1817" s="5" t="s">
        <v>1632</v>
      </c>
      <c r="B1817" s="7"/>
      <c r="C1817" s="13" t="s">
        <v>71</v>
      </c>
      <c r="D1817" s="19" t="str">
        <f>IFERROR(IF(C1817="No CAS","",INDEX('DEQ Pollutant List'!$B$7:$B$611,MATCH('3. Pollutant Emissions - EF'!C1817,'DEQ Pollutant List'!$A$7:$A$611,0))),"")</f>
        <v>Zinc and compounds</v>
      </c>
      <c r="E1817" s="23">
        <v>0</v>
      </c>
      <c r="F1817" s="21">
        <v>0</v>
      </c>
      <c r="G1817" s="23" t="s">
        <v>1415</v>
      </c>
      <c r="H1817" s="21" t="s">
        <v>1415</v>
      </c>
      <c r="I1817" s="34">
        <v>2.9000000000000001E-2</v>
      </c>
      <c r="J1817" s="11">
        <f t="shared" si="65"/>
        <v>2.9000000000000001E-2</v>
      </c>
      <c r="K1817" s="6" t="s">
        <v>1416</v>
      </c>
      <c r="L1817" s="20" t="s">
        <v>1422</v>
      </c>
      <c r="M1817" s="7">
        <f>IF(ISBLANK($B1817),_xlfn.XLOOKUP($A1817,'2. TEUs &amp; Activities - EF'!$A$9:$A$190,'2. TEUs &amp; Activities - EF'!$J$9:$J$190),_xlfn.XLOOKUP($B1817,'2. TEUs &amp; Activities - EF'!$B$9:$B$190,'2. TEUs &amp; Activities - EF'!$J$9:$J$190))*'3. Pollutant Emissions - EF'!$I1817*IF(OR(ISBLANK($E1817),$G1817="Yes"),1,$E1817)*IF($H1817="Yes",1,(1-$F1817))</f>
        <v>0.1942658823529412</v>
      </c>
      <c r="N1817" s="5">
        <f>IF(ISBLANK($B1817),_xlfn.XLOOKUP($A1817,'2. TEUs &amp; Activities - EF'!$A$9:$A$190,'2. TEUs &amp; Activities - EF'!$M$9:$M$190),_xlfn.XLOOKUP($B1817,'2. TEUs &amp; Activities - EF'!$B$9:$B$190,'2. TEUs &amp; Activities - EF'!$M$9:$M$190))*'3. Pollutant Emissions - EF'!$J1817*IF(OR(ISBLANK($E1817),$G1817="Yes"),1,$E1817)*IF($H1817="Yes",1,(1-$F1817))</f>
        <v>5.3223529411764716E-4</v>
      </c>
      <c r="O1817" s="130"/>
    </row>
    <row r="1818" spans="1:15" ht="15" x14ac:dyDescent="0.25">
      <c r="A1818" s="5"/>
      <c r="B1818" s="7"/>
      <c r="C1818" s="13"/>
      <c r="D1818" s="19"/>
      <c r="E1818" s="23"/>
      <c r="F1818" s="21"/>
      <c r="G1818" s="23"/>
      <c r="H1818" s="21"/>
      <c r="I1818" s="34"/>
      <c r="J1818" s="11"/>
      <c r="K1818" s="6"/>
      <c r="L1818" s="20"/>
      <c r="M1818" s="7"/>
      <c r="N1818" s="5"/>
      <c r="O1818" s="130"/>
    </row>
    <row r="1819" spans="1:15" ht="15" x14ac:dyDescent="0.25">
      <c r="A1819" s="5"/>
      <c r="B1819" s="7"/>
      <c r="C1819" s="13"/>
      <c r="D1819" s="19"/>
      <c r="E1819" s="23"/>
      <c r="F1819" s="21"/>
      <c r="G1819" s="23"/>
      <c r="H1819" s="21"/>
      <c r="I1819" s="34"/>
      <c r="J1819" s="11"/>
      <c r="K1819" s="6"/>
      <c r="L1819" s="20"/>
      <c r="M1819" s="7"/>
      <c r="N1819" s="5"/>
      <c r="O1819" s="130"/>
    </row>
    <row r="1820" spans="1:15" ht="15" x14ac:dyDescent="0.25">
      <c r="A1820" s="5"/>
      <c r="B1820" s="7"/>
      <c r="C1820" s="13"/>
      <c r="D1820" s="19"/>
      <c r="E1820" s="23"/>
      <c r="F1820" s="21"/>
      <c r="G1820" s="23"/>
      <c r="H1820" s="21"/>
      <c r="I1820" s="34"/>
      <c r="J1820" s="11"/>
      <c r="K1820" s="6"/>
      <c r="L1820" s="20"/>
      <c r="M1820" s="7"/>
      <c r="N1820" s="5"/>
      <c r="O1820" s="130"/>
    </row>
    <row r="1821" spans="1:15" ht="15" x14ac:dyDescent="0.25">
      <c r="A1821" s="5"/>
      <c r="B1821" s="7"/>
      <c r="C1821" s="13"/>
      <c r="D1821" s="19"/>
      <c r="E1821" s="23"/>
      <c r="F1821" s="21"/>
      <c r="G1821" s="23"/>
      <c r="H1821" s="21"/>
      <c r="I1821" s="34"/>
      <c r="J1821" s="11"/>
      <c r="K1821" s="6"/>
      <c r="L1821" s="20"/>
      <c r="M1821" s="7"/>
      <c r="N1821" s="5"/>
      <c r="O1821" s="130"/>
    </row>
    <row r="1822" spans="1:15" ht="15" x14ac:dyDescent="0.25">
      <c r="A1822" s="5"/>
      <c r="B1822" s="7"/>
      <c r="C1822" s="13"/>
      <c r="D1822" s="19"/>
      <c r="E1822" s="23"/>
      <c r="F1822" s="21"/>
      <c r="G1822" s="23"/>
      <c r="H1822" s="21"/>
      <c r="I1822" s="34"/>
      <c r="J1822" s="11"/>
      <c r="K1822" s="6"/>
      <c r="L1822" s="20"/>
      <c r="M1822" s="7"/>
      <c r="N1822" s="5"/>
      <c r="O1822" s="130"/>
    </row>
    <row r="1823" spans="1:15" ht="15" x14ac:dyDescent="0.25">
      <c r="A1823" s="5"/>
      <c r="B1823" s="7"/>
      <c r="C1823" s="13"/>
      <c r="D1823" s="19"/>
      <c r="E1823" s="23"/>
      <c r="F1823" s="21"/>
      <c r="G1823" s="23"/>
      <c r="H1823" s="21"/>
      <c r="I1823" s="34"/>
      <c r="J1823" s="11"/>
      <c r="K1823" s="6"/>
      <c r="L1823" s="20"/>
      <c r="M1823" s="7"/>
      <c r="N1823" s="5"/>
      <c r="O1823" s="130"/>
    </row>
    <row r="1824" spans="1:15" ht="15" x14ac:dyDescent="0.25">
      <c r="A1824" s="5"/>
      <c r="B1824" s="7"/>
      <c r="C1824" s="13"/>
      <c r="D1824" s="19"/>
      <c r="E1824" s="23"/>
      <c r="F1824" s="21"/>
      <c r="G1824" s="23"/>
      <c r="H1824" s="21"/>
      <c r="I1824" s="34"/>
      <c r="J1824" s="11"/>
      <c r="K1824" s="6"/>
      <c r="L1824" s="20"/>
      <c r="M1824" s="7"/>
      <c r="N1824" s="5"/>
      <c r="O1824" s="130"/>
    </row>
    <row r="1825" spans="1:15" ht="15" x14ac:dyDescent="0.25">
      <c r="A1825" s="5"/>
      <c r="B1825" s="7"/>
      <c r="C1825" s="13"/>
      <c r="D1825" s="19"/>
      <c r="E1825" s="23"/>
      <c r="F1825" s="21"/>
      <c r="G1825" s="23"/>
      <c r="H1825" s="21"/>
      <c r="I1825" s="34"/>
      <c r="J1825" s="11"/>
      <c r="K1825" s="6"/>
      <c r="L1825" s="20"/>
      <c r="M1825" s="7"/>
      <c r="N1825" s="5"/>
      <c r="O1825" s="130"/>
    </row>
    <row r="1826" spans="1:15" ht="15" x14ac:dyDescent="0.25">
      <c r="A1826" s="5"/>
      <c r="B1826" s="7"/>
      <c r="C1826" s="13"/>
      <c r="D1826" s="19"/>
      <c r="E1826" s="23"/>
      <c r="F1826" s="21"/>
      <c r="G1826" s="23"/>
      <c r="H1826" s="21"/>
      <c r="I1826" s="34"/>
      <c r="J1826" s="11"/>
      <c r="K1826" s="6"/>
      <c r="L1826" s="20"/>
      <c r="M1826" s="7"/>
      <c r="N1826" s="5"/>
      <c r="O1826" s="130"/>
    </row>
    <row r="1827" spans="1:15" ht="15" x14ac:dyDescent="0.25">
      <c r="A1827" s="5"/>
      <c r="B1827" s="7"/>
      <c r="C1827" s="13"/>
      <c r="D1827" s="19"/>
      <c r="E1827" s="23"/>
      <c r="F1827" s="21"/>
      <c r="G1827" s="23"/>
      <c r="H1827" s="21"/>
      <c r="I1827" s="34"/>
      <c r="J1827" s="11"/>
      <c r="K1827" s="6"/>
      <c r="L1827" s="20"/>
      <c r="M1827" s="7"/>
      <c r="N1827" s="5"/>
      <c r="O1827" s="130"/>
    </row>
    <row r="1828" spans="1:15" ht="15" x14ac:dyDescent="0.25">
      <c r="A1828" s="5"/>
      <c r="B1828" s="7"/>
      <c r="C1828" s="13"/>
      <c r="D1828" s="19"/>
      <c r="E1828" s="23"/>
      <c r="F1828" s="21"/>
      <c r="G1828" s="23"/>
      <c r="H1828" s="21"/>
      <c r="I1828" s="34"/>
      <c r="J1828" s="11"/>
      <c r="K1828" s="6"/>
      <c r="L1828" s="20"/>
      <c r="M1828" s="7"/>
      <c r="N1828" s="5"/>
      <c r="O1828" s="130"/>
    </row>
    <row r="1829" spans="1:15" ht="15" x14ac:dyDescent="0.25">
      <c r="A1829" s="5"/>
      <c r="B1829" s="7"/>
      <c r="C1829" s="13"/>
      <c r="D1829" s="19"/>
      <c r="E1829" s="23"/>
      <c r="F1829" s="21"/>
      <c r="G1829" s="23"/>
      <c r="H1829" s="21"/>
      <c r="I1829" s="34"/>
      <c r="J1829" s="11"/>
      <c r="K1829" s="6"/>
      <c r="L1829" s="20"/>
      <c r="M1829" s="7"/>
      <c r="N1829" s="5"/>
      <c r="O1829" s="130"/>
    </row>
    <row r="1830" spans="1:15" ht="15" x14ac:dyDescent="0.25">
      <c r="A1830" s="5"/>
      <c r="B1830" s="7"/>
      <c r="C1830" s="13"/>
      <c r="D1830" s="19"/>
      <c r="E1830" s="23"/>
      <c r="F1830" s="21"/>
      <c r="G1830" s="23"/>
      <c r="H1830" s="21"/>
      <c r="I1830" s="34"/>
      <c r="J1830" s="11"/>
      <c r="K1830" s="6"/>
      <c r="L1830" s="20"/>
      <c r="M1830" s="7"/>
      <c r="N1830" s="5"/>
      <c r="O1830" s="130"/>
    </row>
    <row r="1831" spans="1:15" ht="15" x14ac:dyDescent="0.25">
      <c r="A1831" s="5"/>
      <c r="B1831" s="7"/>
      <c r="C1831" s="13"/>
      <c r="D1831" s="19"/>
      <c r="E1831" s="23"/>
      <c r="F1831" s="21"/>
      <c r="G1831" s="23"/>
      <c r="H1831" s="21"/>
      <c r="I1831" s="34"/>
      <c r="J1831" s="11"/>
      <c r="K1831" s="6"/>
      <c r="L1831" s="20"/>
      <c r="M1831" s="7"/>
      <c r="N1831" s="5"/>
      <c r="O1831" s="130"/>
    </row>
    <row r="1832" spans="1:15" ht="15" x14ac:dyDescent="0.25">
      <c r="A1832" s="5"/>
      <c r="B1832" s="7"/>
      <c r="C1832" s="13"/>
      <c r="D1832" s="19"/>
      <c r="E1832" s="23"/>
      <c r="F1832" s="21"/>
      <c r="G1832" s="23"/>
      <c r="H1832" s="21"/>
      <c r="I1832" s="34"/>
      <c r="J1832" s="11"/>
      <c r="K1832" s="6"/>
      <c r="L1832" s="20"/>
      <c r="M1832" s="7"/>
      <c r="N1832" s="5"/>
      <c r="O1832" s="130"/>
    </row>
    <row r="1833" spans="1:15" ht="15" x14ac:dyDescent="0.25">
      <c r="A1833" s="5"/>
      <c r="B1833" s="7"/>
      <c r="C1833" s="13"/>
      <c r="D1833" s="19"/>
      <c r="E1833" s="23"/>
      <c r="F1833" s="21"/>
      <c r="G1833" s="23"/>
      <c r="H1833" s="21"/>
      <c r="I1833" s="34"/>
      <c r="J1833" s="11"/>
      <c r="K1833" s="6"/>
      <c r="L1833" s="20"/>
      <c r="M1833" s="7"/>
      <c r="N1833" s="5"/>
      <c r="O1833" s="130"/>
    </row>
    <row r="1834" spans="1:15" ht="15" x14ac:dyDescent="0.25">
      <c r="A1834" s="5"/>
      <c r="B1834" s="7"/>
      <c r="C1834" s="13"/>
      <c r="D1834" s="19"/>
      <c r="E1834" s="23"/>
      <c r="F1834" s="21"/>
      <c r="G1834" s="23"/>
      <c r="H1834" s="21"/>
      <c r="I1834" s="34"/>
      <c r="J1834" s="11"/>
      <c r="K1834" s="6"/>
      <c r="L1834" s="20"/>
      <c r="M1834" s="7"/>
      <c r="N1834" s="5"/>
      <c r="O1834" s="130"/>
    </row>
    <row r="1835" spans="1:15" ht="15" x14ac:dyDescent="0.25">
      <c r="A1835" s="5"/>
      <c r="B1835" s="7"/>
      <c r="C1835" s="13"/>
      <c r="D1835" s="19"/>
      <c r="E1835" s="23"/>
      <c r="F1835" s="21"/>
      <c r="G1835" s="23"/>
      <c r="H1835" s="21"/>
      <c r="I1835" s="34"/>
      <c r="J1835" s="11"/>
      <c r="K1835" s="6"/>
      <c r="L1835" s="20"/>
      <c r="M1835" s="7"/>
      <c r="N1835" s="5"/>
      <c r="O1835" s="130"/>
    </row>
    <row r="1836" spans="1:15" ht="15" x14ac:dyDescent="0.25">
      <c r="A1836" s="5"/>
      <c r="B1836" s="7"/>
      <c r="C1836" s="13"/>
      <c r="D1836" s="19"/>
      <c r="E1836" s="23"/>
      <c r="F1836" s="21"/>
      <c r="G1836" s="23"/>
      <c r="H1836" s="21"/>
      <c r="I1836" s="34"/>
      <c r="J1836" s="11"/>
      <c r="K1836" s="6"/>
      <c r="L1836" s="20"/>
      <c r="M1836" s="7"/>
      <c r="N1836" s="5"/>
      <c r="O1836" s="130"/>
    </row>
    <row r="1837" spans="1:15" ht="15" x14ac:dyDescent="0.25">
      <c r="A1837" s="5"/>
      <c r="B1837" s="7"/>
      <c r="C1837" s="13"/>
      <c r="D1837" s="19"/>
      <c r="E1837" s="23"/>
      <c r="F1837" s="21"/>
      <c r="G1837" s="23"/>
      <c r="H1837" s="21"/>
      <c r="I1837" s="34"/>
      <c r="J1837" s="11"/>
      <c r="K1837" s="6"/>
      <c r="L1837" s="20"/>
      <c r="M1837" s="7"/>
      <c r="N1837" s="5"/>
      <c r="O1837" s="130"/>
    </row>
    <row r="1838" spans="1:15" ht="15" x14ac:dyDescent="0.25">
      <c r="A1838" s="5"/>
      <c r="B1838" s="7"/>
      <c r="C1838" s="13"/>
      <c r="D1838" s="19"/>
      <c r="E1838" s="23"/>
      <c r="F1838" s="21"/>
      <c r="G1838" s="23"/>
      <c r="H1838" s="21"/>
      <c r="I1838" s="34"/>
      <c r="J1838" s="11"/>
      <c r="K1838" s="6"/>
      <c r="L1838" s="20"/>
      <c r="M1838" s="7"/>
      <c r="N1838" s="5"/>
      <c r="O1838" s="130"/>
    </row>
    <row r="1839" spans="1:15" ht="15" x14ac:dyDescent="0.25">
      <c r="A1839" s="5"/>
      <c r="B1839" s="7"/>
      <c r="C1839" s="13"/>
      <c r="D1839" s="19"/>
      <c r="E1839" s="23"/>
      <c r="F1839" s="21"/>
      <c r="G1839" s="23"/>
      <c r="H1839" s="21"/>
      <c r="I1839" s="34"/>
      <c r="J1839" s="11"/>
      <c r="K1839" s="6"/>
      <c r="L1839" s="20"/>
      <c r="M1839" s="7"/>
      <c r="N1839" s="5"/>
      <c r="O1839" s="130"/>
    </row>
    <row r="1840" spans="1:15" ht="15" x14ac:dyDescent="0.25">
      <c r="A1840" s="5"/>
      <c r="B1840" s="7"/>
      <c r="C1840" s="13"/>
      <c r="D1840" s="19"/>
      <c r="E1840" s="23"/>
      <c r="F1840" s="21"/>
      <c r="G1840" s="23"/>
      <c r="H1840" s="21"/>
      <c r="I1840" s="34"/>
      <c r="J1840" s="11"/>
      <c r="K1840" s="6"/>
      <c r="L1840" s="20"/>
      <c r="M1840" s="7"/>
      <c r="N1840" s="5"/>
      <c r="O1840" s="130"/>
    </row>
    <row r="1841" spans="1:15" ht="15" x14ac:dyDescent="0.25">
      <c r="A1841" s="5"/>
      <c r="B1841" s="7"/>
      <c r="C1841" s="13"/>
      <c r="D1841" s="19"/>
      <c r="E1841" s="23"/>
      <c r="F1841" s="21"/>
      <c r="G1841" s="23"/>
      <c r="H1841" s="21"/>
      <c r="I1841" s="34"/>
      <c r="J1841" s="11"/>
      <c r="K1841" s="6"/>
      <c r="L1841" s="20"/>
      <c r="M1841" s="7"/>
      <c r="N1841" s="5"/>
      <c r="O1841" s="130"/>
    </row>
    <row r="1842" spans="1:15" ht="15" x14ac:dyDescent="0.25">
      <c r="A1842" s="5"/>
      <c r="B1842" s="7"/>
      <c r="C1842" s="13"/>
      <c r="D1842" s="19"/>
      <c r="E1842" s="23"/>
      <c r="F1842" s="21"/>
      <c r="G1842" s="23"/>
      <c r="H1842" s="21"/>
      <c r="I1842" s="34"/>
      <c r="J1842" s="11"/>
      <c r="K1842" s="6"/>
      <c r="L1842" s="20"/>
      <c r="M1842" s="7"/>
      <c r="N1842" s="5"/>
      <c r="O1842" s="130"/>
    </row>
    <row r="1843" spans="1:15" ht="15" x14ac:dyDescent="0.25">
      <c r="A1843" s="5"/>
      <c r="B1843" s="7"/>
      <c r="C1843" s="13"/>
      <c r="D1843" s="19"/>
      <c r="E1843" s="23"/>
      <c r="F1843" s="21"/>
      <c r="G1843" s="23"/>
      <c r="H1843" s="21"/>
      <c r="I1843" s="34"/>
      <c r="J1843" s="11"/>
      <c r="K1843" s="6"/>
      <c r="L1843" s="20"/>
      <c r="M1843" s="7"/>
      <c r="N1843" s="5"/>
      <c r="O1843" s="130"/>
    </row>
    <row r="1844" spans="1:15" ht="15" x14ac:dyDescent="0.25">
      <c r="A1844" s="5"/>
      <c r="B1844" s="7"/>
      <c r="C1844" s="13"/>
      <c r="D1844" s="19"/>
      <c r="E1844" s="23"/>
      <c r="F1844" s="21"/>
      <c r="G1844" s="23"/>
      <c r="H1844" s="21"/>
      <c r="I1844" s="34"/>
      <c r="J1844" s="11"/>
      <c r="K1844" s="6"/>
      <c r="L1844" s="20"/>
      <c r="M1844" s="7"/>
      <c r="N1844" s="5"/>
      <c r="O1844" s="130"/>
    </row>
    <row r="1845" spans="1:15" ht="15" x14ac:dyDescent="0.25">
      <c r="A1845" s="5"/>
      <c r="B1845" s="7"/>
      <c r="C1845" s="13"/>
      <c r="D1845" s="19"/>
      <c r="E1845" s="23"/>
      <c r="F1845" s="21"/>
      <c r="G1845" s="23"/>
      <c r="H1845" s="21"/>
      <c r="I1845" s="34"/>
      <c r="J1845" s="11"/>
      <c r="K1845" s="6"/>
      <c r="L1845" s="20"/>
      <c r="M1845" s="7"/>
      <c r="N1845" s="5"/>
      <c r="O1845" s="130"/>
    </row>
    <row r="1846" spans="1:15" ht="15" x14ac:dyDescent="0.25">
      <c r="A1846" s="5"/>
      <c r="B1846" s="7"/>
      <c r="C1846" s="13"/>
      <c r="D1846" s="19"/>
      <c r="E1846" s="23"/>
      <c r="F1846" s="21"/>
      <c r="G1846" s="23"/>
      <c r="H1846" s="21"/>
      <c r="I1846" s="34"/>
      <c r="J1846" s="11"/>
      <c r="K1846" s="6"/>
      <c r="L1846" s="20"/>
      <c r="M1846" s="7"/>
      <c r="N1846" s="5"/>
      <c r="O1846" s="130"/>
    </row>
    <row r="1847" spans="1:15" ht="15" x14ac:dyDescent="0.25">
      <c r="A1847" s="5"/>
      <c r="B1847" s="7"/>
      <c r="C1847" s="13"/>
      <c r="D1847" s="19"/>
      <c r="E1847" s="23"/>
      <c r="F1847" s="21"/>
      <c r="G1847" s="23"/>
      <c r="H1847" s="21"/>
      <c r="I1847" s="34"/>
      <c r="J1847" s="11"/>
      <c r="K1847" s="6"/>
      <c r="L1847" s="20"/>
      <c r="M1847" s="7"/>
      <c r="N1847" s="5"/>
      <c r="O1847" s="130"/>
    </row>
    <row r="1848" spans="1:15" ht="15" x14ac:dyDescent="0.25">
      <c r="A1848" s="5"/>
      <c r="B1848" s="7"/>
      <c r="C1848" s="13"/>
      <c r="D1848" s="19"/>
      <c r="E1848" s="23"/>
      <c r="F1848" s="21"/>
      <c r="G1848" s="23"/>
      <c r="H1848" s="21"/>
      <c r="I1848" s="34"/>
      <c r="J1848" s="11"/>
      <c r="K1848" s="6"/>
      <c r="L1848" s="20"/>
      <c r="M1848" s="7"/>
      <c r="N1848" s="5"/>
      <c r="O1848" s="130"/>
    </row>
    <row r="1849" spans="1:15" ht="15" x14ac:dyDescent="0.25">
      <c r="A1849" s="5"/>
      <c r="B1849" s="7"/>
      <c r="C1849" s="13"/>
      <c r="D1849" s="19"/>
      <c r="E1849" s="23"/>
      <c r="F1849" s="21"/>
      <c r="G1849" s="23"/>
      <c r="H1849" s="21"/>
      <c r="I1849" s="34"/>
      <c r="J1849" s="11"/>
      <c r="K1849" s="6"/>
      <c r="L1849" s="20"/>
      <c r="M1849" s="7"/>
      <c r="N1849" s="5"/>
      <c r="O1849" s="130"/>
    </row>
    <row r="1850" spans="1:15" ht="15" x14ac:dyDescent="0.25">
      <c r="A1850" s="5"/>
      <c r="B1850" s="7"/>
      <c r="C1850" s="13"/>
      <c r="D1850" s="19"/>
      <c r="E1850" s="23"/>
      <c r="F1850" s="21"/>
      <c r="G1850" s="23"/>
      <c r="H1850" s="21"/>
      <c r="I1850" s="34"/>
      <c r="J1850" s="11"/>
      <c r="K1850" s="6"/>
      <c r="L1850" s="20"/>
      <c r="M1850" s="7"/>
      <c r="N1850" s="5"/>
      <c r="O1850" s="130"/>
    </row>
    <row r="1851" spans="1:15" ht="15" x14ac:dyDescent="0.25">
      <c r="A1851" s="5"/>
      <c r="B1851" s="7"/>
      <c r="C1851" s="13"/>
      <c r="D1851" s="19"/>
      <c r="E1851" s="23"/>
      <c r="F1851" s="21"/>
      <c r="G1851" s="23"/>
      <c r="H1851" s="21"/>
      <c r="I1851" s="34"/>
      <c r="J1851" s="11"/>
      <c r="K1851" s="6"/>
      <c r="L1851" s="20"/>
      <c r="M1851" s="7"/>
      <c r="N1851" s="5"/>
      <c r="O1851" s="130"/>
    </row>
    <row r="1852" spans="1:15" ht="15" x14ac:dyDescent="0.25">
      <c r="A1852" s="5"/>
      <c r="B1852" s="7"/>
      <c r="C1852" s="13"/>
      <c r="D1852" s="19"/>
      <c r="E1852" s="23"/>
      <c r="F1852" s="21"/>
      <c r="G1852" s="23"/>
      <c r="H1852" s="21"/>
      <c r="I1852" s="34"/>
      <c r="J1852" s="11"/>
      <c r="K1852" s="6"/>
      <c r="L1852" s="20"/>
      <c r="M1852" s="7"/>
      <c r="N1852" s="5"/>
      <c r="O1852" s="130"/>
    </row>
    <row r="1853" spans="1:15" ht="15" x14ac:dyDescent="0.25">
      <c r="A1853" s="5"/>
      <c r="B1853" s="7"/>
      <c r="C1853" s="13"/>
      <c r="D1853" s="19"/>
      <c r="E1853" s="23"/>
      <c r="F1853" s="21"/>
      <c r="G1853" s="23"/>
      <c r="H1853" s="21"/>
      <c r="I1853" s="34"/>
      <c r="J1853" s="11"/>
      <c r="K1853" s="6"/>
      <c r="L1853" s="20"/>
      <c r="M1853" s="7"/>
      <c r="N1853" s="5"/>
      <c r="O1853" s="130"/>
    </row>
    <row r="1854" spans="1:15" ht="15" x14ac:dyDescent="0.25">
      <c r="A1854" s="5"/>
      <c r="B1854" s="7"/>
      <c r="C1854" s="13"/>
      <c r="D1854" s="19"/>
      <c r="E1854" s="23"/>
      <c r="F1854" s="21"/>
      <c r="G1854" s="23"/>
      <c r="H1854" s="21"/>
      <c r="I1854" s="34"/>
      <c r="J1854" s="11"/>
      <c r="K1854" s="6"/>
      <c r="L1854" s="20"/>
      <c r="M1854" s="7"/>
      <c r="N1854" s="5"/>
      <c r="O1854" s="130"/>
    </row>
    <row r="1855" spans="1:15" ht="15" x14ac:dyDescent="0.25">
      <c r="A1855" s="5"/>
      <c r="B1855" s="7"/>
      <c r="C1855" s="13"/>
      <c r="D1855" s="19"/>
      <c r="E1855" s="23"/>
      <c r="F1855" s="21"/>
      <c r="G1855" s="23"/>
      <c r="H1855" s="21"/>
      <c r="I1855" s="34"/>
      <c r="J1855" s="11"/>
      <c r="K1855" s="6"/>
      <c r="L1855" s="20"/>
      <c r="M1855" s="7"/>
      <c r="N1855" s="5"/>
      <c r="O1855" s="130"/>
    </row>
    <row r="1856" spans="1:15" ht="15" x14ac:dyDescent="0.25">
      <c r="A1856" s="5"/>
      <c r="B1856" s="7"/>
      <c r="C1856" s="13"/>
      <c r="D1856" s="19"/>
      <c r="E1856" s="23"/>
      <c r="F1856" s="21"/>
      <c r="G1856" s="23"/>
      <c r="H1856" s="21"/>
      <c r="I1856" s="34"/>
      <c r="J1856" s="11"/>
      <c r="K1856" s="6"/>
      <c r="L1856" s="20"/>
      <c r="M1856" s="7"/>
      <c r="N1856" s="5"/>
      <c r="O1856" s="130"/>
    </row>
    <row r="1857" spans="1:15" ht="15" x14ac:dyDescent="0.25">
      <c r="A1857" s="5"/>
      <c r="B1857" s="7"/>
      <c r="C1857" s="13"/>
      <c r="D1857" s="19"/>
      <c r="E1857" s="23"/>
      <c r="F1857" s="21"/>
      <c r="G1857" s="23"/>
      <c r="H1857" s="21"/>
      <c r="I1857" s="34"/>
      <c r="J1857" s="11"/>
      <c r="K1857" s="6"/>
      <c r="L1857" s="20"/>
      <c r="M1857" s="7"/>
      <c r="N1857" s="5"/>
      <c r="O1857" s="130"/>
    </row>
    <row r="1858" spans="1:15" ht="15" x14ac:dyDescent="0.25">
      <c r="A1858" s="5"/>
      <c r="B1858" s="7"/>
      <c r="C1858" s="13"/>
      <c r="D1858" s="19"/>
      <c r="E1858" s="23"/>
      <c r="F1858" s="21"/>
      <c r="G1858" s="23"/>
      <c r="H1858" s="21"/>
      <c r="I1858" s="34"/>
      <c r="J1858" s="11"/>
      <c r="K1858" s="6"/>
      <c r="L1858" s="20"/>
      <c r="M1858" s="7"/>
      <c r="N1858" s="5"/>
      <c r="O1858" s="130"/>
    </row>
    <row r="1859" spans="1:15" ht="15" x14ac:dyDescent="0.25">
      <c r="A1859" s="5"/>
      <c r="B1859" s="7"/>
      <c r="C1859" s="13"/>
      <c r="D1859" s="19"/>
      <c r="E1859" s="23"/>
      <c r="F1859" s="21"/>
      <c r="G1859" s="23"/>
      <c r="H1859" s="21"/>
      <c r="I1859" s="34"/>
      <c r="J1859" s="11"/>
      <c r="K1859" s="6"/>
      <c r="L1859" s="20"/>
      <c r="M1859" s="7"/>
      <c r="N1859" s="5"/>
      <c r="O1859" s="130"/>
    </row>
    <row r="1860" spans="1:15" ht="15" x14ac:dyDescent="0.25">
      <c r="A1860" s="5"/>
      <c r="B1860" s="7"/>
      <c r="C1860" s="13"/>
      <c r="D1860" s="19"/>
      <c r="E1860" s="23"/>
      <c r="F1860" s="21"/>
      <c r="G1860" s="23"/>
      <c r="H1860" s="21"/>
      <c r="I1860" s="34"/>
      <c r="J1860" s="11"/>
      <c r="K1860" s="6"/>
      <c r="L1860" s="20"/>
      <c r="M1860" s="7"/>
      <c r="N1860" s="5"/>
      <c r="O1860" s="130"/>
    </row>
    <row r="1861" spans="1:15" ht="15" x14ac:dyDescent="0.25">
      <c r="A1861" s="5"/>
      <c r="B1861" s="7"/>
      <c r="C1861" s="13"/>
      <c r="D1861" s="19"/>
      <c r="E1861" s="23"/>
      <c r="F1861" s="21"/>
      <c r="G1861" s="23"/>
      <c r="H1861" s="21"/>
      <c r="I1861" s="34"/>
      <c r="J1861" s="11"/>
      <c r="K1861" s="6"/>
      <c r="L1861" s="20"/>
      <c r="M1861" s="7"/>
      <c r="N1861" s="5"/>
      <c r="O1861" s="130"/>
    </row>
    <row r="1862" spans="1:15" ht="15" x14ac:dyDescent="0.25">
      <c r="A1862" s="5"/>
      <c r="B1862" s="7"/>
      <c r="C1862" s="13"/>
      <c r="D1862" s="19"/>
      <c r="E1862" s="23"/>
      <c r="F1862" s="21"/>
      <c r="G1862" s="23"/>
      <c r="H1862" s="21"/>
      <c r="I1862" s="34"/>
      <c r="J1862" s="11"/>
      <c r="K1862" s="6"/>
      <c r="L1862" s="20"/>
      <c r="M1862" s="7"/>
      <c r="N1862" s="5"/>
      <c r="O1862" s="130"/>
    </row>
    <row r="1863" spans="1:15" ht="15" x14ac:dyDescent="0.25">
      <c r="A1863" s="5"/>
      <c r="B1863" s="7"/>
      <c r="C1863" s="13"/>
      <c r="D1863" s="19"/>
      <c r="E1863" s="23"/>
      <c r="F1863" s="21"/>
      <c r="G1863" s="23"/>
      <c r="H1863" s="21"/>
      <c r="I1863" s="34"/>
      <c r="J1863" s="11"/>
      <c r="K1863" s="6"/>
      <c r="L1863" s="20"/>
      <c r="M1863" s="7"/>
      <c r="N1863" s="5"/>
      <c r="O1863" s="130"/>
    </row>
    <row r="1864" spans="1:15" ht="15" x14ac:dyDescent="0.25">
      <c r="A1864" s="5"/>
      <c r="B1864" s="7"/>
      <c r="C1864" s="13"/>
      <c r="D1864" s="19"/>
      <c r="E1864" s="23"/>
      <c r="F1864" s="21"/>
      <c r="G1864" s="23"/>
      <c r="H1864" s="21"/>
      <c r="I1864" s="34"/>
      <c r="J1864" s="11"/>
      <c r="K1864" s="6"/>
      <c r="L1864" s="20"/>
      <c r="M1864" s="7"/>
      <c r="N1864" s="5"/>
      <c r="O1864" s="130"/>
    </row>
    <row r="1865" spans="1:15" ht="15" x14ac:dyDescent="0.25">
      <c r="A1865" s="5"/>
      <c r="B1865" s="7"/>
      <c r="C1865" s="13"/>
      <c r="D1865" s="19"/>
      <c r="E1865" s="23"/>
      <c r="F1865" s="21"/>
      <c r="G1865" s="23"/>
      <c r="H1865" s="21"/>
      <c r="I1865" s="34"/>
      <c r="J1865" s="11"/>
      <c r="K1865" s="6"/>
      <c r="L1865" s="20"/>
      <c r="M1865" s="7"/>
      <c r="N1865" s="5"/>
      <c r="O1865" s="130"/>
    </row>
    <row r="1866" spans="1:15" ht="15" x14ac:dyDescent="0.25">
      <c r="A1866" s="5"/>
      <c r="B1866" s="7"/>
      <c r="C1866" s="13"/>
      <c r="D1866" s="19"/>
      <c r="E1866" s="23"/>
      <c r="F1866" s="21"/>
      <c r="G1866" s="23"/>
      <c r="H1866" s="21"/>
      <c r="I1866" s="34"/>
      <c r="J1866" s="11"/>
      <c r="K1866" s="6"/>
      <c r="L1866" s="20"/>
      <c r="M1866" s="7"/>
      <c r="N1866" s="5"/>
      <c r="O1866" s="130"/>
    </row>
    <row r="1867" spans="1:15" ht="15" x14ac:dyDescent="0.25">
      <c r="A1867" s="5"/>
      <c r="B1867" s="7"/>
      <c r="C1867" s="13"/>
      <c r="D1867" s="19"/>
      <c r="E1867" s="23"/>
      <c r="F1867" s="21"/>
      <c r="G1867" s="23"/>
      <c r="H1867" s="21"/>
      <c r="I1867" s="34"/>
      <c r="J1867" s="11"/>
      <c r="K1867" s="6"/>
      <c r="L1867" s="20"/>
      <c r="M1867" s="7"/>
      <c r="N1867" s="5"/>
      <c r="O1867" s="130"/>
    </row>
    <row r="1868" spans="1:15" ht="15" x14ac:dyDescent="0.25">
      <c r="A1868" s="5"/>
      <c r="B1868" s="7"/>
      <c r="C1868" s="13"/>
      <c r="D1868" s="19"/>
      <c r="E1868" s="23"/>
      <c r="F1868" s="21"/>
      <c r="G1868" s="23"/>
      <c r="H1868" s="21"/>
      <c r="I1868" s="34"/>
      <c r="J1868" s="11"/>
      <c r="K1868" s="6"/>
      <c r="L1868" s="20"/>
      <c r="M1868" s="7"/>
      <c r="N1868" s="5"/>
      <c r="O1868" s="130"/>
    </row>
    <row r="1869" spans="1:15" ht="15" x14ac:dyDescent="0.25">
      <c r="A1869" s="5"/>
      <c r="B1869" s="7"/>
      <c r="C1869" s="13"/>
      <c r="D1869" s="19"/>
      <c r="E1869" s="23"/>
      <c r="F1869" s="21"/>
      <c r="G1869" s="23"/>
      <c r="H1869" s="21"/>
      <c r="I1869" s="34"/>
      <c r="J1869" s="11"/>
      <c r="K1869" s="6"/>
      <c r="L1869" s="20"/>
      <c r="M1869" s="7"/>
      <c r="N1869" s="5"/>
      <c r="O1869" s="130"/>
    </row>
    <row r="1870" spans="1:15" ht="15" x14ac:dyDescent="0.25">
      <c r="A1870" s="5"/>
      <c r="B1870" s="7"/>
      <c r="C1870" s="13"/>
      <c r="D1870" s="19"/>
      <c r="E1870" s="23"/>
      <c r="F1870" s="21"/>
      <c r="G1870" s="23"/>
      <c r="H1870" s="21"/>
      <c r="I1870" s="34"/>
      <c r="J1870" s="11"/>
      <c r="K1870" s="6"/>
      <c r="L1870" s="20"/>
      <c r="M1870" s="7"/>
      <c r="N1870" s="5"/>
      <c r="O1870" s="130"/>
    </row>
    <row r="1871" spans="1:15" ht="15" x14ac:dyDescent="0.25">
      <c r="A1871" s="5"/>
      <c r="B1871" s="7"/>
      <c r="C1871" s="13"/>
      <c r="D1871" s="19"/>
      <c r="E1871" s="23"/>
      <c r="F1871" s="21"/>
      <c r="G1871" s="23"/>
      <c r="H1871" s="21"/>
      <c r="I1871" s="34"/>
      <c r="J1871" s="11"/>
      <c r="K1871" s="6"/>
      <c r="L1871" s="20"/>
      <c r="M1871" s="7"/>
      <c r="N1871" s="5"/>
      <c r="O1871" s="130"/>
    </row>
    <row r="1872" spans="1:15" ht="15" x14ac:dyDescent="0.25">
      <c r="A1872" s="5"/>
      <c r="B1872" s="7"/>
      <c r="C1872" s="13"/>
      <c r="D1872" s="19"/>
      <c r="E1872" s="23"/>
      <c r="F1872" s="21"/>
      <c r="G1872" s="23"/>
      <c r="H1872" s="21"/>
      <c r="I1872" s="34"/>
      <c r="J1872" s="11"/>
      <c r="K1872" s="6"/>
      <c r="L1872" s="20"/>
      <c r="M1872" s="7"/>
      <c r="N1872" s="5"/>
      <c r="O1872" s="130"/>
    </row>
    <row r="1873" spans="1:15" ht="15" x14ac:dyDescent="0.25">
      <c r="A1873" s="5"/>
      <c r="B1873" s="7"/>
      <c r="C1873" s="13"/>
      <c r="D1873" s="19"/>
      <c r="E1873" s="23"/>
      <c r="F1873" s="21"/>
      <c r="G1873" s="23"/>
      <c r="H1873" s="21"/>
      <c r="I1873" s="34"/>
      <c r="J1873" s="11"/>
      <c r="K1873" s="6"/>
      <c r="L1873" s="20"/>
      <c r="M1873" s="7"/>
      <c r="N1873" s="5"/>
      <c r="O1873" s="130"/>
    </row>
    <row r="1874" spans="1:15" ht="15" x14ac:dyDescent="0.25">
      <c r="A1874" s="5"/>
      <c r="B1874" s="7"/>
      <c r="C1874" s="13"/>
      <c r="D1874" s="19"/>
      <c r="E1874" s="23"/>
      <c r="F1874" s="21"/>
      <c r="G1874" s="23"/>
      <c r="H1874" s="21"/>
      <c r="I1874" s="34"/>
      <c r="J1874" s="11"/>
      <c r="K1874" s="6"/>
      <c r="L1874" s="20"/>
      <c r="M1874" s="7"/>
      <c r="N1874" s="5"/>
      <c r="O1874" s="130"/>
    </row>
    <row r="1875" spans="1:15" ht="15" x14ac:dyDescent="0.25">
      <c r="A1875" s="5"/>
      <c r="B1875" s="7"/>
      <c r="C1875" s="13"/>
      <c r="D1875" s="19"/>
      <c r="E1875" s="23"/>
      <c r="F1875" s="21"/>
      <c r="G1875" s="23"/>
      <c r="H1875" s="21"/>
      <c r="I1875" s="34"/>
      <c r="J1875" s="11"/>
      <c r="K1875" s="6"/>
      <c r="L1875" s="20"/>
      <c r="M1875" s="7"/>
      <c r="N1875" s="5"/>
      <c r="O1875" s="130"/>
    </row>
    <row r="1876" spans="1:15" ht="15" x14ac:dyDescent="0.25">
      <c r="A1876" s="5"/>
      <c r="B1876" s="7"/>
      <c r="C1876" s="13"/>
      <c r="D1876" s="19"/>
      <c r="E1876" s="23"/>
      <c r="F1876" s="21"/>
      <c r="G1876" s="23"/>
      <c r="H1876" s="21"/>
      <c r="I1876" s="34"/>
      <c r="J1876" s="11"/>
      <c r="K1876" s="6"/>
      <c r="L1876" s="20"/>
      <c r="M1876" s="7"/>
      <c r="N1876" s="5"/>
      <c r="O1876" s="130"/>
    </row>
    <row r="1877" spans="1:15" ht="15" x14ac:dyDescent="0.25">
      <c r="A1877" s="5"/>
      <c r="B1877" s="7"/>
      <c r="C1877" s="13"/>
      <c r="D1877" s="19"/>
      <c r="E1877" s="23"/>
      <c r="F1877" s="21"/>
      <c r="G1877" s="23"/>
      <c r="H1877" s="21"/>
      <c r="I1877" s="34"/>
      <c r="J1877" s="11"/>
      <c r="K1877" s="6"/>
      <c r="L1877" s="20"/>
      <c r="M1877" s="7"/>
      <c r="N1877" s="5"/>
      <c r="O1877" s="130"/>
    </row>
    <row r="1878" spans="1:15" ht="15" x14ac:dyDescent="0.25">
      <c r="A1878" s="5"/>
      <c r="B1878" s="7"/>
      <c r="C1878" s="13"/>
      <c r="D1878" s="19"/>
      <c r="E1878" s="23"/>
      <c r="F1878" s="21"/>
      <c r="G1878" s="23"/>
      <c r="H1878" s="21"/>
      <c r="I1878" s="34"/>
      <c r="J1878" s="11"/>
      <c r="K1878" s="6"/>
      <c r="L1878" s="20"/>
      <c r="M1878" s="7"/>
      <c r="N1878" s="5"/>
      <c r="O1878" s="130"/>
    </row>
    <row r="1879" spans="1:15" ht="15" x14ac:dyDescent="0.25">
      <c r="A1879" s="5"/>
      <c r="B1879" s="7"/>
      <c r="C1879" s="13"/>
      <c r="D1879" s="19"/>
      <c r="E1879" s="23"/>
      <c r="F1879" s="21"/>
      <c r="G1879" s="23"/>
      <c r="H1879" s="21"/>
      <c r="I1879" s="34"/>
      <c r="J1879" s="11"/>
      <c r="K1879" s="6"/>
      <c r="L1879" s="20"/>
      <c r="M1879" s="7"/>
      <c r="N1879" s="5"/>
      <c r="O1879" s="130"/>
    </row>
    <row r="1880" spans="1:15" ht="15" x14ac:dyDescent="0.25">
      <c r="A1880" s="5"/>
      <c r="B1880" s="7"/>
      <c r="C1880" s="13"/>
      <c r="D1880" s="19"/>
      <c r="E1880" s="23"/>
      <c r="F1880" s="21"/>
      <c r="G1880" s="23"/>
      <c r="H1880" s="21"/>
      <c r="I1880" s="34"/>
      <c r="J1880" s="11"/>
      <c r="K1880" s="6"/>
      <c r="L1880" s="20"/>
      <c r="M1880" s="7"/>
      <c r="N1880" s="5"/>
      <c r="O1880" s="130"/>
    </row>
    <row r="1881" spans="1:15" ht="15" x14ac:dyDescent="0.25">
      <c r="A1881" s="5"/>
      <c r="B1881" s="7"/>
      <c r="C1881" s="13"/>
      <c r="D1881" s="19"/>
      <c r="E1881" s="23"/>
      <c r="F1881" s="21"/>
      <c r="G1881" s="23"/>
      <c r="H1881" s="21"/>
      <c r="I1881" s="34"/>
      <c r="J1881" s="11"/>
      <c r="K1881" s="6"/>
      <c r="L1881" s="20"/>
      <c r="M1881" s="7"/>
      <c r="N1881" s="5"/>
      <c r="O1881" s="130"/>
    </row>
    <row r="1882" spans="1:15" ht="15" x14ac:dyDescent="0.25">
      <c r="A1882" s="5"/>
      <c r="B1882" s="7"/>
      <c r="C1882" s="13"/>
      <c r="D1882" s="19"/>
      <c r="E1882" s="23"/>
      <c r="F1882" s="21"/>
      <c r="G1882" s="23"/>
      <c r="H1882" s="21"/>
      <c r="I1882" s="34"/>
      <c r="J1882" s="11"/>
      <c r="K1882" s="6"/>
      <c r="L1882" s="20"/>
      <c r="M1882" s="7"/>
      <c r="N1882" s="5"/>
      <c r="O1882" s="130"/>
    </row>
    <row r="1883" spans="1:15" ht="15" x14ac:dyDescent="0.25">
      <c r="A1883" s="5"/>
      <c r="B1883" s="7"/>
      <c r="C1883" s="13"/>
      <c r="D1883" s="19"/>
      <c r="E1883" s="23"/>
      <c r="F1883" s="21"/>
      <c r="G1883" s="23"/>
      <c r="H1883" s="21"/>
      <c r="I1883" s="34"/>
      <c r="J1883" s="11"/>
      <c r="K1883" s="6"/>
      <c r="L1883" s="20"/>
      <c r="M1883" s="7"/>
      <c r="N1883" s="5"/>
      <c r="O1883" s="130"/>
    </row>
    <row r="1884" spans="1:15" ht="15" x14ac:dyDescent="0.25">
      <c r="A1884" s="5"/>
      <c r="B1884" s="7"/>
      <c r="C1884" s="13"/>
      <c r="D1884" s="19"/>
      <c r="E1884" s="23"/>
      <c r="F1884" s="21"/>
      <c r="G1884" s="23"/>
      <c r="H1884" s="21"/>
      <c r="I1884" s="34"/>
      <c r="J1884" s="11"/>
      <c r="K1884" s="6"/>
      <c r="L1884" s="20"/>
      <c r="M1884" s="7"/>
      <c r="N1884" s="5"/>
      <c r="O1884" s="130"/>
    </row>
    <row r="1885" spans="1:15" ht="15" x14ac:dyDescent="0.25">
      <c r="A1885" s="5"/>
      <c r="B1885" s="7"/>
      <c r="C1885" s="13"/>
      <c r="D1885" s="19"/>
      <c r="E1885" s="23"/>
      <c r="F1885" s="21"/>
      <c r="G1885" s="23"/>
      <c r="H1885" s="21"/>
      <c r="I1885" s="34"/>
      <c r="J1885" s="11"/>
      <c r="K1885" s="6"/>
      <c r="L1885" s="20"/>
      <c r="M1885" s="7"/>
      <c r="N1885" s="5"/>
      <c r="O1885" s="130"/>
    </row>
    <row r="1886" spans="1:15" ht="15" x14ac:dyDescent="0.25">
      <c r="A1886" s="5"/>
      <c r="B1886" s="7"/>
      <c r="C1886" s="13"/>
      <c r="D1886" s="19"/>
      <c r="E1886" s="23"/>
      <c r="F1886" s="21"/>
      <c r="G1886" s="23"/>
      <c r="H1886" s="21"/>
      <c r="I1886" s="34"/>
      <c r="J1886" s="11"/>
      <c r="K1886" s="6"/>
      <c r="L1886" s="20"/>
      <c r="M1886" s="7"/>
      <c r="N1886" s="5"/>
      <c r="O1886" s="130"/>
    </row>
    <row r="1887" spans="1:15" ht="15" x14ac:dyDescent="0.25">
      <c r="A1887" s="5"/>
      <c r="B1887" s="7"/>
      <c r="C1887" s="13"/>
      <c r="D1887" s="19"/>
      <c r="E1887" s="23"/>
      <c r="F1887" s="21"/>
      <c r="G1887" s="23"/>
      <c r="H1887" s="21"/>
      <c r="I1887" s="34"/>
      <c r="J1887" s="11"/>
      <c r="K1887" s="6"/>
      <c r="L1887" s="20"/>
      <c r="M1887" s="7"/>
      <c r="N1887" s="5"/>
      <c r="O1887" s="130"/>
    </row>
    <row r="1888" spans="1:15" ht="15" x14ac:dyDescent="0.25">
      <c r="A1888" s="5"/>
      <c r="B1888" s="7"/>
      <c r="C1888" s="13"/>
      <c r="D1888" s="19"/>
      <c r="E1888" s="23"/>
      <c r="F1888" s="21"/>
      <c r="G1888" s="23"/>
      <c r="H1888" s="21"/>
      <c r="I1888" s="34"/>
      <c r="J1888" s="11"/>
      <c r="K1888" s="6"/>
      <c r="L1888" s="20"/>
      <c r="M1888" s="7"/>
      <c r="N1888" s="5"/>
      <c r="O1888" s="130"/>
    </row>
    <row r="1889" spans="1:15" ht="15" x14ac:dyDescent="0.25">
      <c r="A1889" s="5"/>
      <c r="B1889" s="7"/>
      <c r="C1889" s="13"/>
      <c r="D1889" s="19"/>
      <c r="E1889" s="23"/>
      <c r="F1889" s="21"/>
      <c r="G1889" s="23"/>
      <c r="H1889" s="21"/>
      <c r="I1889" s="34"/>
      <c r="J1889" s="11"/>
      <c r="K1889" s="6"/>
      <c r="L1889" s="20"/>
      <c r="M1889" s="7"/>
      <c r="N1889" s="5"/>
      <c r="O1889" s="130"/>
    </row>
    <row r="1890" spans="1:15" ht="15" x14ac:dyDescent="0.25">
      <c r="A1890" s="5"/>
      <c r="B1890" s="7"/>
      <c r="C1890" s="13"/>
      <c r="D1890" s="19"/>
      <c r="E1890" s="23"/>
      <c r="F1890" s="21"/>
      <c r="G1890" s="23"/>
      <c r="H1890" s="21"/>
      <c r="I1890" s="34"/>
      <c r="J1890" s="11"/>
      <c r="K1890" s="6"/>
      <c r="L1890" s="20"/>
      <c r="M1890" s="7"/>
      <c r="N1890" s="5"/>
      <c r="O1890" s="130"/>
    </row>
    <row r="1891" spans="1:15" ht="15" x14ac:dyDescent="0.25">
      <c r="A1891" s="5"/>
      <c r="B1891" s="7"/>
      <c r="C1891" s="13"/>
      <c r="D1891" s="19"/>
      <c r="E1891" s="23"/>
      <c r="F1891" s="21"/>
      <c r="G1891" s="23"/>
      <c r="H1891" s="21"/>
      <c r="I1891" s="34"/>
      <c r="J1891" s="11"/>
      <c r="K1891" s="6"/>
      <c r="L1891" s="20"/>
      <c r="M1891" s="7"/>
      <c r="N1891" s="5"/>
      <c r="O1891" s="130"/>
    </row>
    <row r="1892" spans="1:15" ht="15" x14ac:dyDescent="0.25">
      <c r="A1892" s="5"/>
      <c r="B1892" s="7"/>
      <c r="C1892" s="13"/>
      <c r="D1892" s="19"/>
      <c r="E1892" s="23"/>
      <c r="F1892" s="21"/>
      <c r="G1892" s="23"/>
      <c r="H1892" s="21"/>
      <c r="I1892" s="34"/>
      <c r="J1892" s="11"/>
      <c r="K1892" s="6"/>
      <c r="L1892" s="20"/>
      <c r="M1892" s="7"/>
      <c r="N1892" s="5"/>
      <c r="O1892" s="130"/>
    </row>
    <row r="1893" spans="1:15" ht="15" x14ac:dyDescent="0.25">
      <c r="A1893" s="5"/>
      <c r="B1893" s="7"/>
      <c r="C1893" s="13"/>
      <c r="D1893" s="19"/>
      <c r="E1893" s="23"/>
      <c r="F1893" s="21"/>
      <c r="G1893" s="23"/>
      <c r="H1893" s="21"/>
      <c r="I1893" s="34"/>
      <c r="J1893" s="11"/>
      <c r="K1893" s="6"/>
      <c r="L1893" s="20"/>
      <c r="M1893" s="7"/>
      <c r="N1893" s="5"/>
      <c r="O1893" s="130"/>
    </row>
    <row r="1894" spans="1:15" ht="15" x14ac:dyDescent="0.25">
      <c r="A1894" s="5"/>
      <c r="B1894" s="7"/>
      <c r="C1894" s="13"/>
      <c r="D1894" s="19"/>
      <c r="E1894" s="23"/>
      <c r="F1894" s="21"/>
      <c r="G1894" s="23"/>
      <c r="H1894" s="21"/>
      <c r="I1894" s="34"/>
      <c r="J1894" s="11"/>
      <c r="K1894" s="6"/>
      <c r="L1894" s="20"/>
      <c r="M1894" s="7"/>
      <c r="N1894" s="5"/>
      <c r="O1894" s="130"/>
    </row>
    <row r="1895" spans="1:15" ht="15" x14ac:dyDescent="0.25">
      <c r="A1895" s="5"/>
      <c r="B1895" s="7"/>
      <c r="C1895" s="13"/>
      <c r="D1895" s="19"/>
      <c r="E1895" s="23"/>
      <c r="F1895" s="21"/>
      <c r="G1895" s="23"/>
      <c r="H1895" s="21"/>
      <c r="I1895" s="34"/>
      <c r="J1895" s="11"/>
      <c r="K1895" s="6"/>
      <c r="L1895" s="20"/>
      <c r="M1895" s="7"/>
      <c r="N1895" s="5"/>
      <c r="O1895" s="130"/>
    </row>
    <row r="1896" spans="1:15" ht="15" x14ac:dyDescent="0.25">
      <c r="A1896" s="5"/>
      <c r="B1896" s="7"/>
      <c r="C1896" s="13"/>
      <c r="D1896" s="19"/>
      <c r="E1896" s="23"/>
      <c r="F1896" s="21"/>
      <c r="G1896" s="23"/>
      <c r="H1896" s="21"/>
      <c r="I1896" s="34"/>
      <c r="J1896" s="11"/>
      <c r="K1896" s="6"/>
      <c r="L1896" s="20"/>
      <c r="M1896" s="7"/>
      <c r="N1896" s="5"/>
      <c r="O1896" s="130"/>
    </row>
    <row r="1897" spans="1:15" ht="15" x14ac:dyDescent="0.25">
      <c r="A1897" s="5"/>
      <c r="B1897" s="7"/>
      <c r="C1897" s="13"/>
      <c r="D1897" s="19"/>
      <c r="E1897" s="23"/>
      <c r="F1897" s="21"/>
      <c r="G1897" s="23"/>
      <c r="H1897" s="21"/>
      <c r="I1897" s="34"/>
      <c r="J1897" s="11"/>
      <c r="K1897" s="6"/>
      <c r="L1897" s="20"/>
      <c r="M1897" s="7"/>
      <c r="N1897" s="5"/>
      <c r="O1897" s="130"/>
    </row>
    <row r="1898" spans="1:15" ht="15" x14ac:dyDescent="0.25">
      <c r="A1898" s="5"/>
      <c r="B1898" s="7"/>
      <c r="C1898" s="13"/>
      <c r="D1898" s="19"/>
      <c r="E1898" s="23"/>
      <c r="F1898" s="21"/>
      <c r="G1898" s="23"/>
      <c r="H1898" s="21"/>
      <c r="I1898" s="34"/>
      <c r="J1898" s="11"/>
      <c r="K1898" s="6"/>
      <c r="L1898" s="20"/>
      <c r="M1898" s="7"/>
      <c r="N1898" s="5"/>
      <c r="O1898" s="130"/>
    </row>
    <row r="1899" spans="1:15" ht="15" x14ac:dyDescent="0.25">
      <c r="A1899" s="5"/>
      <c r="B1899" s="7"/>
      <c r="C1899" s="13"/>
      <c r="D1899" s="19"/>
      <c r="E1899" s="23"/>
      <c r="F1899" s="21"/>
      <c r="G1899" s="23"/>
      <c r="H1899" s="21"/>
      <c r="I1899" s="34"/>
      <c r="J1899" s="11"/>
      <c r="K1899" s="6"/>
      <c r="L1899" s="20"/>
      <c r="M1899" s="7"/>
      <c r="N1899" s="5"/>
      <c r="O1899" s="130"/>
    </row>
    <row r="1900" spans="1:15" ht="15" x14ac:dyDescent="0.25">
      <c r="A1900" s="5"/>
      <c r="B1900" s="7"/>
      <c r="C1900" s="13"/>
      <c r="D1900" s="19"/>
      <c r="E1900" s="23"/>
      <c r="F1900" s="21"/>
      <c r="G1900" s="23"/>
      <c r="H1900" s="21"/>
      <c r="I1900" s="34"/>
      <c r="J1900" s="11"/>
      <c r="K1900" s="6"/>
      <c r="L1900" s="20"/>
      <c r="M1900" s="7"/>
      <c r="N1900" s="5"/>
      <c r="O1900" s="130"/>
    </row>
    <row r="1901" spans="1:15" ht="15" x14ac:dyDescent="0.25">
      <c r="A1901" s="5"/>
      <c r="B1901" s="7"/>
      <c r="C1901" s="13"/>
      <c r="D1901" s="19"/>
      <c r="E1901" s="23"/>
      <c r="F1901" s="21"/>
      <c r="G1901" s="23"/>
      <c r="H1901" s="21"/>
      <c r="I1901" s="34"/>
      <c r="J1901" s="11"/>
      <c r="K1901" s="6"/>
      <c r="L1901" s="20"/>
      <c r="M1901" s="7"/>
      <c r="N1901" s="5"/>
      <c r="O1901" s="130"/>
    </row>
    <row r="1902" spans="1:15" ht="15" x14ac:dyDescent="0.25">
      <c r="A1902" s="5"/>
      <c r="B1902" s="7"/>
      <c r="C1902" s="13"/>
      <c r="D1902" s="19"/>
      <c r="E1902" s="23"/>
      <c r="F1902" s="21"/>
      <c r="G1902" s="23"/>
      <c r="H1902" s="21"/>
      <c r="I1902" s="34"/>
      <c r="J1902" s="11"/>
      <c r="K1902" s="6"/>
      <c r="L1902" s="20"/>
      <c r="M1902" s="7"/>
      <c r="N1902" s="5"/>
      <c r="O1902" s="130"/>
    </row>
    <row r="1903" spans="1:15" ht="15" x14ac:dyDescent="0.25">
      <c r="A1903" s="5"/>
      <c r="B1903" s="7"/>
      <c r="C1903" s="13"/>
      <c r="D1903" s="19"/>
      <c r="E1903" s="23"/>
      <c r="F1903" s="21"/>
      <c r="G1903" s="23"/>
      <c r="H1903" s="21"/>
      <c r="I1903" s="34"/>
      <c r="J1903" s="11"/>
      <c r="K1903" s="6"/>
      <c r="L1903" s="20"/>
      <c r="M1903" s="7"/>
      <c r="N1903" s="5"/>
      <c r="O1903" s="130"/>
    </row>
    <row r="1904" spans="1:15" ht="15" x14ac:dyDescent="0.25">
      <c r="A1904" s="5"/>
      <c r="B1904" s="7"/>
      <c r="C1904" s="13"/>
      <c r="D1904" s="19"/>
      <c r="E1904" s="23"/>
      <c r="F1904" s="21"/>
      <c r="G1904" s="23"/>
      <c r="H1904" s="21"/>
      <c r="I1904" s="34"/>
      <c r="J1904" s="11"/>
      <c r="K1904" s="6"/>
      <c r="L1904" s="20"/>
      <c r="M1904" s="7"/>
      <c r="N1904" s="5"/>
      <c r="O1904" s="130"/>
    </row>
    <row r="1905" spans="1:15" ht="15" x14ac:dyDescent="0.25">
      <c r="A1905" s="5"/>
      <c r="B1905" s="7"/>
      <c r="C1905" s="13"/>
      <c r="D1905" s="19"/>
      <c r="E1905" s="23"/>
      <c r="F1905" s="21"/>
      <c r="G1905" s="23"/>
      <c r="H1905" s="21"/>
      <c r="I1905" s="34"/>
      <c r="J1905" s="11"/>
      <c r="K1905" s="6"/>
      <c r="L1905" s="20"/>
      <c r="M1905" s="7"/>
      <c r="N1905" s="5"/>
      <c r="O1905" s="130"/>
    </row>
    <row r="1906" spans="1:15" ht="15" x14ac:dyDescent="0.25">
      <c r="A1906" s="5"/>
      <c r="B1906" s="7"/>
      <c r="C1906" s="13"/>
      <c r="D1906" s="19"/>
      <c r="E1906" s="23"/>
      <c r="F1906" s="21"/>
      <c r="G1906" s="23"/>
      <c r="H1906" s="21"/>
      <c r="I1906" s="34"/>
      <c r="J1906" s="11"/>
      <c r="K1906" s="6"/>
      <c r="L1906" s="20"/>
      <c r="M1906" s="7"/>
      <c r="N1906" s="5"/>
      <c r="O1906" s="130"/>
    </row>
    <row r="1907" spans="1:15" ht="15" x14ac:dyDescent="0.25">
      <c r="A1907" s="5"/>
      <c r="B1907" s="7"/>
      <c r="C1907" s="13"/>
      <c r="D1907" s="19"/>
      <c r="E1907" s="23"/>
      <c r="F1907" s="21"/>
      <c r="G1907" s="23"/>
      <c r="H1907" s="21"/>
      <c r="I1907" s="34"/>
      <c r="J1907" s="11"/>
      <c r="K1907" s="6"/>
      <c r="L1907" s="20"/>
      <c r="M1907" s="7"/>
      <c r="N1907" s="5"/>
      <c r="O1907" s="130"/>
    </row>
    <row r="1908" spans="1:15" ht="15" x14ac:dyDescent="0.25">
      <c r="A1908" s="5"/>
      <c r="B1908" s="7"/>
      <c r="C1908" s="13"/>
      <c r="D1908" s="19"/>
      <c r="E1908" s="23"/>
      <c r="F1908" s="21"/>
      <c r="G1908" s="23"/>
      <c r="H1908" s="21"/>
      <c r="I1908" s="34"/>
      <c r="J1908" s="11"/>
      <c r="K1908" s="6"/>
      <c r="L1908" s="20"/>
      <c r="M1908" s="7"/>
      <c r="N1908" s="5"/>
      <c r="O1908" s="130"/>
    </row>
    <row r="1909" spans="1:15" ht="15" x14ac:dyDescent="0.25">
      <c r="A1909" s="5"/>
      <c r="B1909" s="7"/>
      <c r="C1909" s="13"/>
      <c r="D1909" s="19"/>
      <c r="E1909" s="23"/>
      <c r="F1909" s="21"/>
      <c r="G1909" s="23"/>
      <c r="H1909" s="21"/>
      <c r="I1909" s="34"/>
      <c r="J1909" s="11"/>
      <c r="K1909" s="6"/>
      <c r="L1909" s="20"/>
      <c r="M1909" s="7"/>
      <c r="N1909" s="5"/>
      <c r="O1909" s="130"/>
    </row>
    <row r="1910" spans="1:15" ht="15" x14ac:dyDescent="0.25">
      <c r="A1910" s="5"/>
      <c r="B1910" s="7"/>
      <c r="C1910" s="13"/>
      <c r="D1910" s="19"/>
      <c r="E1910" s="23"/>
      <c r="F1910" s="21"/>
      <c r="G1910" s="23"/>
      <c r="H1910" s="21"/>
      <c r="I1910" s="34"/>
      <c r="J1910" s="11"/>
      <c r="K1910" s="6"/>
      <c r="L1910" s="20"/>
      <c r="M1910" s="7"/>
      <c r="N1910" s="5"/>
      <c r="O1910" s="130"/>
    </row>
    <row r="1911" spans="1:15" ht="15" x14ac:dyDescent="0.25">
      <c r="A1911" s="5"/>
      <c r="B1911" s="7"/>
      <c r="C1911" s="13"/>
      <c r="D1911" s="19"/>
      <c r="E1911" s="23"/>
      <c r="F1911" s="21"/>
      <c r="G1911" s="23"/>
      <c r="H1911" s="21"/>
      <c r="I1911" s="34"/>
      <c r="J1911" s="11"/>
      <c r="K1911" s="6"/>
      <c r="L1911" s="20"/>
      <c r="M1911" s="7"/>
      <c r="N1911" s="5"/>
      <c r="O1911" s="130"/>
    </row>
    <row r="1912" spans="1:15" ht="15" x14ac:dyDescent="0.25">
      <c r="A1912" s="5"/>
      <c r="B1912" s="7"/>
      <c r="C1912" s="13"/>
      <c r="D1912" s="19"/>
      <c r="E1912" s="23"/>
      <c r="F1912" s="21"/>
      <c r="G1912" s="23"/>
      <c r="H1912" s="21"/>
      <c r="I1912" s="34"/>
      <c r="J1912" s="11"/>
      <c r="K1912" s="6"/>
      <c r="L1912" s="20"/>
      <c r="M1912" s="7"/>
      <c r="N1912" s="5"/>
      <c r="O1912" s="130"/>
    </row>
    <row r="1913" spans="1:15" ht="15" x14ac:dyDescent="0.25">
      <c r="A1913" s="5"/>
      <c r="B1913" s="7"/>
      <c r="C1913" s="13"/>
      <c r="D1913" s="19"/>
      <c r="E1913" s="23"/>
      <c r="F1913" s="21"/>
      <c r="G1913" s="23"/>
      <c r="H1913" s="21"/>
      <c r="I1913" s="34"/>
      <c r="J1913" s="11"/>
      <c r="K1913" s="6"/>
      <c r="L1913" s="20"/>
      <c r="M1913" s="7"/>
      <c r="N1913" s="5"/>
      <c r="O1913" s="130"/>
    </row>
    <row r="1914" spans="1:15" ht="15" x14ac:dyDescent="0.25">
      <c r="A1914" s="5"/>
      <c r="B1914" s="7"/>
      <c r="C1914" s="13"/>
      <c r="D1914" s="19"/>
      <c r="E1914" s="23"/>
      <c r="F1914" s="21"/>
      <c r="G1914" s="23"/>
      <c r="H1914" s="21"/>
      <c r="I1914" s="34"/>
      <c r="J1914" s="11"/>
      <c r="K1914" s="6"/>
      <c r="L1914" s="20"/>
      <c r="M1914" s="7"/>
      <c r="N1914" s="5"/>
      <c r="O1914" s="130"/>
    </row>
    <row r="1915" spans="1:15" ht="15" x14ac:dyDescent="0.25">
      <c r="A1915" s="5"/>
      <c r="B1915" s="7"/>
      <c r="C1915" s="13"/>
      <c r="D1915" s="19"/>
      <c r="E1915" s="23"/>
      <c r="F1915" s="21"/>
      <c r="G1915" s="23"/>
      <c r="H1915" s="21"/>
      <c r="I1915" s="34"/>
      <c r="J1915" s="11"/>
      <c r="K1915" s="6"/>
      <c r="L1915" s="20"/>
      <c r="M1915" s="7"/>
      <c r="N1915" s="5"/>
      <c r="O1915" s="130"/>
    </row>
    <row r="1916" spans="1:15" ht="15" x14ac:dyDescent="0.25">
      <c r="A1916" s="5"/>
      <c r="B1916" s="7"/>
      <c r="C1916" s="13"/>
      <c r="D1916" s="19"/>
      <c r="E1916" s="23"/>
      <c r="F1916" s="21"/>
      <c r="G1916" s="23"/>
      <c r="H1916" s="21"/>
      <c r="I1916" s="34"/>
      <c r="J1916" s="11"/>
      <c r="K1916" s="6"/>
      <c r="L1916" s="20"/>
      <c r="M1916" s="7"/>
      <c r="N1916" s="5"/>
      <c r="O1916" s="130"/>
    </row>
    <row r="1917" spans="1:15" ht="15" x14ac:dyDescent="0.25">
      <c r="A1917" s="5"/>
      <c r="B1917" s="7"/>
      <c r="C1917" s="13"/>
      <c r="D1917" s="19"/>
      <c r="E1917" s="23"/>
      <c r="F1917" s="21"/>
      <c r="G1917" s="23"/>
      <c r="H1917" s="21"/>
      <c r="I1917" s="34"/>
      <c r="J1917" s="11"/>
      <c r="K1917" s="6"/>
      <c r="L1917" s="20"/>
      <c r="M1917" s="7"/>
      <c r="N1917" s="5"/>
      <c r="O1917" s="130"/>
    </row>
    <row r="1918" spans="1:15" ht="15" x14ac:dyDescent="0.25">
      <c r="A1918" s="5"/>
      <c r="B1918" s="7"/>
      <c r="C1918" s="13"/>
      <c r="D1918" s="19"/>
      <c r="E1918" s="23"/>
      <c r="F1918" s="21"/>
      <c r="G1918" s="23"/>
      <c r="H1918" s="21"/>
      <c r="I1918" s="34"/>
      <c r="J1918" s="11"/>
      <c r="K1918" s="6"/>
      <c r="L1918" s="20"/>
      <c r="M1918" s="7"/>
      <c r="N1918" s="5"/>
      <c r="O1918" s="130"/>
    </row>
    <row r="1919" spans="1:15" ht="15" x14ac:dyDescent="0.25">
      <c r="A1919" s="5"/>
      <c r="B1919" s="7"/>
      <c r="C1919" s="13"/>
      <c r="D1919" s="19"/>
      <c r="E1919" s="23"/>
      <c r="F1919" s="21"/>
      <c r="G1919" s="23"/>
      <c r="H1919" s="21"/>
      <c r="I1919" s="34"/>
      <c r="J1919" s="11"/>
      <c r="K1919" s="6"/>
      <c r="L1919" s="20"/>
      <c r="M1919" s="7"/>
      <c r="N1919" s="5"/>
      <c r="O1919" s="130"/>
    </row>
    <row r="1920" spans="1:15" ht="15" x14ac:dyDescent="0.25">
      <c r="A1920" s="5"/>
      <c r="B1920" s="7"/>
      <c r="C1920" s="13"/>
      <c r="D1920" s="19"/>
      <c r="E1920" s="23"/>
      <c r="F1920" s="21"/>
      <c r="G1920" s="23"/>
      <c r="H1920" s="21"/>
      <c r="I1920" s="34"/>
      <c r="J1920" s="11"/>
      <c r="K1920" s="6"/>
      <c r="L1920" s="20"/>
      <c r="M1920" s="7"/>
      <c r="N1920" s="5"/>
      <c r="O1920" s="130"/>
    </row>
    <row r="1921" spans="1:15" ht="15" x14ac:dyDescent="0.25">
      <c r="A1921" s="5"/>
      <c r="B1921" s="7"/>
      <c r="C1921" s="13"/>
      <c r="D1921" s="19"/>
      <c r="E1921" s="23"/>
      <c r="F1921" s="21"/>
      <c r="G1921" s="23"/>
      <c r="H1921" s="21"/>
      <c r="I1921" s="34"/>
      <c r="J1921" s="11"/>
      <c r="K1921" s="6"/>
      <c r="L1921" s="20"/>
      <c r="M1921" s="7"/>
      <c r="N1921" s="5"/>
      <c r="O1921" s="130"/>
    </row>
    <row r="1922" spans="1:15" ht="15" x14ac:dyDescent="0.25">
      <c r="A1922" s="5"/>
      <c r="B1922" s="7"/>
      <c r="C1922" s="13"/>
      <c r="D1922" s="19"/>
      <c r="E1922" s="23"/>
      <c r="F1922" s="21"/>
      <c r="G1922" s="23"/>
      <c r="H1922" s="21"/>
      <c r="I1922" s="34"/>
      <c r="J1922" s="11"/>
      <c r="K1922" s="6"/>
      <c r="L1922" s="20"/>
      <c r="M1922" s="7"/>
      <c r="N1922" s="5"/>
      <c r="O1922" s="130"/>
    </row>
    <row r="1923" spans="1:15" ht="15" x14ac:dyDescent="0.25">
      <c r="A1923" s="5"/>
      <c r="B1923" s="7"/>
      <c r="C1923" s="13"/>
      <c r="D1923" s="19"/>
      <c r="E1923" s="23"/>
      <c r="F1923" s="21"/>
      <c r="G1923" s="23"/>
      <c r="H1923" s="21"/>
      <c r="I1923" s="34"/>
      <c r="J1923" s="11"/>
      <c r="K1923" s="6"/>
      <c r="L1923" s="20"/>
      <c r="M1923" s="7"/>
      <c r="N1923" s="5"/>
      <c r="O1923" s="130"/>
    </row>
    <row r="1924" spans="1:15" ht="15" x14ac:dyDescent="0.25">
      <c r="A1924" s="5"/>
      <c r="B1924" s="7"/>
      <c r="C1924" s="13"/>
      <c r="D1924" s="19"/>
      <c r="E1924" s="23"/>
      <c r="F1924" s="21"/>
      <c r="G1924" s="23"/>
      <c r="H1924" s="21"/>
      <c r="I1924" s="34"/>
      <c r="J1924" s="11"/>
      <c r="K1924" s="6"/>
      <c r="L1924" s="20"/>
      <c r="M1924" s="7"/>
      <c r="N1924" s="5"/>
      <c r="O1924" s="130"/>
    </row>
    <row r="1925" spans="1:15" ht="15" x14ac:dyDescent="0.25">
      <c r="A1925" s="5"/>
      <c r="B1925" s="7"/>
      <c r="C1925" s="13"/>
      <c r="D1925" s="19"/>
      <c r="E1925" s="23"/>
      <c r="F1925" s="21"/>
      <c r="G1925" s="23"/>
      <c r="H1925" s="21"/>
      <c r="I1925" s="34"/>
      <c r="J1925" s="11"/>
      <c r="K1925" s="6"/>
      <c r="L1925" s="20"/>
      <c r="M1925" s="7"/>
      <c r="N1925" s="5"/>
      <c r="O1925" s="130"/>
    </row>
    <row r="1926" spans="1:15" ht="15" x14ac:dyDescent="0.25">
      <c r="A1926" s="5"/>
      <c r="B1926" s="7"/>
      <c r="C1926" s="13"/>
      <c r="D1926" s="19"/>
      <c r="E1926" s="23"/>
      <c r="F1926" s="21"/>
      <c r="G1926" s="23"/>
      <c r="H1926" s="21"/>
      <c r="I1926" s="34"/>
      <c r="J1926" s="11"/>
      <c r="K1926" s="6"/>
      <c r="L1926" s="20"/>
      <c r="M1926" s="7"/>
      <c r="N1926" s="5"/>
      <c r="O1926" s="130"/>
    </row>
    <row r="1927" spans="1:15" ht="15" x14ac:dyDescent="0.25">
      <c r="A1927" s="5"/>
      <c r="B1927" s="7"/>
      <c r="C1927" s="13"/>
      <c r="D1927" s="19"/>
      <c r="E1927" s="23"/>
      <c r="F1927" s="21"/>
      <c r="G1927" s="23"/>
      <c r="H1927" s="21"/>
      <c r="I1927" s="34"/>
      <c r="J1927" s="11"/>
      <c r="K1927" s="6"/>
      <c r="L1927" s="20"/>
      <c r="M1927" s="7"/>
      <c r="N1927" s="5"/>
      <c r="O1927" s="130"/>
    </row>
    <row r="1928" spans="1:15" ht="15" x14ac:dyDescent="0.25">
      <c r="A1928" s="5"/>
      <c r="B1928" s="7"/>
      <c r="C1928" s="13"/>
      <c r="D1928" s="19"/>
      <c r="E1928" s="23"/>
      <c r="F1928" s="21"/>
      <c r="G1928" s="23"/>
      <c r="H1928" s="21"/>
      <c r="I1928" s="34"/>
      <c r="J1928" s="11"/>
      <c r="K1928" s="6"/>
      <c r="L1928" s="20"/>
      <c r="M1928" s="7"/>
      <c r="N1928" s="5"/>
      <c r="O1928" s="130"/>
    </row>
    <row r="1929" spans="1:15" ht="15" x14ac:dyDescent="0.25">
      <c r="A1929" s="5"/>
      <c r="B1929" s="7"/>
      <c r="C1929" s="13"/>
      <c r="D1929" s="19"/>
      <c r="E1929" s="23"/>
      <c r="F1929" s="21"/>
      <c r="G1929" s="23"/>
      <c r="H1929" s="21"/>
      <c r="I1929" s="34"/>
      <c r="J1929" s="11"/>
      <c r="K1929" s="6"/>
      <c r="L1929" s="20"/>
      <c r="M1929" s="7"/>
      <c r="N1929" s="5"/>
      <c r="O1929" s="130"/>
    </row>
    <row r="1930" spans="1:15" ht="15" x14ac:dyDescent="0.25">
      <c r="A1930" s="5"/>
      <c r="B1930" s="7"/>
      <c r="C1930" s="13"/>
      <c r="D1930" s="19"/>
      <c r="E1930" s="23"/>
      <c r="F1930" s="21"/>
      <c r="G1930" s="23"/>
      <c r="H1930" s="21"/>
      <c r="I1930" s="34"/>
      <c r="J1930" s="11"/>
      <c r="K1930" s="6"/>
      <c r="L1930" s="20"/>
      <c r="M1930" s="7"/>
      <c r="N1930" s="5"/>
      <c r="O1930" s="130"/>
    </row>
    <row r="1931" spans="1:15" ht="15" x14ac:dyDescent="0.25">
      <c r="A1931" s="5"/>
      <c r="B1931" s="7"/>
      <c r="C1931" s="13"/>
      <c r="D1931" s="19"/>
      <c r="E1931" s="23"/>
      <c r="F1931" s="21"/>
      <c r="G1931" s="23"/>
      <c r="H1931" s="21"/>
      <c r="I1931" s="34"/>
      <c r="J1931" s="11"/>
      <c r="K1931" s="6"/>
      <c r="L1931" s="20"/>
      <c r="M1931" s="7"/>
      <c r="N1931" s="5"/>
      <c r="O1931" s="130"/>
    </row>
    <row r="1932" spans="1:15" ht="15" x14ac:dyDescent="0.25">
      <c r="A1932" s="5"/>
      <c r="B1932" s="7"/>
      <c r="C1932" s="13"/>
      <c r="D1932" s="19"/>
      <c r="E1932" s="23"/>
      <c r="F1932" s="21"/>
      <c r="G1932" s="23"/>
      <c r="H1932" s="21"/>
      <c r="I1932" s="34"/>
      <c r="J1932" s="11"/>
      <c r="K1932" s="6"/>
      <c r="L1932" s="20"/>
      <c r="M1932" s="7"/>
      <c r="N1932" s="5"/>
      <c r="O1932" s="130"/>
    </row>
    <row r="1933" spans="1:15" ht="15" x14ac:dyDescent="0.25">
      <c r="A1933" s="5"/>
      <c r="B1933" s="7"/>
      <c r="C1933" s="13"/>
      <c r="D1933" s="19"/>
      <c r="E1933" s="23"/>
      <c r="F1933" s="21"/>
      <c r="G1933" s="23"/>
      <c r="H1933" s="21"/>
      <c r="I1933" s="34"/>
      <c r="J1933" s="11"/>
      <c r="K1933" s="6"/>
      <c r="L1933" s="20"/>
      <c r="M1933" s="7"/>
      <c r="N1933" s="5"/>
      <c r="O1933" s="130"/>
    </row>
    <row r="1934" spans="1:15" ht="15" x14ac:dyDescent="0.25">
      <c r="A1934" s="5"/>
      <c r="B1934" s="7"/>
      <c r="C1934" s="13"/>
      <c r="D1934" s="19"/>
      <c r="E1934" s="23"/>
      <c r="F1934" s="21"/>
      <c r="G1934" s="23"/>
      <c r="H1934" s="21"/>
      <c r="I1934" s="34"/>
      <c r="J1934" s="11"/>
      <c r="K1934" s="6"/>
      <c r="L1934" s="20"/>
      <c r="M1934" s="7"/>
      <c r="N1934" s="5"/>
      <c r="O1934" s="130"/>
    </row>
    <row r="1935" spans="1:15" ht="15" x14ac:dyDescent="0.25">
      <c r="A1935" s="5"/>
      <c r="B1935" s="7"/>
      <c r="C1935" s="13"/>
      <c r="D1935" s="19"/>
      <c r="E1935" s="23"/>
      <c r="F1935" s="21"/>
      <c r="G1935" s="23"/>
      <c r="H1935" s="21"/>
      <c r="I1935" s="34"/>
      <c r="J1935" s="11"/>
      <c r="K1935" s="6"/>
      <c r="L1935" s="20"/>
      <c r="M1935" s="7"/>
      <c r="N1935" s="5"/>
      <c r="O1935" s="130"/>
    </row>
    <row r="1936" spans="1:15" ht="15" x14ac:dyDescent="0.25">
      <c r="A1936" s="5"/>
      <c r="B1936" s="7"/>
      <c r="C1936" s="13"/>
      <c r="D1936" s="19"/>
      <c r="E1936" s="23"/>
      <c r="F1936" s="21"/>
      <c r="G1936" s="23"/>
      <c r="H1936" s="21"/>
      <c r="I1936" s="34"/>
      <c r="J1936" s="11"/>
      <c r="K1936" s="6"/>
      <c r="L1936" s="20"/>
      <c r="M1936" s="7"/>
      <c r="N1936" s="5"/>
      <c r="O1936" s="130"/>
    </row>
    <row r="1937" spans="1:15" ht="15" x14ac:dyDescent="0.25">
      <c r="A1937" s="5"/>
      <c r="B1937" s="7"/>
      <c r="C1937" s="13"/>
      <c r="D1937" s="19"/>
      <c r="E1937" s="23"/>
      <c r="F1937" s="21"/>
      <c r="G1937" s="23"/>
      <c r="H1937" s="21"/>
      <c r="I1937" s="34"/>
      <c r="J1937" s="11"/>
      <c r="K1937" s="6"/>
      <c r="L1937" s="20"/>
      <c r="M1937" s="7"/>
      <c r="N1937" s="5"/>
      <c r="O1937" s="130"/>
    </row>
    <row r="1938" spans="1:15" ht="15" x14ac:dyDescent="0.25">
      <c r="A1938" s="5"/>
      <c r="B1938" s="7"/>
      <c r="C1938" s="13"/>
      <c r="D1938" s="19"/>
      <c r="E1938" s="23"/>
      <c r="F1938" s="21"/>
      <c r="G1938" s="23"/>
      <c r="H1938" s="21"/>
      <c r="I1938" s="34"/>
      <c r="J1938" s="11"/>
      <c r="K1938" s="6"/>
      <c r="L1938" s="20"/>
      <c r="M1938" s="7"/>
      <c r="N1938" s="5"/>
      <c r="O1938" s="130"/>
    </row>
    <row r="1939" spans="1:15" ht="15" x14ac:dyDescent="0.25">
      <c r="A1939" s="5"/>
      <c r="B1939" s="7"/>
      <c r="C1939" s="13"/>
      <c r="D1939" s="19"/>
      <c r="E1939" s="23"/>
      <c r="F1939" s="21"/>
      <c r="G1939" s="23"/>
      <c r="H1939" s="21"/>
      <c r="I1939" s="34"/>
      <c r="J1939" s="11"/>
      <c r="K1939" s="6"/>
      <c r="L1939" s="20"/>
      <c r="M1939" s="7"/>
      <c r="N1939" s="5"/>
      <c r="O1939" s="130"/>
    </row>
    <row r="1940" spans="1:15" ht="15" x14ac:dyDescent="0.25">
      <c r="A1940" s="5"/>
      <c r="B1940" s="7"/>
      <c r="C1940" s="13"/>
      <c r="D1940" s="19"/>
      <c r="E1940" s="23"/>
      <c r="F1940" s="21"/>
      <c r="G1940" s="23"/>
      <c r="H1940" s="21"/>
      <c r="I1940" s="34"/>
      <c r="J1940" s="11"/>
      <c r="K1940" s="6"/>
      <c r="L1940" s="20"/>
      <c r="M1940" s="7"/>
      <c r="N1940" s="5"/>
      <c r="O1940" s="130"/>
    </row>
    <row r="1941" spans="1:15" ht="15" x14ac:dyDescent="0.25">
      <c r="A1941" s="5"/>
      <c r="B1941" s="7"/>
      <c r="C1941" s="13"/>
      <c r="D1941" s="19"/>
      <c r="E1941" s="23"/>
      <c r="F1941" s="21"/>
      <c r="G1941" s="23"/>
      <c r="H1941" s="21"/>
      <c r="I1941" s="34"/>
      <c r="J1941" s="11"/>
      <c r="K1941" s="6"/>
      <c r="L1941" s="20"/>
      <c r="M1941" s="7"/>
      <c r="N1941" s="5"/>
      <c r="O1941" s="130"/>
    </row>
    <row r="1942" spans="1:15" ht="15" x14ac:dyDescent="0.25">
      <c r="A1942" s="5"/>
      <c r="B1942" s="7"/>
      <c r="C1942" s="13"/>
      <c r="D1942" s="19"/>
      <c r="E1942" s="23"/>
      <c r="F1942" s="21"/>
      <c r="G1942" s="23"/>
      <c r="H1942" s="21"/>
      <c r="I1942" s="34"/>
      <c r="J1942" s="11"/>
      <c r="K1942" s="6"/>
      <c r="L1942" s="20"/>
      <c r="M1942" s="7"/>
      <c r="N1942" s="5"/>
      <c r="O1942" s="130"/>
    </row>
    <row r="1943" spans="1:15" ht="15" x14ac:dyDescent="0.25">
      <c r="A1943" s="5"/>
      <c r="B1943" s="7"/>
      <c r="C1943" s="13"/>
      <c r="D1943" s="19"/>
      <c r="E1943" s="23"/>
      <c r="F1943" s="21"/>
      <c r="G1943" s="23"/>
      <c r="H1943" s="21"/>
      <c r="I1943" s="34"/>
      <c r="J1943" s="11"/>
      <c r="K1943" s="6"/>
      <c r="L1943" s="20"/>
      <c r="M1943" s="7"/>
      <c r="N1943" s="5"/>
      <c r="O1943" s="130"/>
    </row>
    <row r="1944" spans="1:15" ht="15" x14ac:dyDescent="0.25">
      <c r="A1944" s="5"/>
      <c r="B1944" s="7"/>
      <c r="C1944" s="13"/>
      <c r="D1944" s="19"/>
      <c r="E1944" s="23"/>
      <c r="F1944" s="21"/>
      <c r="G1944" s="23"/>
      <c r="H1944" s="21"/>
      <c r="I1944" s="34"/>
      <c r="J1944" s="11"/>
      <c r="K1944" s="6"/>
      <c r="L1944" s="20"/>
      <c r="M1944" s="7"/>
      <c r="N1944" s="5"/>
      <c r="O1944" s="130"/>
    </row>
    <row r="1945" spans="1:15" ht="15" x14ac:dyDescent="0.25">
      <c r="A1945" s="5"/>
      <c r="B1945" s="7"/>
      <c r="C1945" s="13"/>
      <c r="D1945" s="19"/>
      <c r="E1945" s="23"/>
      <c r="F1945" s="21"/>
      <c r="G1945" s="23"/>
      <c r="H1945" s="21"/>
      <c r="I1945" s="34"/>
      <c r="J1945" s="11"/>
      <c r="K1945" s="6"/>
      <c r="L1945" s="20"/>
      <c r="M1945" s="7"/>
      <c r="N1945" s="5"/>
      <c r="O1945" s="130"/>
    </row>
    <row r="1946" spans="1:15" ht="15" x14ac:dyDescent="0.25">
      <c r="A1946" s="5"/>
      <c r="B1946" s="7"/>
      <c r="C1946" s="13"/>
      <c r="D1946" s="19"/>
      <c r="E1946" s="23"/>
      <c r="F1946" s="21"/>
      <c r="G1946" s="23"/>
      <c r="H1946" s="21"/>
      <c r="I1946" s="34"/>
      <c r="J1946" s="11"/>
      <c r="K1946" s="6"/>
      <c r="L1946" s="20"/>
      <c r="M1946" s="7"/>
      <c r="N1946" s="5"/>
      <c r="O1946" s="130"/>
    </row>
    <row r="1947" spans="1:15" ht="15" x14ac:dyDescent="0.25">
      <c r="A1947" s="5"/>
      <c r="B1947" s="7"/>
      <c r="C1947" s="13"/>
      <c r="D1947" s="19"/>
      <c r="E1947" s="23"/>
      <c r="F1947" s="21"/>
      <c r="G1947" s="23"/>
      <c r="H1947" s="21"/>
      <c r="I1947" s="34"/>
      <c r="J1947" s="11"/>
      <c r="K1947" s="6"/>
      <c r="L1947" s="20"/>
      <c r="M1947" s="7"/>
      <c r="N1947" s="5"/>
      <c r="O1947" s="130"/>
    </row>
    <row r="1948" spans="1:15" ht="15" x14ac:dyDescent="0.25">
      <c r="A1948" s="5"/>
      <c r="B1948" s="7"/>
      <c r="C1948" s="13"/>
      <c r="D1948" s="19"/>
      <c r="E1948" s="23"/>
      <c r="F1948" s="21"/>
      <c r="G1948" s="23"/>
      <c r="H1948" s="21"/>
      <c r="I1948" s="34"/>
      <c r="J1948" s="11"/>
      <c r="K1948" s="6"/>
      <c r="L1948" s="20"/>
      <c r="M1948" s="7"/>
      <c r="N1948" s="5"/>
      <c r="O1948" s="130"/>
    </row>
    <row r="1949" spans="1:15" ht="15" x14ac:dyDescent="0.25">
      <c r="A1949" s="5"/>
      <c r="B1949" s="7"/>
      <c r="C1949" s="13"/>
      <c r="D1949" s="19"/>
      <c r="E1949" s="23"/>
      <c r="F1949" s="21"/>
      <c r="G1949" s="23"/>
      <c r="H1949" s="21"/>
      <c r="I1949" s="34"/>
      <c r="J1949" s="11"/>
      <c r="K1949" s="6"/>
      <c r="L1949" s="20"/>
      <c r="M1949" s="7"/>
      <c r="N1949" s="5"/>
      <c r="O1949" s="130"/>
    </row>
    <row r="1950" spans="1:15" ht="15" x14ac:dyDescent="0.25">
      <c r="A1950" s="5"/>
      <c r="B1950" s="7"/>
      <c r="C1950" s="13"/>
      <c r="D1950" s="19"/>
      <c r="E1950" s="23"/>
      <c r="F1950" s="21"/>
      <c r="G1950" s="23"/>
      <c r="H1950" s="21"/>
      <c r="I1950" s="34"/>
      <c r="J1950" s="11"/>
      <c r="K1950" s="6"/>
      <c r="L1950" s="20"/>
      <c r="M1950" s="7"/>
      <c r="N1950" s="5"/>
      <c r="O1950" s="130"/>
    </row>
    <row r="1951" spans="1:15" ht="15" x14ac:dyDescent="0.25">
      <c r="A1951" s="5"/>
      <c r="B1951" s="7"/>
      <c r="C1951" s="13"/>
      <c r="D1951" s="19"/>
      <c r="E1951" s="23"/>
      <c r="F1951" s="21"/>
      <c r="G1951" s="23"/>
      <c r="H1951" s="21"/>
      <c r="I1951" s="34"/>
      <c r="J1951" s="11"/>
      <c r="K1951" s="6"/>
      <c r="L1951" s="20"/>
      <c r="M1951" s="7"/>
      <c r="N1951" s="5"/>
      <c r="O1951" s="130"/>
    </row>
    <row r="1952" spans="1:15" ht="15" x14ac:dyDescent="0.25">
      <c r="A1952" s="5"/>
      <c r="B1952" s="7"/>
      <c r="C1952" s="13"/>
      <c r="D1952" s="19"/>
      <c r="E1952" s="23"/>
      <c r="F1952" s="21"/>
      <c r="G1952" s="23"/>
      <c r="H1952" s="21"/>
      <c r="I1952" s="34"/>
      <c r="J1952" s="11"/>
      <c r="K1952" s="6"/>
      <c r="L1952" s="20"/>
      <c r="M1952" s="7"/>
      <c r="N1952" s="5"/>
      <c r="O1952" s="130"/>
    </row>
    <row r="1953" spans="1:15" ht="15" x14ac:dyDescent="0.25">
      <c r="A1953" s="5"/>
      <c r="B1953" s="7"/>
      <c r="C1953" s="13"/>
      <c r="D1953" s="19"/>
      <c r="E1953" s="23"/>
      <c r="F1953" s="21"/>
      <c r="G1953" s="23"/>
      <c r="H1953" s="21"/>
      <c r="I1953" s="34"/>
      <c r="J1953" s="11"/>
      <c r="K1953" s="6"/>
      <c r="L1953" s="20"/>
      <c r="M1953" s="7"/>
      <c r="N1953" s="5"/>
      <c r="O1953" s="130"/>
    </row>
    <row r="1954" spans="1:15" ht="15" x14ac:dyDescent="0.25">
      <c r="A1954" s="5"/>
      <c r="B1954" s="7"/>
      <c r="C1954" s="13"/>
      <c r="D1954" s="19"/>
      <c r="E1954" s="23"/>
      <c r="F1954" s="21"/>
      <c r="G1954" s="23"/>
      <c r="H1954" s="21"/>
      <c r="I1954" s="34"/>
      <c r="J1954" s="11"/>
      <c r="K1954" s="6"/>
      <c r="L1954" s="20"/>
      <c r="M1954" s="7"/>
      <c r="N1954" s="5"/>
      <c r="O1954" s="130"/>
    </row>
    <row r="1955" spans="1:15" ht="15" x14ac:dyDescent="0.25">
      <c r="A1955" s="5"/>
      <c r="B1955" s="7"/>
      <c r="C1955" s="13"/>
      <c r="D1955" s="19"/>
      <c r="E1955" s="23"/>
      <c r="F1955" s="21"/>
      <c r="G1955" s="23"/>
      <c r="H1955" s="21"/>
      <c r="I1955" s="34"/>
      <c r="J1955" s="11"/>
      <c r="K1955" s="6"/>
      <c r="L1955" s="20"/>
      <c r="M1955" s="7"/>
      <c r="N1955" s="5"/>
      <c r="O1955" s="130"/>
    </row>
    <row r="1956" spans="1:15" ht="15" x14ac:dyDescent="0.25">
      <c r="A1956" s="5"/>
      <c r="B1956" s="7"/>
      <c r="C1956" s="13"/>
      <c r="D1956" s="19"/>
      <c r="E1956" s="23"/>
      <c r="F1956" s="21"/>
      <c r="G1956" s="23"/>
      <c r="H1956" s="21"/>
      <c r="I1956" s="34"/>
      <c r="J1956" s="11"/>
      <c r="K1956" s="6"/>
      <c r="L1956" s="20"/>
      <c r="M1956" s="7"/>
      <c r="N1956" s="5"/>
      <c r="O1956" s="130"/>
    </row>
    <row r="1957" spans="1:15" ht="15" x14ac:dyDescent="0.25">
      <c r="A1957" s="5"/>
      <c r="B1957" s="7"/>
      <c r="C1957" s="13"/>
      <c r="D1957" s="19"/>
      <c r="E1957" s="23"/>
      <c r="F1957" s="21"/>
      <c r="G1957" s="23"/>
      <c r="H1957" s="21"/>
      <c r="I1957" s="34"/>
      <c r="J1957" s="11"/>
      <c r="K1957" s="6"/>
      <c r="L1957" s="20"/>
      <c r="M1957" s="7"/>
      <c r="N1957" s="5"/>
      <c r="O1957" s="130"/>
    </row>
    <row r="1958" spans="1:15" ht="15" x14ac:dyDescent="0.25">
      <c r="A1958" s="5"/>
      <c r="B1958" s="7"/>
      <c r="C1958" s="13"/>
      <c r="D1958" s="19"/>
      <c r="E1958" s="23"/>
      <c r="F1958" s="21"/>
      <c r="G1958" s="23"/>
      <c r="H1958" s="21"/>
      <c r="I1958" s="34"/>
      <c r="J1958" s="11"/>
      <c r="K1958" s="6"/>
      <c r="L1958" s="20"/>
      <c r="M1958" s="7"/>
      <c r="N1958" s="5"/>
      <c r="O1958" s="130"/>
    </row>
    <row r="1959" spans="1:15" ht="15" x14ac:dyDescent="0.25">
      <c r="A1959" s="5"/>
      <c r="B1959" s="7"/>
      <c r="C1959" s="13"/>
      <c r="D1959" s="19"/>
      <c r="E1959" s="23"/>
      <c r="F1959" s="21"/>
      <c r="G1959" s="23"/>
      <c r="H1959" s="21"/>
      <c r="I1959" s="34"/>
      <c r="J1959" s="11"/>
      <c r="K1959" s="6"/>
      <c r="L1959" s="20"/>
      <c r="M1959" s="7"/>
      <c r="N1959" s="5"/>
      <c r="O1959" s="130"/>
    </row>
    <row r="1960" spans="1:15" ht="15" x14ac:dyDescent="0.25">
      <c r="A1960" s="5"/>
      <c r="B1960" s="7"/>
      <c r="C1960" s="13"/>
      <c r="D1960" s="19"/>
      <c r="E1960" s="23"/>
      <c r="F1960" s="21"/>
      <c r="G1960" s="23"/>
      <c r="H1960" s="21"/>
      <c r="I1960" s="34"/>
      <c r="J1960" s="11"/>
      <c r="K1960" s="6"/>
      <c r="L1960" s="20"/>
      <c r="M1960" s="7"/>
      <c r="N1960" s="5"/>
      <c r="O1960" s="130"/>
    </row>
    <row r="1961" spans="1:15" ht="15" x14ac:dyDescent="0.25">
      <c r="A1961" s="5"/>
      <c r="B1961" s="7"/>
      <c r="C1961" s="13"/>
      <c r="D1961" s="19"/>
      <c r="E1961" s="23"/>
      <c r="F1961" s="21"/>
      <c r="G1961" s="23"/>
      <c r="H1961" s="21"/>
      <c r="I1961" s="34"/>
      <c r="J1961" s="11"/>
      <c r="K1961" s="6"/>
      <c r="L1961" s="20"/>
      <c r="M1961" s="7"/>
      <c r="N1961" s="5"/>
      <c r="O1961" s="130"/>
    </row>
    <row r="1962" spans="1:15" ht="15" x14ac:dyDescent="0.25">
      <c r="A1962" s="5"/>
      <c r="B1962" s="7"/>
      <c r="C1962" s="13"/>
      <c r="D1962" s="19"/>
      <c r="E1962" s="23"/>
      <c r="F1962" s="21"/>
      <c r="G1962" s="23"/>
      <c r="H1962" s="21"/>
      <c r="I1962" s="34"/>
      <c r="J1962" s="11"/>
      <c r="K1962" s="6"/>
      <c r="L1962" s="20"/>
      <c r="M1962" s="7"/>
      <c r="N1962" s="5"/>
      <c r="O1962" s="130"/>
    </row>
    <row r="1963" spans="1:15" ht="15" x14ac:dyDescent="0.25">
      <c r="A1963" s="5"/>
      <c r="B1963" s="7"/>
      <c r="C1963" s="13"/>
      <c r="D1963" s="19"/>
      <c r="E1963" s="23"/>
      <c r="F1963" s="21"/>
      <c r="G1963" s="23"/>
      <c r="H1963" s="21"/>
      <c r="I1963" s="34"/>
      <c r="J1963" s="11"/>
      <c r="K1963" s="6"/>
      <c r="L1963" s="20"/>
      <c r="M1963" s="7"/>
      <c r="N1963" s="5"/>
      <c r="O1963" s="130"/>
    </row>
    <row r="1964" spans="1:15" ht="15" x14ac:dyDescent="0.25">
      <c r="A1964" s="5"/>
      <c r="B1964" s="7"/>
      <c r="C1964" s="13"/>
      <c r="D1964" s="19"/>
      <c r="E1964" s="23"/>
      <c r="F1964" s="21"/>
      <c r="G1964" s="23"/>
      <c r="H1964" s="21"/>
      <c r="I1964" s="34"/>
      <c r="J1964" s="11"/>
      <c r="K1964" s="6"/>
      <c r="L1964" s="20"/>
      <c r="M1964" s="7"/>
      <c r="N1964" s="5"/>
      <c r="O1964" s="130"/>
    </row>
    <row r="1965" spans="1:15" ht="15" x14ac:dyDescent="0.25">
      <c r="A1965" s="5"/>
      <c r="B1965" s="7"/>
      <c r="C1965" s="13"/>
      <c r="D1965" s="19"/>
      <c r="E1965" s="23"/>
      <c r="F1965" s="21"/>
      <c r="G1965" s="23"/>
      <c r="H1965" s="21"/>
      <c r="I1965" s="34"/>
      <c r="J1965" s="11"/>
      <c r="K1965" s="6"/>
      <c r="L1965" s="20"/>
      <c r="M1965" s="7"/>
      <c r="N1965" s="5"/>
      <c r="O1965" s="130"/>
    </row>
    <row r="1966" spans="1:15" ht="15" x14ac:dyDescent="0.25">
      <c r="A1966" s="5"/>
      <c r="B1966" s="7"/>
      <c r="C1966" s="13"/>
      <c r="D1966" s="19"/>
      <c r="E1966" s="23"/>
      <c r="F1966" s="21"/>
      <c r="G1966" s="23"/>
      <c r="H1966" s="21"/>
      <c r="I1966" s="34"/>
      <c r="J1966" s="11"/>
      <c r="K1966" s="6"/>
      <c r="L1966" s="20"/>
      <c r="M1966" s="7"/>
      <c r="N1966" s="5"/>
      <c r="O1966" s="130"/>
    </row>
    <row r="1967" spans="1:15" ht="15" x14ac:dyDescent="0.25">
      <c r="A1967" s="5"/>
      <c r="B1967" s="7"/>
      <c r="C1967" s="13"/>
      <c r="D1967" s="19"/>
      <c r="E1967" s="23"/>
      <c r="F1967" s="21"/>
      <c r="G1967" s="23"/>
      <c r="H1967" s="21"/>
      <c r="I1967" s="34"/>
      <c r="J1967" s="11"/>
      <c r="K1967" s="6"/>
      <c r="L1967" s="20"/>
      <c r="M1967" s="7"/>
      <c r="N1967" s="5"/>
      <c r="O1967" s="130"/>
    </row>
    <row r="1968" spans="1:15" ht="15" x14ac:dyDescent="0.25">
      <c r="A1968" s="5"/>
      <c r="B1968" s="7"/>
      <c r="C1968" s="13"/>
      <c r="D1968" s="19"/>
      <c r="E1968" s="23"/>
      <c r="F1968" s="21"/>
      <c r="G1968" s="23"/>
      <c r="H1968" s="21"/>
      <c r="I1968" s="34"/>
      <c r="J1968" s="11"/>
      <c r="K1968" s="6"/>
      <c r="L1968" s="20"/>
      <c r="M1968" s="7"/>
      <c r="N1968" s="5"/>
      <c r="O1968" s="130"/>
    </row>
    <row r="1969" spans="1:15" ht="15" x14ac:dyDescent="0.25">
      <c r="A1969" s="5"/>
      <c r="B1969" s="7"/>
      <c r="C1969" s="13"/>
      <c r="D1969" s="19"/>
      <c r="E1969" s="23"/>
      <c r="F1969" s="21"/>
      <c r="G1969" s="23"/>
      <c r="H1969" s="21"/>
      <c r="I1969" s="34"/>
      <c r="J1969" s="11"/>
      <c r="K1969" s="6"/>
      <c r="L1969" s="20"/>
      <c r="M1969" s="7"/>
      <c r="N1969" s="5"/>
      <c r="O1969" s="130"/>
    </row>
    <row r="1970" spans="1:15" ht="15" x14ac:dyDescent="0.25">
      <c r="A1970" s="5"/>
      <c r="B1970" s="7"/>
      <c r="C1970" s="13"/>
      <c r="D1970" s="19"/>
      <c r="E1970" s="23"/>
      <c r="F1970" s="21"/>
      <c r="G1970" s="23"/>
      <c r="H1970" s="21"/>
      <c r="I1970" s="34"/>
      <c r="J1970" s="11"/>
      <c r="K1970" s="6"/>
      <c r="L1970" s="20"/>
      <c r="M1970" s="7"/>
      <c r="N1970" s="5"/>
      <c r="O1970" s="130"/>
    </row>
    <row r="1971" spans="1:15" ht="15" x14ac:dyDescent="0.25">
      <c r="A1971" s="5"/>
      <c r="B1971" s="7"/>
      <c r="C1971" s="13"/>
      <c r="D1971" s="19"/>
      <c r="E1971" s="23"/>
      <c r="F1971" s="21"/>
      <c r="G1971" s="23"/>
      <c r="H1971" s="21"/>
      <c r="I1971" s="34"/>
      <c r="J1971" s="11"/>
      <c r="K1971" s="6"/>
      <c r="L1971" s="20"/>
      <c r="M1971" s="7"/>
      <c r="N1971" s="5"/>
      <c r="O1971" s="130"/>
    </row>
    <row r="1972" spans="1:15" ht="15" x14ac:dyDescent="0.25">
      <c r="A1972" s="5"/>
      <c r="B1972" s="7"/>
      <c r="C1972" s="13"/>
      <c r="D1972" s="19"/>
      <c r="E1972" s="23"/>
      <c r="F1972" s="21"/>
      <c r="G1972" s="23"/>
      <c r="H1972" s="21"/>
      <c r="I1972" s="34"/>
      <c r="J1972" s="11"/>
      <c r="K1972" s="6"/>
      <c r="L1972" s="20"/>
      <c r="M1972" s="7"/>
      <c r="N1972" s="5"/>
      <c r="O1972" s="130"/>
    </row>
    <row r="1973" spans="1:15" ht="15" x14ac:dyDescent="0.25">
      <c r="A1973" s="5"/>
      <c r="B1973" s="7"/>
      <c r="C1973" s="13"/>
      <c r="D1973" s="19"/>
      <c r="E1973" s="23"/>
      <c r="F1973" s="21"/>
      <c r="G1973" s="23"/>
      <c r="H1973" s="21"/>
      <c r="I1973" s="34"/>
      <c r="J1973" s="11"/>
      <c r="K1973" s="6"/>
      <c r="L1973" s="20"/>
      <c r="M1973" s="7"/>
      <c r="N1973" s="5"/>
      <c r="O1973" s="130"/>
    </row>
    <row r="1974" spans="1:15" ht="15" x14ac:dyDescent="0.25">
      <c r="A1974" s="5"/>
      <c r="B1974" s="7"/>
      <c r="C1974" s="13"/>
      <c r="D1974" s="19"/>
      <c r="E1974" s="23"/>
      <c r="F1974" s="21"/>
      <c r="G1974" s="23"/>
      <c r="H1974" s="21"/>
      <c r="I1974" s="34"/>
      <c r="J1974" s="11"/>
      <c r="K1974" s="6"/>
      <c r="L1974" s="20"/>
      <c r="M1974" s="7"/>
      <c r="N1974" s="5"/>
      <c r="O1974" s="130"/>
    </row>
    <row r="1975" spans="1:15" ht="15" x14ac:dyDescent="0.25">
      <c r="A1975" s="5"/>
      <c r="B1975" s="7"/>
      <c r="C1975" s="13"/>
      <c r="D1975" s="19"/>
      <c r="E1975" s="23"/>
      <c r="F1975" s="21"/>
      <c r="G1975" s="23"/>
      <c r="H1975" s="21"/>
      <c r="I1975" s="34"/>
      <c r="J1975" s="11"/>
      <c r="K1975" s="6"/>
      <c r="L1975" s="20"/>
      <c r="M1975" s="7"/>
      <c r="N1975" s="5"/>
      <c r="O1975" s="130"/>
    </row>
    <row r="1976" spans="1:15" ht="15" x14ac:dyDescent="0.25">
      <c r="A1976" s="5"/>
      <c r="B1976" s="7"/>
      <c r="C1976" s="13"/>
      <c r="D1976" s="19"/>
      <c r="E1976" s="23"/>
      <c r="F1976" s="21"/>
      <c r="G1976" s="23"/>
      <c r="H1976" s="21"/>
      <c r="I1976" s="34"/>
      <c r="J1976" s="11"/>
      <c r="K1976" s="6"/>
      <c r="L1976" s="20"/>
      <c r="M1976" s="7"/>
      <c r="N1976" s="5"/>
      <c r="O1976" s="130"/>
    </row>
    <row r="1977" spans="1:15" ht="15" x14ac:dyDescent="0.25">
      <c r="A1977" s="5"/>
      <c r="B1977" s="7"/>
      <c r="C1977" s="13"/>
      <c r="D1977" s="19"/>
      <c r="E1977" s="23"/>
      <c r="F1977" s="21"/>
      <c r="G1977" s="23"/>
      <c r="H1977" s="21"/>
      <c r="I1977" s="34"/>
      <c r="J1977" s="11"/>
      <c r="K1977" s="6"/>
      <c r="L1977" s="20"/>
      <c r="M1977" s="7"/>
      <c r="N1977" s="5"/>
      <c r="O1977" s="130"/>
    </row>
    <row r="1978" spans="1:15" ht="15" x14ac:dyDescent="0.25">
      <c r="A1978" s="5"/>
      <c r="B1978" s="7"/>
      <c r="C1978" s="13"/>
      <c r="D1978" s="19"/>
      <c r="E1978" s="23"/>
      <c r="F1978" s="21"/>
      <c r="G1978" s="23"/>
      <c r="H1978" s="21"/>
      <c r="I1978" s="34"/>
      <c r="J1978" s="11"/>
      <c r="K1978" s="6"/>
      <c r="L1978" s="20"/>
      <c r="M1978" s="7"/>
      <c r="N1978" s="5"/>
      <c r="O1978" s="130"/>
    </row>
    <row r="1979" spans="1:15" ht="15" x14ac:dyDescent="0.25">
      <c r="A1979" s="5"/>
      <c r="B1979" s="7"/>
      <c r="C1979" s="13"/>
      <c r="D1979" s="19"/>
      <c r="E1979" s="23"/>
      <c r="F1979" s="21"/>
      <c r="G1979" s="23"/>
      <c r="H1979" s="21"/>
      <c r="I1979" s="34"/>
      <c r="J1979" s="11"/>
      <c r="K1979" s="6"/>
      <c r="L1979" s="20"/>
      <c r="M1979" s="7"/>
      <c r="N1979" s="5"/>
      <c r="O1979" s="130"/>
    </row>
    <row r="1980" spans="1:15" ht="15" x14ac:dyDescent="0.25">
      <c r="A1980" s="5"/>
      <c r="B1980" s="7"/>
      <c r="C1980" s="13"/>
      <c r="D1980" s="19"/>
      <c r="E1980" s="23"/>
      <c r="F1980" s="21"/>
      <c r="G1980" s="23"/>
      <c r="H1980" s="21"/>
      <c r="I1980" s="34"/>
      <c r="J1980" s="11"/>
      <c r="K1980" s="6"/>
      <c r="L1980" s="20"/>
      <c r="M1980" s="7"/>
      <c r="N1980" s="5"/>
      <c r="O1980" s="130"/>
    </row>
    <row r="1981" spans="1:15" ht="15" x14ac:dyDescent="0.25">
      <c r="A1981" s="5"/>
      <c r="B1981" s="7"/>
      <c r="C1981" s="13"/>
      <c r="D1981" s="19"/>
      <c r="E1981" s="23"/>
      <c r="F1981" s="21"/>
      <c r="G1981" s="23"/>
      <c r="H1981" s="21"/>
      <c r="I1981" s="34"/>
      <c r="J1981" s="11"/>
      <c r="K1981" s="6"/>
      <c r="L1981" s="20"/>
      <c r="M1981" s="7"/>
      <c r="N1981" s="5"/>
      <c r="O1981" s="130"/>
    </row>
    <row r="1982" spans="1:15" ht="15" x14ac:dyDescent="0.25">
      <c r="A1982" s="5"/>
      <c r="B1982" s="7"/>
      <c r="C1982" s="13"/>
      <c r="D1982" s="19"/>
      <c r="E1982" s="23"/>
      <c r="F1982" s="21"/>
      <c r="G1982" s="23"/>
      <c r="H1982" s="21"/>
      <c r="I1982" s="34"/>
      <c r="J1982" s="11"/>
      <c r="K1982" s="6"/>
      <c r="L1982" s="20"/>
      <c r="M1982" s="7"/>
      <c r="N1982" s="5"/>
      <c r="O1982" s="130"/>
    </row>
    <row r="1983" spans="1:15" ht="15" x14ac:dyDescent="0.25">
      <c r="A1983" s="5"/>
      <c r="B1983" s="7"/>
      <c r="C1983" s="13"/>
      <c r="D1983" s="19"/>
      <c r="E1983" s="23"/>
      <c r="F1983" s="21"/>
      <c r="G1983" s="23"/>
      <c r="H1983" s="21"/>
      <c r="I1983" s="34"/>
      <c r="J1983" s="11"/>
      <c r="K1983" s="6"/>
      <c r="L1983" s="20"/>
      <c r="M1983" s="7"/>
      <c r="N1983" s="5"/>
      <c r="O1983" s="130"/>
    </row>
    <row r="1984" spans="1:15" ht="15" x14ac:dyDescent="0.25">
      <c r="A1984" s="5"/>
      <c r="B1984" s="7"/>
      <c r="C1984" s="13"/>
      <c r="D1984" s="19"/>
      <c r="E1984" s="23"/>
      <c r="F1984" s="21"/>
      <c r="G1984" s="23"/>
      <c r="H1984" s="21"/>
      <c r="I1984" s="34"/>
      <c r="J1984" s="11"/>
      <c r="K1984" s="6"/>
      <c r="L1984" s="20"/>
      <c r="M1984" s="7"/>
      <c r="N1984" s="5"/>
      <c r="O1984" s="130"/>
    </row>
    <row r="1985" spans="1:15" ht="15" x14ac:dyDescent="0.25">
      <c r="A1985" s="5"/>
      <c r="B1985" s="7"/>
      <c r="C1985" s="13"/>
      <c r="D1985" s="19"/>
      <c r="E1985" s="23"/>
      <c r="F1985" s="21"/>
      <c r="G1985" s="23"/>
      <c r="H1985" s="21"/>
      <c r="I1985" s="34"/>
      <c r="J1985" s="11"/>
      <c r="K1985" s="6"/>
      <c r="L1985" s="20"/>
      <c r="M1985" s="7"/>
      <c r="N1985" s="5"/>
      <c r="O1985" s="130"/>
    </row>
    <row r="1986" spans="1:15" ht="15" x14ac:dyDescent="0.25">
      <c r="A1986" s="5"/>
      <c r="B1986" s="7"/>
      <c r="C1986" s="13"/>
      <c r="D1986" s="19"/>
      <c r="E1986" s="23"/>
      <c r="F1986" s="21"/>
      <c r="G1986" s="23"/>
      <c r="H1986" s="21"/>
      <c r="I1986" s="34"/>
      <c r="J1986" s="11"/>
      <c r="K1986" s="6"/>
      <c r="L1986" s="20"/>
      <c r="M1986" s="7"/>
      <c r="N1986" s="5"/>
      <c r="O1986" s="130"/>
    </row>
    <row r="1987" spans="1:15" ht="15" x14ac:dyDescent="0.25">
      <c r="A1987" s="5"/>
      <c r="B1987" s="7"/>
      <c r="C1987" s="13"/>
      <c r="D1987" s="19"/>
      <c r="E1987" s="23"/>
      <c r="F1987" s="21"/>
      <c r="G1987" s="23"/>
      <c r="H1987" s="21"/>
      <c r="I1987" s="34"/>
      <c r="J1987" s="11"/>
      <c r="K1987" s="6"/>
      <c r="L1987" s="20"/>
      <c r="M1987" s="7"/>
      <c r="N1987" s="5"/>
      <c r="O1987" s="130"/>
    </row>
    <row r="1988" spans="1:15" ht="15" x14ac:dyDescent="0.25">
      <c r="A1988" s="5"/>
      <c r="B1988" s="7"/>
      <c r="C1988" s="13"/>
      <c r="D1988" s="19"/>
      <c r="E1988" s="23"/>
      <c r="F1988" s="21"/>
      <c r="G1988" s="23"/>
      <c r="H1988" s="21"/>
      <c r="I1988" s="34"/>
      <c r="J1988" s="11"/>
      <c r="K1988" s="6"/>
      <c r="L1988" s="20"/>
      <c r="M1988" s="7"/>
      <c r="N1988" s="5"/>
      <c r="O1988" s="130"/>
    </row>
    <row r="1989" spans="1:15" ht="15" x14ac:dyDescent="0.25">
      <c r="A1989" s="5"/>
      <c r="B1989" s="7"/>
      <c r="C1989" s="13"/>
      <c r="D1989" s="19"/>
      <c r="E1989" s="23"/>
      <c r="F1989" s="21"/>
      <c r="G1989" s="23"/>
      <c r="H1989" s="21"/>
      <c r="I1989" s="34"/>
      <c r="J1989" s="11"/>
      <c r="K1989" s="6"/>
      <c r="L1989" s="20"/>
      <c r="M1989" s="7"/>
      <c r="N1989" s="5"/>
      <c r="O1989" s="130"/>
    </row>
    <row r="1990" spans="1:15" ht="15" x14ac:dyDescent="0.25">
      <c r="A1990" s="5"/>
      <c r="B1990" s="7"/>
      <c r="C1990" s="13"/>
      <c r="D1990" s="19"/>
      <c r="E1990" s="23"/>
      <c r="F1990" s="21"/>
      <c r="G1990" s="23"/>
      <c r="H1990" s="21"/>
      <c r="I1990" s="34"/>
      <c r="J1990" s="11"/>
      <c r="K1990" s="6"/>
      <c r="L1990" s="20"/>
      <c r="M1990" s="7"/>
      <c r="N1990" s="5"/>
      <c r="O1990" s="130"/>
    </row>
    <row r="1991" spans="1:15" ht="15" x14ac:dyDescent="0.25">
      <c r="A1991" s="5"/>
      <c r="B1991" s="7"/>
      <c r="C1991" s="13"/>
      <c r="D1991" s="19"/>
      <c r="E1991" s="23"/>
      <c r="F1991" s="21"/>
      <c r="G1991" s="23"/>
      <c r="H1991" s="21"/>
      <c r="I1991" s="34"/>
      <c r="J1991" s="11"/>
      <c r="K1991" s="6"/>
      <c r="L1991" s="20"/>
      <c r="M1991" s="7"/>
      <c r="N1991" s="5"/>
      <c r="O1991" s="130"/>
    </row>
    <row r="1992" spans="1:15" ht="15" x14ac:dyDescent="0.25">
      <c r="A1992" s="5"/>
      <c r="B1992" s="7"/>
      <c r="C1992" s="13"/>
      <c r="D1992" s="19"/>
      <c r="E1992" s="23"/>
      <c r="F1992" s="21"/>
      <c r="G1992" s="23"/>
      <c r="H1992" s="21"/>
      <c r="I1992" s="34"/>
      <c r="J1992" s="11"/>
      <c r="K1992" s="6"/>
      <c r="L1992" s="20"/>
      <c r="M1992" s="7"/>
      <c r="N1992" s="5"/>
      <c r="O1992" s="130"/>
    </row>
    <row r="1993" spans="1:15" ht="15" x14ac:dyDescent="0.25">
      <c r="A1993" s="5"/>
      <c r="B1993" s="7"/>
      <c r="C1993" s="13"/>
      <c r="D1993" s="19"/>
      <c r="E1993" s="23"/>
      <c r="F1993" s="21"/>
      <c r="G1993" s="23"/>
      <c r="H1993" s="21"/>
      <c r="I1993" s="34"/>
      <c r="J1993" s="11"/>
      <c r="K1993" s="6"/>
      <c r="L1993" s="20"/>
      <c r="M1993" s="7"/>
      <c r="N1993" s="5"/>
      <c r="O1993" s="130"/>
    </row>
    <row r="1994" spans="1:15" ht="15" x14ac:dyDescent="0.25">
      <c r="A1994" s="5"/>
      <c r="B1994" s="7"/>
      <c r="C1994" s="13"/>
      <c r="D1994" s="19"/>
      <c r="E1994" s="23"/>
      <c r="F1994" s="21"/>
      <c r="G1994" s="23"/>
      <c r="H1994" s="21"/>
      <c r="I1994" s="34"/>
      <c r="J1994" s="11"/>
      <c r="K1994" s="6"/>
      <c r="L1994" s="20"/>
      <c r="M1994" s="7"/>
      <c r="N1994" s="5"/>
      <c r="O1994" s="130"/>
    </row>
    <row r="1995" spans="1:15" ht="15" x14ac:dyDescent="0.25">
      <c r="A1995" s="5"/>
      <c r="B1995" s="7"/>
      <c r="C1995" s="13"/>
      <c r="D1995" s="19"/>
      <c r="E1995" s="23"/>
      <c r="F1995" s="21"/>
      <c r="G1995" s="23"/>
      <c r="H1995" s="21"/>
      <c r="I1995" s="34"/>
      <c r="J1995" s="11"/>
      <c r="K1995" s="6"/>
      <c r="L1995" s="20"/>
      <c r="M1995" s="7"/>
      <c r="N1995" s="5"/>
      <c r="O1995" s="130"/>
    </row>
    <row r="1996" spans="1:15" ht="15" x14ac:dyDescent="0.25">
      <c r="A1996" s="5"/>
      <c r="B1996" s="7"/>
      <c r="C1996" s="13"/>
      <c r="D1996" s="19"/>
      <c r="E1996" s="23"/>
      <c r="F1996" s="21"/>
      <c r="G1996" s="23"/>
      <c r="H1996" s="21"/>
      <c r="I1996" s="34"/>
      <c r="J1996" s="11"/>
      <c r="K1996" s="6"/>
      <c r="L1996" s="20"/>
      <c r="M1996" s="7"/>
      <c r="N1996" s="5"/>
      <c r="O1996" s="130"/>
    </row>
    <row r="1997" spans="1:15" ht="15" x14ac:dyDescent="0.25">
      <c r="A1997" s="5"/>
      <c r="B1997" s="7"/>
      <c r="C1997" s="13"/>
      <c r="D1997" s="19"/>
      <c r="E1997" s="23"/>
      <c r="F1997" s="21"/>
      <c r="G1997" s="23"/>
      <c r="H1997" s="21"/>
      <c r="I1997" s="34"/>
      <c r="J1997" s="11"/>
      <c r="K1997" s="6"/>
      <c r="L1997" s="20"/>
      <c r="M1997" s="7"/>
      <c r="N1997" s="5"/>
      <c r="O1997" s="130"/>
    </row>
    <row r="1998" spans="1:15" ht="15" x14ac:dyDescent="0.25">
      <c r="A1998" s="5"/>
      <c r="B1998" s="7"/>
      <c r="C1998" s="13"/>
      <c r="D1998" s="19"/>
      <c r="E1998" s="23"/>
      <c r="F1998" s="21"/>
      <c r="G1998" s="23"/>
      <c r="H1998" s="21"/>
      <c r="I1998" s="34"/>
      <c r="J1998" s="11"/>
      <c r="K1998" s="6"/>
      <c r="L1998" s="20"/>
      <c r="M1998" s="7"/>
      <c r="N1998" s="5"/>
      <c r="O1998" s="130"/>
    </row>
    <row r="1999" spans="1:15" ht="15" x14ac:dyDescent="0.25">
      <c r="A1999" s="5"/>
      <c r="B1999" s="7"/>
      <c r="C1999" s="13"/>
      <c r="D1999" s="19"/>
      <c r="E1999" s="23"/>
      <c r="F1999" s="21"/>
      <c r="G1999" s="23"/>
      <c r="H1999" s="21"/>
      <c r="I1999" s="34"/>
      <c r="J1999" s="11"/>
      <c r="K1999" s="6"/>
      <c r="L1999" s="20"/>
      <c r="M1999" s="7"/>
      <c r="N1999" s="5"/>
      <c r="O1999" s="130"/>
    </row>
    <row r="2000" spans="1:15" ht="15" x14ac:dyDescent="0.25">
      <c r="A2000" s="5"/>
      <c r="B2000" s="7"/>
      <c r="C2000" s="13"/>
      <c r="D2000" s="19"/>
      <c r="E2000" s="23"/>
      <c r="F2000" s="21"/>
      <c r="G2000" s="23"/>
      <c r="H2000" s="21"/>
      <c r="I2000" s="34"/>
      <c r="J2000" s="11"/>
      <c r="K2000" s="6"/>
      <c r="L2000" s="20"/>
      <c r="M2000" s="7"/>
      <c r="N2000" s="5"/>
      <c r="O2000" s="130"/>
    </row>
    <row r="2001" spans="1:15" ht="15" x14ac:dyDescent="0.25">
      <c r="A2001" s="5"/>
      <c r="B2001" s="7"/>
      <c r="C2001" s="13"/>
      <c r="D2001" s="19"/>
      <c r="E2001" s="23"/>
      <c r="F2001" s="21"/>
      <c r="G2001" s="23"/>
      <c r="H2001" s="21"/>
      <c r="I2001" s="34"/>
      <c r="J2001" s="11"/>
      <c r="K2001" s="6"/>
      <c r="L2001" s="20"/>
      <c r="M2001" s="7"/>
      <c r="N2001" s="5"/>
      <c r="O2001" s="130"/>
    </row>
    <row r="2002" spans="1:15" ht="15" x14ac:dyDescent="0.25">
      <c r="A2002" s="5"/>
      <c r="B2002" s="7"/>
      <c r="C2002" s="13"/>
      <c r="D2002" s="19"/>
      <c r="E2002" s="23"/>
      <c r="F2002" s="21"/>
      <c r="G2002" s="23"/>
      <c r="H2002" s="21"/>
      <c r="I2002" s="34"/>
      <c r="J2002" s="11"/>
      <c r="K2002" s="6"/>
      <c r="L2002" s="20"/>
      <c r="M2002" s="7"/>
      <c r="N2002" s="5"/>
      <c r="O2002" s="130"/>
    </row>
    <row r="2003" spans="1:15" ht="15" x14ac:dyDescent="0.25">
      <c r="A2003" s="5"/>
      <c r="B2003" s="7"/>
      <c r="C2003" s="13"/>
      <c r="D2003" s="19"/>
      <c r="E2003" s="23"/>
      <c r="F2003" s="21"/>
      <c r="G2003" s="23"/>
      <c r="H2003" s="21"/>
      <c r="I2003" s="34"/>
      <c r="J2003" s="11"/>
      <c r="K2003" s="6"/>
      <c r="L2003" s="20"/>
      <c r="M2003" s="7"/>
      <c r="N2003" s="5"/>
      <c r="O2003" s="130"/>
    </row>
    <row r="2004" spans="1:15" ht="15" x14ac:dyDescent="0.25">
      <c r="A2004" s="5"/>
      <c r="B2004" s="7"/>
      <c r="C2004" s="13"/>
      <c r="D2004" s="19"/>
      <c r="E2004" s="23"/>
      <c r="F2004" s="21"/>
      <c r="G2004" s="23"/>
      <c r="H2004" s="21"/>
      <c r="I2004" s="34"/>
      <c r="J2004" s="11"/>
      <c r="K2004" s="6"/>
      <c r="L2004" s="20"/>
      <c r="M2004" s="7"/>
      <c r="N2004" s="5"/>
      <c r="O2004" s="130"/>
    </row>
    <row r="2005" spans="1:15" ht="15" x14ac:dyDescent="0.25">
      <c r="A2005" s="5"/>
      <c r="B2005" s="7"/>
      <c r="C2005" s="13"/>
      <c r="D2005" s="19"/>
      <c r="E2005" s="23"/>
      <c r="F2005" s="21"/>
      <c r="G2005" s="23"/>
      <c r="H2005" s="21"/>
      <c r="I2005" s="34"/>
      <c r="J2005" s="11"/>
      <c r="K2005" s="6"/>
      <c r="L2005" s="20"/>
      <c r="M2005" s="7"/>
      <c r="N2005" s="5"/>
      <c r="O2005" s="130"/>
    </row>
    <row r="2006" spans="1:15" ht="15" x14ac:dyDescent="0.25">
      <c r="A2006" s="5"/>
      <c r="B2006" s="7"/>
      <c r="C2006" s="13"/>
      <c r="D2006" s="19"/>
      <c r="E2006" s="23"/>
      <c r="F2006" s="21"/>
      <c r="G2006" s="23"/>
      <c r="H2006" s="21"/>
      <c r="I2006" s="34"/>
      <c r="J2006" s="11"/>
      <c r="K2006" s="6"/>
      <c r="L2006" s="20"/>
      <c r="M2006" s="7"/>
      <c r="N2006" s="5"/>
      <c r="O2006" s="130"/>
    </row>
    <row r="2007" spans="1:15" ht="15" x14ac:dyDescent="0.25">
      <c r="A2007" s="5"/>
      <c r="B2007" s="7"/>
      <c r="C2007" s="13"/>
      <c r="D2007" s="19"/>
      <c r="E2007" s="23"/>
      <c r="F2007" s="21"/>
      <c r="G2007" s="23"/>
      <c r="H2007" s="21"/>
      <c r="I2007" s="34"/>
      <c r="J2007" s="11"/>
      <c r="K2007" s="6"/>
      <c r="L2007" s="20"/>
      <c r="M2007" s="7"/>
      <c r="N2007" s="5"/>
      <c r="O2007" s="130"/>
    </row>
    <row r="2008" spans="1:15" ht="15" x14ac:dyDescent="0.25">
      <c r="A2008" s="5"/>
      <c r="B2008" s="7"/>
      <c r="C2008" s="13"/>
      <c r="D2008" s="19"/>
      <c r="E2008" s="23"/>
      <c r="F2008" s="21"/>
      <c r="G2008" s="23"/>
      <c r="H2008" s="21"/>
      <c r="I2008" s="34"/>
      <c r="J2008" s="11"/>
      <c r="K2008" s="6"/>
      <c r="L2008" s="20"/>
      <c r="M2008" s="7"/>
      <c r="N2008" s="5"/>
      <c r="O2008" s="130"/>
    </row>
    <row r="2009" spans="1:15" ht="15" x14ac:dyDescent="0.25">
      <c r="A2009" s="5"/>
      <c r="B2009" s="7"/>
      <c r="C2009" s="13"/>
      <c r="D2009" s="19"/>
      <c r="E2009" s="23"/>
      <c r="F2009" s="21"/>
      <c r="G2009" s="23"/>
      <c r="H2009" s="21"/>
      <c r="I2009" s="34"/>
      <c r="J2009" s="11"/>
      <c r="K2009" s="6"/>
      <c r="L2009" s="20"/>
      <c r="M2009" s="7"/>
      <c r="N2009" s="5"/>
      <c r="O2009" s="130"/>
    </row>
    <row r="2010" spans="1:15" ht="15" x14ac:dyDescent="0.25">
      <c r="A2010" s="5"/>
      <c r="B2010" s="7"/>
      <c r="C2010" s="13"/>
      <c r="D2010" s="19"/>
      <c r="E2010" s="23"/>
      <c r="F2010" s="21"/>
      <c r="G2010" s="23"/>
      <c r="H2010" s="21"/>
      <c r="I2010" s="34"/>
      <c r="J2010" s="11"/>
      <c r="K2010" s="6"/>
      <c r="L2010" s="20"/>
      <c r="M2010" s="7"/>
      <c r="N2010" s="5"/>
      <c r="O2010" s="130"/>
    </row>
    <row r="2011" spans="1:15" ht="15" x14ac:dyDescent="0.25">
      <c r="A2011" s="5"/>
      <c r="B2011" s="7"/>
      <c r="C2011" s="13"/>
      <c r="D2011" s="19"/>
      <c r="E2011" s="23"/>
      <c r="F2011" s="21"/>
      <c r="G2011" s="23"/>
      <c r="H2011" s="21"/>
      <c r="I2011" s="34"/>
      <c r="J2011" s="11"/>
      <c r="K2011" s="6"/>
      <c r="L2011" s="20"/>
      <c r="M2011" s="7"/>
      <c r="N2011" s="5"/>
      <c r="O2011" s="130"/>
    </row>
    <row r="2012" spans="1:15" ht="15" x14ac:dyDescent="0.25">
      <c r="A2012" s="5"/>
      <c r="B2012" s="7"/>
      <c r="C2012" s="13"/>
      <c r="D2012" s="19"/>
      <c r="E2012" s="23"/>
      <c r="F2012" s="21"/>
      <c r="G2012" s="23"/>
      <c r="H2012" s="21"/>
      <c r="I2012" s="34"/>
      <c r="J2012" s="11"/>
      <c r="K2012" s="6"/>
      <c r="L2012" s="20"/>
      <c r="M2012" s="7"/>
      <c r="N2012" s="5"/>
      <c r="O2012" s="130"/>
    </row>
    <row r="2013" spans="1:15" ht="15" x14ac:dyDescent="0.25">
      <c r="A2013" s="5"/>
      <c r="B2013" s="7"/>
      <c r="C2013" s="13"/>
      <c r="D2013" s="19"/>
      <c r="E2013" s="23"/>
      <c r="F2013" s="21"/>
      <c r="G2013" s="23"/>
      <c r="H2013" s="21"/>
      <c r="I2013" s="34"/>
      <c r="J2013" s="11"/>
      <c r="K2013" s="6"/>
      <c r="L2013" s="20"/>
      <c r="M2013" s="7"/>
      <c r="N2013" s="5"/>
      <c r="O2013" s="130"/>
    </row>
    <row r="2014" spans="1:15" ht="15" x14ac:dyDescent="0.25">
      <c r="A2014" s="5"/>
      <c r="B2014" s="7"/>
      <c r="C2014" s="13"/>
      <c r="D2014" s="19"/>
      <c r="E2014" s="23"/>
      <c r="F2014" s="21"/>
      <c r="G2014" s="23"/>
      <c r="H2014" s="21"/>
      <c r="I2014" s="34"/>
      <c r="J2014" s="11"/>
      <c r="K2014" s="6"/>
      <c r="L2014" s="20"/>
      <c r="M2014" s="7"/>
      <c r="N2014" s="5"/>
      <c r="O2014" s="130"/>
    </row>
    <row r="2015" spans="1:15" ht="15" x14ac:dyDescent="0.25">
      <c r="A2015" s="5"/>
      <c r="B2015" s="7"/>
      <c r="C2015" s="13"/>
      <c r="D2015" s="19"/>
      <c r="E2015" s="23"/>
      <c r="F2015" s="21"/>
      <c r="G2015" s="23"/>
      <c r="H2015" s="21"/>
      <c r="I2015" s="34"/>
      <c r="J2015" s="11"/>
      <c r="K2015" s="6"/>
      <c r="L2015" s="20"/>
      <c r="M2015" s="7"/>
      <c r="N2015" s="5"/>
      <c r="O2015" s="130"/>
    </row>
    <row r="2016" spans="1:15" ht="15" x14ac:dyDescent="0.25">
      <c r="A2016" s="5"/>
      <c r="B2016" s="7"/>
      <c r="C2016" s="13"/>
      <c r="D2016" s="19"/>
      <c r="E2016" s="23"/>
      <c r="F2016" s="21"/>
      <c r="G2016" s="23"/>
      <c r="H2016" s="21"/>
      <c r="I2016" s="34"/>
      <c r="J2016" s="11"/>
      <c r="K2016" s="6"/>
      <c r="L2016" s="20"/>
      <c r="M2016" s="7"/>
      <c r="N2016" s="5"/>
      <c r="O2016" s="130"/>
    </row>
    <row r="2017" spans="1:15" ht="15" x14ac:dyDescent="0.25">
      <c r="A2017" s="5"/>
      <c r="B2017" s="7"/>
      <c r="C2017" s="13"/>
      <c r="D2017" s="19"/>
      <c r="E2017" s="23"/>
      <c r="F2017" s="21"/>
      <c r="G2017" s="23"/>
      <c r="H2017" s="21"/>
      <c r="I2017" s="34"/>
      <c r="J2017" s="11"/>
      <c r="K2017" s="6"/>
      <c r="L2017" s="20"/>
      <c r="M2017" s="7"/>
      <c r="N2017" s="5"/>
      <c r="O2017" s="130"/>
    </row>
    <row r="2018" spans="1:15" ht="15" x14ac:dyDescent="0.25">
      <c r="A2018" s="5"/>
      <c r="B2018" s="7"/>
      <c r="C2018" s="13"/>
      <c r="D2018" s="19"/>
      <c r="E2018" s="23"/>
      <c r="F2018" s="21"/>
      <c r="G2018" s="23"/>
      <c r="H2018" s="21"/>
      <c r="I2018" s="34"/>
      <c r="J2018" s="11"/>
      <c r="K2018" s="6"/>
      <c r="L2018" s="20"/>
      <c r="M2018" s="7"/>
      <c r="N2018" s="5"/>
      <c r="O2018" s="130"/>
    </row>
    <row r="2019" spans="1:15" ht="15" x14ac:dyDescent="0.25">
      <c r="A2019" s="5"/>
      <c r="B2019" s="7"/>
      <c r="C2019" s="13"/>
      <c r="D2019" s="19"/>
      <c r="E2019" s="23"/>
      <c r="F2019" s="21"/>
      <c r="G2019" s="23"/>
      <c r="H2019" s="21"/>
      <c r="I2019" s="34"/>
      <c r="J2019" s="11"/>
      <c r="K2019" s="6"/>
      <c r="L2019" s="20"/>
      <c r="M2019" s="7"/>
      <c r="N2019" s="5"/>
      <c r="O2019" s="130"/>
    </row>
    <row r="2020" spans="1:15" ht="15" x14ac:dyDescent="0.25">
      <c r="A2020" s="5"/>
      <c r="B2020" s="7"/>
      <c r="C2020" s="13"/>
      <c r="D2020" s="19"/>
      <c r="E2020" s="23"/>
      <c r="F2020" s="21"/>
      <c r="G2020" s="23"/>
      <c r="H2020" s="21"/>
      <c r="I2020" s="34"/>
      <c r="J2020" s="11"/>
      <c r="K2020" s="6"/>
      <c r="L2020" s="20"/>
      <c r="M2020" s="7"/>
      <c r="N2020" s="5"/>
      <c r="O2020" s="130"/>
    </row>
    <row r="2021" spans="1:15" ht="15" x14ac:dyDescent="0.25">
      <c r="A2021" s="5"/>
      <c r="B2021" s="7"/>
      <c r="C2021" s="13"/>
      <c r="D2021" s="19"/>
      <c r="E2021" s="23"/>
      <c r="F2021" s="21"/>
      <c r="G2021" s="23"/>
      <c r="H2021" s="21"/>
      <c r="I2021" s="34"/>
      <c r="J2021" s="11"/>
      <c r="K2021" s="6"/>
      <c r="L2021" s="20"/>
      <c r="M2021" s="7"/>
      <c r="N2021" s="5"/>
      <c r="O2021" s="130"/>
    </row>
    <row r="2022" spans="1:15" ht="15" x14ac:dyDescent="0.25">
      <c r="A2022" s="5"/>
      <c r="B2022" s="7"/>
      <c r="C2022" s="13"/>
      <c r="D2022" s="19"/>
      <c r="E2022" s="23"/>
      <c r="F2022" s="21"/>
      <c r="G2022" s="23"/>
      <c r="H2022" s="21"/>
      <c r="I2022" s="34"/>
      <c r="J2022" s="11"/>
      <c r="K2022" s="6"/>
      <c r="L2022" s="20"/>
      <c r="M2022" s="7"/>
      <c r="N2022" s="5"/>
      <c r="O2022" s="130"/>
    </row>
    <row r="2023" spans="1:15" ht="15" x14ac:dyDescent="0.25">
      <c r="A2023" s="5"/>
      <c r="B2023" s="7"/>
      <c r="C2023" s="13"/>
      <c r="D2023" s="19"/>
      <c r="E2023" s="23"/>
      <c r="F2023" s="21"/>
      <c r="G2023" s="23"/>
      <c r="H2023" s="21"/>
      <c r="I2023" s="34"/>
      <c r="J2023" s="11"/>
      <c r="K2023" s="6"/>
      <c r="L2023" s="20"/>
      <c r="M2023" s="7"/>
      <c r="N2023" s="5"/>
      <c r="O2023" s="130"/>
    </row>
    <row r="2024" spans="1:15" ht="15" x14ac:dyDescent="0.25">
      <c r="A2024" s="5"/>
      <c r="B2024" s="7"/>
      <c r="C2024" s="13"/>
      <c r="D2024" s="19"/>
      <c r="E2024" s="23"/>
      <c r="F2024" s="21"/>
      <c r="G2024" s="23"/>
      <c r="H2024" s="21"/>
      <c r="I2024" s="34"/>
      <c r="J2024" s="11"/>
      <c r="K2024" s="6"/>
      <c r="L2024" s="20"/>
      <c r="M2024" s="7"/>
      <c r="N2024" s="5"/>
      <c r="O2024" s="130"/>
    </row>
    <row r="2025" spans="1:15" ht="15" x14ac:dyDescent="0.25">
      <c r="A2025" s="5"/>
      <c r="B2025" s="7"/>
      <c r="C2025" s="13"/>
      <c r="D2025" s="19"/>
      <c r="E2025" s="23"/>
      <c r="F2025" s="21"/>
      <c r="G2025" s="23"/>
      <c r="H2025" s="21"/>
      <c r="I2025" s="34"/>
      <c r="J2025" s="11"/>
      <c r="K2025" s="6"/>
      <c r="L2025" s="20"/>
      <c r="M2025" s="7"/>
      <c r="N2025" s="5"/>
      <c r="O2025" s="130"/>
    </row>
    <row r="2026" spans="1:15" ht="15" x14ac:dyDescent="0.25">
      <c r="A2026" s="5"/>
      <c r="B2026" s="7"/>
      <c r="C2026" s="13"/>
      <c r="D2026" s="19"/>
      <c r="E2026" s="23"/>
      <c r="F2026" s="21"/>
      <c r="G2026" s="23"/>
      <c r="H2026" s="21"/>
      <c r="I2026" s="34"/>
      <c r="J2026" s="11"/>
      <c r="K2026" s="6"/>
      <c r="L2026" s="20"/>
      <c r="M2026" s="7"/>
      <c r="N2026" s="5"/>
      <c r="O2026" s="130"/>
    </row>
    <row r="2027" spans="1:15" ht="15" x14ac:dyDescent="0.25">
      <c r="A2027" s="5"/>
      <c r="B2027" s="7"/>
      <c r="C2027" s="13"/>
      <c r="D2027" s="19"/>
      <c r="E2027" s="23"/>
      <c r="F2027" s="21"/>
      <c r="G2027" s="23"/>
      <c r="H2027" s="21"/>
      <c r="I2027" s="34"/>
      <c r="J2027" s="11"/>
      <c r="K2027" s="6"/>
      <c r="L2027" s="20"/>
      <c r="M2027" s="7"/>
      <c r="N2027" s="5"/>
      <c r="O2027" s="130"/>
    </row>
    <row r="2028" spans="1:15" ht="15" x14ac:dyDescent="0.25">
      <c r="A2028" s="5"/>
      <c r="B2028" s="7"/>
      <c r="C2028" s="13"/>
      <c r="D2028" s="19"/>
      <c r="E2028" s="23"/>
      <c r="F2028" s="21"/>
      <c r="G2028" s="23"/>
      <c r="H2028" s="21"/>
      <c r="I2028" s="34"/>
      <c r="J2028" s="11"/>
      <c r="K2028" s="6"/>
      <c r="L2028" s="20"/>
      <c r="M2028" s="7"/>
      <c r="N2028" s="5"/>
      <c r="O2028" s="130"/>
    </row>
    <row r="2029" spans="1:15" ht="15" x14ac:dyDescent="0.25">
      <c r="A2029" s="5"/>
      <c r="B2029" s="7"/>
      <c r="C2029" s="13"/>
      <c r="D2029" s="19"/>
      <c r="E2029" s="23"/>
      <c r="F2029" s="21"/>
      <c r="G2029" s="23"/>
      <c r="H2029" s="21"/>
      <c r="I2029" s="34"/>
      <c r="J2029" s="11"/>
      <c r="K2029" s="6"/>
      <c r="L2029" s="20"/>
      <c r="M2029" s="7"/>
      <c r="N2029" s="5"/>
      <c r="O2029" s="130"/>
    </row>
    <row r="2030" spans="1:15" ht="15" x14ac:dyDescent="0.25">
      <c r="A2030" s="5"/>
      <c r="B2030" s="7"/>
      <c r="C2030" s="13"/>
      <c r="D2030" s="19"/>
      <c r="E2030" s="23"/>
      <c r="F2030" s="21"/>
      <c r="G2030" s="23"/>
      <c r="H2030" s="21"/>
      <c r="I2030" s="34"/>
      <c r="J2030" s="11"/>
      <c r="K2030" s="6"/>
      <c r="L2030" s="20"/>
      <c r="M2030" s="7"/>
      <c r="N2030" s="5"/>
      <c r="O2030" s="130"/>
    </row>
    <row r="2031" spans="1:15" ht="15" x14ac:dyDescent="0.25">
      <c r="A2031" s="5"/>
      <c r="B2031" s="7"/>
      <c r="C2031" s="13"/>
      <c r="D2031" s="19"/>
      <c r="E2031" s="23"/>
      <c r="F2031" s="21"/>
      <c r="G2031" s="23"/>
      <c r="H2031" s="21"/>
      <c r="I2031" s="34"/>
      <c r="J2031" s="11"/>
      <c r="K2031" s="6"/>
      <c r="L2031" s="20"/>
      <c r="M2031" s="7"/>
      <c r="N2031" s="5"/>
      <c r="O2031" s="130"/>
    </row>
    <row r="2032" spans="1:15" ht="15" x14ac:dyDescent="0.25">
      <c r="A2032" s="5"/>
      <c r="B2032" s="7"/>
      <c r="C2032" s="13"/>
      <c r="D2032" s="19"/>
      <c r="E2032" s="23"/>
      <c r="F2032" s="21"/>
      <c r="G2032" s="23"/>
      <c r="H2032" s="21"/>
      <c r="I2032" s="34"/>
      <c r="J2032" s="11"/>
      <c r="K2032" s="6"/>
      <c r="L2032" s="20"/>
      <c r="M2032" s="7"/>
      <c r="N2032" s="5"/>
      <c r="O2032" s="130"/>
    </row>
    <row r="2033" spans="1:15" ht="15" x14ac:dyDescent="0.25">
      <c r="A2033" s="5"/>
      <c r="B2033" s="7"/>
      <c r="C2033" s="13"/>
      <c r="D2033" s="19"/>
      <c r="E2033" s="23"/>
      <c r="F2033" s="21"/>
      <c r="G2033" s="23"/>
      <c r="H2033" s="21"/>
      <c r="I2033" s="34"/>
      <c r="J2033" s="11"/>
      <c r="K2033" s="6"/>
      <c r="L2033" s="20"/>
      <c r="M2033" s="7"/>
      <c r="N2033" s="5"/>
      <c r="O2033" s="130"/>
    </row>
    <row r="2034" spans="1:15" ht="15" x14ac:dyDescent="0.25">
      <c r="A2034" s="5"/>
      <c r="B2034" s="7"/>
      <c r="C2034" s="13"/>
      <c r="D2034" s="19"/>
      <c r="E2034" s="23"/>
      <c r="F2034" s="21"/>
      <c r="G2034" s="23"/>
      <c r="H2034" s="21"/>
      <c r="I2034" s="34"/>
      <c r="J2034" s="11"/>
      <c r="K2034" s="6"/>
      <c r="L2034" s="20"/>
      <c r="M2034" s="7"/>
      <c r="N2034" s="5"/>
      <c r="O2034" s="130"/>
    </row>
    <row r="2035" spans="1:15" ht="15" x14ac:dyDescent="0.25">
      <c r="A2035" s="5"/>
      <c r="B2035" s="7"/>
      <c r="C2035" s="13"/>
      <c r="D2035" s="19"/>
      <c r="E2035" s="23"/>
      <c r="F2035" s="21"/>
      <c r="G2035" s="23"/>
      <c r="H2035" s="21"/>
      <c r="I2035" s="34"/>
      <c r="J2035" s="11"/>
      <c r="K2035" s="6"/>
      <c r="L2035" s="20"/>
      <c r="M2035" s="7"/>
      <c r="N2035" s="5"/>
      <c r="O2035" s="130"/>
    </row>
    <row r="2036" spans="1:15" ht="15" x14ac:dyDescent="0.25">
      <c r="A2036" s="5"/>
      <c r="B2036" s="7"/>
      <c r="C2036" s="13"/>
      <c r="D2036" s="19"/>
      <c r="E2036" s="23"/>
      <c r="F2036" s="21"/>
      <c r="G2036" s="23"/>
      <c r="H2036" s="21"/>
      <c r="I2036" s="34"/>
      <c r="J2036" s="11"/>
      <c r="K2036" s="6"/>
      <c r="L2036" s="20"/>
      <c r="M2036" s="7"/>
      <c r="N2036" s="5"/>
      <c r="O2036" s="130"/>
    </row>
    <row r="2037" spans="1:15" ht="15" x14ac:dyDescent="0.25">
      <c r="A2037" s="5"/>
      <c r="B2037" s="7"/>
      <c r="C2037" s="13"/>
      <c r="D2037" s="19"/>
      <c r="E2037" s="23"/>
      <c r="F2037" s="21"/>
      <c r="G2037" s="23"/>
      <c r="H2037" s="21"/>
      <c r="I2037" s="34"/>
      <c r="J2037" s="11"/>
      <c r="K2037" s="6"/>
      <c r="L2037" s="20"/>
      <c r="M2037" s="7"/>
      <c r="N2037" s="5"/>
      <c r="O2037" s="130"/>
    </row>
    <row r="2038" spans="1:15" ht="15" x14ac:dyDescent="0.25">
      <c r="A2038" s="5"/>
      <c r="B2038" s="7"/>
      <c r="C2038" s="13"/>
      <c r="D2038" s="19"/>
      <c r="E2038" s="23"/>
      <c r="F2038" s="21"/>
      <c r="G2038" s="23"/>
      <c r="H2038" s="21"/>
      <c r="I2038" s="34"/>
      <c r="J2038" s="11"/>
      <c r="K2038" s="6"/>
      <c r="L2038" s="20"/>
      <c r="M2038" s="7"/>
      <c r="N2038" s="5"/>
      <c r="O2038" s="130"/>
    </row>
    <row r="2039" spans="1:15" ht="15" x14ac:dyDescent="0.25">
      <c r="A2039" s="5"/>
      <c r="B2039" s="7"/>
      <c r="C2039" s="13"/>
      <c r="D2039" s="19"/>
      <c r="E2039" s="23"/>
      <c r="F2039" s="21"/>
      <c r="G2039" s="23"/>
      <c r="H2039" s="21"/>
      <c r="I2039" s="34"/>
      <c r="J2039" s="11"/>
      <c r="K2039" s="6"/>
      <c r="L2039" s="20"/>
      <c r="M2039" s="7"/>
      <c r="N2039" s="5"/>
      <c r="O2039" s="130"/>
    </row>
    <row r="2040" spans="1:15" ht="15" x14ac:dyDescent="0.25">
      <c r="A2040" s="5"/>
      <c r="B2040" s="7"/>
      <c r="C2040" s="13"/>
      <c r="D2040" s="19"/>
      <c r="E2040" s="23"/>
      <c r="F2040" s="21"/>
      <c r="G2040" s="23"/>
      <c r="H2040" s="21"/>
      <c r="I2040" s="34"/>
      <c r="J2040" s="11"/>
      <c r="K2040" s="6"/>
      <c r="L2040" s="20"/>
      <c r="M2040" s="7"/>
      <c r="N2040" s="5"/>
      <c r="O2040" s="130"/>
    </row>
    <row r="2041" spans="1:15" ht="15" x14ac:dyDescent="0.25">
      <c r="A2041" s="5"/>
      <c r="B2041" s="7"/>
      <c r="C2041" s="13"/>
      <c r="D2041" s="19"/>
      <c r="E2041" s="23"/>
      <c r="F2041" s="21"/>
      <c r="G2041" s="23"/>
      <c r="H2041" s="21"/>
      <c r="I2041" s="34"/>
      <c r="J2041" s="11"/>
      <c r="K2041" s="6"/>
      <c r="L2041" s="20"/>
      <c r="M2041" s="7"/>
      <c r="N2041" s="5"/>
      <c r="O2041" s="130"/>
    </row>
    <row r="2042" spans="1:15" ht="15" x14ac:dyDescent="0.25">
      <c r="A2042" s="5"/>
      <c r="B2042" s="7"/>
      <c r="C2042" s="13"/>
      <c r="D2042" s="19"/>
      <c r="E2042" s="23"/>
      <c r="F2042" s="21"/>
      <c r="G2042" s="23"/>
      <c r="H2042" s="21"/>
      <c r="I2042" s="34"/>
      <c r="J2042" s="11"/>
      <c r="K2042" s="6"/>
      <c r="L2042" s="20"/>
      <c r="M2042" s="7"/>
      <c r="N2042" s="5"/>
      <c r="O2042" s="130"/>
    </row>
    <row r="2043" spans="1:15" ht="15" x14ac:dyDescent="0.25">
      <c r="A2043" s="5"/>
      <c r="B2043" s="7"/>
      <c r="C2043" s="13"/>
      <c r="D2043" s="19"/>
      <c r="E2043" s="23"/>
      <c r="F2043" s="21"/>
      <c r="G2043" s="23"/>
      <c r="H2043" s="21"/>
      <c r="I2043" s="34"/>
      <c r="J2043" s="11"/>
      <c r="K2043" s="6"/>
      <c r="L2043" s="20"/>
      <c r="M2043" s="7"/>
      <c r="N2043" s="5"/>
      <c r="O2043" s="130"/>
    </row>
    <row r="2044" spans="1:15" ht="15" x14ac:dyDescent="0.25">
      <c r="A2044" s="5"/>
      <c r="B2044" s="7"/>
      <c r="C2044" s="13"/>
      <c r="D2044" s="19"/>
      <c r="E2044" s="23"/>
      <c r="F2044" s="21"/>
      <c r="G2044" s="23"/>
      <c r="H2044" s="21"/>
      <c r="I2044" s="34"/>
      <c r="J2044" s="11"/>
      <c r="K2044" s="6"/>
      <c r="L2044" s="20"/>
      <c r="M2044" s="7"/>
      <c r="N2044" s="5"/>
      <c r="O2044" s="130"/>
    </row>
    <row r="2045" spans="1:15" ht="15" x14ac:dyDescent="0.25">
      <c r="A2045" s="5"/>
      <c r="B2045" s="7"/>
      <c r="C2045" s="13"/>
      <c r="D2045" s="19"/>
      <c r="E2045" s="23"/>
      <c r="F2045" s="21"/>
      <c r="G2045" s="23"/>
      <c r="H2045" s="21"/>
      <c r="I2045" s="34"/>
      <c r="J2045" s="11"/>
      <c r="K2045" s="6"/>
      <c r="L2045" s="20"/>
      <c r="M2045" s="7"/>
      <c r="N2045" s="5"/>
      <c r="O2045" s="130"/>
    </row>
    <row r="2046" spans="1:15" ht="15" x14ac:dyDescent="0.25">
      <c r="A2046" s="5"/>
      <c r="B2046" s="7"/>
      <c r="C2046" s="13"/>
      <c r="D2046" s="19"/>
      <c r="E2046" s="23"/>
      <c r="F2046" s="21"/>
      <c r="G2046" s="23"/>
      <c r="H2046" s="21"/>
      <c r="I2046" s="34"/>
      <c r="J2046" s="11"/>
      <c r="K2046" s="6"/>
      <c r="L2046" s="20"/>
      <c r="M2046" s="7"/>
      <c r="N2046" s="5"/>
      <c r="O2046" s="130"/>
    </row>
    <row r="2047" spans="1:15" ht="15" x14ac:dyDescent="0.25">
      <c r="A2047" s="5"/>
      <c r="B2047" s="7"/>
      <c r="C2047" s="13"/>
      <c r="D2047" s="19"/>
      <c r="E2047" s="23"/>
      <c r="F2047" s="21"/>
      <c r="G2047" s="23"/>
      <c r="H2047" s="21"/>
      <c r="I2047" s="34"/>
      <c r="J2047" s="11"/>
      <c r="K2047" s="6"/>
      <c r="L2047" s="20"/>
      <c r="M2047" s="7"/>
      <c r="N2047" s="5"/>
      <c r="O2047" s="130"/>
    </row>
    <row r="2048" spans="1:15" ht="15" x14ac:dyDescent="0.25">
      <c r="A2048" s="5"/>
      <c r="B2048" s="7"/>
      <c r="C2048" s="13"/>
      <c r="D2048" s="19"/>
      <c r="E2048" s="23"/>
      <c r="F2048" s="21"/>
      <c r="G2048" s="23"/>
      <c r="H2048" s="21"/>
      <c r="I2048" s="34"/>
      <c r="J2048" s="11"/>
      <c r="K2048" s="6"/>
      <c r="L2048" s="20"/>
      <c r="M2048" s="7"/>
      <c r="N2048" s="5"/>
      <c r="O2048" s="130"/>
    </row>
    <row r="2049" spans="1:15" ht="15" x14ac:dyDescent="0.25">
      <c r="A2049" s="5"/>
      <c r="B2049" s="7"/>
      <c r="C2049" s="13"/>
      <c r="D2049" s="19"/>
      <c r="E2049" s="23"/>
      <c r="F2049" s="21"/>
      <c r="G2049" s="23"/>
      <c r="H2049" s="21"/>
      <c r="I2049" s="34"/>
      <c r="J2049" s="11"/>
      <c r="K2049" s="6"/>
      <c r="L2049" s="20"/>
      <c r="M2049" s="7"/>
      <c r="N2049" s="5"/>
      <c r="O2049" s="130"/>
    </row>
    <row r="2050" spans="1:15" ht="15" x14ac:dyDescent="0.25">
      <c r="A2050" s="5"/>
      <c r="B2050" s="7"/>
      <c r="C2050" s="13"/>
      <c r="D2050" s="19"/>
      <c r="E2050" s="23"/>
      <c r="F2050" s="21"/>
      <c r="G2050" s="23"/>
      <c r="H2050" s="21"/>
      <c r="I2050" s="34"/>
      <c r="J2050" s="11"/>
      <c r="K2050" s="6"/>
      <c r="L2050" s="20"/>
      <c r="M2050" s="7"/>
      <c r="N2050" s="5"/>
      <c r="O2050" s="130"/>
    </row>
    <row r="2051" spans="1:15" ht="15" x14ac:dyDescent="0.25">
      <c r="A2051" s="5"/>
      <c r="B2051" s="7"/>
      <c r="C2051" s="13"/>
      <c r="D2051" s="19"/>
      <c r="E2051" s="23"/>
      <c r="F2051" s="21"/>
      <c r="G2051" s="23"/>
      <c r="H2051" s="21"/>
      <c r="I2051" s="34"/>
      <c r="J2051" s="11"/>
      <c r="K2051" s="6"/>
      <c r="L2051" s="20"/>
      <c r="M2051" s="7"/>
      <c r="N2051" s="5"/>
      <c r="O2051" s="130"/>
    </row>
    <row r="2052" spans="1:15" ht="15" x14ac:dyDescent="0.25">
      <c r="A2052" s="5"/>
      <c r="B2052" s="7"/>
      <c r="C2052" s="13"/>
      <c r="D2052" s="19"/>
      <c r="E2052" s="23"/>
      <c r="F2052" s="21"/>
      <c r="G2052" s="23"/>
      <c r="H2052" s="21"/>
      <c r="I2052" s="34"/>
      <c r="J2052" s="11"/>
      <c r="K2052" s="6"/>
      <c r="L2052" s="20"/>
      <c r="M2052" s="7"/>
      <c r="N2052" s="5"/>
      <c r="O2052" s="130"/>
    </row>
    <row r="2053" spans="1:15" ht="15" x14ac:dyDescent="0.25">
      <c r="A2053" s="5"/>
      <c r="B2053" s="7"/>
      <c r="C2053" s="13"/>
      <c r="D2053" s="19"/>
      <c r="E2053" s="23"/>
      <c r="F2053" s="21"/>
      <c r="G2053" s="23"/>
      <c r="H2053" s="21"/>
      <c r="I2053" s="34"/>
      <c r="J2053" s="11"/>
      <c r="K2053" s="6"/>
      <c r="L2053" s="20"/>
      <c r="M2053" s="7"/>
      <c r="N2053" s="5"/>
      <c r="O2053" s="130"/>
    </row>
    <row r="2054" spans="1:15" ht="15" x14ac:dyDescent="0.25">
      <c r="A2054" s="5"/>
      <c r="B2054" s="7"/>
      <c r="C2054" s="13"/>
      <c r="D2054" s="19"/>
      <c r="E2054" s="23"/>
      <c r="F2054" s="21"/>
      <c r="G2054" s="23"/>
      <c r="H2054" s="21"/>
      <c r="I2054" s="34"/>
      <c r="J2054" s="11"/>
      <c r="K2054" s="6"/>
      <c r="L2054" s="20"/>
      <c r="M2054" s="7"/>
      <c r="N2054" s="5"/>
      <c r="O2054" s="130"/>
    </row>
    <row r="2055" spans="1:15" ht="15" x14ac:dyDescent="0.25">
      <c r="A2055" s="5"/>
      <c r="B2055" s="7"/>
      <c r="C2055" s="13"/>
      <c r="D2055" s="19"/>
      <c r="E2055" s="23"/>
      <c r="F2055" s="21"/>
      <c r="G2055" s="23"/>
      <c r="H2055" s="21"/>
      <c r="I2055" s="34"/>
      <c r="J2055" s="11"/>
      <c r="K2055" s="6"/>
      <c r="L2055" s="20"/>
      <c r="M2055" s="7"/>
      <c r="N2055" s="5"/>
      <c r="O2055" s="130"/>
    </row>
    <row r="2056" spans="1:15" ht="15" x14ac:dyDescent="0.25">
      <c r="A2056" s="5"/>
      <c r="B2056" s="7"/>
      <c r="C2056" s="13"/>
      <c r="D2056" s="19"/>
      <c r="E2056" s="23"/>
      <c r="F2056" s="21"/>
      <c r="G2056" s="23"/>
      <c r="H2056" s="21"/>
      <c r="I2056" s="34"/>
      <c r="J2056" s="11"/>
      <c r="K2056" s="6"/>
      <c r="L2056" s="20"/>
      <c r="M2056" s="7"/>
      <c r="N2056" s="5"/>
      <c r="O2056" s="130"/>
    </row>
    <row r="2057" spans="1:15" ht="15" x14ac:dyDescent="0.25">
      <c r="A2057" s="5"/>
      <c r="B2057" s="7"/>
      <c r="C2057" s="13"/>
      <c r="D2057" s="19"/>
      <c r="E2057" s="23"/>
      <c r="F2057" s="21"/>
      <c r="G2057" s="23"/>
      <c r="H2057" s="21"/>
      <c r="I2057" s="34"/>
      <c r="J2057" s="11"/>
      <c r="K2057" s="6"/>
      <c r="L2057" s="20"/>
      <c r="M2057" s="7"/>
      <c r="N2057" s="5"/>
      <c r="O2057" s="130"/>
    </row>
    <row r="2058" spans="1:15" ht="15" x14ac:dyDescent="0.25">
      <c r="A2058" s="5"/>
      <c r="B2058" s="7"/>
      <c r="C2058" s="13"/>
      <c r="D2058" s="19"/>
      <c r="E2058" s="23"/>
      <c r="F2058" s="21"/>
      <c r="G2058" s="23"/>
      <c r="H2058" s="21"/>
      <c r="I2058" s="34"/>
      <c r="J2058" s="11"/>
      <c r="K2058" s="6"/>
      <c r="L2058" s="20"/>
      <c r="M2058" s="7"/>
      <c r="N2058" s="5"/>
      <c r="O2058" s="130"/>
    </row>
    <row r="2059" spans="1:15" ht="15" x14ac:dyDescent="0.25">
      <c r="A2059" s="5"/>
      <c r="B2059" s="7"/>
      <c r="C2059" s="13"/>
      <c r="D2059" s="19"/>
      <c r="E2059" s="23"/>
      <c r="F2059" s="21"/>
      <c r="G2059" s="23"/>
      <c r="H2059" s="21"/>
      <c r="I2059" s="34"/>
      <c r="J2059" s="11"/>
      <c r="K2059" s="6"/>
      <c r="L2059" s="20"/>
      <c r="M2059" s="7"/>
      <c r="N2059" s="5"/>
      <c r="O2059" s="130"/>
    </row>
    <row r="2060" spans="1:15" ht="15" x14ac:dyDescent="0.25">
      <c r="A2060" s="5"/>
      <c r="B2060" s="7"/>
      <c r="C2060" s="13"/>
      <c r="D2060" s="19"/>
      <c r="E2060" s="23"/>
      <c r="F2060" s="21"/>
      <c r="G2060" s="23"/>
      <c r="H2060" s="21"/>
      <c r="I2060" s="34"/>
      <c r="J2060" s="11"/>
      <c r="K2060" s="6"/>
      <c r="L2060" s="20"/>
      <c r="M2060" s="7"/>
      <c r="N2060" s="5"/>
      <c r="O2060" s="130"/>
    </row>
    <row r="2061" spans="1:15" ht="15" x14ac:dyDescent="0.25">
      <c r="A2061" s="5"/>
      <c r="B2061" s="7"/>
      <c r="C2061" s="13"/>
      <c r="D2061" s="19"/>
      <c r="E2061" s="23"/>
      <c r="F2061" s="21"/>
      <c r="G2061" s="23"/>
      <c r="H2061" s="21"/>
      <c r="I2061" s="34"/>
      <c r="J2061" s="11"/>
      <c r="K2061" s="6"/>
      <c r="L2061" s="20"/>
      <c r="M2061" s="7"/>
      <c r="N2061" s="5"/>
      <c r="O2061" s="130"/>
    </row>
    <row r="2062" spans="1:15" ht="15" x14ac:dyDescent="0.25">
      <c r="A2062" s="5"/>
      <c r="B2062" s="7"/>
      <c r="C2062" s="13"/>
      <c r="D2062" s="19"/>
      <c r="E2062" s="23"/>
      <c r="F2062" s="21"/>
      <c r="G2062" s="23"/>
      <c r="H2062" s="21"/>
      <c r="I2062" s="34"/>
      <c r="J2062" s="11"/>
      <c r="K2062" s="6"/>
      <c r="L2062" s="20"/>
      <c r="M2062" s="7"/>
      <c r="N2062" s="5"/>
      <c r="O2062" s="130"/>
    </row>
    <row r="2063" spans="1:15" ht="15" x14ac:dyDescent="0.25">
      <c r="A2063" s="5"/>
      <c r="B2063" s="7"/>
      <c r="C2063" s="13"/>
      <c r="D2063" s="19"/>
      <c r="E2063" s="23"/>
      <c r="F2063" s="21"/>
      <c r="G2063" s="23"/>
      <c r="H2063" s="21"/>
      <c r="I2063" s="34"/>
      <c r="J2063" s="11"/>
      <c r="K2063" s="6"/>
      <c r="L2063" s="20"/>
      <c r="M2063" s="7"/>
      <c r="N2063" s="5"/>
      <c r="O2063" s="130"/>
    </row>
    <row r="2064" spans="1:15" ht="15" x14ac:dyDescent="0.25">
      <c r="A2064" s="5"/>
      <c r="B2064" s="7"/>
      <c r="C2064" s="13"/>
      <c r="D2064" s="19"/>
      <c r="E2064" s="23"/>
      <c r="F2064" s="21"/>
      <c r="G2064" s="23"/>
      <c r="H2064" s="21"/>
      <c r="I2064" s="34"/>
      <c r="J2064" s="11"/>
      <c r="K2064" s="6"/>
      <c r="L2064" s="20"/>
      <c r="M2064" s="7"/>
      <c r="N2064" s="5"/>
      <c r="O2064" s="130"/>
    </row>
    <row r="2065" spans="1:15" ht="15" x14ac:dyDescent="0.25">
      <c r="A2065" s="5"/>
      <c r="B2065" s="7"/>
      <c r="C2065" s="13"/>
      <c r="D2065" s="19"/>
      <c r="E2065" s="23"/>
      <c r="F2065" s="21"/>
      <c r="G2065" s="23"/>
      <c r="H2065" s="21"/>
      <c r="I2065" s="34"/>
      <c r="J2065" s="11"/>
      <c r="K2065" s="6"/>
      <c r="L2065" s="20"/>
      <c r="M2065" s="7"/>
      <c r="N2065" s="5"/>
      <c r="O2065" s="130"/>
    </row>
    <row r="2066" spans="1:15" ht="15" x14ac:dyDescent="0.25">
      <c r="A2066" s="5"/>
      <c r="B2066" s="7"/>
      <c r="C2066" s="13"/>
      <c r="D2066" s="19"/>
      <c r="E2066" s="23"/>
      <c r="F2066" s="21"/>
      <c r="G2066" s="23"/>
      <c r="H2066" s="21"/>
      <c r="I2066" s="34"/>
      <c r="J2066" s="11"/>
      <c r="K2066" s="6"/>
      <c r="L2066" s="20"/>
      <c r="M2066" s="7"/>
      <c r="N2066" s="5"/>
      <c r="O2066" s="130"/>
    </row>
    <row r="2067" spans="1:15" ht="15" x14ac:dyDescent="0.25">
      <c r="A2067" s="5"/>
      <c r="B2067" s="7"/>
      <c r="C2067" s="13"/>
      <c r="D2067" s="19"/>
      <c r="E2067" s="23"/>
      <c r="F2067" s="21"/>
      <c r="G2067" s="23"/>
      <c r="H2067" s="21"/>
      <c r="I2067" s="34"/>
      <c r="J2067" s="11"/>
      <c r="K2067" s="6"/>
      <c r="L2067" s="20"/>
      <c r="M2067" s="7"/>
      <c r="N2067" s="5"/>
      <c r="O2067" s="130"/>
    </row>
    <row r="2068" spans="1:15" ht="15" x14ac:dyDescent="0.25">
      <c r="A2068" s="5"/>
      <c r="B2068" s="7"/>
      <c r="C2068" s="13"/>
      <c r="D2068" s="19"/>
      <c r="E2068" s="23"/>
      <c r="F2068" s="21"/>
      <c r="G2068" s="23"/>
      <c r="H2068" s="21"/>
      <c r="I2068" s="34"/>
      <c r="J2068" s="11"/>
      <c r="K2068" s="6"/>
      <c r="L2068" s="20"/>
      <c r="M2068" s="7"/>
      <c r="N2068" s="5"/>
      <c r="O2068" s="130"/>
    </row>
    <row r="2069" spans="1:15" ht="15" x14ac:dyDescent="0.25">
      <c r="A2069" s="5"/>
      <c r="B2069" s="7"/>
      <c r="C2069" s="13"/>
      <c r="D2069" s="19"/>
      <c r="E2069" s="23"/>
      <c r="F2069" s="21"/>
      <c r="G2069" s="23"/>
      <c r="H2069" s="21"/>
      <c r="I2069" s="34"/>
      <c r="J2069" s="11"/>
      <c r="K2069" s="6"/>
      <c r="L2069" s="20"/>
      <c r="M2069" s="7"/>
      <c r="N2069" s="5"/>
      <c r="O2069" s="130"/>
    </row>
    <row r="2070" spans="1:15" ht="15" x14ac:dyDescent="0.25">
      <c r="A2070" s="5"/>
      <c r="B2070" s="7"/>
      <c r="C2070" s="13"/>
      <c r="D2070" s="19"/>
      <c r="E2070" s="23"/>
      <c r="F2070" s="21"/>
      <c r="G2070" s="23"/>
      <c r="H2070" s="21"/>
      <c r="I2070" s="34"/>
      <c r="J2070" s="11"/>
      <c r="K2070" s="6"/>
      <c r="L2070" s="20"/>
      <c r="M2070" s="7"/>
      <c r="N2070" s="5"/>
      <c r="O2070" s="130"/>
    </row>
    <row r="2071" spans="1:15" ht="15" x14ac:dyDescent="0.25">
      <c r="A2071" s="5"/>
      <c r="B2071" s="7"/>
      <c r="C2071" s="13"/>
      <c r="D2071" s="19"/>
      <c r="E2071" s="23"/>
      <c r="F2071" s="21"/>
      <c r="G2071" s="23"/>
      <c r="H2071" s="21"/>
      <c r="I2071" s="34"/>
      <c r="J2071" s="11"/>
      <c r="K2071" s="6"/>
      <c r="L2071" s="20"/>
      <c r="M2071" s="7"/>
      <c r="N2071" s="5"/>
      <c r="O2071" s="130"/>
    </row>
    <row r="2072" spans="1:15" ht="15" x14ac:dyDescent="0.25">
      <c r="A2072" s="5"/>
      <c r="B2072" s="7"/>
      <c r="C2072" s="13"/>
      <c r="D2072" s="19"/>
      <c r="E2072" s="23"/>
      <c r="F2072" s="21"/>
      <c r="G2072" s="23"/>
      <c r="H2072" s="21"/>
      <c r="I2072" s="34"/>
      <c r="J2072" s="11"/>
      <c r="K2072" s="6"/>
      <c r="L2072" s="20"/>
      <c r="M2072" s="7"/>
      <c r="N2072" s="5"/>
      <c r="O2072" s="130"/>
    </row>
    <row r="2073" spans="1:15" ht="15" x14ac:dyDescent="0.25">
      <c r="A2073" s="5"/>
      <c r="B2073" s="7"/>
      <c r="C2073" s="13"/>
      <c r="D2073" s="19"/>
      <c r="E2073" s="23"/>
      <c r="F2073" s="21"/>
      <c r="G2073" s="23"/>
      <c r="H2073" s="21"/>
      <c r="I2073" s="34"/>
      <c r="J2073" s="11"/>
      <c r="K2073" s="6"/>
      <c r="L2073" s="20"/>
      <c r="M2073" s="7"/>
      <c r="N2073" s="5"/>
      <c r="O2073" s="130"/>
    </row>
    <row r="2074" spans="1:15" ht="15" x14ac:dyDescent="0.25">
      <c r="A2074" s="5"/>
      <c r="B2074" s="7"/>
      <c r="C2074" s="13"/>
      <c r="D2074" s="19"/>
      <c r="E2074" s="23"/>
      <c r="F2074" s="21"/>
      <c r="G2074" s="23"/>
      <c r="H2074" s="21"/>
      <c r="I2074" s="34"/>
      <c r="J2074" s="11"/>
      <c r="K2074" s="6"/>
      <c r="L2074" s="20"/>
      <c r="M2074" s="7"/>
      <c r="N2074" s="5"/>
      <c r="O2074" s="130"/>
    </row>
    <row r="2075" spans="1:15" ht="15" x14ac:dyDescent="0.25">
      <c r="A2075" s="5"/>
      <c r="B2075" s="7"/>
      <c r="C2075" s="13"/>
      <c r="D2075" s="19"/>
      <c r="E2075" s="23"/>
      <c r="F2075" s="21"/>
      <c r="G2075" s="23"/>
      <c r="H2075" s="21"/>
      <c r="I2075" s="34"/>
      <c r="J2075" s="11"/>
      <c r="K2075" s="6"/>
      <c r="L2075" s="20"/>
      <c r="M2075" s="7"/>
      <c r="N2075" s="5"/>
      <c r="O2075" s="130"/>
    </row>
    <row r="2076" spans="1:15" ht="15" x14ac:dyDescent="0.25">
      <c r="A2076" s="5"/>
      <c r="B2076" s="7"/>
      <c r="C2076" s="13"/>
      <c r="D2076" s="19"/>
      <c r="E2076" s="23"/>
      <c r="F2076" s="21"/>
      <c r="G2076" s="23"/>
      <c r="H2076" s="21"/>
      <c r="I2076" s="34"/>
      <c r="J2076" s="11"/>
      <c r="K2076" s="6"/>
      <c r="L2076" s="20"/>
      <c r="M2076" s="7"/>
      <c r="N2076" s="5"/>
      <c r="O2076" s="130"/>
    </row>
    <row r="2077" spans="1:15" ht="15" x14ac:dyDescent="0.25">
      <c r="A2077" s="5"/>
      <c r="B2077" s="7"/>
      <c r="C2077" s="13"/>
      <c r="D2077" s="19"/>
      <c r="E2077" s="23"/>
      <c r="F2077" s="21"/>
      <c r="G2077" s="23"/>
      <c r="H2077" s="21"/>
      <c r="I2077" s="34"/>
      <c r="J2077" s="11"/>
      <c r="K2077" s="6"/>
      <c r="L2077" s="20"/>
      <c r="M2077" s="7"/>
      <c r="N2077" s="5"/>
      <c r="O2077" s="130"/>
    </row>
    <row r="2078" spans="1:15" ht="15" x14ac:dyDescent="0.25">
      <c r="A2078" s="5"/>
      <c r="B2078" s="7"/>
      <c r="C2078" s="13"/>
      <c r="D2078" s="19"/>
      <c r="E2078" s="23"/>
      <c r="F2078" s="21"/>
      <c r="G2078" s="23"/>
      <c r="H2078" s="21"/>
      <c r="I2078" s="34"/>
      <c r="J2078" s="11"/>
      <c r="K2078" s="6"/>
      <c r="L2078" s="20"/>
      <c r="M2078" s="7"/>
      <c r="N2078" s="5"/>
      <c r="O2078" s="130"/>
    </row>
    <row r="2079" spans="1:15" ht="15" x14ac:dyDescent="0.25">
      <c r="A2079" s="5"/>
      <c r="B2079" s="7"/>
      <c r="C2079" s="13"/>
      <c r="D2079" s="19"/>
      <c r="E2079" s="23"/>
      <c r="F2079" s="21"/>
      <c r="G2079" s="23"/>
      <c r="H2079" s="21"/>
      <c r="I2079" s="34"/>
      <c r="J2079" s="11"/>
      <c r="K2079" s="6"/>
      <c r="L2079" s="20"/>
      <c r="M2079" s="7"/>
      <c r="N2079" s="5"/>
      <c r="O2079" s="130"/>
    </row>
    <row r="2080" spans="1:15" ht="15" x14ac:dyDescent="0.25">
      <c r="A2080" s="5"/>
      <c r="B2080" s="7"/>
      <c r="C2080" s="13"/>
      <c r="D2080" s="19"/>
      <c r="E2080" s="23"/>
      <c r="F2080" s="21"/>
      <c r="G2080" s="23"/>
      <c r="H2080" s="21"/>
      <c r="I2080" s="34"/>
      <c r="J2080" s="11"/>
      <c r="K2080" s="6"/>
      <c r="L2080" s="20"/>
      <c r="M2080" s="7"/>
      <c r="N2080" s="5"/>
      <c r="O2080" s="130"/>
    </row>
    <row r="2081" spans="1:15" ht="15" x14ac:dyDescent="0.25">
      <c r="A2081" s="5"/>
      <c r="B2081" s="7"/>
      <c r="C2081" s="13"/>
      <c r="D2081" s="19"/>
      <c r="E2081" s="23"/>
      <c r="F2081" s="21"/>
      <c r="G2081" s="23"/>
      <c r="H2081" s="21"/>
      <c r="I2081" s="34"/>
      <c r="J2081" s="11"/>
      <c r="K2081" s="6"/>
      <c r="L2081" s="20"/>
      <c r="M2081" s="7"/>
      <c r="N2081" s="5"/>
      <c r="O2081" s="130"/>
    </row>
    <row r="2082" spans="1:15" ht="15" x14ac:dyDescent="0.25">
      <c r="A2082" s="5"/>
      <c r="B2082" s="7"/>
      <c r="C2082" s="13"/>
      <c r="D2082" s="19"/>
      <c r="E2082" s="23"/>
      <c r="F2082" s="21"/>
      <c r="G2082" s="23"/>
      <c r="H2082" s="21"/>
      <c r="I2082" s="34"/>
      <c r="J2082" s="11"/>
      <c r="K2082" s="6"/>
      <c r="L2082" s="20"/>
      <c r="M2082" s="7"/>
      <c r="N2082" s="5"/>
      <c r="O2082" s="130"/>
    </row>
    <row r="2083" spans="1:15" ht="15" x14ac:dyDescent="0.25">
      <c r="A2083" s="5"/>
      <c r="B2083" s="7"/>
      <c r="C2083" s="13"/>
      <c r="D2083" s="19"/>
      <c r="E2083" s="23"/>
      <c r="F2083" s="21"/>
      <c r="G2083" s="23"/>
      <c r="H2083" s="21"/>
      <c r="I2083" s="34"/>
      <c r="J2083" s="11"/>
      <c r="K2083" s="6"/>
      <c r="L2083" s="20"/>
      <c r="M2083" s="7"/>
      <c r="N2083" s="5"/>
      <c r="O2083" s="130"/>
    </row>
    <row r="2084" spans="1:15" ht="15" x14ac:dyDescent="0.25">
      <c r="A2084" s="5"/>
      <c r="B2084" s="7"/>
      <c r="C2084" s="13"/>
      <c r="D2084" s="19"/>
      <c r="E2084" s="23"/>
      <c r="F2084" s="21"/>
      <c r="G2084" s="23"/>
      <c r="H2084" s="21"/>
      <c r="I2084" s="34"/>
      <c r="J2084" s="11"/>
      <c r="K2084" s="6"/>
      <c r="L2084" s="20"/>
      <c r="M2084" s="7"/>
      <c r="N2084" s="5"/>
      <c r="O2084" s="130"/>
    </row>
    <row r="2085" spans="1:15" ht="15" x14ac:dyDescent="0.25">
      <c r="A2085" s="5"/>
      <c r="B2085" s="7"/>
      <c r="C2085" s="13"/>
      <c r="D2085" s="19"/>
      <c r="E2085" s="23"/>
      <c r="F2085" s="21"/>
      <c r="G2085" s="23"/>
      <c r="H2085" s="21"/>
      <c r="I2085" s="34"/>
      <c r="J2085" s="11"/>
      <c r="K2085" s="6"/>
      <c r="L2085" s="20"/>
      <c r="M2085" s="7"/>
      <c r="N2085" s="5"/>
      <c r="O2085" s="130"/>
    </row>
    <row r="2086" spans="1:15" ht="15" x14ac:dyDescent="0.25">
      <c r="A2086" s="5"/>
      <c r="B2086" s="7"/>
      <c r="C2086" s="13"/>
      <c r="D2086" s="19"/>
      <c r="E2086" s="23"/>
      <c r="F2086" s="21"/>
      <c r="G2086" s="23"/>
      <c r="H2086" s="21"/>
      <c r="I2086" s="34"/>
      <c r="J2086" s="11"/>
      <c r="K2086" s="6"/>
      <c r="L2086" s="20"/>
      <c r="M2086" s="7"/>
      <c r="N2086" s="5"/>
      <c r="O2086" s="130"/>
    </row>
    <row r="2087" spans="1:15" ht="15" x14ac:dyDescent="0.25">
      <c r="A2087" s="5"/>
      <c r="B2087" s="7"/>
      <c r="C2087" s="13"/>
      <c r="D2087" s="19"/>
      <c r="E2087" s="23"/>
      <c r="F2087" s="21"/>
      <c r="G2087" s="23"/>
      <c r="H2087" s="21"/>
      <c r="I2087" s="34"/>
      <c r="J2087" s="11"/>
      <c r="K2087" s="6"/>
      <c r="L2087" s="20"/>
      <c r="M2087" s="7"/>
      <c r="N2087" s="5"/>
      <c r="O2087" s="130"/>
    </row>
    <row r="2088" spans="1:15" ht="15" x14ac:dyDescent="0.25">
      <c r="A2088" s="5"/>
      <c r="B2088" s="7"/>
      <c r="C2088" s="13"/>
      <c r="D2088" s="19"/>
      <c r="E2088" s="23"/>
      <c r="F2088" s="21"/>
      <c r="G2088" s="23"/>
      <c r="H2088" s="21"/>
      <c r="I2088" s="34"/>
      <c r="J2088" s="11"/>
      <c r="K2088" s="6"/>
      <c r="L2088" s="20"/>
      <c r="M2088" s="7"/>
      <c r="N2088" s="5"/>
      <c r="O2088" s="130"/>
    </row>
    <row r="2089" spans="1:15" ht="15" x14ac:dyDescent="0.25">
      <c r="A2089" s="5"/>
      <c r="B2089" s="7"/>
      <c r="C2089" s="13"/>
      <c r="D2089" s="19"/>
      <c r="E2089" s="23"/>
      <c r="F2089" s="21"/>
      <c r="G2089" s="23"/>
      <c r="H2089" s="21"/>
      <c r="I2089" s="34"/>
      <c r="J2089" s="11"/>
      <c r="K2089" s="6"/>
      <c r="L2089" s="20"/>
      <c r="M2089" s="7"/>
      <c r="N2089" s="5"/>
      <c r="O2089" s="130"/>
    </row>
    <row r="2090" spans="1:15" ht="15" x14ac:dyDescent="0.25">
      <c r="A2090" s="5"/>
      <c r="B2090" s="7"/>
      <c r="C2090" s="13"/>
      <c r="D2090" s="19"/>
      <c r="E2090" s="23"/>
      <c r="F2090" s="21"/>
      <c r="G2090" s="23"/>
      <c r="H2090" s="21"/>
      <c r="I2090" s="34"/>
      <c r="J2090" s="11"/>
      <c r="K2090" s="6"/>
      <c r="L2090" s="20"/>
      <c r="M2090" s="7"/>
      <c r="N2090" s="5"/>
      <c r="O2090" s="130"/>
    </row>
    <row r="2091" spans="1:15" ht="15" x14ac:dyDescent="0.25">
      <c r="A2091" s="5"/>
      <c r="B2091" s="7"/>
      <c r="C2091" s="13"/>
      <c r="D2091" s="19"/>
      <c r="E2091" s="23"/>
      <c r="F2091" s="21"/>
      <c r="G2091" s="23"/>
      <c r="H2091" s="21"/>
      <c r="I2091" s="34"/>
      <c r="J2091" s="11"/>
      <c r="K2091" s="6"/>
      <c r="L2091" s="20"/>
      <c r="M2091" s="7"/>
      <c r="N2091" s="5"/>
      <c r="O2091" s="130"/>
    </row>
    <row r="2092" spans="1:15" ht="15" x14ac:dyDescent="0.25">
      <c r="A2092" s="5"/>
      <c r="B2092" s="7"/>
      <c r="C2092" s="13"/>
      <c r="D2092" s="19"/>
      <c r="E2092" s="23"/>
      <c r="F2092" s="21"/>
      <c r="G2092" s="23"/>
      <c r="H2092" s="21"/>
      <c r="I2092" s="34"/>
      <c r="J2092" s="11"/>
      <c r="K2092" s="6"/>
      <c r="L2092" s="20"/>
      <c r="M2092" s="7"/>
      <c r="N2092" s="5"/>
      <c r="O2092" s="130"/>
    </row>
    <row r="2093" spans="1:15" ht="15" x14ac:dyDescent="0.25">
      <c r="A2093" s="5"/>
      <c r="B2093" s="7"/>
      <c r="C2093" s="13"/>
      <c r="D2093" s="19"/>
      <c r="E2093" s="23"/>
      <c r="F2093" s="21"/>
      <c r="G2093" s="23"/>
      <c r="H2093" s="21"/>
      <c r="I2093" s="34"/>
      <c r="J2093" s="11"/>
      <c r="K2093" s="6"/>
      <c r="L2093" s="20"/>
      <c r="M2093" s="7"/>
      <c r="N2093" s="5"/>
      <c r="O2093" s="130"/>
    </row>
    <row r="2094" spans="1:15" ht="15" x14ac:dyDescent="0.25">
      <c r="A2094" s="5"/>
      <c r="B2094" s="7"/>
      <c r="C2094" s="13"/>
      <c r="D2094" s="19"/>
      <c r="E2094" s="23"/>
      <c r="F2094" s="21"/>
      <c r="G2094" s="23"/>
      <c r="H2094" s="21"/>
      <c r="I2094" s="34"/>
      <c r="J2094" s="11"/>
      <c r="K2094" s="6"/>
      <c r="L2094" s="20"/>
      <c r="M2094" s="7"/>
      <c r="N2094" s="5"/>
      <c r="O2094" s="130"/>
    </row>
    <row r="2095" spans="1:15" ht="15" x14ac:dyDescent="0.25">
      <c r="A2095" s="5"/>
      <c r="B2095" s="7"/>
      <c r="C2095" s="13"/>
      <c r="D2095" s="19"/>
      <c r="E2095" s="23"/>
      <c r="F2095" s="21"/>
      <c r="G2095" s="23"/>
      <c r="H2095" s="21"/>
      <c r="I2095" s="34"/>
      <c r="J2095" s="11"/>
      <c r="K2095" s="6"/>
      <c r="L2095" s="20"/>
      <c r="M2095" s="7"/>
      <c r="N2095" s="5"/>
      <c r="O2095" s="130"/>
    </row>
    <row r="2096" spans="1:15" ht="15" x14ac:dyDescent="0.25">
      <c r="A2096" s="5"/>
      <c r="B2096" s="7"/>
      <c r="C2096" s="13"/>
      <c r="D2096" s="19"/>
      <c r="E2096" s="23"/>
      <c r="F2096" s="21"/>
      <c r="G2096" s="23"/>
      <c r="H2096" s="21"/>
      <c r="I2096" s="34"/>
      <c r="J2096" s="11"/>
      <c r="K2096" s="6"/>
      <c r="L2096" s="20"/>
      <c r="M2096" s="7"/>
      <c r="N2096" s="5"/>
      <c r="O2096" s="130"/>
    </row>
    <row r="2097" spans="1:15" ht="15" x14ac:dyDescent="0.25">
      <c r="A2097" s="5"/>
      <c r="B2097" s="7"/>
      <c r="C2097" s="13"/>
      <c r="D2097" s="19"/>
      <c r="E2097" s="23"/>
      <c r="F2097" s="21"/>
      <c r="G2097" s="23"/>
      <c r="H2097" s="21"/>
      <c r="I2097" s="34"/>
      <c r="J2097" s="11"/>
      <c r="K2097" s="6"/>
      <c r="L2097" s="20"/>
      <c r="M2097" s="7"/>
      <c r="N2097" s="5"/>
      <c r="O2097" s="130"/>
    </row>
    <row r="2098" spans="1:15" ht="15" x14ac:dyDescent="0.25">
      <c r="A2098" s="5"/>
      <c r="B2098" s="7"/>
      <c r="C2098" s="13"/>
      <c r="D2098" s="19"/>
      <c r="E2098" s="23"/>
      <c r="F2098" s="21"/>
      <c r="G2098" s="23"/>
      <c r="H2098" s="21"/>
      <c r="I2098" s="34"/>
      <c r="J2098" s="11"/>
      <c r="K2098" s="6"/>
      <c r="L2098" s="20"/>
      <c r="M2098" s="7"/>
      <c r="N2098" s="5"/>
      <c r="O2098" s="130"/>
    </row>
    <row r="2099" spans="1:15" ht="15" x14ac:dyDescent="0.25">
      <c r="A2099" s="5"/>
      <c r="B2099" s="7"/>
      <c r="C2099" s="13"/>
      <c r="D2099" s="19"/>
      <c r="E2099" s="23"/>
      <c r="F2099" s="21"/>
      <c r="G2099" s="23"/>
      <c r="H2099" s="21"/>
      <c r="I2099" s="34"/>
      <c r="J2099" s="11"/>
      <c r="K2099" s="6"/>
      <c r="L2099" s="20"/>
      <c r="M2099" s="7"/>
      <c r="N2099" s="5"/>
      <c r="O2099" s="130"/>
    </row>
    <row r="2100" spans="1:15" ht="15" x14ac:dyDescent="0.25">
      <c r="A2100" s="5"/>
      <c r="B2100" s="7"/>
      <c r="C2100" s="13"/>
      <c r="D2100" s="19"/>
      <c r="E2100" s="23"/>
      <c r="F2100" s="21"/>
      <c r="G2100" s="23"/>
      <c r="H2100" s="21"/>
      <c r="I2100" s="34"/>
      <c r="J2100" s="11"/>
      <c r="K2100" s="6"/>
      <c r="L2100" s="20"/>
      <c r="M2100" s="7"/>
      <c r="N2100" s="5"/>
      <c r="O2100" s="130"/>
    </row>
    <row r="2101" spans="1:15" ht="15" x14ac:dyDescent="0.25">
      <c r="A2101" s="5"/>
      <c r="B2101" s="7"/>
      <c r="C2101" s="13"/>
      <c r="D2101" s="19"/>
      <c r="E2101" s="23"/>
      <c r="F2101" s="21"/>
      <c r="G2101" s="23"/>
      <c r="H2101" s="21"/>
      <c r="I2101" s="34"/>
      <c r="J2101" s="11"/>
      <c r="K2101" s="6"/>
      <c r="L2101" s="20"/>
      <c r="M2101" s="7"/>
      <c r="N2101" s="5"/>
      <c r="O2101" s="130"/>
    </row>
    <row r="2102" spans="1:15" ht="15" x14ac:dyDescent="0.25">
      <c r="A2102" s="5"/>
      <c r="B2102" s="7"/>
      <c r="C2102" s="13"/>
      <c r="D2102" s="19"/>
      <c r="E2102" s="23"/>
      <c r="F2102" s="21"/>
      <c r="G2102" s="23"/>
      <c r="H2102" s="21"/>
      <c r="I2102" s="34"/>
      <c r="J2102" s="11"/>
      <c r="K2102" s="6"/>
      <c r="L2102" s="20"/>
      <c r="M2102" s="7"/>
      <c r="N2102" s="5"/>
      <c r="O2102" s="130"/>
    </row>
    <row r="2103" spans="1:15" ht="15" x14ac:dyDescent="0.25">
      <c r="A2103" s="5"/>
      <c r="B2103" s="7"/>
      <c r="C2103" s="13"/>
      <c r="D2103" s="19"/>
      <c r="E2103" s="23"/>
      <c r="F2103" s="21"/>
      <c r="G2103" s="23"/>
      <c r="H2103" s="21"/>
      <c r="I2103" s="34"/>
      <c r="J2103" s="11"/>
      <c r="K2103" s="6"/>
      <c r="L2103" s="20"/>
      <c r="M2103" s="7"/>
      <c r="N2103" s="5"/>
      <c r="O2103" s="130"/>
    </row>
    <row r="2104" spans="1:15" ht="15" x14ac:dyDescent="0.25">
      <c r="A2104" s="5"/>
      <c r="B2104" s="7"/>
      <c r="C2104" s="13"/>
      <c r="D2104" s="19"/>
      <c r="E2104" s="23"/>
      <c r="F2104" s="21"/>
      <c r="G2104" s="23"/>
      <c r="H2104" s="21"/>
      <c r="I2104" s="34"/>
      <c r="J2104" s="11"/>
      <c r="K2104" s="6"/>
      <c r="L2104" s="20"/>
      <c r="M2104" s="7"/>
      <c r="N2104" s="5"/>
      <c r="O2104" s="130"/>
    </row>
    <row r="2105" spans="1:15" ht="15" x14ac:dyDescent="0.25">
      <c r="A2105" s="5"/>
      <c r="B2105" s="7"/>
      <c r="C2105" s="13"/>
      <c r="D2105" s="19"/>
      <c r="E2105" s="23"/>
      <c r="F2105" s="21"/>
      <c r="G2105" s="23"/>
      <c r="H2105" s="21"/>
      <c r="I2105" s="34"/>
      <c r="J2105" s="11"/>
      <c r="K2105" s="6"/>
      <c r="L2105" s="20"/>
      <c r="M2105" s="7"/>
      <c r="N2105" s="5"/>
      <c r="O2105" s="130"/>
    </row>
    <row r="2106" spans="1:15" ht="15" x14ac:dyDescent="0.25">
      <c r="A2106" s="5"/>
      <c r="B2106" s="7"/>
      <c r="C2106" s="13"/>
      <c r="D2106" s="19"/>
      <c r="E2106" s="23"/>
      <c r="F2106" s="21"/>
      <c r="G2106" s="23"/>
      <c r="H2106" s="21"/>
      <c r="I2106" s="34"/>
      <c r="J2106" s="11"/>
      <c r="K2106" s="6"/>
      <c r="L2106" s="20"/>
      <c r="M2106" s="7"/>
      <c r="N2106" s="5"/>
      <c r="O2106" s="130"/>
    </row>
    <row r="2107" spans="1:15" ht="15" x14ac:dyDescent="0.25">
      <c r="A2107" s="5"/>
      <c r="B2107" s="7"/>
      <c r="C2107" s="13"/>
      <c r="D2107" s="19"/>
      <c r="E2107" s="23"/>
      <c r="F2107" s="21"/>
      <c r="G2107" s="23"/>
      <c r="H2107" s="21"/>
      <c r="I2107" s="34"/>
      <c r="J2107" s="11"/>
      <c r="K2107" s="6"/>
      <c r="L2107" s="20"/>
      <c r="M2107" s="7"/>
      <c r="N2107" s="5"/>
      <c r="O2107" s="130"/>
    </row>
    <row r="2108" spans="1:15" ht="15" x14ac:dyDescent="0.25">
      <c r="A2108" s="5"/>
      <c r="B2108" s="7"/>
      <c r="C2108" s="13"/>
      <c r="D2108" s="19"/>
      <c r="E2108" s="23"/>
      <c r="F2108" s="21"/>
      <c r="G2108" s="23"/>
      <c r="H2108" s="21"/>
      <c r="I2108" s="34"/>
      <c r="J2108" s="11"/>
      <c r="K2108" s="6"/>
      <c r="L2108" s="20"/>
      <c r="M2108" s="7"/>
      <c r="N2108" s="5"/>
      <c r="O2108" s="130"/>
    </row>
    <row r="2109" spans="1:15" ht="15" x14ac:dyDescent="0.25">
      <c r="A2109" s="5"/>
      <c r="B2109" s="7"/>
      <c r="C2109" s="13"/>
      <c r="D2109" s="19"/>
      <c r="E2109" s="23"/>
      <c r="F2109" s="21"/>
      <c r="G2109" s="23"/>
      <c r="H2109" s="21"/>
      <c r="I2109" s="34"/>
      <c r="J2109" s="11"/>
      <c r="K2109" s="6"/>
      <c r="L2109" s="20"/>
      <c r="M2109" s="7"/>
      <c r="N2109" s="5"/>
      <c r="O2109" s="130"/>
    </row>
    <row r="2110" spans="1:15" ht="15" x14ac:dyDescent="0.25">
      <c r="A2110" s="5"/>
      <c r="B2110" s="7"/>
      <c r="C2110" s="13"/>
      <c r="D2110" s="19"/>
      <c r="E2110" s="23"/>
      <c r="F2110" s="21"/>
      <c r="G2110" s="23"/>
      <c r="H2110" s="21"/>
      <c r="I2110" s="34"/>
      <c r="J2110" s="11"/>
      <c r="K2110" s="6"/>
      <c r="L2110" s="20"/>
      <c r="M2110" s="7"/>
      <c r="N2110" s="5"/>
      <c r="O2110" s="130"/>
    </row>
    <row r="2111" spans="1:15" ht="15" x14ac:dyDescent="0.25">
      <c r="A2111" s="5"/>
      <c r="B2111" s="7"/>
      <c r="C2111" s="13"/>
      <c r="D2111" s="19"/>
      <c r="E2111" s="23"/>
      <c r="F2111" s="21"/>
      <c r="G2111" s="23"/>
      <c r="H2111" s="21"/>
      <c r="I2111" s="34"/>
      <c r="J2111" s="11"/>
      <c r="K2111" s="6"/>
      <c r="L2111" s="20"/>
      <c r="M2111" s="7"/>
      <c r="N2111" s="5"/>
      <c r="O2111" s="130"/>
    </row>
    <row r="2112" spans="1:15" ht="15" x14ac:dyDescent="0.25">
      <c r="A2112" s="5"/>
      <c r="B2112" s="7"/>
      <c r="C2112" s="13"/>
      <c r="D2112" s="19"/>
      <c r="E2112" s="23"/>
      <c r="F2112" s="21"/>
      <c r="G2112" s="23"/>
      <c r="H2112" s="21"/>
      <c r="I2112" s="34"/>
      <c r="J2112" s="11"/>
      <c r="K2112" s="6"/>
      <c r="L2112" s="20"/>
      <c r="M2112" s="7"/>
      <c r="N2112" s="5"/>
      <c r="O2112" s="130"/>
    </row>
    <row r="2113" spans="1:15" ht="15" x14ac:dyDescent="0.25">
      <c r="A2113" s="5"/>
      <c r="B2113" s="7"/>
      <c r="C2113" s="13"/>
      <c r="D2113" s="19"/>
      <c r="E2113" s="23"/>
      <c r="F2113" s="21"/>
      <c r="G2113" s="23"/>
      <c r="H2113" s="21"/>
      <c r="I2113" s="34"/>
      <c r="J2113" s="11"/>
      <c r="K2113" s="6"/>
      <c r="L2113" s="20"/>
      <c r="M2113" s="7"/>
      <c r="N2113" s="5"/>
      <c r="O2113" s="130"/>
    </row>
    <row r="2114" spans="1:15" ht="15" x14ac:dyDescent="0.25">
      <c r="A2114" s="5"/>
      <c r="B2114" s="7"/>
      <c r="C2114" s="13"/>
      <c r="D2114" s="19"/>
      <c r="E2114" s="23"/>
      <c r="F2114" s="21"/>
      <c r="G2114" s="23"/>
      <c r="H2114" s="21"/>
      <c r="I2114" s="34"/>
      <c r="J2114" s="11"/>
      <c r="K2114" s="6"/>
      <c r="L2114" s="20"/>
      <c r="M2114" s="7"/>
      <c r="N2114" s="5"/>
      <c r="O2114" s="130"/>
    </row>
    <row r="2115" spans="1:15" ht="15" x14ac:dyDescent="0.25">
      <c r="A2115" s="5"/>
      <c r="B2115" s="7"/>
      <c r="C2115" s="13"/>
      <c r="D2115" s="19"/>
      <c r="E2115" s="23"/>
      <c r="F2115" s="21"/>
      <c r="G2115" s="23"/>
      <c r="H2115" s="21"/>
      <c r="I2115" s="34"/>
      <c r="J2115" s="11"/>
      <c r="K2115" s="6"/>
      <c r="L2115" s="20"/>
      <c r="M2115" s="7"/>
      <c r="N2115" s="5"/>
      <c r="O2115" s="130"/>
    </row>
    <row r="2116" spans="1:15" ht="15" x14ac:dyDescent="0.25">
      <c r="A2116" s="5"/>
      <c r="B2116" s="7"/>
      <c r="C2116" s="13"/>
      <c r="D2116" s="19"/>
      <c r="E2116" s="23"/>
      <c r="F2116" s="21"/>
      <c r="G2116" s="23"/>
      <c r="H2116" s="21"/>
      <c r="I2116" s="34"/>
      <c r="J2116" s="11"/>
      <c r="K2116" s="6"/>
      <c r="L2116" s="20"/>
      <c r="M2116" s="7"/>
      <c r="N2116" s="5"/>
      <c r="O2116" s="130"/>
    </row>
    <row r="2117" spans="1:15" ht="15" x14ac:dyDescent="0.25">
      <c r="A2117" s="5"/>
      <c r="B2117" s="7"/>
      <c r="C2117" s="13"/>
      <c r="D2117" s="19"/>
      <c r="E2117" s="23"/>
      <c r="F2117" s="21"/>
      <c r="G2117" s="23"/>
      <c r="H2117" s="21"/>
      <c r="I2117" s="34"/>
      <c r="J2117" s="11"/>
      <c r="K2117" s="6"/>
      <c r="L2117" s="20"/>
      <c r="M2117" s="7"/>
      <c r="N2117" s="5"/>
      <c r="O2117" s="130"/>
    </row>
    <row r="2118" spans="1:15" ht="15" x14ac:dyDescent="0.25">
      <c r="A2118" s="5"/>
      <c r="B2118" s="7"/>
      <c r="C2118" s="13"/>
      <c r="D2118" s="19"/>
      <c r="E2118" s="23"/>
      <c r="F2118" s="21"/>
      <c r="G2118" s="23"/>
      <c r="H2118" s="21"/>
      <c r="I2118" s="34"/>
      <c r="J2118" s="11"/>
      <c r="K2118" s="6"/>
      <c r="L2118" s="20"/>
      <c r="M2118" s="7"/>
      <c r="N2118" s="5"/>
      <c r="O2118" s="130"/>
    </row>
    <row r="2119" spans="1:15" ht="15" x14ac:dyDescent="0.25">
      <c r="A2119" s="5"/>
      <c r="B2119" s="7"/>
      <c r="C2119" s="13"/>
      <c r="D2119" s="19"/>
      <c r="E2119" s="23"/>
      <c r="F2119" s="21"/>
      <c r="G2119" s="23"/>
      <c r="H2119" s="21"/>
      <c r="I2119" s="34"/>
      <c r="J2119" s="11"/>
      <c r="K2119" s="6"/>
      <c r="L2119" s="20"/>
      <c r="M2119" s="7"/>
      <c r="N2119" s="5"/>
      <c r="O2119" s="130"/>
    </row>
    <row r="2120" spans="1:15" ht="15" x14ac:dyDescent="0.25">
      <c r="A2120" s="5"/>
      <c r="B2120" s="7"/>
      <c r="C2120" s="13"/>
      <c r="D2120" s="19"/>
      <c r="E2120" s="23"/>
      <c r="F2120" s="21"/>
      <c r="G2120" s="23"/>
      <c r="H2120" s="21"/>
      <c r="I2120" s="34"/>
      <c r="J2120" s="11"/>
      <c r="K2120" s="6"/>
      <c r="L2120" s="20"/>
      <c r="M2120" s="7"/>
      <c r="N2120" s="5"/>
      <c r="O2120" s="130"/>
    </row>
    <row r="2121" spans="1:15" ht="15" x14ac:dyDescent="0.25">
      <c r="A2121" s="5"/>
      <c r="B2121" s="7"/>
      <c r="C2121" s="13"/>
      <c r="D2121" s="19"/>
      <c r="E2121" s="23"/>
      <c r="F2121" s="21"/>
      <c r="G2121" s="23"/>
      <c r="H2121" s="21"/>
      <c r="I2121" s="34"/>
      <c r="J2121" s="11"/>
      <c r="K2121" s="6"/>
      <c r="L2121" s="20"/>
      <c r="M2121" s="7"/>
      <c r="N2121" s="5"/>
      <c r="O2121" s="130"/>
    </row>
    <row r="2122" spans="1:15" ht="15" x14ac:dyDescent="0.25">
      <c r="A2122" s="5"/>
      <c r="B2122" s="7"/>
      <c r="C2122" s="13"/>
      <c r="D2122" s="19"/>
      <c r="E2122" s="23"/>
      <c r="F2122" s="21"/>
      <c r="G2122" s="23"/>
      <c r="H2122" s="21"/>
      <c r="I2122" s="34"/>
      <c r="J2122" s="11"/>
      <c r="K2122" s="6"/>
      <c r="L2122" s="20"/>
      <c r="M2122" s="7"/>
      <c r="N2122" s="5"/>
      <c r="O2122" s="130"/>
    </row>
    <row r="2123" spans="1:15" ht="15" x14ac:dyDescent="0.25">
      <c r="A2123" s="5"/>
      <c r="B2123" s="7"/>
      <c r="C2123" s="13"/>
      <c r="D2123" s="19"/>
      <c r="E2123" s="23"/>
      <c r="F2123" s="21"/>
      <c r="G2123" s="23"/>
      <c r="H2123" s="21"/>
      <c r="I2123" s="34"/>
      <c r="J2123" s="11"/>
      <c r="K2123" s="6"/>
      <c r="L2123" s="20"/>
      <c r="M2123" s="7"/>
      <c r="N2123" s="5"/>
      <c r="O2123" s="130"/>
    </row>
    <row r="2124" spans="1:15" ht="15" x14ac:dyDescent="0.25">
      <c r="A2124" s="5"/>
      <c r="B2124" s="7"/>
      <c r="C2124" s="13"/>
      <c r="D2124" s="19"/>
      <c r="E2124" s="23"/>
      <c r="F2124" s="21"/>
      <c r="G2124" s="23"/>
      <c r="H2124" s="21"/>
      <c r="I2124" s="34"/>
      <c r="J2124" s="11"/>
      <c r="K2124" s="6"/>
      <c r="L2124" s="20"/>
      <c r="M2124" s="7"/>
      <c r="N2124" s="5"/>
      <c r="O2124" s="130"/>
    </row>
    <row r="2125" spans="1:15" ht="15" x14ac:dyDescent="0.25">
      <c r="A2125" s="5"/>
      <c r="B2125" s="7"/>
      <c r="C2125" s="13"/>
      <c r="D2125" s="19"/>
      <c r="E2125" s="23"/>
      <c r="F2125" s="21"/>
      <c r="G2125" s="23"/>
      <c r="H2125" s="21"/>
      <c r="I2125" s="34"/>
      <c r="J2125" s="11"/>
      <c r="K2125" s="6"/>
      <c r="L2125" s="20"/>
      <c r="M2125" s="7"/>
      <c r="N2125" s="5"/>
      <c r="O2125" s="130"/>
    </row>
    <row r="2126" spans="1:15" ht="15" x14ac:dyDescent="0.25">
      <c r="A2126" s="5"/>
      <c r="B2126" s="7"/>
      <c r="C2126" s="13"/>
      <c r="D2126" s="19"/>
      <c r="E2126" s="23"/>
      <c r="F2126" s="21"/>
      <c r="G2126" s="23"/>
      <c r="H2126" s="21"/>
      <c r="I2126" s="34"/>
      <c r="J2126" s="11"/>
      <c r="K2126" s="6"/>
      <c r="L2126" s="20"/>
      <c r="M2126" s="7"/>
      <c r="N2126" s="5"/>
      <c r="O2126" s="130"/>
    </row>
    <row r="2127" spans="1:15" ht="15" x14ac:dyDescent="0.25">
      <c r="A2127" s="5"/>
      <c r="B2127" s="7"/>
      <c r="C2127" s="13"/>
      <c r="D2127" s="19"/>
      <c r="E2127" s="23"/>
      <c r="F2127" s="21"/>
      <c r="G2127" s="23"/>
      <c r="H2127" s="21"/>
      <c r="I2127" s="34"/>
      <c r="J2127" s="11"/>
      <c r="K2127" s="6"/>
      <c r="L2127" s="20"/>
      <c r="M2127" s="7"/>
      <c r="N2127" s="5"/>
      <c r="O2127" s="130"/>
    </row>
    <row r="2128" spans="1:15" ht="15" x14ac:dyDescent="0.25">
      <c r="A2128" s="5"/>
      <c r="B2128" s="7"/>
      <c r="C2128" s="13"/>
      <c r="D2128" s="19"/>
      <c r="E2128" s="23"/>
      <c r="F2128" s="21"/>
      <c r="G2128" s="23"/>
      <c r="H2128" s="21"/>
      <c r="I2128" s="34"/>
      <c r="J2128" s="11"/>
      <c r="K2128" s="6"/>
      <c r="L2128" s="20"/>
      <c r="M2128" s="7"/>
      <c r="N2128" s="5"/>
      <c r="O2128" s="130"/>
    </row>
    <row r="2129" spans="1:15" ht="15" x14ac:dyDescent="0.25">
      <c r="A2129" s="5"/>
      <c r="B2129" s="7"/>
      <c r="C2129" s="13"/>
      <c r="D2129" s="19"/>
      <c r="E2129" s="23"/>
      <c r="F2129" s="21"/>
      <c r="G2129" s="23"/>
      <c r="H2129" s="21"/>
      <c r="I2129" s="34"/>
      <c r="J2129" s="11"/>
      <c r="K2129" s="6"/>
      <c r="L2129" s="20"/>
      <c r="M2129" s="7"/>
      <c r="N2129" s="5"/>
      <c r="O2129" s="130"/>
    </row>
    <row r="2130" spans="1:15" ht="15" x14ac:dyDescent="0.25">
      <c r="A2130" s="5"/>
      <c r="B2130" s="7"/>
      <c r="C2130" s="13"/>
      <c r="D2130" s="19"/>
      <c r="E2130" s="23"/>
      <c r="F2130" s="21"/>
      <c r="G2130" s="23"/>
      <c r="H2130" s="21"/>
      <c r="I2130" s="34"/>
      <c r="J2130" s="11"/>
      <c r="K2130" s="6"/>
      <c r="L2130" s="20"/>
      <c r="M2130" s="7"/>
      <c r="N2130" s="5"/>
      <c r="O2130" s="130"/>
    </row>
    <row r="2131" spans="1:15" ht="15" x14ac:dyDescent="0.25">
      <c r="A2131" s="5"/>
      <c r="B2131" s="7"/>
      <c r="C2131" s="13"/>
      <c r="D2131" s="19"/>
      <c r="E2131" s="23"/>
      <c r="F2131" s="21"/>
      <c r="G2131" s="23"/>
      <c r="H2131" s="21"/>
      <c r="I2131" s="34"/>
      <c r="J2131" s="11"/>
      <c r="K2131" s="6"/>
      <c r="L2131" s="20"/>
      <c r="M2131" s="7"/>
      <c r="N2131" s="5"/>
      <c r="O2131" s="130"/>
    </row>
    <row r="2132" spans="1:15" ht="15" x14ac:dyDescent="0.25">
      <c r="A2132" s="5"/>
      <c r="B2132" s="7"/>
      <c r="C2132" s="13"/>
      <c r="D2132" s="19"/>
      <c r="E2132" s="23"/>
      <c r="F2132" s="21"/>
      <c r="G2132" s="23"/>
      <c r="H2132" s="21"/>
      <c r="I2132" s="34"/>
      <c r="J2132" s="11"/>
      <c r="K2132" s="6"/>
      <c r="L2132" s="20"/>
      <c r="M2132" s="7"/>
      <c r="N2132" s="5"/>
      <c r="O2132" s="130"/>
    </row>
    <row r="2133" spans="1:15" ht="15" x14ac:dyDescent="0.25">
      <c r="A2133" s="5"/>
      <c r="B2133" s="7"/>
      <c r="C2133" s="13"/>
      <c r="D2133" s="19"/>
      <c r="E2133" s="23"/>
      <c r="F2133" s="21"/>
      <c r="G2133" s="23"/>
      <c r="H2133" s="21"/>
      <c r="I2133" s="34"/>
      <c r="J2133" s="11"/>
      <c r="K2133" s="6"/>
      <c r="L2133" s="20"/>
      <c r="M2133" s="7"/>
      <c r="N2133" s="5"/>
      <c r="O2133" s="130"/>
    </row>
    <row r="2134" spans="1:15" ht="15" x14ac:dyDescent="0.25">
      <c r="A2134" s="5"/>
      <c r="B2134" s="7"/>
      <c r="C2134" s="13"/>
      <c r="D2134" s="19"/>
      <c r="E2134" s="23"/>
      <c r="F2134" s="21"/>
      <c r="G2134" s="23"/>
      <c r="H2134" s="21"/>
      <c r="I2134" s="34"/>
      <c r="J2134" s="11"/>
      <c r="K2134" s="6"/>
      <c r="L2134" s="20"/>
      <c r="M2134" s="7"/>
      <c r="N2134" s="5"/>
      <c r="O2134" s="130"/>
    </row>
    <row r="2135" spans="1:15" ht="15" x14ac:dyDescent="0.25">
      <c r="A2135" s="5"/>
      <c r="B2135" s="7"/>
      <c r="C2135" s="13"/>
      <c r="D2135" s="19"/>
      <c r="E2135" s="23"/>
      <c r="F2135" s="21"/>
      <c r="G2135" s="23"/>
      <c r="H2135" s="21"/>
      <c r="I2135" s="34"/>
      <c r="J2135" s="11"/>
      <c r="K2135" s="6"/>
      <c r="L2135" s="20"/>
      <c r="M2135" s="7"/>
      <c r="N2135" s="5"/>
      <c r="O2135" s="130"/>
    </row>
    <row r="2136" spans="1:15" ht="15" x14ac:dyDescent="0.25">
      <c r="A2136" s="5"/>
      <c r="B2136" s="7"/>
      <c r="C2136" s="13"/>
      <c r="D2136" s="19"/>
      <c r="E2136" s="23"/>
      <c r="F2136" s="21"/>
      <c r="G2136" s="23"/>
      <c r="H2136" s="21"/>
      <c r="I2136" s="34"/>
      <c r="J2136" s="11"/>
      <c r="K2136" s="6"/>
      <c r="L2136" s="20"/>
      <c r="M2136" s="7"/>
      <c r="N2136" s="5"/>
      <c r="O2136" s="130"/>
    </row>
    <row r="2137" spans="1:15" ht="15" x14ac:dyDescent="0.25">
      <c r="A2137" s="5"/>
      <c r="B2137" s="7"/>
      <c r="C2137" s="13"/>
      <c r="D2137" s="19"/>
      <c r="E2137" s="23"/>
      <c r="F2137" s="21"/>
      <c r="G2137" s="23"/>
      <c r="H2137" s="21"/>
      <c r="I2137" s="34"/>
      <c r="J2137" s="11"/>
      <c r="K2137" s="6"/>
      <c r="L2137" s="20"/>
      <c r="M2137" s="7"/>
      <c r="N2137" s="5"/>
      <c r="O2137" s="130"/>
    </row>
    <row r="2138" spans="1:15" ht="15" x14ac:dyDescent="0.25">
      <c r="A2138" s="5"/>
      <c r="B2138" s="7"/>
      <c r="C2138" s="13"/>
      <c r="D2138" s="19"/>
      <c r="E2138" s="23"/>
      <c r="F2138" s="21"/>
      <c r="G2138" s="23"/>
      <c r="H2138" s="21"/>
      <c r="I2138" s="34"/>
      <c r="J2138" s="11"/>
      <c r="K2138" s="6"/>
      <c r="L2138" s="20"/>
      <c r="M2138" s="7"/>
      <c r="N2138" s="5"/>
      <c r="O2138" s="130"/>
    </row>
    <row r="2139" spans="1:15" ht="15" x14ac:dyDescent="0.25">
      <c r="A2139" s="5"/>
      <c r="B2139" s="7"/>
      <c r="C2139" s="13"/>
      <c r="D2139" s="19"/>
      <c r="E2139" s="23"/>
      <c r="F2139" s="21"/>
      <c r="G2139" s="23"/>
      <c r="H2139" s="21"/>
      <c r="I2139" s="34"/>
      <c r="J2139" s="11"/>
      <c r="K2139" s="6"/>
      <c r="L2139" s="20"/>
      <c r="M2139" s="7"/>
      <c r="N2139" s="5"/>
      <c r="O2139" s="130"/>
    </row>
    <row r="2140" spans="1:15" ht="15" x14ac:dyDescent="0.25">
      <c r="A2140" s="5"/>
      <c r="B2140" s="7"/>
      <c r="C2140" s="13"/>
      <c r="D2140" s="19"/>
      <c r="E2140" s="23"/>
      <c r="F2140" s="21"/>
      <c r="G2140" s="23"/>
      <c r="H2140" s="21"/>
      <c r="I2140" s="34"/>
      <c r="J2140" s="11"/>
      <c r="K2140" s="6"/>
      <c r="L2140" s="20"/>
      <c r="M2140" s="7"/>
      <c r="N2140" s="5"/>
      <c r="O2140" s="130"/>
    </row>
    <row r="2141" spans="1:15" ht="15" x14ac:dyDescent="0.25">
      <c r="A2141" s="5"/>
      <c r="B2141" s="7"/>
      <c r="C2141" s="13"/>
      <c r="D2141" s="19"/>
      <c r="E2141" s="23"/>
      <c r="F2141" s="21"/>
      <c r="G2141" s="23"/>
      <c r="H2141" s="21"/>
      <c r="I2141" s="34"/>
      <c r="J2141" s="11"/>
      <c r="K2141" s="6"/>
      <c r="L2141" s="20"/>
      <c r="M2141" s="7"/>
      <c r="N2141" s="5"/>
      <c r="O2141" s="130"/>
    </row>
    <row r="2142" spans="1:15" ht="15" x14ac:dyDescent="0.25">
      <c r="A2142" s="5"/>
      <c r="B2142" s="7"/>
      <c r="C2142" s="13"/>
      <c r="D2142" s="19"/>
      <c r="E2142" s="23"/>
      <c r="F2142" s="21"/>
      <c r="G2142" s="23"/>
      <c r="H2142" s="21"/>
      <c r="I2142" s="34"/>
      <c r="J2142" s="11"/>
      <c r="K2142" s="6"/>
      <c r="L2142" s="20"/>
      <c r="M2142" s="7"/>
      <c r="N2142" s="5"/>
      <c r="O2142" s="130"/>
    </row>
    <row r="2143" spans="1:15" ht="15" x14ac:dyDescent="0.25">
      <c r="A2143" s="5"/>
      <c r="B2143" s="7"/>
      <c r="C2143" s="13"/>
      <c r="D2143" s="19"/>
      <c r="E2143" s="23"/>
      <c r="F2143" s="21"/>
      <c r="G2143" s="23"/>
      <c r="H2143" s="21"/>
      <c r="I2143" s="34"/>
      <c r="J2143" s="11"/>
      <c r="K2143" s="6"/>
      <c r="L2143" s="20"/>
      <c r="M2143" s="7"/>
      <c r="N2143" s="5"/>
      <c r="O2143" s="130"/>
    </row>
    <row r="2144" spans="1:15" ht="15" x14ac:dyDescent="0.25">
      <c r="A2144" s="5"/>
      <c r="B2144" s="7"/>
      <c r="C2144" s="13"/>
      <c r="D2144" s="19"/>
      <c r="E2144" s="23"/>
      <c r="F2144" s="21"/>
      <c r="G2144" s="23"/>
      <c r="H2144" s="21"/>
      <c r="I2144" s="34"/>
      <c r="J2144" s="11"/>
      <c r="K2144" s="6"/>
      <c r="L2144" s="20"/>
      <c r="M2144" s="7"/>
      <c r="N2144" s="5"/>
      <c r="O2144" s="130"/>
    </row>
    <row r="2145" spans="1:15" ht="15" x14ac:dyDescent="0.25">
      <c r="A2145" s="5"/>
      <c r="B2145" s="7"/>
      <c r="C2145" s="13"/>
      <c r="D2145" s="19"/>
      <c r="E2145" s="23"/>
      <c r="F2145" s="21"/>
      <c r="G2145" s="23"/>
      <c r="H2145" s="21"/>
      <c r="I2145" s="34"/>
      <c r="J2145" s="11"/>
      <c r="K2145" s="6"/>
      <c r="L2145" s="20"/>
      <c r="M2145" s="7"/>
      <c r="N2145" s="5"/>
      <c r="O2145" s="130"/>
    </row>
    <row r="2146" spans="1:15" ht="15" x14ac:dyDescent="0.25">
      <c r="A2146" s="5"/>
      <c r="B2146" s="7"/>
      <c r="C2146" s="13"/>
      <c r="D2146" s="19"/>
      <c r="E2146" s="23"/>
      <c r="F2146" s="21"/>
      <c r="G2146" s="23"/>
      <c r="H2146" s="21"/>
      <c r="I2146" s="34"/>
      <c r="J2146" s="11"/>
      <c r="K2146" s="6"/>
      <c r="L2146" s="20"/>
      <c r="M2146" s="7"/>
      <c r="N2146" s="5"/>
      <c r="O2146" s="130"/>
    </row>
    <row r="2147" spans="1:15" ht="15" x14ac:dyDescent="0.25">
      <c r="A2147" s="5"/>
      <c r="B2147" s="7"/>
      <c r="C2147" s="13"/>
      <c r="D2147" s="19"/>
      <c r="E2147" s="23"/>
      <c r="F2147" s="21"/>
      <c r="G2147" s="23"/>
      <c r="H2147" s="21"/>
      <c r="I2147" s="34"/>
      <c r="J2147" s="11"/>
      <c r="K2147" s="6"/>
      <c r="L2147" s="20"/>
      <c r="M2147" s="7"/>
      <c r="N2147" s="5"/>
      <c r="O2147" s="130"/>
    </row>
    <row r="2148" spans="1:15" ht="15" x14ac:dyDescent="0.25">
      <c r="A2148" s="5"/>
      <c r="B2148" s="7"/>
      <c r="C2148" s="13"/>
      <c r="D2148" s="19"/>
      <c r="E2148" s="23"/>
      <c r="F2148" s="21"/>
      <c r="G2148" s="23"/>
      <c r="H2148" s="21"/>
      <c r="I2148" s="34"/>
      <c r="J2148" s="11"/>
      <c r="K2148" s="6"/>
      <c r="L2148" s="20"/>
      <c r="M2148" s="7"/>
      <c r="N2148" s="5"/>
      <c r="O2148" s="130"/>
    </row>
    <row r="2149" spans="1:15" ht="15" x14ac:dyDescent="0.25">
      <c r="A2149" s="5"/>
      <c r="B2149" s="7"/>
      <c r="C2149" s="13"/>
      <c r="D2149" s="19"/>
      <c r="E2149" s="23"/>
      <c r="F2149" s="21"/>
      <c r="G2149" s="23"/>
      <c r="H2149" s="21"/>
      <c r="I2149" s="34"/>
      <c r="J2149" s="11"/>
      <c r="K2149" s="6"/>
      <c r="L2149" s="20"/>
      <c r="M2149" s="7"/>
      <c r="N2149" s="5"/>
      <c r="O2149" s="130"/>
    </row>
    <row r="2150" spans="1:15" ht="15" x14ac:dyDescent="0.25">
      <c r="A2150" s="5"/>
      <c r="B2150" s="7"/>
      <c r="C2150" s="13"/>
      <c r="D2150" s="19"/>
      <c r="E2150" s="23"/>
      <c r="F2150" s="21"/>
      <c r="G2150" s="23"/>
      <c r="H2150" s="21"/>
      <c r="I2150" s="34"/>
      <c r="J2150" s="11"/>
      <c r="K2150" s="6"/>
      <c r="L2150" s="20"/>
      <c r="M2150" s="7"/>
      <c r="N2150" s="5"/>
      <c r="O2150" s="130"/>
    </row>
    <row r="2151" spans="1:15" ht="15" x14ac:dyDescent="0.25">
      <c r="A2151" s="5"/>
      <c r="B2151" s="7"/>
      <c r="C2151" s="13"/>
      <c r="D2151" s="19"/>
      <c r="E2151" s="23"/>
      <c r="F2151" s="21"/>
      <c r="G2151" s="23"/>
      <c r="H2151" s="21"/>
      <c r="I2151" s="34"/>
      <c r="J2151" s="11"/>
      <c r="K2151" s="6"/>
      <c r="L2151" s="20"/>
      <c r="M2151" s="7"/>
      <c r="N2151" s="5"/>
      <c r="O2151" s="130"/>
    </row>
    <row r="2152" spans="1:15" ht="15" x14ac:dyDescent="0.25">
      <c r="A2152" s="5"/>
      <c r="B2152" s="7"/>
      <c r="C2152" s="13"/>
      <c r="D2152" s="19"/>
      <c r="E2152" s="23"/>
      <c r="F2152" s="21"/>
      <c r="G2152" s="23"/>
      <c r="H2152" s="21"/>
      <c r="I2152" s="34"/>
      <c r="J2152" s="11"/>
      <c r="K2152" s="6"/>
      <c r="L2152" s="20"/>
      <c r="M2152" s="7"/>
      <c r="N2152" s="5"/>
      <c r="O2152" s="130"/>
    </row>
    <row r="2153" spans="1:15" ht="15" x14ac:dyDescent="0.25">
      <c r="A2153" s="5"/>
      <c r="B2153" s="7"/>
      <c r="C2153" s="13"/>
      <c r="D2153" s="19"/>
      <c r="E2153" s="23"/>
      <c r="F2153" s="21"/>
      <c r="G2153" s="23"/>
      <c r="H2153" s="21"/>
      <c r="I2153" s="34"/>
      <c r="J2153" s="11"/>
      <c r="K2153" s="6"/>
      <c r="L2153" s="20"/>
      <c r="M2153" s="7"/>
      <c r="N2153" s="5"/>
      <c r="O2153" s="130"/>
    </row>
    <row r="2154" spans="1:15" ht="15" x14ac:dyDescent="0.25">
      <c r="A2154" s="5"/>
      <c r="B2154" s="7"/>
      <c r="C2154" s="13"/>
      <c r="D2154" s="19"/>
      <c r="E2154" s="23"/>
      <c r="F2154" s="21"/>
      <c r="G2154" s="23"/>
      <c r="H2154" s="21"/>
      <c r="I2154" s="34"/>
      <c r="J2154" s="11"/>
      <c r="K2154" s="6"/>
      <c r="L2154" s="20"/>
      <c r="M2154" s="7"/>
      <c r="N2154" s="5"/>
      <c r="O2154" s="130"/>
    </row>
    <row r="2155" spans="1:15" ht="15" x14ac:dyDescent="0.25">
      <c r="A2155" s="5"/>
      <c r="B2155" s="7"/>
      <c r="C2155" s="13"/>
      <c r="D2155" s="19"/>
      <c r="E2155" s="23"/>
      <c r="F2155" s="21"/>
      <c r="G2155" s="23"/>
      <c r="H2155" s="21"/>
      <c r="I2155" s="34"/>
      <c r="J2155" s="11"/>
      <c r="K2155" s="6"/>
      <c r="L2155" s="20"/>
      <c r="M2155" s="7"/>
      <c r="N2155" s="5"/>
      <c r="O2155" s="130"/>
    </row>
    <row r="2156" spans="1:15" ht="15" x14ac:dyDescent="0.25">
      <c r="A2156" s="5"/>
      <c r="B2156" s="7"/>
      <c r="C2156" s="13"/>
      <c r="D2156" s="19"/>
      <c r="E2156" s="23"/>
      <c r="F2156" s="21"/>
      <c r="G2156" s="23"/>
      <c r="H2156" s="21"/>
      <c r="I2156" s="34"/>
      <c r="J2156" s="11"/>
      <c r="K2156" s="6"/>
      <c r="L2156" s="20"/>
      <c r="M2156" s="7"/>
      <c r="N2156" s="5"/>
      <c r="O2156" s="130"/>
    </row>
    <row r="2157" spans="1:15" ht="15" x14ac:dyDescent="0.25">
      <c r="A2157" s="5"/>
      <c r="B2157" s="7"/>
      <c r="C2157" s="13"/>
      <c r="D2157" s="19"/>
      <c r="E2157" s="23"/>
      <c r="F2157" s="21"/>
      <c r="G2157" s="23"/>
      <c r="H2157" s="21"/>
      <c r="I2157" s="34"/>
      <c r="J2157" s="11"/>
      <c r="K2157" s="6"/>
      <c r="L2157" s="20"/>
      <c r="M2157" s="7"/>
      <c r="N2157" s="5"/>
      <c r="O2157" s="130"/>
    </row>
    <row r="2158" spans="1:15" ht="15" x14ac:dyDescent="0.25">
      <c r="A2158" s="5"/>
      <c r="B2158" s="7"/>
      <c r="C2158" s="13"/>
      <c r="D2158" s="19"/>
      <c r="E2158" s="23"/>
      <c r="F2158" s="21"/>
      <c r="G2158" s="23"/>
      <c r="H2158" s="21"/>
      <c r="I2158" s="34"/>
      <c r="J2158" s="11"/>
      <c r="K2158" s="6"/>
      <c r="L2158" s="20"/>
      <c r="M2158" s="7"/>
      <c r="N2158" s="5"/>
      <c r="O2158" s="130"/>
    </row>
    <row r="2159" spans="1:15" ht="15" x14ac:dyDescent="0.25">
      <c r="A2159" s="5"/>
      <c r="B2159" s="7"/>
      <c r="C2159" s="13"/>
      <c r="D2159" s="19"/>
      <c r="E2159" s="23"/>
      <c r="F2159" s="21"/>
      <c r="G2159" s="23"/>
      <c r="H2159" s="21"/>
      <c r="I2159" s="34"/>
      <c r="J2159" s="11"/>
      <c r="K2159" s="6"/>
      <c r="L2159" s="20"/>
      <c r="M2159" s="7"/>
      <c r="N2159" s="5"/>
      <c r="O2159" s="130"/>
    </row>
    <row r="2160" spans="1:15" ht="15" x14ac:dyDescent="0.25">
      <c r="A2160" s="5"/>
      <c r="B2160" s="7"/>
      <c r="C2160" s="13"/>
      <c r="D2160" s="19"/>
      <c r="E2160" s="23"/>
      <c r="F2160" s="21"/>
      <c r="G2160" s="23"/>
      <c r="H2160" s="21"/>
      <c r="I2160" s="34"/>
      <c r="J2160" s="11"/>
      <c r="K2160" s="6"/>
      <c r="L2160" s="20"/>
      <c r="M2160" s="7"/>
      <c r="N2160" s="5"/>
      <c r="O2160" s="130"/>
    </row>
    <row r="2161" spans="1:15" ht="15" x14ac:dyDescent="0.25">
      <c r="A2161" s="5"/>
      <c r="B2161" s="7"/>
      <c r="C2161" s="13"/>
      <c r="D2161" s="19"/>
      <c r="E2161" s="23"/>
      <c r="F2161" s="21"/>
      <c r="G2161" s="23"/>
      <c r="H2161" s="21"/>
      <c r="I2161" s="34"/>
      <c r="J2161" s="11"/>
      <c r="K2161" s="6"/>
      <c r="L2161" s="20"/>
      <c r="M2161" s="7"/>
      <c r="N2161" s="5"/>
      <c r="O2161" s="130"/>
    </row>
    <row r="2162" spans="1:15" ht="15" x14ac:dyDescent="0.25">
      <c r="A2162" s="5"/>
      <c r="B2162" s="7"/>
      <c r="C2162" s="13"/>
      <c r="D2162" s="19"/>
      <c r="E2162" s="23"/>
      <c r="F2162" s="21"/>
      <c r="G2162" s="23"/>
      <c r="H2162" s="21"/>
      <c r="I2162" s="34"/>
      <c r="J2162" s="11"/>
      <c r="K2162" s="6"/>
      <c r="L2162" s="20"/>
      <c r="M2162" s="7"/>
      <c r="N2162" s="5"/>
      <c r="O2162" s="130"/>
    </row>
    <row r="2163" spans="1:15" ht="15" x14ac:dyDescent="0.25">
      <c r="A2163" s="5"/>
      <c r="B2163" s="7"/>
      <c r="C2163" s="13"/>
      <c r="D2163" s="19"/>
      <c r="E2163" s="23"/>
      <c r="F2163" s="21"/>
      <c r="G2163" s="23"/>
      <c r="H2163" s="21"/>
      <c r="I2163" s="34"/>
      <c r="J2163" s="11"/>
      <c r="K2163" s="6"/>
      <c r="L2163" s="20"/>
      <c r="M2163" s="7"/>
      <c r="N2163" s="5"/>
      <c r="O2163" s="130"/>
    </row>
    <row r="2164" spans="1:15" ht="15" x14ac:dyDescent="0.25">
      <c r="A2164" s="5"/>
      <c r="B2164" s="7"/>
      <c r="C2164" s="13"/>
      <c r="D2164" s="19"/>
      <c r="E2164" s="23"/>
      <c r="F2164" s="21"/>
      <c r="G2164" s="23"/>
      <c r="H2164" s="21"/>
      <c r="I2164" s="34"/>
      <c r="J2164" s="11"/>
      <c r="K2164" s="6"/>
      <c r="L2164" s="20"/>
      <c r="M2164" s="7"/>
      <c r="N2164" s="5"/>
      <c r="O2164" s="130"/>
    </row>
    <row r="2165" spans="1:15" ht="15" x14ac:dyDescent="0.25">
      <c r="A2165" s="5"/>
      <c r="B2165" s="7"/>
      <c r="C2165" s="13"/>
      <c r="D2165" s="19"/>
      <c r="E2165" s="23"/>
      <c r="F2165" s="21"/>
      <c r="G2165" s="23"/>
      <c r="H2165" s="21"/>
      <c r="I2165" s="34"/>
      <c r="J2165" s="11"/>
      <c r="K2165" s="6"/>
      <c r="L2165" s="20"/>
      <c r="M2165" s="7"/>
      <c r="N2165" s="5"/>
      <c r="O2165" s="130"/>
    </row>
    <row r="2166" spans="1:15" ht="15" x14ac:dyDescent="0.25">
      <c r="A2166" s="5"/>
      <c r="B2166" s="7"/>
      <c r="C2166" s="13"/>
      <c r="D2166" s="19"/>
      <c r="E2166" s="23"/>
      <c r="F2166" s="21"/>
      <c r="G2166" s="23"/>
      <c r="H2166" s="21"/>
      <c r="I2166" s="34"/>
      <c r="J2166" s="11"/>
      <c r="K2166" s="6"/>
      <c r="L2166" s="20"/>
      <c r="M2166" s="7"/>
      <c r="N2166" s="5"/>
      <c r="O2166" s="130"/>
    </row>
    <row r="2167" spans="1:15" ht="15" x14ac:dyDescent="0.25">
      <c r="A2167" s="5"/>
      <c r="B2167" s="7"/>
      <c r="C2167" s="13"/>
      <c r="D2167" s="19"/>
      <c r="E2167" s="23"/>
      <c r="F2167" s="21"/>
      <c r="G2167" s="23"/>
      <c r="H2167" s="21"/>
      <c r="I2167" s="34"/>
      <c r="J2167" s="11"/>
      <c r="K2167" s="6"/>
      <c r="L2167" s="20"/>
      <c r="M2167" s="7"/>
      <c r="N2167" s="5"/>
      <c r="O2167" s="130"/>
    </row>
    <row r="2168" spans="1:15" ht="15" x14ac:dyDescent="0.25">
      <c r="A2168" s="5"/>
      <c r="B2168" s="7"/>
      <c r="C2168" s="13"/>
      <c r="D2168" s="19"/>
      <c r="E2168" s="23"/>
      <c r="F2168" s="21"/>
      <c r="G2168" s="23"/>
      <c r="H2168" s="21"/>
      <c r="I2168" s="34"/>
      <c r="J2168" s="11"/>
      <c r="K2168" s="6"/>
      <c r="L2168" s="20"/>
      <c r="M2168" s="7"/>
      <c r="N2168" s="5"/>
      <c r="O2168" s="130"/>
    </row>
    <row r="2169" spans="1:15" ht="15" x14ac:dyDescent="0.25">
      <c r="A2169" s="5"/>
      <c r="B2169" s="7"/>
      <c r="C2169" s="13"/>
      <c r="D2169" s="19"/>
      <c r="E2169" s="23"/>
      <c r="F2169" s="21"/>
      <c r="G2169" s="23"/>
      <c r="H2169" s="21"/>
      <c r="I2169" s="34"/>
      <c r="J2169" s="11"/>
      <c r="K2169" s="6"/>
      <c r="L2169" s="20"/>
      <c r="M2169" s="7"/>
      <c r="N2169" s="5"/>
      <c r="O2169" s="130"/>
    </row>
    <row r="2170" spans="1:15" ht="15" x14ac:dyDescent="0.25">
      <c r="A2170" s="5"/>
      <c r="B2170" s="7"/>
      <c r="C2170" s="13"/>
      <c r="D2170" s="19"/>
      <c r="E2170" s="23"/>
      <c r="F2170" s="21"/>
      <c r="G2170" s="23"/>
      <c r="H2170" s="21"/>
      <c r="I2170" s="34"/>
      <c r="J2170" s="11"/>
      <c r="K2170" s="6"/>
      <c r="L2170" s="20"/>
      <c r="M2170" s="7"/>
      <c r="N2170" s="5"/>
      <c r="O2170" s="130"/>
    </row>
    <row r="2171" spans="1:15" ht="15" x14ac:dyDescent="0.25">
      <c r="A2171" s="5"/>
      <c r="B2171" s="7"/>
      <c r="C2171" s="13"/>
      <c r="D2171" s="19"/>
      <c r="E2171" s="23"/>
      <c r="F2171" s="21"/>
      <c r="G2171" s="23"/>
      <c r="H2171" s="21"/>
      <c r="I2171" s="34"/>
      <c r="J2171" s="11"/>
      <c r="K2171" s="6"/>
      <c r="L2171" s="20"/>
      <c r="M2171" s="7"/>
      <c r="N2171" s="5"/>
      <c r="O2171" s="130"/>
    </row>
    <row r="2172" spans="1:15" ht="15" x14ac:dyDescent="0.25">
      <c r="A2172" s="5"/>
      <c r="B2172" s="7"/>
      <c r="C2172" s="13"/>
      <c r="D2172" s="19"/>
      <c r="E2172" s="23"/>
      <c r="F2172" s="21"/>
      <c r="G2172" s="23"/>
      <c r="H2172" s="21"/>
      <c r="I2172" s="34"/>
      <c r="J2172" s="11"/>
      <c r="K2172" s="6"/>
      <c r="L2172" s="20"/>
      <c r="M2172" s="7"/>
      <c r="N2172" s="5"/>
      <c r="O2172" s="130"/>
    </row>
    <row r="2173" spans="1:15" ht="15" x14ac:dyDescent="0.25">
      <c r="A2173" s="5"/>
      <c r="B2173" s="7"/>
      <c r="C2173" s="13"/>
      <c r="D2173" s="19"/>
      <c r="E2173" s="23"/>
      <c r="F2173" s="21"/>
      <c r="G2173" s="23"/>
      <c r="H2173" s="21"/>
      <c r="I2173" s="34"/>
      <c r="J2173" s="11"/>
      <c r="K2173" s="6"/>
      <c r="L2173" s="20"/>
      <c r="M2173" s="7"/>
      <c r="N2173" s="5"/>
      <c r="O2173" s="130"/>
    </row>
    <row r="2174" spans="1:15" ht="15" x14ac:dyDescent="0.25">
      <c r="A2174" s="5"/>
      <c r="B2174" s="7"/>
      <c r="C2174" s="13"/>
      <c r="D2174" s="19"/>
      <c r="E2174" s="23"/>
      <c r="F2174" s="21"/>
      <c r="G2174" s="23"/>
      <c r="H2174" s="21"/>
      <c r="I2174" s="34"/>
      <c r="J2174" s="11"/>
      <c r="K2174" s="6"/>
      <c r="L2174" s="20"/>
      <c r="M2174" s="7"/>
      <c r="N2174" s="5"/>
      <c r="O2174" s="130"/>
    </row>
    <row r="2175" spans="1:15" ht="15" x14ac:dyDescent="0.25">
      <c r="A2175" s="5"/>
      <c r="B2175" s="7"/>
      <c r="C2175" s="13"/>
      <c r="D2175" s="19"/>
      <c r="E2175" s="23"/>
      <c r="F2175" s="21"/>
      <c r="G2175" s="23"/>
      <c r="H2175" s="21"/>
      <c r="I2175" s="34"/>
      <c r="J2175" s="11"/>
      <c r="K2175" s="6"/>
      <c r="L2175" s="20"/>
      <c r="M2175" s="7"/>
      <c r="N2175" s="5"/>
      <c r="O2175" s="130"/>
    </row>
    <row r="2176" spans="1:15" ht="15" x14ac:dyDescent="0.25">
      <c r="A2176" s="5"/>
      <c r="B2176" s="7"/>
      <c r="C2176" s="13"/>
      <c r="D2176" s="19"/>
      <c r="E2176" s="23"/>
      <c r="F2176" s="21"/>
      <c r="G2176" s="23"/>
      <c r="H2176" s="21"/>
      <c r="I2176" s="34"/>
      <c r="J2176" s="11"/>
      <c r="K2176" s="6"/>
      <c r="L2176" s="20"/>
      <c r="M2176" s="7"/>
      <c r="N2176" s="5"/>
      <c r="O2176" s="130"/>
    </row>
    <row r="2177" spans="1:15" ht="15" x14ac:dyDescent="0.25">
      <c r="A2177" s="5"/>
      <c r="B2177" s="7"/>
      <c r="C2177" s="13"/>
      <c r="D2177" s="19"/>
      <c r="E2177" s="23"/>
      <c r="F2177" s="21"/>
      <c r="G2177" s="23"/>
      <c r="H2177" s="21"/>
      <c r="I2177" s="34"/>
      <c r="J2177" s="11"/>
      <c r="K2177" s="6"/>
      <c r="L2177" s="20"/>
      <c r="M2177" s="7"/>
      <c r="N2177" s="5"/>
      <c r="O2177" s="130"/>
    </row>
    <row r="2178" spans="1:15" ht="15" x14ac:dyDescent="0.25">
      <c r="A2178" s="5"/>
      <c r="B2178" s="7"/>
      <c r="C2178" s="13"/>
      <c r="D2178" s="19"/>
      <c r="E2178" s="23"/>
      <c r="F2178" s="21"/>
      <c r="G2178" s="23"/>
      <c r="H2178" s="21"/>
      <c r="I2178" s="34"/>
      <c r="J2178" s="11"/>
      <c r="K2178" s="6"/>
      <c r="L2178" s="20"/>
      <c r="M2178" s="7"/>
      <c r="N2178" s="5"/>
      <c r="O2178" s="130"/>
    </row>
    <row r="2179" spans="1:15" ht="15" x14ac:dyDescent="0.25">
      <c r="A2179" s="5"/>
      <c r="B2179" s="7"/>
      <c r="C2179" s="13"/>
      <c r="D2179" s="19"/>
      <c r="E2179" s="23"/>
      <c r="F2179" s="21"/>
      <c r="G2179" s="23"/>
      <c r="H2179" s="21"/>
      <c r="I2179" s="34"/>
      <c r="J2179" s="11"/>
      <c r="K2179" s="6"/>
      <c r="L2179" s="20"/>
      <c r="M2179" s="7"/>
      <c r="N2179" s="5"/>
      <c r="O2179" s="130"/>
    </row>
    <row r="2180" spans="1:15" ht="15" x14ac:dyDescent="0.25">
      <c r="A2180" s="5"/>
      <c r="B2180" s="7"/>
      <c r="C2180" s="13"/>
      <c r="D2180" s="19"/>
      <c r="E2180" s="23"/>
      <c r="F2180" s="21"/>
      <c r="G2180" s="23"/>
      <c r="H2180" s="21"/>
      <c r="I2180" s="34"/>
      <c r="J2180" s="11"/>
      <c r="K2180" s="6"/>
      <c r="L2180" s="20"/>
      <c r="M2180" s="7"/>
      <c r="N2180" s="5"/>
      <c r="O2180" s="130"/>
    </row>
    <row r="2181" spans="1:15" ht="15" x14ac:dyDescent="0.25">
      <c r="A2181" s="5"/>
      <c r="B2181" s="7"/>
      <c r="C2181" s="13"/>
      <c r="D2181" s="19"/>
      <c r="E2181" s="23"/>
      <c r="F2181" s="21"/>
      <c r="G2181" s="23"/>
      <c r="H2181" s="21"/>
      <c r="I2181" s="34"/>
      <c r="J2181" s="11"/>
      <c r="K2181" s="6"/>
      <c r="L2181" s="20"/>
      <c r="M2181" s="7"/>
      <c r="N2181" s="5"/>
      <c r="O2181" s="130"/>
    </row>
    <row r="2182" spans="1:15" ht="15" x14ac:dyDescent="0.25">
      <c r="A2182" s="5"/>
      <c r="B2182" s="7"/>
      <c r="C2182" s="13"/>
      <c r="D2182" s="19"/>
      <c r="E2182" s="23"/>
      <c r="F2182" s="21"/>
      <c r="G2182" s="23"/>
      <c r="H2182" s="21"/>
      <c r="I2182" s="34"/>
      <c r="J2182" s="11"/>
      <c r="K2182" s="6"/>
      <c r="L2182" s="20"/>
      <c r="M2182" s="7"/>
      <c r="N2182" s="5"/>
      <c r="O2182" s="130"/>
    </row>
    <row r="2183" spans="1:15" ht="15" x14ac:dyDescent="0.25">
      <c r="A2183" s="5"/>
      <c r="B2183" s="7"/>
      <c r="C2183" s="13"/>
      <c r="D2183" s="19"/>
      <c r="E2183" s="23"/>
      <c r="F2183" s="21"/>
      <c r="G2183" s="23"/>
      <c r="H2183" s="21"/>
      <c r="I2183" s="34"/>
      <c r="J2183" s="11"/>
      <c r="K2183" s="6"/>
      <c r="L2183" s="20"/>
      <c r="M2183" s="7"/>
      <c r="N2183" s="5"/>
      <c r="O2183" s="130"/>
    </row>
    <row r="2184" spans="1:15" ht="15" x14ac:dyDescent="0.25">
      <c r="A2184" s="5"/>
      <c r="B2184" s="7"/>
      <c r="C2184" s="13"/>
      <c r="D2184" s="19"/>
      <c r="E2184" s="23"/>
      <c r="F2184" s="21"/>
      <c r="G2184" s="23"/>
      <c r="H2184" s="21"/>
      <c r="I2184" s="34"/>
      <c r="J2184" s="11"/>
      <c r="K2184" s="6"/>
      <c r="L2184" s="20"/>
      <c r="M2184" s="7"/>
      <c r="N2184" s="5"/>
      <c r="O2184" s="130"/>
    </row>
    <row r="2185" spans="1:15" ht="15" x14ac:dyDescent="0.25">
      <c r="A2185" s="5"/>
      <c r="B2185" s="7"/>
      <c r="C2185" s="13"/>
      <c r="D2185" s="19"/>
      <c r="E2185" s="23"/>
      <c r="F2185" s="21"/>
      <c r="G2185" s="23"/>
      <c r="H2185" s="21"/>
      <c r="I2185" s="34"/>
      <c r="J2185" s="11"/>
      <c r="K2185" s="6"/>
      <c r="L2185" s="20"/>
      <c r="M2185" s="7"/>
      <c r="N2185" s="5"/>
      <c r="O2185" s="130"/>
    </row>
    <row r="2186" spans="1:15" ht="15" x14ac:dyDescent="0.25">
      <c r="A2186" s="5"/>
      <c r="B2186" s="7"/>
      <c r="C2186" s="13"/>
      <c r="D2186" s="19"/>
      <c r="E2186" s="23"/>
      <c r="F2186" s="21"/>
      <c r="G2186" s="23"/>
      <c r="H2186" s="21"/>
      <c r="I2186" s="34"/>
      <c r="J2186" s="11"/>
      <c r="K2186" s="6"/>
      <c r="L2186" s="20"/>
      <c r="M2186" s="7"/>
      <c r="N2186" s="5"/>
      <c r="O2186" s="130"/>
    </row>
    <row r="2187" spans="1:15" ht="15" x14ac:dyDescent="0.25">
      <c r="A2187" s="5"/>
      <c r="B2187" s="7"/>
      <c r="C2187" s="13"/>
      <c r="D2187" s="19"/>
      <c r="E2187" s="23"/>
      <c r="F2187" s="21"/>
      <c r="G2187" s="23"/>
      <c r="H2187" s="21"/>
      <c r="I2187" s="34"/>
      <c r="J2187" s="11"/>
      <c r="K2187" s="6"/>
      <c r="L2187" s="20"/>
      <c r="M2187" s="7"/>
      <c r="N2187" s="5"/>
      <c r="O2187" s="130"/>
    </row>
    <row r="2188" spans="1:15" ht="15" x14ac:dyDescent="0.25">
      <c r="A2188" s="5"/>
      <c r="B2188" s="7"/>
      <c r="C2188" s="13"/>
      <c r="D2188" s="19"/>
      <c r="E2188" s="23"/>
      <c r="F2188" s="21"/>
      <c r="G2188" s="23"/>
      <c r="H2188" s="21"/>
      <c r="I2188" s="34"/>
      <c r="J2188" s="11"/>
      <c r="K2188" s="6"/>
      <c r="L2188" s="20"/>
      <c r="M2188" s="7"/>
      <c r="N2188" s="5"/>
      <c r="O2188" s="130"/>
    </row>
    <row r="2189" spans="1:15" ht="15" x14ac:dyDescent="0.25">
      <c r="A2189" s="5"/>
      <c r="B2189" s="7"/>
      <c r="C2189" s="13"/>
      <c r="D2189" s="19"/>
      <c r="E2189" s="23"/>
      <c r="F2189" s="21"/>
      <c r="G2189" s="23"/>
      <c r="H2189" s="21"/>
      <c r="I2189" s="34"/>
      <c r="J2189" s="11"/>
      <c r="K2189" s="6"/>
      <c r="L2189" s="20"/>
      <c r="M2189" s="7"/>
      <c r="N2189" s="5"/>
      <c r="O2189" s="130"/>
    </row>
    <row r="2190" spans="1:15" ht="15" x14ac:dyDescent="0.25">
      <c r="A2190" s="5"/>
      <c r="B2190" s="7"/>
      <c r="C2190" s="13"/>
      <c r="D2190" s="19"/>
      <c r="E2190" s="23"/>
      <c r="F2190" s="21"/>
      <c r="G2190" s="23"/>
      <c r="H2190" s="21"/>
      <c r="I2190" s="34"/>
      <c r="J2190" s="11"/>
      <c r="K2190" s="6"/>
      <c r="L2190" s="20"/>
      <c r="M2190" s="7"/>
      <c r="N2190" s="5"/>
      <c r="O2190" s="130"/>
    </row>
    <row r="2191" spans="1:15" ht="15" x14ac:dyDescent="0.25">
      <c r="A2191" s="5"/>
      <c r="B2191" s="7"/>
      <c r="C2191" s="13"/>
      <c r="D2191" s="19"/>
      <c r="E2191" s="23"/>
      <c r="F2191" s="21"/>
      <c r="G2191" s="23"/>
      <c r="H2191" s="21"/>
      <c r="I2191" s="34"/>
      <c r="J2191" s="11"/>
      <c r="K2191" s="6"/>
      <c r="L2191" s="20"/>
      <c r="M2191" s="7"/>
      <c r="N2191" s="5"/>
      <c r="O2191" s="130"/>
    </row>
    <row r="2192" spans="1:15" ht="15" x14ac:dyDescent="0.25">
      <c r="A2192" s="5"/>
      <c r="B2192" s="7"/>
      <c r="C2192" s="13"/>
      <c r="D2192" s="19"/>
      <c r="E2192" s="23"/>
      <c r="F2192" s="21"/>
      <c r="G2192" s="23"/>
      <c r="H2192" s="21"/>
      <c r="I2192" s="34"/>
      <c r="J2192" s="11"/>
      <c r="K2192" s="6"/>
      <c r="L2192" s="20"/>
      <c r="M2192" s="7"/>
      <c r="N2192" s="5"/>
      <c r="O2192" s="130"/>
    </row>
    <row r="2193" spans="1:15" ht="15" x14ac:dyDescent="0.25">
      <c r="A2193" s="5"/>
      <c r="B2193" s="7"/>
      <c r="C2193" s="13"/>
      <c r="D2193" s="19"/>
      <c r="E2193" s="23"/>
      <c r="F2193" s="21"/>
      <c r="G2193" s="23"/>
      <c r="H2193" s="21"/>
      <c r="I2193" s="34"/>
      <c r="J2193" s="11"/>
      <c r="K2193" s="6"/>
      <c r="L2193" s="20"/>
      <c r="M2193" s="7"/>
      <c r="N2193" s="5"/>
      <c r="O2193" s="130"/>
    </row>
    <row r="2194" spans="1:15" ht="15" x14ac:dyDescent="0.25">
      <c r="A2194" s="5"/>
      <c r="B2194" s="7"/>
      <c r="C2194" s="13"/>
      <c r="D2194" s="19"/>
      <c r="E2194" s="23"/>
      <c r="F2194" s="21"/>
      <c r="G2194" s="23"/>
      <c r="H2194" s="21"/>
      <c r="I2194" s="34"/>
      <c r="J2194" s="11"/>
      <c r="K2194" s="6"/>
      <c r="L2194" s="20"/>
      <c r="M2194" s="7"/>
      <c r="N2194" s="5"/>
      <c r="O2194" s="130"/>
    </row>
    <row r="2195" spans="1:15" ht="15" x14ac:dyDescent="0.25">
      <c r="A2195" s="5"/>
      <c r="B2195" s="7"/>
      <c r="C2195" s="13"/>
      <c r="D2195" s="19"/>
      <c r="E2195" s="23"/>
      <c r="F2195" s="21"/>
      <c r="G2195" s="23"/>
      <c r="H2195" s="21"/>
      <c r="I2195" s="34"/>
      <c r="J2195" s="11"/>
      <c r="K2195" s="6"/>
      <c r="L2195" s="20"/>
      <c r="M2195" s="7"/>
      <c r="N2195" s="5"/>
      <c r="O2195" s="130"/>
    </row>
    <row r="2196" spans="1:15" ht="15" x14ac:dyDescent="0.25">
      <c r="A2196" s="5"/>
      <c r="B2196" s="7"/>
      <c r="C2196" s="13"/>
      <c r="D2196" s="19"/>
      <c r="E2196" s="23"/>
      <c r="F2196" s="21"/>
      <c r="G2196" s="23"/>
      <c r="H2196" s="21"/>
      <c r="I2196" s="34"/>
      <c r="J2196" s="11"/>
      <c r="K2196" s="6"/>
      <c r="L2196" s="20"/>
      <c r="M2196" s="7"/>
      <c r="N2196" s="5"/>
      <c r="O2196" s="130"/>
    </row>
    <row r="2197" spans="1:15" ht="15" x14ac:dyDescent="0.25">
      <c r="A2197" s="5"/>
      <c r="B2197" s="7"/>
      <c r="C2197" s="13"/>
      <c r="D2197" s="19"/>
      <c r="E2197" s="23"/>
      <c r="F2197" s="21"/>
      <c r="G2197" s="23"/>
      <c r="H2197" s="21"/>
      <c r="I2197" s="34"/>
      <c r="J2197" s="11"/>
      <c r="K2197" s="6"/>
      <c r="L2197" s="20"/>
      <c r="M2197" s="7"/>
      <c r="N2197" s="5"/>
      <c r="O2197" s="130"/>
    </row>
    <row r="2198" spans="1:15" ht="15" x14ac:dyDescent="0.25">
      <c r="A2198" s="5"/>
      <c r="B2198" s="7"/>
      <c r="C2198" s="13"/>
      <c r="D2198" s="19"/>
      <c r="E2198" s="23"/>
      <c r="F2198" s="21"/>
      <c r="G2198" s="23"/>
      <c r="H2198" s="21"/>
      <c r="I2198" s="34"/>
      <c r="J2198" s="11"/>
      <c r="K2198" s="6"/>
      <c r="L2198" s="20"/>
      <c r="M2198" s="7"/>
      <c r="N2198" s="5"/>
      <c r="O2198" s="130"/>
    </row>
    <row r="2199" spans="1:15" ht="15" x14ac:dyDescent="0.25">
      <c r="A2199" s="5"/>
      <c r="B2199" s="7"/>
      <c r="C2199" s="13"/>
      <c r="D2199" s="19"/>
      <c r="E2199" s="23"/>
      <c r="F2199" s="21"/>
      <c r="G2199" s="23"/>
      <c r="H2199" s="21"/>
      <c r="I2199" s="34"/>
      <c r="J2199" s="11"/>
      <c r="K2199" s="6"/>
      <c r="L2199" s="20"/>
      <c r="M2199" s="7"/>
      <c r="N2199" s="5"/>
      <c r="O2199" s="130"/>
    </row>
    <row r="2200" spans="1:15" ht="15" x14ac:dyDescent="0.25">
      <c r="A2200" s="5"/>
      <c r="B2200" s="7"/>
      <c r="C2200" s="13"/>
      <c r="D2200" s="19"/>
      <c r="E2200" s="23"/>
      <c r="F2200" s="21"/>
      <c r="G2200" s="23"/>
      <c r="H2200" s="21"/>
      <c r="I2200" s="34"/>
      <c r="J2200" s="11"/>
      <c r="K2200" s="6"/>
      <c r="L2200" s="20"/>
      <c r="M2200" s="7"/>
      <c r="N2200" s="5"/>
      <c r="O2200" s="130"/>
    </row>
    <row r="2201" spans="1:15" ht="15" x14ac:dyDescent="0.25">
      <c r="A2201" s="5"/>
      <c r="B2201" s="7"/>
      <c r="C2201" s="13"/>
      <c r="D2201" s="19"/>
      <c r="E2201" s="23"/>
      <c r="F2201" s="21"/>
      <c r="G2201" s="23"/>
      <c r="H2201" s="21"/>
      <c r="I2201" s="34"/>
      <c r="J2201" s="11"/>
      <c r="K2201" s="6"/>
      <c r="L2201" s="20"/>
      <c r="M2201" s="7"/>
      <c r="N2201" s="5"/>
      <c r="O2201" s="130"/>
    </row>
    <row r="2202" spans="1:15" ht="15" x14ac:dyDescent="0.25">
      <c r="A2202" s="5"/>
      <c r="B2202" s="7"/>
      <c r="C2202" s="13"/>
      <c r="D2202" s="19"/>
      <c r="E2202" s="23"/>
      <c r="F2202" s="21"/>
      <c r="G2202" s="23"/>
      <c r="H2202" s="21"/>
      <c r="I2202" s="34"/>
      <c r="J2202" s="11"/>
      <c r="K2202" s="6"/>
      <c r="L2202" s="20"/>
      <c r="M2202" s="7"/>
      <c r="N2202" s="5"/>
      <c r="O2202" s="130"/>
    </row>
    <row r="2203" spans="1:15" ht="15" x14ac:dyDescent="0.25">
      <c r="A2203" s="5"/>
      <c r="B2203" s="7"/>
      <c r="C2203" s="13"/>
      <c r="D2203" s="19"/>
      <c r="E2203" s="23"/>
      <c r="F2203" s="21"/>
      <c r="G2203" s="23"/>
      <c r="H2203" s="21"/>
      <c r="I2203" s="34"/>
      <c r="J2203" s="11"/>
      <c r="K2203" s="6"/>
      <c r="L2203" s="20"/>
      <c r="M2203" s="7"/>
      <c r="N2203" s="5"/>
      <c r="O2203" s="130"/>
    </row>
    <row r="2204" spans="1:15" ht="15" x14ac:dyDescent="0.25">
      <c r="A2204" s="5"/>
      <c r="B2204" s="7"/>
      <c r="C2204" s="13"/>
      <c r="D2204" s="19"/>
      <c r="E2204" s="23"/>
      <c r="F2204" s="21"/>
      <c r="G2204" s="23"/>
      <c r="H2204" s="21"/>
      <c r="I2204" s="34"/>
      <c r="J2204" s="11"/>
      <c r="K2204" s="6"/>
      <c r="L2204" s="20"/>
      <c r="M2204" s="7"/>
      <c r="N2204" s="5"/>
      <c r="O2204" s="130"/>
    </row>
    <row r="2205" spans="1:15" ht="15" x14ac:dyDescent="0.25">
      <c r="A2205" s="5"/>
      <c r="B2205" s="7"/>
      <c r="C2205" s="13"/>
      <c r="D2205" s="19"/>
      <c r="E2205" s="23"/>
      <c r="F2205" s="21"/>
      <c r="G2205" s="23"/>
      <c r="H2205" s="21"/>
      <c r="I2205" s="34"/>
      <c r="J2205" s="11"/>
      <c r="K2205" s="6"/>
      <c r="L2205" s="20"/>
      <c r="M2205" s="7"/>
      <c r="N2205" s="5"/>
      <c r="O2205" s="130"/>
    </row>
    <row r="2206" spans="1:15" ht="15" x14ac:dyDescent="0.25">
      <c r="A2206" s="5"/>
      <c r="B2206" s="7"/>
      <c r="C2206" s="13"/>
      <c r="D2206" s="19"/>
      <c r="E2206" s="23"/>
      <c r="F2206" s="21"/>
      <c r="G2206" s="23"/>
      <c r="H2206" s="21"/>
      <c r="I2206" s="34"/>
      <c r="J2206" s="11"/>
      <c r="K2206" s="6"/>
      <c r="L2206" s="20"/>
      <c r="M2206" s="7"/>
      <c r="N2206" s="5"/>
      <c r="O2206" s="130"/>
    </row>
    <row r="2207" spans="1:15" ht="15" x14ac:dyDescent="0.25">
      <c r="A2207" s="5"/>
      <c r="B2207" s="7"/>
      <c r="C2207" s="13"/>
      <c r="D2207" s="19"/>
      <c r="E2207" s="23"/>
      <c r="F2207" s="21"/>
      <c r="G2207" s="23"/>
      <c r="H2207" s="21"/>
      <c r="I2207" s="34"/>
      <c r="J2207" s="11"/>
      <c r="K2207" s="6"/>
      <c r="L2207" s="20"/>
      <c r="M2207" s="7"/>
      <c r="N2207" s="5"/>
      <c r="O2207" s="130"/>
    </row>
    <row r="2208" spans="1:15" ht="15" x14ac:dyDescent="0.25">
      <c r="A2208" s="5"/>
      <c r="B2208" s="7"/>
      <c r="C2208" s="13"/>
      <c r="D2208" s="19"/>
      <c r="E2208" s="23"/>
      <c r="F2208" s="21"/>
      <c r="G2208" s="23"/>
      <c r="H2208" s="21"/>
      <c r="I2208" s="34"/>
      <c r="J2208" s="11"/>
      <c r="K2208" s="6"/>
      <c r="L2208" s="20"/>
      <c r="M2208" s="7"/>
      <c r="N2208" s="5"/>
      <c r="O2208" s="130"/>
    </row>
    <row r="2209" spans="1:15" ht="15" x14ac:dyDescent="0.25">
      <c r="A2209" s="5"/>
      <c r="B2209" s="7"/>
      <c r="C2209" s="13"/>
      <c r="D2209" s="19"/>
      <c r="E2209" s="23"/>
      <c r="F2209" s="21"/>
      <c r="G2209" s="23"/>
      <c r="H2209" s="21"/>
      <c r="I2209" s="34"/>
      <c r="J2209" s="11"/>
      <c r="K2209" s="6"/>
      <c r="L2209" s="20"/>
      <c r="M2209" s="7"/>
      <c r="N2209" s="5"/>
      <c r="O2209" s="130"/>
    </row>
    <row r="2210" spans="1:15" ht="15" x14ac:dyDescent="0.25">
      <c r="A2210" s="5"/>
      <c r="B2210" s="7"/>
      <c r="C2210" s="13"/>
      <c r="D2210" s="19"/>
      <c r="E2210" s="23"/>
      <c r="F2210" s="21"/>
      <c r="G2210" s="23"/>
      <c r="H2210" s="21"/>
      <c r="I2210" s="34"/>
      <c r="J2210" s="11"/>
      <c r="K2210" s="6"/>
      <c r="L2210" s="20"/>
      <c r="M2210" s="7"/>
      <c r="N2210" s="5"/>
      <c r="O2210" s="130"/>
    </row>
    <row r="2211" spans="1:15" ht="15" x14ac:dyDescent="0.25">
      <c r="A2211" s="5"/>
      <c r="B2211" s="7"/>
      <c r="C2211" s="13"/>
      <c r="D2211" s="19"/>
      <c r="E2211" s="23"/>
      <c r="F2211" s="21"/>
      <c r="G2211" s="23"/>
      <c r="H2211" s="21"/>
      <c r="I2211" s="34"/>
      <c r="J2211" s="11"/>
      <c r="K2211" s="6"/>
      <c r="L2211" s="20"/>
      <c r="M2211" s="7"/>
      <c r="N2211" s="5"/>
      <c r="O2211" s="130"/>
    </row>
    <row r="2212" spans="1:15" ht="15" x14ac:dyDescent="0.25">
      <c r="A2212" s="5"/>
      <c r="B2212" s="7"/>
      <c r="C2212" s="13"/>
      <c r="D2212" s="19"/>
      <c r="E2212" s="23"/>
      <c r="F2212" s="21"/>
      <c r="G2212" s="23"/>
      <c r="H2212" s="21"/>
      <c r="I2212" s="34"/>
      <c r="J2212" s="11"/>
      <c r="K2212" s="6"/>
      <c r="L2212" s="20"/>
      <c r="M2212" s="7"/>
      <c r="N2212" s="5"/>
      <c r="O2212" s="130"/>
    </row>
    <row r="2213" spans="1:15" ht="15" x14ac:dyDescent="0.25">
      <c r="A2213" s="5"/>
      <c r="B2213" s="7"/>
      <c r="C2213" s="13"/>
      <c r="D2213" s="19"/>
      <c r="E2213" s="23"/>
      <c r="F2213" s="21"/>
      <c r="G2213" s="23"/>
      <c r="H2213" s="21"/>
      <c r="I2213" s="34"/>
      <c r="J2213" s="11"/>
      <c r="K2213" s="6"/>
      <c r="L2213" s="20"/>
      <c r="M2213" s="7"/>
      <c r="N2213" s="5"/>
      <c r="O2213" s="130"/>
    </row>
    <row r="2214" spans="1:15" ht="15" x14ac:dyDescent="0.25">
      <c r="A2214" s="5"/>
      <c r="B2214" s="7"/>
      <c r="C2214" s="13"/>
      <c r="D2214" s="19"/>
      <c r="E2214" s="23"/>
      <c r="F2214" s="21"/>
      <c r="G2214" s="23"/>
      <c r="H2214" s="21"/>
      <c r="I2214" s="34"/>
      <c r="J2214" s="11"/>
      <c r="K2214" s="6"/>
      <c r="L2214" s="20"/>
      <c r="M2214" s="7"/>
      <c r="N2214" s="5"/>
      <c r="O2214" s="130"/>
    </row>
    <row r="2215" spans="1:15" ht="15" x14ac:dyDescent="0.25">
      <c r="A2215" s="5"/>
      <c r="B2215" s="7"/>
      <c r="C2215" s="13"/>
      <c r="D2215" s="19"/>
      <c r="E2215" s="23"/>
      <c r="F2215" s="21"/>
      <c r="G2215" s="23"/>
      <c r="H2215" s="21"/>
      <c r="I2215" s="34"/>
      <c r="J2215" s="11"/>
      <c r="K2215" s="6"/>
      <c r="L2215" s="20"/>
      <c r="M2215" s="7"/>
      <c r="N2215" s="5"/>
      <c r="O2215" s="130"/>
    </row>
    <row r="2216" spans="1:15" ht="15" x14ac:dyDescent="0.25">
      <c r="A2216" s="5"/>
      <c r="B2216" s="7"/>
      <c r="C2216" s="13"/>
      <c r="D2216" s="19"/>
      <c r="E2216" s="23"/>
      <c r="F2216" s="21"/>
      <c r="G2216" s="23"/>
      <c r="H2216" s="21"/>
      <c r="I2216" s="34"/>
      <c r="J2216" s="11"/>
      <c r="K2216" s="6"/>
      <c r="L2216" s="20"/>
      <c r="M2216" s="7"/>
      <c r="N2216" s="5"/>
      <c r="O2216" s="130"/>
    </row>
    <row r="2217" spans="1:15" ht="15" x14ac:dyDescent="0.25">
      <c r="A2217" s="5"/>
      <c r="B2217" s="7"/>
      <c r="C2217" s="13"/>
      <c r="D2217" s="19"/>
      <c r="E2217" s="23"/>
      <c r="F2217" s="21"/>
      <c r="G2217" s="23"/>
      <c r="H2217" s="21"/>
      <c r="I2217" s="34"/>
      <c r="J2217" s="11"/>
      <c r="K2217" s="6"/>
      <c r="L2217" s="20"/>
      <c r="M2217" s="7"/>
      <c r="N2217" s="5"/>
      <c r="O2217" s="130"/>
    </row>
    <row r="2218" spans="1:15" ht="15" x14ac:dyDescent="0.25">
      <c r="A2218" s="5"/>
      <c r="B2218" s="7"/>
      <c r="C2218" s="13"/>
      <c r="D2218" s="19"/>
      <c r="E2218" s="23"/>
      <c r="F2218" s="21"/>
      <c r="G2218" s="23"/>
      <c r="H2218" s="21"/>
      <c r="I2218" s="34"/>
      <c r="J2218" s="11"/>
      <c r="K2218" s="6"/>
      <c r="L2218" s="20"/>
      <c r="M2218" s="7"/>
      <c r="N2218" s="5"/>
      <c r="O2218" s="130"/>
    </row>
    <row r="2219" spans="1:15" ht="15" x14ac:dyDescent="0.25">
      <c r="A2219" s="5"/>
      <c r="B2219" s="7"/>
      <c r="C2219" s="13"/>
      <c r="D2219" s="19"/>
      <c r="E2219" s="23"/>
      <c r="F2219" s="21"/>
      <c r="G2219" s="23"/>
      <c r="H2219" s="21"/>
      <c r="I2219" s="34"/>
      <c r="J2219" s="11"/>
      <c r="K2219" s="6"/>
      <c r="L2219" s="20"/>
      <c r="M2219" s="7"/>
      <c r="N2219" s="5"/>
      <c r="O2219" s="130"/>
    </row>
    <row r="2220" spans="1:15" ht="15" x14ac:dyDescent="0.25">
      <c r="A2220" s="5"/>
      <c r="B2220" s="7"/>
      <c r="C2220" s="13"/>
      <c r="D2220" s="19"/>
      <c r="E2220" s="23"/>
      <c r="F2220" s="21"/>
      <c r="G2220" s="23"/>
      <c r="H2220" s="21"/>
      <c r="I2220" s="34"/>
      <c r="J2220" s="11"/>
      <c r="K2220" s="6"/>
      <c r="L2220" s="20"/>
      <c r="M2220" s="7"/>
      <c r="N2220" s="5"/>
      <c r="O2220" s="130"/>
    </row>
    <row r="2221" spans="1:15" ht="15" x14ac:dyDescent="0.25">
      <c r="A2221" s="5"/>
      <c r="B2221" s="7"/>
      <c r="C2221" s="13"/>
      <c r="D2221" s="19"/>
      <c r="E2221" s="23"/>
      <c r="F2221" s="21"/>
      <c r="G2221" s="23"/>
      <c r="H2221" s="21"/>
      <c r="I2221" s="34"/>
      <c r="J2221" s="11"/>
      <c r="K2221" s="6"/>
      <c r="L2221" s="20"/>
      <c r="M2221" s="7"/>
      <c r="N2221" s="5"/>
      <c r="O2221" s="130"/>
    </row>
    <row r="2222" spans="1:15" ht="15" x14ac:dyDescent="0.25">
      <c r="A2222" s="5"/>
      <c r="B2222" s="7"/>
      <c r="C2222" s="13"/>
      <c r="D2222" s="19"/>
      <c r="E2222" s="23"/>
      <c r="F2222" s="21"/>
      <c r="G2222" s="23"/>
      <c r="H2222" s="21"/>
      <c r="I2222" s="34"/>
      <c r="J2222" s="11"/>
      <c r="K2222" s="6"/>
      <c r="L2222" s="20"/>
      <c r="M2222" s="7"/>
      <c r="N2222" s="5"/>
      <c r="O2222" s="130"/>
    </row>
    <row r="2223" spans="1:15" ht="15" x14ac:dyDescent="0.25">
      <c r="A2223" s="5"/>
      <c r="B2223" s="7"/>
      <c r="C2223" s="13"/>
      <c r="D2223" s="19"/>
      <c r="E2223" s="23"/>
      <c r="F2223" s="21"/>
      <c r="G2223" s="23"/>
      <c r="H2223" s="21"/>
      <c r="I2223" s="34"/>
      <c r="J2223" s="11"/>
      <c r="K2223" s="6"/>
      <c r="L2223" s="20"/>
      <c r="M2223" s="7"/>
      <c r="N2223" s="5"/>
      <c r="O2223" s="130"/>
    </row>
    <row r="2224" spans="1:15" ht="15" x14ac:dyDescent="0.25">
      <c r="A2224" s="5"/>
      <c r="B2224" s="7"/>
      <c r="C2224" s="13"/>
      <c r="D2224" s="19"/>
      <c r="E2224" s="23"/>
      <c r="F2224" s="21"/>
      <c r="G2224" s="23"/>
      <c r="H2224" s="21"/>
      <c r="I2224" s="34"/>
      <c r="J2224" s="11"/>
      <c r="K2224" s="6"/>
      <c r="L2224" s="20"/>
      <c r="M2224" s="7"/>
      <c r="N2224" s="5"/>
      <c r="O2224" s="130"/>
    </row>
    <row r="2225" spans="1:15" ht="15" x14ac:dyDescent="0.25">
      <c r="A2225" s="5"/>
      <c r="B2225" s="7"/>
      <c r="C2225" s="13"/>
      <c r="D2225" s="19"/>
      <c r="E2225" s="23"/>
      <c r="F2225" s="21"/>
      <c r="G2225" s="23"/>
      <c r="H2225" s="21"/>
      <c r="I2225" s="34"/>
      <c r="J2225" s="11"/>
      <c r="K2225" s="6"/>
      <c r="L2225" s="20"/>
      <c r="M2225" s="7"/>
      <c r="N2225" s="5"/>
      <c r="O2225" s="130"/>
    </row>
    <row r="2226" spans="1:15" ht="15" x14ac:dyDescent="0.25">
      <c r="A2226" s="5"/>
      <c r="B2226" s="7"/>
      <c r="C2226" s="13"/>
      <c r="D2226" s="19"/>
      <c r="E2226" s="23"/>
      <c r="F2226" s="21"/>
      <c r="G2226" s="23"/>
      <c r="H2226" s="21"/>
      <c r="I2226" s="34"/>
      <c r="J2226" s="11"/>
      <c r="K2226" s="6"/>
      <c r="L2226" s="20"/>
      <c r="M2226" s="7"/>
      <c r="N2226" s="5"/>
      <c r="O2226" s="130"/>
    </row>
    <row r="2227" spans="1:15" ht="15" x14ac:dyDescent="0.25">
      <c r="A2227" s="5"/>
      <c r="B2227" s="7"/>
      <c r="C2227" s="13"/>
      <c r="D2227" s="19"/>
      <c r="E2227" s="23"/>
      <c r="F2227" s="21"/>
      <c r="G2227" s="23"/>
      <c r="H2227" s="21"/>
      <c r="I2227" s="34"/>
      <c r="J2227" s="11"/>
      <c r="K2227" s="6"/>
      <c r="L2227" s="20"/>
      <c r="M2227" s="7"/>
      <c r="N2227" s="5"/>
      <c r="O2227" s="130"/>
    </row>
    <row r="2228" spans="1:15" ht="15" x14ac:dyDescent="0.25">
      <c r="A2228" s="5"/>
      <c r="B2228" s="7"/>
      <c r="C2228" s="13"/>
      <c r="D2228" s="19"/>
      <c r="E2228" s="23"/>
      <c r="F2228" s="21"/>
      <c r="G2228" s="23"/>
      <c r="H2228" s="21"/>
      <c r="I2228" s="34"/>
      <c r="J2228" s="11"/>
      <c r="K2228" s="6"/>
      <c r="L2228" s="20"/>
      <c r="M2228" s="7"/>
      <c r="N2228" s="5"/>
      <c r="O2228" s="130"/>
    </row>
    <row r="2229" spans="1:15" ht="15" x14ac:dyDescent="0.25">
      <c r="A2229" s="5"/>
      <c r="B2229" s="7"/>
      <c r="C2229" s="13"/>
      <c r="D2229" s="19"/>
      <c r="E2229" s="23"/>
      <c r="F2229" s="21"/>
      <c r="G2229" s="23"/>
      <c r="H2229" s="21"/>
      <c r="I2229" s="34"/>
      <c r="J2229" s="11"/>
      <c r="K2229" s="6"/>
      <c r="L2229" s="20"/>
      <c r="M2229" s="7"/>
      <c r="N2229" s="5"/>
      <c r="O2229" s="130"/>
    </row>
    <row r="2230" spans="1:15" ht="15" x14ac:dyDescent="0.25">
      <c r="A2230" s="5"/>
      <c r="B2230" s="7"/>
      <c r="C2230" s="13"/>
      <c r="D2230" s="19"/>
      <c r="E2230" s="23"/>
      <c r="F2230" s="21"/>
      <c r="G2230" s="23"/>
      <c r="H2230" s="21"/>
      <c r="I2230" s="34"/>
      <c r="J2230" s="11"/>
      <c r="K2230" s="6"/>
      <c r="L2230" s="20"/>
      <c r="M2230" s="7"/>
      <c r="N2230" s="5"/>
      <c r="O2230" s="130"/>
    </row>
    <row r="2231" spans="1:15" ht="15" x14ac:dyDescent="0.25">
      <c r="A2231" s="5"/>
      <c r="B2231" s="7"/>
      <c r="C2231" s="13"/>
      <c r="D2231" s="19"/>
      <c r="E2231" s="23"/>
      <c r="F2231" s="21"/>
      <c r="G2231" s="23"/>
      <c r="H2231" s="21"/>
      <c r="I2231" s="34"/>
      <c r="J2231" s="11"/>
      <c r="K2231" s="6"/>
      <c r="L2231" s="20"/>
      <c r="M2231" s="7"/>
      <c r="N2231" s="5"/>
      <c r="O2231" s="130"/>
    </row>
    <row r="2232" spans="1:15" ht="15" x14ac:dyDescent="0.25">
      <c r="A2232" s="5"/>
      <c r="B2232" s="7"/>
      <c r="C2232" s="13"/>
      <c r="D2232" s="19"/>
      <c r="E2232" s="23"/>
      <c r="F2232" s="21"/>
      <c r="G2232" s="23"/>
      <c r="H2232" s="21"/>
      <c r="I2232" s="34"/>
      <c r="J2232" s="11"/>
      <c r="K2232" s="6"/>
      <c r="L2232" s="20"/>
      <c r="M2232" s="7"/>
      <c r="N2232" s="5"/>
      <c r="O2232" s="130"/>
    </row>
    <row r="2233" spans="1:15" ht="15" x14ac:dyDescent="0.25">
      <c r="A2233" s="5"/>
      <c r="B2233" s="7"/>
      <c r="C2233" s="13"/>
      <c r="D2233" s="19"/>
      <c r="E2233" s="23"/>
      <c r="F2233" s="21"/>
      <c r="G2233" s="23"/>
      <c r="H2233" s="21"/>
      <c r="I2233" s="34"/>
      <c r="J2233" s="11"/>
      <c r="K2233" s="6"/>
      <c r="L2233" s="20"/>
      <c r="M2233" s="7"/>
      <c r="N2233" s="5"/>
      <c r="O2233" s="130"/>
    </row>
    <row r="2234" spans="1:15" ht="15" x14ac:dyDescent="0.25">
      <c r="A2234" s="5"/>
      <c r="B2234" s="7"/>
      <c r="C2234" s="13"/>
      <c r="D2234" s="19"/>
      <c r="E2234" s="23"/>
      <c r="F2234" s="21"/>
      <c r="G2234" s="23"/>
      <c r="H2234" s="21"/>
      <c r="I2234" s="34"/>
      <c r="J2234" s="11"/>
      <c r="K2234" s="6"/>
      <c r="L2234" s="20"/>
      <c r="M2234" s="7"/>
      <c r="N2234" s="5"/>
      <c r="O2234" s="130"/>
    </row>
    <row r="2235" spans="1:15" ht="15" x14ac:dyDescent="0.25">
      <c r="A2235" s="5"/>
      <c r="B2235" s="7"/>
      <c r="C2235" s="13"/>
      <c r="D2235" s="19"/>
      <c r="E2235" s="23"/>
      <c r="F2235" s="21"/>
      <c r="G2235" s="23"/>
      <c r="H2235" s="21"/>
      <c r="I2235" s="34"/>
      <c r="J2235" s="11"/>
      <c r="K2235" s="6"/>
      <c r="L2235" s="20"/>
      <c r="M2235" s="7"/>
      <c r="N2235" s="5"/>
      <c r="O2235" s="130"/>
    </row>
    <row r="2236" spans="1:15" ht="15" x14ac:dyDescent="0.25">
      <c r="A2236" s="5"/>
      <c r="B2236" s="7"/>
      <c r="C2236" s="13"/>
      <c r="D2236" s="19"/>
      <c r="E2236" s="23"/>
      <c r="F2236" s="21"/>
      <c r="G2236" s="23"/>
      <c r="H2236" s="21"/>
      <c r="I2236" s="34"/>
      <c r="J2236" s="11"/>
      <c r="K2236" s="6"/>
      <c r="L2236" s="20"/>
      <c r="M2236" s="7"/>
      <c r="N2236" s="5"/>
      <c r="O2236" s="130"/>
    </row>
    <row r="2237" spans="1:15" ht="15" x14ac:dyDescent="0.25">
      <c r="A2237" s="5"/>
      <c r="B2237" s="7"/>
      <c r="C2237" s="13"/>
      <c r="D2237" s="19"/>
      <c r="E2237" s="23"/>
      <c r="F2237" s="21"/>
      <c r="G2237" s="23"/>
      <c r="H2237" s="21"/>
      <c r="I2237" s="34"/>
      <c r="J2237" s="11"/>
      <c r="K2237" s="6"/>
      <c r="L2237" s="20"/>
      <c r="M2237" s="7"/>
      <c r="N2237" s="5"/>
      <c r="O2237" s="130"/>
    </row>
    <row r="2238" spans="1:15" ht="15" x14ac:dyDescent="0.25">
      <c r="A2238" s="5"/>
      <c r="B2238" s="7"/>
      <c r="C2238" s="13"/>
      <c r="D2238" s="19"/>
      <c r="E2238" s="23"/>
      <c r="F2238" s="21"/>
      <c r="G2238" s="23"/>
      <c r="H2238" s="21"/>
      <c r="I2238" s="34"/>
      <c r="J2238" s="11"/>
      <c r="K2238" s="6"/>
      <c r="L2238" s="20"/>
      <c r="M2238" s="7"/>
      <c r="N2238" s="5"/>
      <c r="O2238" s="130"/>
    </row>
    <row r="2239" spans="1:15" ht="15" x14ac:dyDescent="0.25">
      <c r="A2239" s="5"/>
      <c r="B2239" s="7"/>
      <c r="C2239" s="13"/>
      <c r="D2239" s="19"/>
      <c r="E2239" s="23"/>
      <c r="F2239" s="21"/>
      <c r="G2239" s="23"/>
      <c r="H2239" s="21"/>
      <c r="I2239" s="34"/>
      <c r="J2239" s="11"/>
      <c r="K2239" s="6"/>
      <c r="L2239" s="20"/>
      <c r="M2239" s="7"/>
      <c r="N2239" s="5"/>
      <c r="O2239" s="130"/>
    </row>
    <row r="2240" spans="1:15" ht="15" x14ac:dyDescent="0.25">
      <c r="A2240" s="5"/>
      <c r="B2240" s="7"/>
      <c r="C2240" s="13"/>
      <c r="D2240" s="19"/>
      <c r="E2240" s="23"/>
      <c r="F2240" s="21"/>
      <c r="G2240" s="23"/>
      <c r="H2240" s="21"/>
      <c r="I2240" s="34"/>
      <c r="J2240" s="11"/>
      <c r="K2240" s="6"/>
      <c r="L2240" s="20"/>
      <c r="M2240" s="7"/>
      <c r="N2240" s="5"/>
      <c r="O2240" s="130"/>
    </row>
    <row r="2241" spans="1:15" ht="15" x14ac:dyDescent="0.25">
      <c r="A2241" s="5"/>
      <c r="B2241" s="7"/>
      <c r="C2241" s="13"/>
      <c r="D2241" s="19"/>
      <c r="E2241" s="23"/>
      <c r="F2241" s="21"/>
      <c r="G2241" s="23"/>
      <c r="H2241" s="21"/>
      <c r="I2241" s="34"/>
      <c r="J2241" s="11"/>
      <c r="K2241" s="6"/>
      <c r="L2241" s="20"/>
      <c r="M2241" s="7"/>
      <c r="N2241" s="5"/>
      <c r="O2241" s="130"/>
    </row>
    <row r="2242" spans="1:15" ht="15" x14ac:dyDescent="0.25">
      <c r="A2242" s="5"/>
      <c r="B2242" s="7"/>
      <c r="C2242" s="13"/>
      <c r="D2242" s="19"/>
      <c r="E2242" s="23"/>
      <c r="F2242" s="21"/>
      <c r="G2242" s="23"/>
      <c r="H2242" s="21"/>
      <c r="I2242" s="34"/>
      <c r="J2242" s="11"/>
      <c r="K2242" s="6"/>
      <c r="L2242" s="20"/>
      <c r="M2242" s="7"/>
      <c r="N2242" s="5"/>
      <c r="O2242" s="130"/>
    </row>
    <row r="2243" spans="1:15" ht="15" x14ac:dyDescent="0.25">
      <c r="A2243" s="5"/>
      <c r="B2243" s="7"/>
      <c r="C2243" s="13"/>
      <c r="D2243" s="19"/>
      <c r="E2243" s="23"/>
      <c r="F2243" s="21"/>
      <c r="G2243" s="23"/>
      <c r="H2243" s="21"/>
      <c r="I2243" s="34"/>
      <c r="J2243" s="11"/>
      <c r="K2243" s="6"/>
      <c r="L2243" s="20"/>
      <c r="M2243" s="7"/>
      <c r="N2243" s="5"/>
      <c r="O2243" s="130"/>
    </row>
    <row r="2244" spans="1:15" ht="15" x14ac:dyDescent="0.25">
      <c r="A2244" s="5"/>
      <c r="B2244" s="7"/>
      <c r="C2244" s="13"/>
      <c r="D2244" s="19"/>
      <c r="E2244" s="23"/>
      <c r="F2244" s="21"/>
      <c r="G2244" s="23"/>
      <c r="H2244" s="21"/>
      <c r="I2244" s="34"/>
      <c r="J2244" s="11"/>
      <c r="K2244" s="6"/>
      <c r="L2244" s="20"/>
      <c r="M2244" s="7"/>
      <c r="N2244" s="5"/>
      <c r="O2244" s="130"/>
    </row>
    <row r="2245" spans="1:15" ht="15" x14ac:dyDescent="0.25">
      <c r="A2245" s="5"/>
      <c r="B2245" s="7"/>
      <c r="C2245" s="13"/>
      <c r="D2245" s="19"/>
      <c r="E2245" s="23"/>
      <c r="F2245" s="21"/>
      <c r="G2245" s="23"/>
      <c r="H2245" s="21"/>
      <c r="I2245" s="34"/>
      <c r="J2245" s="11"/>
      <c r="K2245" s="6"/>
      <c r="L2245" s="20"/>
      <c r="M2245" s="7"/>
      <c r="N2245" s="5"/>
      <c r="O2245" s="130"/>
    </row>
    <row r="2246" spans="1:15" ht="15" x14ac:dyDescent="0.25">
      <c r="A2246" s="5"/>
      <c r="B2246" s="7"/>
      <c r="C2246" s="13"/>
      <c r="D2246" s="19"/>
      <c r="E2246" s="23"/>
      <c r="F2246" s="21"/>
      <c r="G2246" s="23"/>
      <c r="H2246" s="21"/>
      <c r="I2246" s="34"/>
      <c r="J2246" s="11"/>
      <c r="K2246" s="6"/>
      <c r="L2246" s="20"/>
      <c r="M2246" s="7"/>
      <c r="N2246" s="5"/>
      <c r="O2246" s="130"/>
    </row>
    <row r="2247" spans="1:15" ht="15" x14ac:dyDescent="0.25">
      <c r="A2247" s="5"/>
      <c r="B2247" s="7"/>
      <c r="C2247" s="13"/>
      <c r="D2247" s="19"/>
      <c r="E2247" s="23"/>
      <c r="F2247" s="21"/>
      <c r="G2247" s="23"/>
      <c r="H2247" s="21"/>
      <c r="I2247" s="34"/>
      <c r="J2247" s="11"/>
      <c r="K2247" s="6"/>
      <c r="L2247" s="20"/>
      <c r="M2247" s="7"/>
      <c r="N2247" s="5"/>
      <c r="O2247" s="130"/>
    </row>
    <row r="2248" spans="1:15" ht="15" x14ac:dyDescent="0.25">
      <c r="A2248" s="5"/>
      <c r="B2248" s="7"/>
      <c r="C2248" s="13"/>
      <c r="D2248" s="19"/>
      <c r="E2248" s="23"/>
      <c r="F2248" s="21"/>
      <c r="G2248" s="23"/>
      <c r="H2248" s="21"/>
      <c r="I2248" s="34"/>
      <c r="J2248" s="11"/>
      <c r="K2248" s="6"/>
      <c r="L2248" s="20"/>
      <c r="M2248" s="7"/>
      <c r="N2248" s="5"/>
      <c r="O2248" s="130"/>
    </row>
    <row r="2249" spans="1:15" ht="15" x14ac:dyDescent="0.25">
      <c r="A2249" s="5"/>
      <c r="B2249" s="7"/>
      <c r="C2249" s="13"/>
      <c r="D2249" s="19"/>
      <c r="E2249" s="23"/>
      <c r="F2249" s="21"/>
      <c r="G2249" s="23"/>
      <c r="H2249" s="21"/>
      <c r="I2249" s="34"/>
      <c r="J2249" s="11"/>
      <c r="K2249" s="6"/>
      <c r="L2249" s="20"/>
      <c r="M2249" s="7"/>
      <c r="N2249" s="5"/>
      <c r="O2249" s="130"/>
    </row>
    <row r="2250" spans="1:15" ht="15" x14ac:dyDescent="0.25">
      <c r="A2250" s="5"/>
      <c r="B2250" s="7"/>
      <c r="C2250" s="13"/>
      <c r="D2250" s="19"/>
      <c r="E2250" s="23"/>
      <c r="F2250" s="21"/>
      <c r="G2250" s="23"/>
      <c r="H2250" s="21"/>
      <c r="I2250" s="34"/>
      <c r="J2250" s="11"/>
      <c r="K2250" s="6"/>
      <c r="L2250" s="20"/>
      <c r="M2250" s="7"/>
      <c r="N2250" s="5"/>
      <c r="O2250" s="130"/>
    </row>
    <row r="2251" spans="1:15" ht="15" x14ac:dyDescent="0.25">
      <c r="A2251" s="5"/>
      <c r="B2251" s="7"/>
      <c r="C2251" s="13"/>
      <c r="D2251" s="19"/>
      <c r="E2251" s="23"/>
      <c r="F2251" s="21"/>
      <c r="G2251" s="23"/>
      <c r="H2251" s="21"/>
      <c r="I2251" s="34"/>
      <c r="J2251" s="11"/>
      <c r="K2251" s="6"/>
      <c r="L2251" s="20"/>
      <c r="M2251" s="7"/>
      <c r="N2251" s="5"/>
      <c r="O2251" s="130"/>
    </row>
    <row r="2252" spans="1:15" ht="15" x14ac:dyDescent="0.25">
      <c r="A2252" s="5"/>
      <c r="B2252" s="7"/>
      <c r="C2252" s="13"/>
      <c r="D2252" s="19"/>
      <c r="E2252" s="23"/>
      <c r="F2252" s="21"/>
      <c r="G2252" s="23"/>
      <c r="H2252" s="21"/>
      <c r="I2252" s="34"/>
      <c r="J2252" s="11"/>
      <c r="K2252" s="6"/>
      <c r="L2252" s="20"/>
      <c r="M2252" s="7"/>
      <c r="N2252" s="5"/>
      <c r="O2252" s="130"/>
    </row>
    <row r="2253" spans="1:15" ht="15" x14ac:dyDescent="0.25">
      <c r="A2253" s="5"/>
      <c r="B2253" s="7"/>
      <c r="C2253" s="13"/>
      <c r="D2253" s="19"/>
      <c r="E2253" s="23"/>
      <c r="F2253" s="21"/>
      <c r="G2253" s="23"/>
      <c r="H2253" s="21"/>
      <c r="I2253" s="34"/>
      <c r="J2253" s="11"/>
      <c r="K2253" s="6"/>
      <c r="L2253" s="20"/>
      <c r="M2253" s="7"/>
      <c r="N2253" s="5"/>
      <c r="O2253" s="130"/>
    </row>
    <row r="2254" spans="1:15" ht="15" x14ac:dyDescent="0.25">
      <c r="A2254" s="5"/>
      <c r="B2254" s="7"/>
      <c r="C2254" s="13"/>
      <c r="D2254" s="19"/>
      <c r="E2254" s="23"/>
      <c r="F2254" s="21"/>
      <c r="G2254" s="23"/>
      <c r="H2254" s="21"/>
      <c r="I2254" s="34"/>
      <c r="J2254" s="11"/>
      <c r="K2254" s="6"/>
      <c r="L2254" s="20"/>
      <c r="M2254" s="7"/>
      <c r="N2254" s="5"/>
      <c r="O2254" s="130"/>
    </row>
    <row r="2255" spans="1:15" ht="15" x14ac:dyDescent="0.25">
      <c r="A2255" s="5"/>
      <c r="B2255" s="7"/>
      <c r="C2255" s="13"/>
      <c r="D2255" s="19"/>
      <c r="E2255" s="23"/>
      <c r="F2255" s="21"/>
      <c r="G2255" s="23"/>
      <c r="H2255" s="21"/>
      <c r="I2255" s="34"/>
      <c r="J2255" s="11"/>
      <c r="K2255" s="6"/>
      <c r="L2255" s="20"/>
      <c r="M2255" s="7"/>
      <c r="N2255" s="5"/>
      <c r="O2255" s="130"/>
    </row>
    <row r="2256" spans="1:15" ht="15" x14ac:dyDescent="0.25">
      <c r="A2256" s="5"/>
      <c r="B2256" s="7"/>
      <c r="C2256" s="13"/>
      <c r="D2256" s="19"/>
      <c r="E2256" s="23"/>
      <c r="F2256" s="21"/>
      <c r="G2256" s="23"/>
      <c r="H2256" s="21"/>
      <c r="I2256" s="34"/>
      <c r="J2256" s="11"/>
      <c r="K2256" s="6"/>
      <c r="L2256" s="20"/>
      <c r="M2256" s="7"/>
      <c r="N2256" s="5"/>
      <c r="O2256" s="130"/>
    </row>
    <row r="2257" spans="1:15" ht="15" x14ac:dyDescent="0.25">
      <c r="A2257" s="5"/>
      <c r="B2257" s="7"/>
      <c r="C2257" s="13"/>
      <c r="D2257" s="19"/>
      <c r="E2257" s="23"/>
      <c r="F2257" s="21"/>
      <c r="G2257" s="23"/>
      <c r="H2257" s="21"/>
      <c r="I2257" s="34"/>
      <c r="J2257" s="11"/>
      <c r="K2257" s="6"/>
      <c r="L2257" s="20"/>
      <c r="M2257" s="7"/>
      <c r="N2257" s="5"/>
      <c r="O2257" s="130"/>
    </row>
    <row r="2258" spans="1:15" ht="15" x14ac:dyDescent="0.25">
      <c r="A2258" s="5"/>
      <c r="B2258" s="7"/>
      <c r="C2258" s="13"/>
      <c r="D2258" s="19"/>
      <c r="E2258" s="23"/>
      <c r="F2258" s="21"/>
      <c r="G2258" s="23"/>
      <c r="H2258" s="21"/>
      <c r="I2258" s="34"/>
      <c r="J2258" s="11"/>
      <c r="K2258" s="6"/>
      <c r="L2258" s="20"/>
      <c r="M2258" s="7"/>
      <c r="N2258" s="5"/>
      <c r="O2258" s="130"/>
    </row>
    <row r="2259" spans="1:15" ht="15" x14ac:dyDescent="0.25">
      <c r="A2259" s="5"/>
      <c r="B2259" s="7"/>
      <c r="C2259" s="13"/>
      <c r="D2259" s="19"/>
      <c r="E2259" s="23"/>
      <c r="F2259" s="21"/>
      <c r="G2259" s="23"/>
      <c r="H2259" s="21"/>
      <c r="I2259" s="34"/>
      <c r="J2259" s="11"/>
      <c r="K2259" s="6"/>
      <c r="L2259" s="20"/>
      <c r="M2259" s="7"/>
      <c r="N2259" s="5"/>
      <c r="O2259" s="130"/>
    </row>
    <row r="2260" spans="1:15" ht="15" x14ac:dyDescent="0.25">
      <c r="A2260" s="5"/>
      <c r="B2260" s="7"/>
      <c r="C2260" s="13"/>
      <c r="D2260" s="19"/>
      <c r="E2260" s="23"/>
      <c r="F2260" s="21"/>
      <c r="G2260" s="23"/>
      <c r="H2260" s="21"/>
      <c r="I2260" s="34"/>
      <c r="J2260" s="11"/>
      <c r="K2260" s="6"/>
      <c r="L2260" s="20"/>
      <c r="M2260" s="7"/>
      <c r="N2260" s="5"/>
      <c r="O2260" s="130"/>
    </row>
    <row r="2261" spans="1:15" ht="15" x14ac:dyDescent="0.25">
      <c r="A2261" s="5"/>
      <c r="B2261" s="7"/>
      <c r="C2261" s="13"/>
      <c r="D2261" s="19"/>
      <c r="E2261" s="23"/>
      <c r="F2261" s="21"/>
      <c r="G2261" s="23"/>
      <c r="H2261" s="21"/>
      <c r="I2261" s="34"/>
      <c r="J2261" s="11"/>
      <c r="K2261" s="6"/>
      <c r="L2261" s="20"/>
      <c r="M2261" s="7"/>
      <c r="N2261" s="5"/>
      <c r="O2261" s="130"/>
    </row>
    <row r="2262" spans="1:15" ht="15" x14ac:dyDescent="0.25">
      <c r="A2262" s="5"/>
      <c r="B2262" s="7"/>
      <c r="C2262" s="13"/>
      <c r="D2262" s="19"/>
      <c r="E2262" s="23"/>
      <c r="F2262" s="21"/>
      <c r="G2262" s="23"/>
      <c r="H2262" s="21"/>
      <c r="I2262" s="34"/>
      <c r="J2262" s="11"/>
      <c r="K2262" s="6"/>
      <c r="L2262" s="20"/>
      <c r="M2262" s="7"/>
      <c r="N2262" s="5"/>
      <c r="O2262" s="130"/>
    </row>
    <row r="2263" spans="1:15" ht="15" x14ac:dyDescent="0.25">
      <c r="A2263" s="5"/>
      <c r="B2263" s="7"/>
      <c r="C2263" s="13"/>
      <c r="D2263" s="19"/>
      <c r="E2263" s="23"/>
      <c r="F2263" s="21"/>
      <c r="G2263" s="23"/>
      <c r="H2263" s="21"/>
      <c r="I2263" s="34"/>
      <c r="J2263" s="11"/>
      <c r="K2263" s="6"/>
      <c r="L2263" s="20"/>
      <c r="M2263" s="7"/>
      <c r="N2263" s="5"/>
      <c r="O2263" s="130"/>
    </row>
    <row r="2264" spans="1:15" ht="15" x14ac:dyDescent="0.25">
      <c r="A2264" s="5"/>
      <c r="B2264" s="7"/>
      <c r="C2264" s="13"/>
      <c r="D2264" s="19"/>
      <c r="E2264" s="23"/>
      <c r="F2264" s="21"/>
      <c r="G2264" s="23"/>
      <c r="H2264" s="21"/>
      <c r="I2264" s="34"/>
      <c r="J2264" s="11"/>
      <c r="K2264" s="6"/>
      <c r="L2264" s="20"/>
      <c r="M2264" s="7"/>
      <c r="N2264" s="5"/>
      <c r="O2264" s="130"/>
    </row>
    <row r="2265" spans="1:15" ht="15" x14ac:dyDescent="0.25">
      <c r="A2265" s="5"/>
      <c r="B2265" s="7"/>
      <c r="C2265" s="13"/>
      <c r="D2265" s="19"/>
      <c r="E2265" s="23"/>
      <c r="F2265" s="21"/>
      <c r="G2265" s="23"/>
      <c r="H2265" s="21"/>
      <c r="I2265" s="34"/>
      <c r="J2265" s="11"/>
      <c r="K2265" s="6"/>
      <c r="L2265" s="20"/>
      <c r="M2265" s="7"/>
      <c r="N2265" s="5"/>
      <c r="O2265" s="130"/>
    </row>
    <row r="2266" spans="1:15" ht="15" x14ac:dyDescent="0.25">
      <c r="A2266" s="5"/>
      <c r="B2266" s="7"/>
      <c r="C2266" s="13"/>
      <c r="D2266" s="19"/>
      <c r="E2266" s="23"/>
      <c r="F2266" s="21"/>
      <c r="G2266" s="23"/>
      <c r="H2266" s="21"/>
      <c r="I2266" s="34"/>
      <c r="J2266" s="11"/>
      <c r="K2266" s="6"/>
      <c r="L2266" s="20"/>
      <c r="M2266" s="7"/>
      <c r="N2266" s="5"/>
      <c r="O2266" s="130"/>
    </row>
    <row r="2267" spans="1:15" ht="15" x14ac:dyDescent="0.25">
      <c r="A2267" s="5"/>
      <c r="B2267" s="7"/>
      <c r="C2267" s="13"/>
      <c r="D2267" s="19"/>
      <c r="E2267" s="23"/>
      <c r="F2267" s="21"/>
      <c r="G2267" s="23"/>
      <c r="H2267" s="21"/>
      <c r="I2267" s="34"/>
      <c r="J2267" s="11"/>
      <c r="K2267" s="6"/>
      <c r="L2267" s="20"/>
      <c r="M2267" s="7"/>
      <c r="N2267" s="5"/>
      <c r="O2267" s="130"/>
    </row>
    <row r="2268" spans="1:15" ht="15" x14ac:dyDescent="0.25">
      <c r="A2268" s="5"/>
      <c r="B2268" s="7"/>
      <c r="C2268" s="13"/>
      <c r="D2268" s="19"/>
      <c r="E2268" s="23"/>
      <c r="F2268" s="21"/>
      <c r="G2268" s="23"/>
      <c r="H2268" s="21"/>
      <c r="I2268" s="34"/>
      <c r="J2268" s="11"/>
      <c r="K2268" s="6"/>
      <c r="L2268" s="20"/>
      <c r="M2268" s="7"/>
      <c r="N2268" s="5"/>
      <c r="O2268" s="130"/>
    </row>
    <row r="2269" spans="1:15" ht="15" x14ac:dyDescent="0.25">
      <c r="A2269" s="5"/>
      <c r="B2269" s="7"/>
      <c r="C2269" s="13"/>
      <c r="D2269" s="19"/>
      <c r="E2269" s="23"/>
      <c r="F2269" s="21"/>
      <c r="G2269" s="23"/>
      <c r="H2269" s="21"/>
      <c r="I2269" s="34"/>
      <c r="J2269" s="11"/>
      <c r="K2269" s="6"/>
      <c r="L2269" s="20"/>
      <c r="M2269" s="7"/>
      <c r="N2269" s="5"/>
      <c r="O2269" s="130"/>
    </row>
    <row r="2270" spans="1:15" ht="15" x14ac:dyDescent="0.25">
      <c r="A2270" s="5"/>
      <c r="B2270" s="7"/>
      <c r="C2270" s="13"/>
      <c r="D2270" s="19"/>
      <c r="E2270" s="23"/>
      <c r="F2270" s="21"/>
      <c r="G2270" s="23"/>
      <c r="H2270" s="21"/>
      <c r="I2270" s="34"/>
      <c r="J2270" s="11"/>
      <c r="K2270" s="6"/>
      <c r="L2270" s="20"/>
      <c r="M2270" s="7"/>
      <c r="N2270" s="5"/>
      <c r="O2270" s="130"/>
    </row>
    <row r="2271" spans="1:15" ht="15" x14ac:dyDescent="0.25">
      <c r="A2271" s="5"/>
      <c r="B2271" s="7"/>
      <c r="C2271" s="13"/>
      <c r="D2271" s="19"/>
      <c r="E2271" s="23"/>
      <c r="F2271" s="21"/>
      <c r="G2271" s="23"/>
      <c r="H2271" s="21"/>
      <c r="I2271" s="34"/>
      <c r="J2271" s="11"/>
      <c r="K2271" s="6"/>
      <c r="L2271" s="20"/>
      <c r="M2271" s="7"/>
      <c r="N2271" s="5"/>
      <c r="O2271" s="130"/>
    </row>
    <row r="2272" spans="1:15" ht="15" x14ac:dyDescent="0.25">
      <c r="A2272" s="5"/>
      <c r="B2272" s="7"/>
      <c r="C2272" s="13"/>
      <c r="D2272" s="19"/>
      <c r="E2272" s="23"/>
      <c r="F2272" s="21"/>
      <c r="G2272" s="23"/>
      <c r="H2272" s="21"/>
      <c r="I2272" s="34"/>
      <c r="J2272" s="11"/>
      <c r="K2272" s="6"/>
      <c r="L2272" s="20"/>
      <c r="M2272" s="7"/>
      <c r="N2272" s="5"/>
      <c r="O2272" s="130"/>
    </row>
    <row r="2273" spans="1:15" ht="15" x14ac:dyDescent="0.25">
      <c r="A2273" s="5"/>
      <c r="B2273" s="7"/>
      <c r="C2273" s="13"/>
      <c r="D2273" s="19"/>
      <c r="E2273" s="23"/>
      <c r="F2273" s="21"/>
      <c r="G2273" s="23"/>
      <c r="H2273" s="21"/>
      <c r="I2273" s="34"/>
      <c r="J2273" s="11"/>
      <c r="K2273" s="6"/>
      <c r="L2273" s="20"/>
      <c r="M2273" s="7"/>
      <c r="N2273" s="5"/>
      <c r="O2273" s="130"/>
    </row>
    <row r="2274" spans="1:15" ht="15" x14ac:dyDescent="0.25">
      <c r="A2274" s="5"/>
      <c r="B2274" s="7"/>
      <c r="C2274" s="13"/>
      <c r="D2274" s="19"/>
      <c r="E2274" s="23"/>
      <c r="F2274" s="21"/>
      <c r="G2274" s="23"/>
      <c r="H2274" s="21"/>
      <c r="I2274" s="34"/>
      <c r="J2274" s="11"/>
      <c r="K2274" s="6"/>
      <c r="L2274" s="20"/>
      <c r="M2274" s="7"/>
      <c r="N2274" s="5"/>
      <c r="O2274" s="130"/>
    </row>
    <row r="2275" spans="1:15" ht="15" x14ac:dyDescent="0.25">
      <c r="A2275" s="5"/>
      <c r="B2275" s="7"/>
      <c r="C2275" s="13"/>
      <c r="D2275" s="19"/>
      <c r="E2275" s="23"/>
      <c r="F2275" s="21"/>
      <c r="G2275" s="23"/>
      <c r="H2275" s="21"/>
      <c r="I2275" s="34"/>
      <c r="J2275" s="11"/>
      <c r="K2275" s="6"/>
      <c r="L2275" s="20"/>
      <c r="M2275" s="7"/>
      <c r="N2275" s="5"/>
      <c r="O2275" s="130"/>
    </row>
    <row r="2276" spans="1:15" ht="15" x14ac:dyDescent="0.25">
      <c r="A2276" s="5"/>
      <c r="B2276" s="7"/>
      <c r="C2276" s="13"/>
      <c r="D2276" s="19"/>
      <c r="E2276" s="23"/>
      <c r="F2276" s="21"/>
      <c r="G2276" s="23"/>
      <c r="H2276" s="21"/>
      <c r="I2276" s="34"/>
      <c r="J2276" s="11"/>
      <c r="K2276" s="6"/>
      <c r="L2276" s="20"/>
      <c r="M2276" s="7"/>
      <c r="N2276" s="5"/>
      <c r="O2276" s="130"/>
    </row>
    <row r="2277" spans="1:15" ht="15" x14ac:dyDescent="0.25">
      <c r="A2277" s="5"/>
      <c r="B2277" s="7"/>
      <c r="C2277" s="13"/>
      <c r="D2277" s="19"/>
      <c r="E2277" s="23"/>
      <c r="F2277" s="21"/>
      <c r="G2277" s="23"/>
      <c r="H2277" s="21"/>
      <c r="I2277" s="34"/>
      <c r="J2277" s="11"/>
      <c r="K2277" s="6"/>
      <c r="L2277" s="20"/>
      <c r="M2277" s="7"/>
      <c r="N2277" s="5"/>
      <c r="O2277" s="130"/>
    </row>
    <row r="2278" spans="1:15" ht="15" x14ac:dyDescent="0.25">
      <c r="A2278" s="5"/>
      <c r="B2278" s="7"/>
      <c r="C2278" s="13"/>
      <c r="D2278" s="19"/>
      <c r="E2278" s="23"/>
      <c r="F2278" s="21"/>
      <c r="G2278" s="23"/>
      <c r="H2278" s="21"/>
      <c r="I2278" s="34"/>
      <c r="J2278" s="11"/>
      <c r="K2278" s="6"/>
      <c r="L2278" s="20"/>
      <c r="M2278" s="7"/>
      <c r="N2278" s="5"/>
      <c r="O2278" s="130"/>
    </row>
    <row r="2279" spans="1:15" ht="15" x14ac:dyDescent="0.25">
      <c r="A2279" s="5"/>
      <c r="B2279" s="7"/>
      <c r="C2279" s="13"/>
      <c r="D2279" s="19"/>
      <c r="E2279" s="23"/>
      <c r="F2279" s="21"/>
      <c r="G2279" s="23"/>
      <c r="H2279" s="21"/>
      <c r="I2279" s="34"/>
      <c r="J2279" s="11"/>
      <c r="K2279" s="6"/>
      <c r="L2279" s="20"/>
      <c r="M2279" s="7"/>
      <c r="N2279" s="5"/>
      <c r="O2279" s="130"/>
    </row>
    <row r="2280" spans="1:15" ht="15" x14ac:dyDescent="0.25">
      <c r="A2280" s="5"/>
      <c r="B2280" s="7"/>
      <c r="C2280" s="13"/>
      <c r="D2280" s="19"/>
      <c r="E2280" s="23"/>
      <c r="F2280" s="21"/>
      <c r="G2280" s="23"/>
      <c r="H2280" s="21"/>
      <c r="I2280" s="34"/>
      <c r="J2280" s="11"/>
      <c r="K2280" s="6"/>
      <c r="L2280" s="20"/>
      <c r="M2280" s="7"/>
      <c r="N2280" s="5"/>
      <c r="O2280" s="130"/>
    </row>
    <row r="2281" spans="1:15" ht="15" x14ac:dyDescent="0.25">
      <c r="A2281" s="5"/>
      <c r="B2281" s="7"/>
      <c r="C2281" s="13"/>
      <c r="D2281" s="19"/>
      <c r="E2281" s="23"/>
      <c r="F2281" s="21"/>
      <c r="G2281" s="23"/>
      <c r="H2281" s="21"/>
      <c r="I2281" s="34"/>
      <c r="J2281" s="11"/>
      <c r="K2281" s="6"/>
      <c r="L2281" s="20"/>
      <c r="M2281" s="7"/>
      <c r="N2281" s="5"/>
      <c r="O2281" s="130"/>
    </row>
    <row r="2282" spans="1:15" ht="15" x14ac:dyDescent="0.25">
      <c r="A2282" s="5"/>
      <c r="B2282" s="7"/>
      <c r="C2282" s="13"/>
      <c r="D2282" s="19"/>
      <c r="E2282" s="23"/>
      <c r="F2282" s="21"/>
      <c r="G2282" s="23"/>
      <c r="H2282" s="21"/>
      <c r="I2282" s="34"/>
      <c r="J2282" s="11"/>
      <c r="K2282" s="6"/>
      <c r="L2282" s="20"/>
      <c r="M2282" s="7"/>
      <c r="N2282" s="5"/>
      <c r="O2282" s="130"/>
    </row>
    <row r="2283" spans="1:15" ht="15" x14ac:dyDescent="0.25">
      <c r="A2283" s="5"/>
      <c r="B2283" s="7"/>
      <c r="C2283" s="13"/>
      <c r="D2283" s="19"/>
      <c r="E2283" s="23"/>
      <c r="F2283" s="21"/>
      <c r="G2283" s="23"/>
      <c r="H2283" s="21"/>
      <c r="I2283" s="34"/>
      <c r="J2283" s="11"/>
      <c r="K2283" s="6"/>
      <c r="L2283" s="20"/>
      <c r="M2283" s="7"/>
      <c r="N2283" s="5"/>
      <c r="O2283" s="130"/>
    </row>
    <row r="2284" spans="1:15" ht="15" x14ac:dyDescent="0.25">
      <c r="A2284" s="5"/>
      <c r="B2284" s="7"/>
      <c r="C2284" s="13"/>
      <c r="D2284" s="19"/>
      <c r="E2284" s="23"/>
      <c r="F2284" s="21"/>
      <c r="G2284" s="23"/>
      <c r="H2284" s="21"/>
      <c r="I2284" s="34"/>
      <c r="J2284" s="11"/>
      <c r="K2284" s="6"/>
      <c r="L2284" s="20"/>
      <c r="M2284" s="7"/>
      <c r="N2284" s="5"/>
      <c r="O2284" s="130"/>
    </row>
    <row r="2285" spans="1:15" ht="15" x14ac:dyDescent="0.25">
      <c r="A2285" s="5"/>
      <c r="B2285" s="7"/>
      <c r="C2285" s="13"/>
      <c r="D2285" s="19"/>
      <c r="E2285" s="23"/>
      <c r="F2285" s="21"/>
      <c r="G2285" s="23"/>
      <c r="H2285" s="21"/>
      <c r="I2285" s="34"/>
      <c r="J2285" s="11"/>
      <c r="K2285" s="6"/>
      <c r="L2285" s="20"/>
      <c r="M2285" s="7"/>
      <c r="N2285" s="5"/>
      <c r="O2285" s="130"/>
    </row>
    <row r="2286" spans="1:15" ht="15" x14ac:dyDescent="0.25">
      <c r="A2286" s="5"/>
      <c r="B2286" s="7"/>
      <c r="C2286" s="13"/>
      <c r="D2286" s="19"/>
      <c r="E2286" s="23"/>
      <c r="F2286" s="21"/>
      <c r="G2286" s="23"/>
      <c r="H2286" s="21"/>
      <c r="I2286" s="34"/>
      <c r="J2286" s="11"/>
      <c r="K2286" s="6"/>
      <c r="L2286" s="20"/>
      <c r="M2286" s="7"/>
      <c r="N2286" s="5"/>
      <c r="O2286" s="130"/>
    </row>
    <row r="2287" spans="1:15" ht="15" x14ac:dyDescent="0.25">
      <c r="A2287" s="5"/>
      <c r="B2287" s="7"/>
      <c r="C2287" s="13"/>
      <c r="D2287" s="19"/>
      <c r="E2287" s="23"/>
      <c r="F2287" s="21"/>
      <c r="G2287" s="23"/>
      <c r="H2287" s="21"/>
      <c r="I2287" s="34"/>
      <c r="J2287" s="11"/>
      <c r="K2287" s="6"/>
      <c r="L2287" s="20"/>
      <c r="M2287" s="7"/>
      <c r="N2287" s="5"/>
      <c r="O2287" s="130"/>
    </row>
    <row r="2288" spans="1:15" ht="15" x14ac:dyDescent="0.25">
      <c r="A2288" s="5"/>
      <c r="B2288" s="7"/>
      <c r="C2288" s="13"/>
      <c r="D2288" s="19"/>
      <c r="E2288" s="23"/>
      <c r="F2288" s="21"/>
      <c r="G2288" s="23"/>
      <c r="H2288" s="21"/>
      <c r="I2288" s="34"/>
      <c r="J2288" s="11"/>
      <c r="K2288" s="6"/>
      <c r="L2288" s="20"/>
      <c r="M2288" s="7"/>
      <c r="N2288" s="5"/>
      <c r="O2288" s="130"/>
    </row>
    <row r="2289" spans="1:15" ht="15" x14ac:dyDescent="0.25">
      <c r="A2289" s="5"/>
      <c r="B2289" s="7"/>
      <c r="C2289" s="13"/>
      <c r="D2289" s="19"/>
      <c r="E2289" s="23"/>
      <c r="F2289" s="21"/>
      <c r="G2289" s="23"/>
      <c r="H2289" s="21"/>
      <c r="I2289" s="34"/>
      <c r="J2289" s="11"/>
      <c r="K2289" s="6"/>
      <c r="L2289" s="20"/>
      <c r="M2289" s="7"/>
      <c r="N2289" s="5"/>
      <c r="O2289" s="130"/>
    </row>
    <row r="2290" spans="1:15" ht="15" x14ac:dyDescent="0.25">
      <c r="A2290" s="5"/>
      <c r="B2290" s="7"/>
      <c r="C2290" s="13"/>
      <c r="D2290" s="19"/>
      <c r="E2290" s="23"/>
      <c r="F2290" s="21"/>
      <c r="G2290" s="23"/>
      <c r="H2290" s="21"/>
      <c r="I2290" s="34"/>
      <c r="J2290" s="11"/>
      <c r="K2290" s="6"/>
      <c r="L2290" s="20"/>
      <c r="M2290" s="7"/>
      <c r="N2290" s="5"/>
      <c r="O2290" s="130"/>
    </row>
    <row r="2291" spans="1:15" ht="15" x14ac:dyDescent="0.25">
      <c r="A2291" s="5"/>
      <c r="B2291" s="7"/>
      <c r="C2291" s="13"/>
      <c r="D2291" s="19"/>
      <c r="E2291" s="23"/>
      <c r="F2291" s="21"/>
      <c r="G2291" s="23"/>
      <c r="H2291" s="21"/>
      <c r="I2291" s="34"/>
      <c r="J2291" s="11"/>
      <c r="K2291" s="6"/>
      <c r="L2291" s="20"/>
      <c r="M2291" s="7"/>
      <c r="N2291" s="5"/>
      <c r="O2291" s="130"/>
    </row>
    <row r="2292" spans="1:15" ht="15" x14ac:dyDescent="0.25">
      <c r="A2292" s="5"/>
      <c r="B2292" s="7"/>
      <c r="C2292" s="13"/>
      <c r="D2292" s="19"/>
      <c r="E2292" s="23"/>
      <c r="F2292" s="21"/>
      <c r="G2292" s="23"/>
      <c r="H2292" s="21"/>
      <c r="I2292" s="34"/>
      <c r="J2292" s="11"/>
      <c r="K2292" s="6"/>
      <c r="L2292" s="20"/>
      <c r="M2292" s="7"/>
      <c r="N2292" s="5"/>
      <c r="O2292" s="130"/>
    </row>
    <row r="2293" spans="1:15" ht="15" x14ac:dyDescent="0.25">
      <c r="A2293" s="5"/>
      <c r="B2293" s="7"/>
      <c r="C2293" s="13"/>
      <c r="D2293" s="19"/>
      <c r="E2293" s="23"/>
      <c r="F2293" s="21"/>
      <c r="G2293" s="23"/>
      <c r="H2293" s="21"/>
      <c r="I2293" s="34"/>
      <c r="J2293" s="11"/>
      <c r="K2293" s="6"/>
      <c r="L2293" s="20"/>
      <c r="M2293" s="7"/>
      <c r="N2293" s="5"/>
      <c r="O2293" s="130"/>
    </row>
    <row r="2294" spans="1:15" ht="15" x14ac:dyDescent="0.25">
      <c r="A2294" s="5"/>
      <c r="B2294" s="7"/>
      <c r="C2294" s="13"/>
      <c r="D2294" s="19"/>
      <c r="E2294" s="23"/>
      <c r="F2294" s="21"/>
      <c r="G2294" s="23"/>
      <c r="H2294" s="21"/>
      <c r="I2294" s="34"/>
      <c r="J2294" s="11"/>
      <c r="K2294" s="6"/>
      <c r="L2294" s="20"/>
      <c r="M2294" s="7"/>
      <c r="N2294" s="5"/>
      <c r="O2294" s="130"/>
    </row>
    <row r="2295" spans="1:15" ht="15" x14ac:dyDescent="0.25">
      <c r="A2295" s="5"/>
      <c r="B2295" s="7"/>
      <c r="C2295" s="13"/>
      <c r="D2295" s="19"/>
      <c r="E2295" s="23"/>
      <c r="F2295" s="21"/>
      <c r="G2295" s="23"/>
      <c r="H2295" s="21"/>
      <c r="I2295" s="34"/>
      <c r="J2295" s="11"/>
      <c r="K2295" s="6"/>
      <c r="L2295" s="20"/>
      <c r="M2295" s="7"/>
      <c r="N2295" s="5"/>
      <c r="O2295" s="130"/>
    </row>
    <row r="2296" spans="1:15" ht="15" x14ac:dyDescent="0.25">
      <c r="A2296" s="5"/>
      <c r="B2296" s="7"/>
      <c r="C2296" s="13"/>
      <c r="D2296" s="19"/>
      <c r="E2296" s="23"/>
      <c r="F2296" s="21"/>
      <c r="G2296" s="23"/>
      <c r="H2296" s="21"/>
      <c r="I2296" s="34"/>
      <c r="J2296" s="11"/>
      <c r="K2296" s="6"/>
      <c r="L2296" s="20"/>
      <c r="M2296" s="7"/>
      <c r="N2296" s="5"/>
      <c r="O2296" s="130"/>
    </row>
    <row r="2297" spans="1:15" ht="15" x14ac:dyDescent="0.25">
      <c r="A2297" s="5"/>
      <c r="B2297" s="7"/>
      <c r="C2297" s="13"/>
      <c r="D2297" s="19"/>
      <c r="E2297" s="23"/>
      <c r="F2297" s="21"/>
      <c r="G2297" s="23"/>
      <c r="H2297" s="21"/>
      <c r="I2297" s="34"/>
      <c r="J2297" s="11"/>
      <c r="K2297" s="6"/>
      <c r="L2297" s="20"/>
      <c r="M2297" s="7"/>
      <c r="N2297" s="5"/>
      <c r="O2297" s="130"/>
    </row>
    <row r="2298" spans="1:15" ht="15" x14ac:dyDescent="0.25">
      <c r="A2298" s="5"/>
      <c r="B2298" s="7"/>
      <c r="C2298" s="13"/>
      <c r="D2298" s="19"/>
      <c r="E2298" s="23"/>
      <c r="F2298" s="21"/>
      <c r="G2298" s="23"/>
      <c r="H2298" s="21"/>
      <c r="I2298" s="34"/>
      <c r="J2298" s="11"/>
      <c r="K2298" s="6"/>
      <c r="L2298" s="20"/>
      <c r="M2298" s="7"/>
      <c r="N2298" s="5"/>
      <c r="O2298" s="130"/>
    </row>
    <row r="2299" spans="1:15" ht="15" x14ac:dyDescent="0.25">
      <c r="A2299" s="5"/>
      <c r="B2299" s="7"/>
      <c r="C2299" s="13"/>
      <c r="D2299" s="19"/>
      <c r="E2299" s="23"/>
      <c r="F2299" s="21"/>
      <c r="G2299" s="23"/>
      <c r="H2299" s="21"/>
      <c r="I2299" s="34"/>
      <c r="J2299" s="11"/>
      <c r="K2299" s="6"/>
      <c r="L2299" s="20"/>
      <c r="M2299" s="7"/>
      <c r="N2299" s="5"/>
      <c r="O2299" s="130"/>
    </row>
    <row r="2300" spans="1:15" ht="15" x14ac:dyDescent="0.25">
      <c r="A2300" s="5"/>
      <c r="B2300" s="7"/>
      <c r="C2300" s="13"/>
      <c r="D2300" s="19"/>
      <c r="E2300" s="23"/>
      <c r="F2300" s="21"/>
      <c r="G2300" s="23"/>
      <c r="H2300" s="21"/>
      <c r="I2300" s="34"/>
      <c r="J2300" s="11"/>
      <c r="K2300" s="6"/>
      <c r="L2300" s="20"/>
      <c r="M2300" s="7"/>
      <c r="N2300" s="5"/>
      <c r="O2300" s="130"/>
    </row>
    <row r="2301" spans="1:15" ht="15" x14ac:dyDescent="0.25">
      <c r="A2301" s="5"/>
      <c r="B2301" s="7"/>
      <c r="C2301" s="13"/>
      <c r="D2301" s="19"/>
      <c r="E2301" s="23"/>
      <c r="F2301" s="21"/>
      <c r="G2301" s="23"/>
      <c r="H2301" s="21"/>
      <c r="I2301" s="34"/>
      <c r="J2301" s="11"/>
      <c r="K2301" s="6"/>
      <c r="L2301" s="20"/>
      <c r="M2301" s="7"/>
      <c r="N2301" s="5"/>
      <c r="O2301" s="130"/>
    </row>
    <row r="2302" spans="1:15" ht="15" x14ac:dyDescent="0.25">
      <c r="A2302" s="5"/>
      <c r="B2302" s="7"/>
      <c r="C2302" s="13"/>
      <c r="D2302" s="19"/>
      <c r="E2302" s="23"/>
      <c r="F2302" s="21"/>
      <c r="G2302" s="23"/>
      <c r="H2302" s="21"/>
      <c r="I2302" s="34"/>
      <c r="J2302" s="11"/>
      <c r="K2302" s="6"/>
      <c r="L2302" s="20"/>
      <c r="M2302" s="7"/>
      <c r="N2302" s="5"/>
      <c r="O2302" s="130"/>
    </row>
    <row r="2303" spans="1:15" ht="15" x14ac:dyDescent="0.25">
      <c r="A2303" s="5"/>
      <c r="B2303" s="7"/>
      <c r="C2303" s="13"/>
      <c r="D2303" s="19"/>
      <c r="E2303" s="23"/>
      <c r="F2303" s="21"/>
      <c r="G2303" s="23"/>
      <c r="H2303" s="21"/>
      <c r="I2303" s="34"/>
      <c r="J2303" s="11"/>
      <c r="K2303" s="6"/>
      <c r="L2303" s="20"/>
      <c r="M2303" s="7"/>
      <c r="N2303" s="5"/>
      <c r="O2303" s="130"/>
    </row>
    <row r="2304" spans="1:15" ht="15" x14ac:dyDescent="0.25">
      <c r="A2304" s="5"/>
      <c r="B2304" s="7"/>
      <c r="C2304" s="13"/>
      <c r="D2304" s="19"/>
      <c r="E2304" s="23"/>
      <c r="F2304" s="21"/>
      <c r="G2304" s="23"/>
      <c r="H2304" s="21"/>
      <c r="I2304" s="34"/>
      <c r="J2304" s="11"/>
      <c r="K2304" s="6"/>
      <c r="L2304" s="20"/>
      <c r="M2304" s="7"/>
      <c r="N2304" s="5"/>
      <c r="O2304" s="130"/>
    </row>
    <row r="2305" spans="1:15" ht="15" x14ac:dyDescent="0.25">
      <c r="A2305" s="5"/>
      <c r="B2305" s="7"/>
      <c r="C2305" s="13"/>
      <c r="D2305" s="19"/>
      <c r="E2305" s="23"/>
      <c r="F2305" s="21"/>
      <c r="G2305" s="23"/>
      <c r="H2305" s="21"/>
      <c r="I2305" s="34"/>
      <c r="J2305" s="11"/>
      <c r="K2305" s="6"/>
      <c r="L2305" s="20"/>
      <c r="M2305" s="7"/>
      <c r="N2305" s="5"/>
      <c r="O2305" s="130"/>
    </row>
    <row r="2306" spans="1:15" ht="15" x14ac:dyDescent="0.25">
      <c r="A2306" s="5"/>
      <c r="B2306" s="7"/>
      <c r="C2306" s="13"/>
      <c r="D2306" s="19"/>
      <c r="E2306" s="23"/>
      <c r="F2306" s="21"/>
      <c r="G2306" s="23"/>
      <c r="H2306" s="21"/>
      <c r="I2306" s="34"/>
      <c r="J2306" s="11"/>
      <c r="K2306" s="6"/>
      <c r="L2306" s="20"/>
      <c r="M2306" s="7"/>
      <c r="N2306" s="5"/>
      <c r="O2306" s="130"/>
    </row>
    <row r="2307" spans="1:15" ht="15" x14ac:dyDescent="0.25">
      <c r="A2307" s="5"/>
      <c r="B2307" s="7"/>
      <c r="C2307" s="13"/>
      <c r="D2307" s="19"/>
      <c r="E2307" s="23"/>
      <c r="F2307" s="21"/>
      <c r="G2307" s="23"/>
      <c r="H2307" s="21"/>
      <c r="I2307" s="34"/>
      <c r="J2307" s="11"/>
      <c r="K2307" s="6"/>
      <c r="L2307" s="20"/>
      <c r="M2307" s="7"/>
      <c r="N2307" s="5"/>
      <c r="O2307" s="130"/>
    </row>
    <row r="2308" spans="1:15" ht="15" x14ac:dyDescent="0.25">
      <c r="A2308" s="5"/>
      <c r="B2308" s="7"/>
      <c r="C2308" s="13"/>
      <c r="D2308" s="19"/>
      <c r="E2308" s="23"/>
      <c r="F2308" s="21"/>
      <c r="G2308" s="23"/>
      <c r="H2308" s="21"/>
      <c r="I2308" s="34"/>
      <c r="J2308" s="11"/>
      <c r="K2308" s="6"/>
      <c r="L2308" s="20"/>
      <c r="M2308" s="7"/>
      <c r="N2308" s="5"/>
      <c r="O2308" s="130"/>
    </row>
    <row r="2309" spans="1:15" ht="15" x14ac:dyDescent="0.25">
      <c r="A2309" s="5"/>
      <c r="B2309" s="7"/>
      <c r="C2309" s="13"/>
      <c r="D2309" s="19"/>
      <c r="E2309" s="23"/>
      <c r="F2309" s="21"/>
      <c r="G2309" s="23"/>
      <c r="H2309" s="21"/>
      <c r="I2309" s="34"/>
      <c r="J2309" s="11"/>
      <c r="K2309" s="6"/>
      <c r="L2309" s="20"/>
      <c r="M2309" s="7"/>
      <c r="N2309" s="5"/>
      <c r="O2309" s="130"/>
    </row>
    <row r="2310" spans="1:15" ht="15" x14ac:dyDescent="0.25">
      <c r="A2310" s="5"/>
      <c r="B2310" s="7"/>
      <c r="C2310" s="13"/>
      <c r="D2310" s="19"/>
      <c r="E2310" s="23"/>
      <c r="F2310" s="21"/>
      <c r="G2310" s="23"/>
      <c r="H2310" s="21"/>
      <c r="I2310" s="34"/>
      <c r="J2310" s="11"/>
      <c r="K2310" s="6"/>
      <c r="L2310" s="20"/>
      <c r="M2310" s="7"/>
      <c r="N2310" s="5"/>
      <c r="O2310" s="130"/>
    </row>
    <row r="2311" spans="1:15" ht="15" x14ac:dyDescent="0.25">
      <c r="A2311" s="5"/>
      <c r="B2311" s="7"/>
      <c r="C2311" s="13"/>
      <c r="D2311" s="19"/>
      <c r="E2311" s="23"/>
      <c r="F2311" s="21"/>
      <c r="G2311" s="23"/>
      <c r="H2311" s="21"/>
      <c r="I2311" s="34"/>
      <c r="J2311" s="11"/>
      <c r="K2311" s="6"/>
      <c r="L2311" s="20"/>
      <c r="M2311" s="7"/>
      <c r="N2311" s="5"/>
      <c r="O2311" s="130"/>
    </row>
    <row r="2312" spans="1:15" ht="15" x14ac:dyDescent="0.25">
      <c r="A2312" s="5"/>
      <c r="B2312" s="7"/>
      <c r="C2312" s="13"/>
      <c r="D2312" s="19"/>
      <c r="E2312" s="23"/>
      <c r="F2312" s="21"/>
      <c r="G2312" s="23"/>
      <c r="H2312" s="21"/>
      <c r="I2312" s="34"/>
      <c r="J2312" s="11"/>
      <c r="K2312" s="6"/>
      <c r="L2312" s="20"/>
      <c r="M2312" s="7"/>
      <c r="N2312" s="5"/>
      <c r="O2312" s="130"/>
    </row>
    <row r="2313" spans="1:15" ht="15" x14ac:dyDescent="0.25">
      <c r="A2313" s="5"/>
      <c r="B2313" s="7"/>
      <c r="C2313" s="13"/>
      <c r="D2313" s="19"/>
      <c r="E2313" s="23"/>
      <c r="F2313" s="21"/>
      <c r="G2313" s="23"/>
      <c r="H2313" s="21"/>
      <c r="I2313" s="34"/>
      <c r="J2313" s="11"/>
      <c r="K2313" s="6"/>
      <c r="L2313" s="20"/>
      <c r="M2313" s="7"/>
      <c r="N2313" s="5"/>
      <c r="O2313" s="130"/>
    </row>
    <row r="2314" spans="1:15" ht="15" x14ac:dyDescent="0.25">
      <c r="A2314" s="5"/>
      <c r="B2314" s="7"/>
      <c r="C2314" s="13"/>
      <c r="D2314" s="19"/>
      <c r="E2314" s="23"/>
      <c r="F2314" s="21"/>
      <c r="G2314" s="23"/>
      <c r="H2314" s="21"/>
      <c r="I2314" s="34"/>
      <c r="J2314" s="11"/>
      <c r="K2314" s="6"/>
      <c r="L2314" s="20"/>
      <c r="M2314" s="7"/>
      <c r="N2314" s="5"/>
      <c r="O2314" s="130"/>
    </row>
    <row r="2315" spans="1:15" ht="15" x14ac:dyDescent="0.25">
      <c r="A2315" s="5"/>
      <c r="B2315" s="7"/>
      <c r="C2315" s="13"/>
      <c r="D2315" s="19"/>
      <c r="E2315" s="23"/>
      <c r="F2315" s="21"/>
      <c r="G2315" s="23"/>
      <c r="H2315" s="21"/>
      <c r="I2315" s="34"/>
      <c r="J2315" s="11"/>
      <c r="K2315" s="6"/>
      <c r="L2315" s="20"/>
      <c r="M2315" s="7"/>
      <c r="N2315" s="5"/>
      <c r="O2315" s="130"/>
    </row>
    <row r="2316" spans="1:15" ht="15" x14ac:dyDescent="0.25">
      <c r="A2316" s="5"/>
      <c r="B2316" s="7"/>
      <c r="C2316" s="13"/>
      <c r="D2316" s="19"/>
      <c r="E2316" s="23"/>
      <c r="F2316" s="21"/>
      <c r="G2316" s="23"/>
      <c r="H2316" s="21"/>
      <c r="I2316" s="34"/>
      <c r="J2316" s="11"/>
      <c r="K2316" s="6"/>
      <c r="L2316" s="20"/>
      <c r="M2316" s="7"/>
      <c r="N2316" s="5"/>
      <c r="O2316" s="130"/>
    </row>
    <row r="2317" spans="1:15" ht="15" x14ac:dyDescent="0.25">
      <c r="A2317" s="5"/>
      <c r="B2317" s="7"/>
      <c r="C2317" s="13"/>
      <c r="D2317" s="19"/>
      <c r="E2317" s="23"/>
      <c r="F2317" s="21"/>
      <c r="G2317" s="23"/>
      <c r="H2317" s="21"/>
      <c r="I2317" s="34"/>
      <c r="J2317" s="11"/>
      <c r="K2317" s="6"/>
      <c r="L2317" s="20"/>
      <c r="M2317" s="7"/>
      <c r="N2317" s="5"/>
      <c r="O2317" s="130"/>
    </row>
    <row r="2318" spans="1:15" ht="15" x14ac:dyDescent="0.25">
      <c r="A2318" s="5"/>
      <c r="B2318" s="7"/>
      <c r="C2318" s="13"/>
      <c r="D2318" s="19"/>
      <c r="E2318" s="23"/>
      <c r="F2318" s="21"/>
      <c r="G2318" s="23"/>
      <c r="H2318" s="21"/>
      <c r="I2318" s="34"/>
      <c r="J2318" s="11"/>
      <c r="K2318" s="6"/>
      <c r="L2318" s="20"/>
      <c r="M2318" s="7"/>
      <c r="N2318" s="5"/>
      <c r="O2318" s="130"/>
    </row>
    <row r="2319" spans="1:15" ht="15" x14ac:dyDescent="0.25">
      <c r="A2319" s="5"/>
      <c r="B2319" s="7"/>
      <c r="C2319" s="13"/>
      <c r="D2319" s="19"/>
      <c r="E2319" s="23"/>
      <c r="F2319" s="21"/>
      <c r="G2319" s="23"/>
      <c r="H2319" s="21"/>
      <c r="I2319" s="34"/>
      <c r="J2319" s="11"/>
      <c r="K2319" s="6"/>
      <c r="L2319" s="20"/>
      <c r="M2319" s="7"/>
      <c r="N2319" s="5"/>
      <c r="O2319" s="130"/>
    </row>
    <row r="2320" spans="1:15" ht="15" x14ac:dyDescent="0.25">
      <c r="A2320" s="5"/>
      <c r="B2320" s="7"/>
      <c r="C2320" s="13"/>
      <c r="D2320" s="19"/>
      <c r="E2320" s="23"/>
      <c r="F2320" s="21"/>
      <c r="G2320" s="23"/>
      <c r="H2320" s="21"/>
      <c r="I2320" s="34"/>
      <c r="J2320" s="11"/>
      <c r="K2320" s="6"/>
      <c r="L2320" s="20"/>
      <c r="M2320" s="7"/>
      <c r="N2320" s="5"/>
      <c r="O2320" s="130"/>
    </row>
    <row r="2321" spans="1:15" ht="15" x14ac:dyDescent="0.25">
      <c r="A2321" s="5"/>
      <c r="B2321" s="7"/>
      <c r="C2321" s="13"/>
      <c r="D2321" s="19"/>
      <c r="E2321" s="23"/>
      <c r="F2321" s="21"/>
      <c r="G2321" s="23"/>
      <c r="H2321" s="21"/>
      <c r="I2321" s="34"/>
      <c r="J2321" s="11"/>
      <c r="K2321" s="6"/>
      <c r="L2321" s="20"/>
      <c r="M2321" s="7"/>
      <c r="N2321" s="5"/>
      <c r="O2321" s="130"/>
    </row>
    <row r="2322" spans="1:15" ht="15" x14ac:dyDescent="0.25">
      <c r="A2322" s="5"/>
      <c r="B2322" s="7"/>
      <c r="C2322" s="13"/>
      <c r="D2322" s="19"/>
      <c r="E2322" s="23"/>
      <c r="F2322" s="21"/>
      <c r="G2322" s="23"/>
      <c r="H2322" s="21"/>
      <c r="I2322" s="34"/>
      <c r="J2322" s="11"/>
      <c r="K2322" s="6"/>
      <c r="L2322" s="20"/>
      <c r="M2322" s="7"/>
      <c r="N2322" s="5"/>
      <c r="O2322" s="130"/>
    </row>
    <row r="2323" spans="1:15" ht="15" x14ac:dyDescent="0.25">
      <c r="A2323" s="5"/>
      <c r="B2323" s="7"/>
      <c r="C2323" s="13"/>
      <c r="D2323" s="19"/>
      <c r="E2323" s="23"/>
      <c r="F2323" s="21"/>
      <c r="G2323" s="23"/>
      <c r="H2323" s="21"/>
      <c r="I2323" s="34"/>
      <c r="J2323" s="11"/>
      <c r="K2323" s="6"/>
      <c r="L2323" s="20"/>
      <c r="M2323" s="7"/>
      <c r="N2323" s="5"/>
      <c r="O2323" s="130"/>
    </row>
    <row r="2324" spans="1:15" ht="15" x14ac:dyDescent="0.25">
      <c r="A2324" s="5"/>
      <c r="B2324" s="7"/>
      <c r="C2324" s="13"/>
      <c r="D2324" s="19"/>
      <c r="E2324" s="23"/>
      <c r="F2324" s="21"/>
      <c r="G2324" s="23"/>
      <c r="H2324" s="21"/>
      <c r="I2324" s="34"/>
      <c r="J2324" s="11"/>
      <c r="K2324" s="6"/>
      <c r="L2324" s="20"/>
      <c r="M2324" s="7"/>
      <c r="N2324" s="5"/>
      <c r="O2324" s="130"/>
    </row>
    <row r="2325" spans="1:15" ht="15" x14ac:dyDescent="0.25">
      <c r="A2325" s="5"/>
      <c r="B2325" s="7"/>
      <c r="C2325" s="13"/>
      <c r="D2325" s="19"/>
      <c r="E2325" s="23"/>
      <c r="F2325" s="21"/>
      <c r="G2325" s="23"/>
      <c r="H2325" s="21"/>
      <c r="I2325" s="34"/>
      <c r="J2325" s="11"/>
      <c r="K2325" s="6"/>
      <c r="L2325" s="20"/>
      <c r="M2325" s="7"/>
      <c r="N2325" s="5"/>
      <c r="O2325" s="130"/>
    </row>
    <row r="2326" spans="1:15" ht="15" x14ac:dyDescent="0.25">
      <c r="A2326" s="5"/>
      <c r="B2326" s="7"/>
      <c r="C2326" s="13"/>
      <c r="D2326" s="19"/>
      <c r="E2326" s="23"/>
      <c r="F2326" s="21"/>
      <c r="G2326" s="23"/>
      <c r="H2326" s="21"/>
      <c r="I2326" s="34"/>
      <c r="J2326" s="11"/>
      <c r="K2326" s="6"/>
      <c r="L2326" s="20"/>
      <c r="M2326" s="7"/>
      <c r="N2326" s="5"/>
      <c r="O2326" s="130"/>
    </row>
    <row r="2327" spans="1:15" ht="15" x14ac:dyDescent="0.25">
      <c r="A2327" s="5"/>
      <c r="B2327" s="7"/>
      <c r="C2327" s="13"/>
      <c r="D2327" s="19"/>
      <c r="E2327" s="23"/>
      <c r="F2327" s="21"/>
      <c r="G2327" s="23"/>
      <c r="H2327" s="21"/>
      <c r="I2327" s="34"/>
      <c r="J2327" s="11"/>
      <c r="K2327" s="6"/>
      <c r="L2327" s="20"/>
      <c r="M2327" s="7"/>
      <c r="N2327" s="5"/>
      <c r="O2327" s="130"/>
    </row>
    <row r="2328" spans="1:15" ht="15" x14ac:dyDescent="0.25">
      <c r="A2328" s="5"/>
      <c r="B2328" s="7"/>
      <c r="C2328" s="13"/>
      <c r="D2328" s="19"/>
      <c r="E2328" s="23"/>
      <c r="F2328" s="21"/>
      <c r="G2328" s="23"/>
      <c r="H2328" s="21"/>
      <c r="I2328" s="34"/>
      <c r="J2328" s="11"/>
      <c r="K2328" s="6"/>
      <c r="L2328" s="20"/>
      <c r="M2328" s="7"/>
      <c r="N2328" s="5"/>
      <c r="O2328" s="130"/>
    </row>
    <row r="2329" spans="1:15" ht="15" x14ac:dyDescent="0.25">
      <c r="A2329" s="5"/>
      <c r="B2329" s="7"/>
      <c r="C2329" s="13"/>
      <c r="D2329" s="19"/>
      <c r="E2329" s="23"/>
      <c r="F2329" s="21"/>
      <c r="G2329" s="23"/>
      <c r="H2329" s="21"/>
      <c r="I2329" s="34"/>
      <c r="J2329" s="11"/>
      <c r="K2329" s="6"/>
      <c r="L2329" s="20"/>
      <c r="M2329" s="7"/>
      <c r="N2329" s="5"/>
      <c r="O2329" s="130"/>
    </row>
    <row r="2330" spans="1:15" ht="15" x14ac:dyDescent="0.25">
      <c r="A2330" s="5"/>
      <c r="B2330" s="7"/>
      <c r="C2330" s="13"/>
      <c r="D2330" s="19"/>
      <c r="E2330" s="23"/>
      <c r="F2330" s="21"/>
      <c r="G2330" s="23"/>
      <c r="H2330" s="21"/>
      <c r="I2330" s="34"/>
      <c r="J2330" s="11"/>
      <c r="K2330" s="6"/>
      <c r="L2330" s="20"/>
      <c r="M2330" s="7"/>
      <c r="N2330" s="5"/>
      <c r="O2330" s="130"/>
    </row>
    <row r="2331" spans="1:15" ht="15" x14ac:dyDescent="0.25">
      <c r="A2331" s="5"/>
      <c r="B2331" s="7"/>
      <c r="C2331" s="13"/>
      <c r="D2331" s="19"/>
      <c r="E2331" s="23"/>
      <c r="F2331" s="21"/>
      <c r="G2331" s="23"/>
      <c r="H2331" s="21"/>
      <c r="I2331" s="34"/>
      <c r="J2331" s="11"/>
      <c r="K2331" s="6"/>
      <c r="L2331" s="20"/>
      <c r="M2331" s="7"/>
      <c r="N2331" s="5"/>
      <c r="O2331" s="130"/>
    </row>
    <row r="2332" spans="1:15" ht="15" x14ac:dyDescent="0.25">
      <c r="A2332" s="5"/>
      <c r="B2332" s="7"/>
      <c r="C2332" s="13"/>
      <c r="D2332" s="19"/>
      <c r="E2332" s="23"/>
      <c r="F2332" s="21"/>
      <c r="G2332" s="23"/>
      <c r="H2332" s="21"/>
      <c r="I2332" s="34"/>
      <c r="J2332" s="11"/>
      <c r="K2332" s="6"/>
      <c r="L2332" s="20"/>
      <c r="M2332" s="7"/>
      <c r="N2332" s="5"/>
      <c r="O2332" s="130"/>
    </row>
    <row r="2333" spans="1:15" ht="15" x14ac:dyDescent="0.25">
      <c r="A2333" s="5"/>
      <c r="B2333" s="7"/>
      <c r="C2333" s="13"/>
      <c r="D2333" s="19"/>
      <c r="E2333" s="23"/>
      <c r="F2333" s="21"/>
      <c r="G2333" s="23"/>
      <c r="H2333" s="21"/>
      <c r="I2333" s="34"/>
      <c r="J2333" s="11"/>
      <c r="K2333" s="6"/>
      <c r="L2333" s="20"/>
      <c r="M2333" s="7"/>
      <c r="N2333" s="5"/>
      <c r="O2333" s="130"/>
    </row>
    <row r="2334" spans="1:15" ht="15" x14ac:dyDescent="0.25">
      <c r="A2334" s="5"/>
      <c r="B2334" s="7"/>
      <c r="C2334" s="13"/>
      <c r="D2334" s="19"/>
      <c r="E2334" s="23"/>
      <c r="F2334" s="21"/>
      <c r="G2334" s="23"/>
      <c r="H2334" s="21"/>
      <c r="I2334" s="34"/>
      <c r="J2334" s="11"/>
      <c r="K2334" s="6"/>
      <c r="L2334" s="20"/>
      <c r="M2334" s="7"/>
      <c r="N2334" s="5"/>
      <c r="O2334" s="130"/>
    </row>
    <row r="2335" spans="1:15" ht="15" x14ac:dyDescent="0.25">
      <c r="A2335" s="5"/>
      <c r="B2335" s="7"/>
      <c r="C2335" s="13"/>
      <c r="D2335" s="19"/>
      <c r="E2335" s="23"/>
      <c r="F2335" s="21"/>
      <c r="G2335" s="23"/>
      <c r="H2335" s="21"/>
      <c r="I2335" s="34"/>
      <c r="J2335" s="11"/>
      <c r="K2335" s="6"/>
      <c r="L2335" s="20"/>
      <c r="M2335" s="7"/>
      <c r="N2335" s="5"/>
      <c r="O2335" s="130"/>
    </row>
    <row r="2336" spans="1:15" ht="15" x14ac:dyDescent="0.25">
      <c r="A2336" s="5"/>
      <c r="B2336" s="7"/>
      <c r="C2336" s="13"/>
      <c r="D2336" s="19"/>
      <c r="E2336" s="23"/>
      <c r="F2336" s="21"/>
      <c r="G2336" s="23"/>
      <c r="H2336" s="21"/>
      <c r="I2336" s="34"/>
      <c r="J2336" s="11"/>
      <c r="K2336" s="6"/>
      <c r="L2336" s="20"/>
      <c r="M2336" s="7"/>
      <c r="N2336" s="5"/>
      <c r="O2336" s="130"/>
    </row>
    <row r="2337" spans="1:15" ht="15" x14ac:dyDescent="0.25">
      <c r="A2337" s="5"/>
      <c r="B2337" s="7"/>
      <c r="C2337" s="13"/>
      <c r="D2337" s="19"/>
      <c r="E2337" s="23"/>
      <c r="F2337" s="21"/>
      <c r="G2337" s="23"/>
      <c r="H2337" s="21"/>
      <c r="I2337" s="34"/>
      <c r="J2337" s="11"/>
      <c r="K2337" s="6"/>
      <c r="L2337" s="20"/>
      <c r="M2337" s="7"/>
      <c r="N2337" s="5"/>
      <c r="O2337" s="130"/>
    </row>
    <row r="2338" spans="1:15" ht="15" x14ac:dyDescent="0.25">
      <c r="A2338" s="5"/>
      <c r="B2338" s="7"/>
      <c r="C2338" s="13"/>
      <c r="D2338" s="19"/>
      <c r="E2338" s="23"/>
      <c r="F2338" s="21"/>
      <c r="G2338" s="23"/>
      <c r="H2338" s="21"/>
      <c r="I2338" s="34"/>
      <c r="J2338" s="11"/>
      <c r="K2338" s="6"/>
      <c r="L2338" s="20"/>
      <c r="M2338" s="7"/>
      <c r="N2338" s="5"/>
      <c r="O2338" s="130"/>
    </row>
    <row r="2339" spans="1:15" ht="15" x14ac:dyDescent="0.25">
      <c r="A2339" s="5"/>
      <c r="B2339" s="7"/>
      <c r="C2339" s="13"/>
      <c r="D2339" s="19"/>
      <c r="E2339" s="23"/>
      <c r="F2339" s="21"/>
      <c r="G2339" s="23"/>
      <c r="H2339" s="21"/>
      <c r="I2339" s="34"/>
      <c r="J2339" s="11"/>
      <c r="K2339" s="6"/>
      <c r="L2339" s="20"/>
      <c r="M2339" s="7"/>
      <c r="N2339" s="5"/>
      <c r="O2339" s="130"/>
    </row>
    <row r="2340" spans="1:15" ht="15" x14ac:dyDescent="0.25">
      <c r="A2340" s="5"/>
      <c r="B2340" s="7"/>
      <c r="C2340" s="13"/>
      <c r="D2340" s="19"/>
      <c r="E2340" s="23"/>
      <c r="F2340" s="21"/>
      <c r="G2340" s="23"/>
      <c r="H2340" s="21"/>
      <c r="I2340" s="34"/>
      <c r="J2340" s="11"/>
      <c r="K2340" s="6"/>
      <c r="L2340" s="20"/>
      <c r="M2340" s="7"/>
      <c r="N2340" s="5"/>
      <c r="O2340" s="130"/>
    </row>
    <row r="2341" spans="1:15" ht="15" x14ac:dyDescent="0.25">
      <c r="A2341" s="5"/>
      <c r="B2341" s="7"/>
      <c r="C2341" s="13"/>
      <c r="D2341" s="19"/>
      <c r="E2341" s="23"/>
      <c r="F2341" s="21"/>
      <c r="G2341" s="23"/>
      <c r="H2341" s="21"/>
      <c r="I2341" s="34"/>
      <c r="J2341" s="11"/>
      <c r="K2341" s="6"/>
      <c r="L2341" s="20"/>
      <c r="M2341" s="7"/>
      <c r="N2341" s="5"/>
      <c r="O2341" s="130"/>
    </row>
    <row r="2342" spans="1:15" ht="15" x14ac:dyDescent="0.25">
      <c r="A2342" s="5"/>
      <c r="B2342" s="7"/>
      <c r="C2342" s="13"/>
      <c r="D2342" s="19"/>
      <c r="E2342" s="23"/>
      <c r="F2342" s="21"/>
      <c r="G2342" s="23"/>
      <c r="H2342" s="21"/>
      <c r="I2342" s="34"/>
      <c r="J2342" s="11"/>
      <c r="K2342" s="6"/>
      <c r="L2342" s="20"/>
      <c r="M2342" s="7"/>
      <c r="N2342" s="5"/>
      <c r="O2342" s="130"/>
    </row>
    <row r="2343" spans="1:15" ht="15" x14ac:dyDescent="0.25">
      <c r="A2343" s="5"/>
      <c r="B2343" s="7"/>
      <c r="C2343" s="13"/>
      <c r="D2343" s="19"/>
      <c r="E2343" s="23"/>
      <c r="F2343" s="21"/>
      <c r="G2343" s="23"/>
      <c r="H2343" s="21"/>
      <c r="I2343" s="34"/>
      <c r="J2343" s="11"/>
      <c r="K2343" s="6"/>
      <c r="L2343" s="20"/>
      <c r="M2343" s="7"/>
      <c r="N2343" s="5"/>
      <c r="O2343" s="130"/>
    </row>
    <row r="2344" spans="1:15" ht="15" x14ac:dyDescent="0.25">
      <c r="A2344" s="5"/>
      <c r="B2344" s="7"/>
      <c r="C2344" s="13"/>
      <c r="D2344" s="19"/>
      <c r="E2344" s="23"/>
      <c r="F2344" s="21"/>
      <c r="G2344" s="23"/>
      <c r="H2344" s="21"/>
      <c r="I2344" s="34"/>
      <c r="J2344" s="11"/>
      <c r="K2344" s="6"/>
      <c r="L2344" s="20"/>
      <c r="M2344" s="7"/>
      <c r="N2344" s="5"/>
      <c r="O2344" s="130"/>
    </row>
    <row r="2345" spans="1:15" ht="15" x14ac:dyDescent="0.25">
      <c r="A2345" s="5"/>
      <c r="B2345" s="7"/>
      <c r="C2345" s="13"/>
      <c r="D2345" s="19"/>
      <c r="E2345" s="23"/>
      <c r="F2345" s="21"/>
      <c r="G2345" s="23"/>
      <c r="H2345" s="21"/>
      <c r="I2345" s="34"/>
      <c r="J2345" s="11"/>
      <c r="K2345" s="6"/>
      <c r="L2345" s="20"/>
      <c r="M2345" s="7"/>
      <c r="N2345" s="5"/>
      <c r="O2345" s="130"/>
    </row>
    <row r="2346" spans="1:15" ht="15" x14ac:dyDescent="0.25">
      <c r="A2346" s="5"/>
      <c r="B2346" s="7"/>
      <c r="C2346" s="13"/>
      <c r="D2346" s="19"/>
      <c r="E2346" s="23"/>
      <c r="F2346" s="21"/>
      <c r="G2346" s="23"/>
      <c r="H2346" s="21"/>
      <c r="I2346" s="34"/>
      <c r="J2346" s="11"/>
      <c r="K2346" s="6"/>
      <c r="L2346" s="20"/>
      <c r="M2346" s="7"/>
      <c r="N2346" s="5"/>
      <c r="O2346" s="130"/>
    </row>
    <row r="2347" spans="1:15" ht="15" x14ac:dyDescent="0.25">
      <c r="A2347" s="5"/>
      <c r="B2347" s="7"/>
      <c r="C2347" s="13"/>
      <c r="D2347" s="19"/>
      <c r="E2347" s="23"/>
      <c r="F2347" s="21"/>
      <c r="G2347" s="23"/>
      <c r="H2347" s="21"/>
      <c r="I2347" s="34"/>
      <c r="J2347" s="11"/>
      <c r="K2347" s="6"/>
      <c r="L2347" s="20"/>
      <c r="M2347" s="7"/>
      <c r="N2347" s="5"/>
      <c r="O2347" s="130"/>
    </row>
    <row r="2348" spans="1:15" ht="15" x14ac:dyDescent="0.25">
      <c r="A2348" s="5"/>
      <c r="B2348" s="7"/>
      <c r="C2348" s="13"/>
      <c r="D2348" s="19"/>
      <c r="E2348" s="23"/>
      <c r="F2348" s="21"/>
      <c r="G2348" s="23"/>
      <c r="H2348" s="21"/>
      <c r="I2348" s="34"/>
      <c r="J2348" s="11"/>
      <c r="K2348" s="6"/>
      <c r="L2348" s="20"/>
      <c r="M2348" s="7"/>
      <c r="N2348" s="5"/>
      <c r="O2348" s="130"/>
    </row>
    <row r="2349" spans="1:15" ht="15" x14ac:dyDescent="0.25">
      <c r="A2349" s="5"/>
      <c r="B2349" s="7"/>
      <c r="C2349" s="13"/>
      <c r="D2349" s="19"/>
      <c r="E2349" s="23"/>
      <c r="F2349" s="21"/>
      <c r="G2349" s="23"/>
      <c r="H2349" s="21"/>
      <c r="I2349" s="34"/>
      <c r="J2349" s="11"/>
      <c r="K2349" s="6"/>
      <c r="L2349" s="20"/>
      <c r="M2349" s="7"/>
      <c r="N2349" s="5"/>
      <c r="O2349" s="130"/>
    </row>
    <row r="2350" spans="1:15" ht="15" x14ac:dyDescent="0.25">
      <c r="A2350" s="5"/>
      <c r="B2350" s="7"/>
      <c r="C2350" s="13"/>
      <c r="D2350" s="19"/>
      <c r="E2350" s="23"/>
      <c r="F2350" s="21"/>
      <c r="G2350" s="23"/>
      <c r="H2350" s="21"/>
      <c r="I2350" s="34"/>
      <c r="J2350" s="11"/>
      <c r="K2350" s="6"/>
      <c r="L2350" s="20"/>
      <c r="M2350" s="7"/>
      <c r="N2350" s="5"/>
      <c r="O2350" s="130"/>
    </row>
    <row r="2351" spans="1:15" ht="15" x14ac:dyDescent="0.25">
      <c r="A2351" s="5"/>
      <c r="B2351" s="7"/>
      <c r="C2351" s="13"/>
      <c r="D2351" s="19"/>
      <c r="E2351" s="23"/>
      <c r="F2351" s="21"/>
      <c r="G2351" s="23"/>
      <c r="H2351" s="21"/>
      <c r="I2351" s="34"/>
      <c r="J2351" s="11"/>
      <c r="K2351" s="6"/>
      <c r="L2351" s="20"/>
      <c r="M2351" s="7"/>
      <c r="N2351" s="5"/>
      <c r="O2351" s="130" t="str">
        <f>IFERROR(IF(OR($C2351="",$C2351="No CAS"),INDEX('DEQ Pollutant List'!$D$7:$D$611,MATCH($D2351,'DEQ Pollutant List'!$B$7:$B$611,0)),INDEX('DEQ Pollutant List'!$D$7:$D$611,MATCH($C2351,'DEQ Pollutant List'!$A$7:$A$611,0))),"")</f>
        <v/>
      </c>
    </row>
    <row r="2352" spans="1:15" ht="15" x14ac:dyDescent="0.25">
      <c r="A2352" s="5"/>
      <c r="B2352" s="7"/>
      <c r="C2352" s="13"/>
      <c r="D2352" s="19"/>
      <c r="E2352" s="23"/>
      <c r="F2352" s="21"/>
      <c r="G2352" s="23"/>
      <c r="H2352" s="21"/>
      <c r="I2352" s="34"/>
      <c r="J2352" s="11"/>
      <c r="K2352" s="6"/>
      <c r="L2352" s="20"/>
      <c r="M2352" s="7"/>
      <c r="N2352" s="5"/>
      <c r="O2352" s="130" t="str">
        <f>IFERROR(IF(OR($C2352="",$C2352="No CAS"),INDEX('DEQ Pollutant List'!$D$7:$D$611,MATCH($D2352,'DEQ Pollutant List'!$B$7:$B$611,0)),INDEX('DEQ Pollutant List'!$D$7:$D$611,MATCH($C2352,'DEQ Pollutant List'!$A$7:$A$611,0))),"")</f>
        <v/>
      </c>
    </row>
    <row r="2353" spans="1:15" ht="15" x14ac:dyDescent="0.25">
      <c r="A2353" s="5"/>
      <c r="B2353" s="7"/>
      <c r="C2353" s="13"/>
      <c r="D2353" s="19"/>
      <c r="E2353" s="23"/>
      <c r="F2353" s="21"/>
      <c r="G2353" s="23"/>
      <c r="H2353" s="21"/>
      <c r="I2353" s="34"/>
      <c r="J2353" s="11"/>
      <c r="K2353" s="6"/>
      <c r="L2353" s="20"/>
      <c r="M2353" s="7"/>
      <c r="N2353" s="5"/>
      <c r="O2353" s="131"/>
    </row>
    <row r="2354" spans="1:15" ht="15" x14ac:dyDescent="0.25">
      <c r="A2354" s="5"/>
      <c r="B2354" s="7"/>
      <c r="C2354" s="13"/>
      <c r="D2354" s="19"/>
      <c r="E2354" s="23"/>
      <c r="F2354" s="21"/>
      <c r="G2354" s="23"/>
      <c r="H2354" s="21"/>
      <c r="I2354" s="34"/>
      <c r="J2354" s="11"/>
      <c r="K2354" s="6"/>
      <c r="L2354" s="20"/>
      <c r="M2354" s="7"/>
      <c r="N2354" s="5"/>
      <c r="O2354" s="131"/>
    </row>
    <row r="2355" spans="1:15" ht="15" x14ac:dyDescent="0.25">
      <c r="A2355" s="5"/>
      <c r="B2355" s="7"/>
      <c r="C2355" s="13"/>
      <c r="D2355" s="19"/>
      <c r="E2355" s="23"/>
      <c r="F2355" s="21"/>
      <c r="G2355" s="23"/>
      <c r="H2355" s="21"/>
      <c r="I2355" s="34"/>
      <c r="J2355" s="11"/>
      <c r="K2355" s="6"/>
      <c r="L2355" s="20"/>
      <c r="M2355" s="7"/>
      <c r="N2355" s="5"/>
      <c r="O2355" s="131"/>
    </row>
    <row r="2356" spans="1:15" ht="15.75" thickBot="1" x14ac:dyDescent="0.3">
      <c r="A2356" s="5"/>
      <c r="B2356" s="7"/>
      <c r="C2356" s="13"/>
      <c r="D2356" s="19"/>
      <c r="E2356" s="23"/>
      <c r="F2356" s="21"/>
      <c r="G2356" s="23"/>
      <c r="H2356" s="21"/>
      <c r="I2356" s="34"/>
      <c r="J2356" s="11"/>
      <c r="K2356" s="6"/>
      <c r="L2356" s="20"/>
      <c r="M2356" s="7"/>
      <c r="N2356" s="53"/>
      <c r="O2356" s="131"/>
    </row>
    <row r="2357" spans="1:15" ht="39.950000000000003" customHeight="1" thickBot="1" x14ac:dyDescent="0.3">
      <c r="A2357" s="132" t="s">
        <v>153</v>
      </c>
      <c r="B2357" s="133"/>
      <c r="C2357" s="134"/>
      <c r="D2357" s="135"/>
      <c r="E2357" s="136"/>
      <c r="F2357" s="137"/>
      <c r="G2357" s="136"/>
      <c r="H2357" s="137"/>
      <c r="I2357" s="138"/>
      <c r="J2357" s="139"/>
      <c r="K2357" s="140"/>
      <c r="L2357" s="132"/>
      <c r="M2357" s="141"/>
      <c r="N2357"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2357" xr:uid="{A724148E-418F-4672-BBFD-EDA40A50663B}"/>
  <mergeCells count="7">
    <mergeCell ref="M7:M8"/>
    <mergeCell ref="N7:N8"/>
    <mergeCell ref="A6:B7"/>
    <mergeCell ref="C6:D7"/>
    <mergeCell ref="L7:L8"/>
    <mergeCell ref="F7:F8"/>
    <mergeCell ref="E7:E8"/>
  </mergeCells>
  <conditionalFormatting sqref="O9:O2356">
    <cfRule type="containsBlanks" dxfId="2" priority="3">
      <formula>LEN(TRIM(O9))=0</formula>
    </cfRule>
  </conditionalFormatting>
  <dataValidations count="2">
    <dataValidation type="list" allowBlank="1" showInputMessage="1" showErrorMessage="1" sqref="G9:G2356" xr:uid="{D278B401-C5CE-4096-9E67-5FD00111B8D8}">
      <formula1>"Yes,No"</formula1>
    </dataValidation>
    <dataValidation type="list" allowBlank="1" showInputMessage="1" showErrorMessage="1" sqref="H9:H2356"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C9:D781 C782:C783 C784:D2356</xm:sqref>
        </x14:conditionalFormatting>
        <x14:conditionalFormatting xmlns:xm="http://schemas.microsoft.com/office/excel/2006/main">
          <x14:cfRule type="expression" priority="6" id="{8EE401C0-197B-4F38-9ADE-7A4B0AE03208}">
            <xm:f>IF(ISBLANK($C782),"",IF(COUNTIF('DEQ Pollutant List'!$A:$A,$C782),"Y","N"))="N"</xm:f>
            <x14:dxf>
              <fill>
                <patternFill>
                  <bgColor theme="5" tint="0.39994506668294322"/>
                </patternFill>
              </fill>
            </x14:dxf>
          </x14:cfRule>
          <xm:sqref>D783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A9:A2356</xm:sqref>
        </x14:dataValidation>
        <x14:dataValidation type="list" allowBlank="1" showInputMessage="1" showErrorMessage="1" xr:uid="{669E0BD2-2CA1-4D59-8AA8-10A94BAB52D3}">
          <x14:formula1>
            <xm:f>'2. TEUs &amp; Activities - EF'!$B$9:$B$190</xm:f>
          </x14:formula1>
          <xm:sqref>B9:B2356</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C9:C891 C910:C2356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70" zoomScaleNormal="70" workbookViewId="0">
      <pane xSplit="2" ySplit="8" topLeftCell="D9" activePane="bottomRight" state="frozen"/>
      <selection activeCell="E20" sqref="E20"/>
      <selection pane="topRight" activeCell="E20" sqref="E20"/>
      <selection pane="bottomLeft" activeCell="E20" sqref="E20"/>
      <selection pane="bottomRight" sqref="A1:XFD1"/>
    </sheetView>
  </sheetViews>
  <sheetFormatPr defaultColWidth="9.140625" defaultRowHeight="14.25" x14ac:dyDescent="0.25"/>
  <cols>
    <col min="1" max="2" width="25.5703125" style="112" customWidth="1"/>
    <col min="3" max="3" width="60.5703125" style="4" customWidth="1"/>
    <col min="4" max="4" width="25.5703125" style="4" customWidth="1"/>
    <col min="5" max="6" width="30.5703125" style="4" customWidth="1"/>
    <col min="7" max="8" width="20.5703125" style="112" customWidth="1"/>
    <col min="9" max="20" width="15.5703125" style="112" customWidth="1"/>
    <col min="21" max="21" width="9.140625" style="4"/>
    <col min="22" max="23" width="10.5703125" style="112" hidden="1" customWidth="1"/>
    <col min="24" max="16384" width="9.140625" style="4"/>
  </cols>
  <sheetData>
    <row r="1" spans="1:23" ht="20.100000000000001" customHeight="1" x14ac:dyDescent="0.25">
      <c r="A1" s="2" t="str">
        <f>'1. Facility Information'!$B$1</f>
        <v>AQ520 Form - Version 2.0</v>
      </c>
      <c r="N1" s="157"/>
    </row>
    <row r="2" spans="1:23" ht="20.100000000000001" customHeight="1" x14ac:dyDescent="0.25">
      <c r="A2" s="114" t="str">
        <f>IF(ISBLANK('1. Facility Information'!$B$6),"",'1. Facility Information'!$B$6)</f>
        <v>Boeing Portland</v>
      </c>
      <c r="N2" s="89"/>
    </row>
    <row r="3" spans="1:23" ht="20.100000000000001" customHeight="1" x14ac:dyDescent="0.25">
      <c r="A3" s="85" t="str">
        <f>"Source No. "&amp;IF(ISBLANK('1. Facility Information'!$B$10),"",'1. Facility Information'!$B$10)</f>
        <v>Source No. 26-2204-ST-01</v>
      </c>
    </row>
    <row r="4" spans="1:23" ht="20.100000000000001" customHeight="1" x14ac:dyDescent="0.25">
      <c r="A4" s="85" t="str">
        <f>_xlfn.CONCAT("Submitted on ",IF(ISBLANK('1. Facility Information'!$B$14),"",TEXT('1. Facility Information'!$B$14,"mm/dd/yyyy")))</f>
        <v>Submitted on 02/12/2026</v>
      </c>
      <c r="D4" s="112"/>
      <c r="E4" s="112"/>
      <c r="F4" s="112"/>
      <c r="G4" s="89"/>
      <c r="H4" s="4"/>
      <c r="O4" s="4"/>
      <c r="P4" s="4"/>
      <c r="Q4" s="4"/>
      <c r="R4" s="4"/>
      <c r="S4" s="4"/>
      <c r="T4" s="4"/>
      <c r="V4" s="4"/>
      <c r="W4" s="4"/>
    </row>
    <row r="5" spans="1:23" ht="15" customHeight="1" thickBot="1" x14ac:dyDescent="0.3">
      <c r="V5" s="158" t="s">
        <v>154</v>
      </c>
      <c r="W5" s="158" t="s">
        <v>154</v>
      </c>
    </row>
    <row r="6" spans="1:23" s="159" customFormat="1" ht="30" customHeight="1" thickBot="1" x14ac:dyDescent="0.3">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
      <c r="A7" s="179" t="s">
        <v>15</v>
      </c>
      <c r="B7" s="181" t="s">
        <v>16</v>
      </c>
      <c r="C7" s="199" t="s">
        <v>17</v>
      </c>
      <c r="D7" s="177" t="s">
        <v>1298</v>
      </c>
      <c r="E7" s="199" t="s">
        <v>159</v>
      </c>
      <c r="F7" s="183" t="s">
        <v>160</v>
      </c>
      <c r="G7" s="197" t="s">
        <v>18</v>
      </c>
      <c r="H7" s="177"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
      <c r="A8" s="180"/>
      <c r="B8" s="182"/>
      <c r="C8" s="200"/>
      <c r="D8" s="178"/>
      <c r="E8" s="200"/>
      <c r="F8" s="184"/>
      <c r="G8" s="198"/>
      <c r="H8" s="178"/>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5" customHeight="1" x14ac:dyDescent="0.25">
      <c r="A9" s="91" t="s">
        <v>1424</v>
      </c>
      <c r="B9" s="92"/>
      <c r="C9" s="105" t="s">
        <v>1426</v>
      </c>
      <c r="D9" s="106" t="s">
        <v>1549</v>
      </c>
      <c r="E9" s="105" t="s">
        <v>1654</v>
      </c>
      <c r="F9" s="105" t="s">
        <v>1429</v>
      </c>
      <c r="G9" s="91" t="s">
        <v>1372</v>
      </c>
      <c r="H9" s="93" t="s">
        <v>1364</v>
      </c>
      <c r="I9" s="91"/>
      <c r="J9" s="92">
        <v>62367.197076637487</v>
      </c>
      <c r="K9" s="93" t="s">
        <v>1415</v>
      </c>
      <c r="L9" s="91"/>
      <c r="M9" s="92">
        <v>29.069261663650448</v>
      </c>
      <c r="N9" s="93" t="s">
        <v>1415</v>
      </c>
      <c r="O9" s="91"/>
      <c r="P9" s="92">
        <v>0</v>
      </c>
      <c r="Q9" s="93"/>
      <c r="R9" s="91"/>
      <c r="S9" s="92">
        <v>0</v>
      </c>
      <c r="T9" s="93"/>
      <c r="V9" s="112">
        <f t="shared" ref="V9:V40" si="0">J9-P9</f>
        <v>62367.197076637487</v>
      </c>
      <c r="W9" s="112">
        <f t="shared" ref="W9:W40" si="1">$M9-$S9</f>
        <v>29.069261663650448</v>
      </c>
    </row>
    <row r="10" spans="1:23" ht="15" customHeight="1" x14ac:dyDescent="0.25">
      <c r="A10" s="12" t="s">
        <v>1424</v>
      </c>
      <c r="B10" s="11"/>
      <c r="C10" s="8" t="s">
        <v>1426</v>
      </c>
      <c r="D10" s="19" t="s">
        <v>1549</v>
      </c>
      <c r="E10" s="8" t="s">
        <v>1652</v>
      </c>
      <c r="F10" s="8" t="s">
        <v>1429</v>
      </c>
      <c r="G10" s="12" t="s">
        <v>1372</v>
      </c>
      <c r="H10" s="17" t="s">
        <v>1364</v>
      </c>
      <c r="I10" s="12"/>
      <c r="J10" s="11">
        <v>62367.197076637487</v>
      </c>
      <c r="K10" s="17" t="s">
        <v>1415</v>
      </c>
      <c r="L10" s="12"/>
      <c r="M10" s="11"/>
      <c r="N10" s="17" t="s">
        <v>1415</v>
      </c>
      <c r="O10" s="12"/>
      <c r="P10" s="11">
        <v>0</v>
      </c>
      <c r="Q10" s="17"/>
      <c r="R10" s="12"/>
      <c r="S10" s="11">
        <v>0</v>
      </c>
      <c r="T10" s="17"/>
      <c r="V10" s="112">
        <f t="shared" si="0"/>
        <v>62367.197076637487</v>
      </c>
      <c r="W10" s="112">
        <f t="shared" si="1"/>
        <v>0</v>
      </c>
    </row>
    <row r="11" spans="1:23" x14ac:dyDescent="0.25">
      <c r="A11" s="12" t="s">
        <v>1424</v>
      </c>
      <c r="B11" s="11"/>
      <c r="C11" s="8" t="s">
        <v>1426</v>
      </c>
      <c r="D11" s="19" t="s">
        <v>1549</v>
      </c>
      <c r="E11" s="8" t="s">
        <v>1653</v>
      </c>
      <c r="F11" s="8" t="s">
        <v>1429</v>
      </c>
      <c r="G11" s="12" t="s">
        <v>1372</v>
      </c>
      <c r="H11" s="17" t="s">
        <v>1364</v>
      </c>
      <c r="I11" s="12"/>
      <c r="J11" s="11">
        <v>62367.197076637487</v>
      </c>
      <c r="K11" s="17" t="s">
        <v>1415</v>
      </c>
      <c r="L11" s="12"/>
      <c r="M11" s="11"/>
      <c r="N11" s="17" t="s">
        <v>1415</v>
      </c>
      <c r="O11" s="12"/>
      <c r="P11" s="11">
        <v>0</v>
      </c>
      <c r="Q11" s="17"/>
      <c r="R11" s="12"/>
      <c r="S11" s="11">
        <v>0</v>
      </c>
      <c r="T11" s="17"/>
      <c r="V11" s="112">
        <f t="shared" si="0"/>
        <v>62367.197076637487</v>
      </c>
      <c r="W11" s="112">
        <f t="shared" si="1"/>
        <v>0</v>
      </c>
    </row>
    <row r="12" spans="1:23" x14ac:dyDescent="0.25">
      <c r="A12" s="12"/>
      <c r="B12" s="11"/>
      <c r="C12" s="8"/>
      <c r="D12" s="19"/>
      <c r="E12" s="8"/>
      <c r="F12" s="8"/>
      <c r="G12" s="12"/>
      <c r="H12" s="17"/>
      <c r="I12" s="12"/>
      <c r="J12" s="11"/>
      <c r="K12" s="17"/>
      <c r="L12" s="12"/>
      <c r="M12" s="11"/>
      <c r="N12" s="17"/>
      <c r="O12" s="12"/>
      <c r="P12" s="11"/>
      <c r="Q12" s="17"/>
      <c r="R12" s="12"/>
      <c r="S12" s="11"/>
      <c r="T12" s="17"/>
      <c r="V12" s="112">
        <f t="shared" si="0"/>
        <v>0</v>
      </c>
      <c r="W12" s="112">
        <f t="shared" si="1"/>
        <v>0</v>
      </c>
    </row>
    <row r="13" spans="1:23" ht="15" customHeight="1" x14ac:dyDescent="0.25">
      <c r="A13" s="12"/>
      <c r="B13" s="11"/>
      <c r="C13" s="8"/>
      <c r="D13" s="19"/>
      <c r="E13" s="8"/>
      <c r="F13" s="8"/>
      <c r="G13" s="12"/>
      <c r="H13" s="17"/>
      <c r="I13" s="12"/>
      <c r="J13" s="11"/>
      <c r="K13" s="17"/>
      <c r="L13" s="12"/>
      <c r="M13" s="11"/>
      <c r="N13" s="17"/>
      <c r="O13" s="12"/>
      <c r="P13" s="11"/>
      <c r="Q13" s="17"/>
      <c r="R13" s="12"/>
      <c r="S13" s="11"/>
      <c r="T13" s="17"/>
      <c r="V13" s="112">
        <f t="shared" si="0"/>
        <v>0</v>
      </c>
      <c r="W13" s="112">
        <f t="shared" si="1"/>
        <v>0</v>
      </c>
    </row>
    <row r="14" spans="1:23" ht="15" customHeight="1" x14ac:dyDescent="0.25">
      <c r="A14" s="12"/>
      <c r="B14" s="11"/>
      <c r="C14" s="8"/>
      <c r="D14" s="19"/>
      <c r="E14" s="8"/>
      <c r="F14" s="8"/>
      <c r="G14" s="12"/>
      <c r="H14" s="17"/>
      <c r="I14" s="12"/>
      <c r="J14" s="11"/>
      <c r="K14" s="17"/>
      <c r="L14" s="12"/>
      <c r="M14" s="11"/>
      <c r="N14" s="17"/>
      <c r="O14" s="12"/>
      <c r="P14" s="11"/>
      <c r="Q14" s="17"/>
      <c r="R14" s="12"/>
      <c r="S14" s="11"/>
      <c r="T14" s="17"/>
      <c r="V14" s="112">
        <f t="shared" si="0"/>
        <v>0</v>
      </c>
      <c r="W14" s="112">
        <f t="shared" si="1"/>
        <v>0</v>
      </c>
    </row>
    <row r="15" spans="1:23" x14ac:dyDescent="0.25">
      <c r="A15" s="12"/>
      <c r="B15" s="11"/>
      <c r="C15" s="8"/>
      <c r="D15" s="19"/>
      <c r="E15" s="8"/>
      <c r="F15" s="8"/>
      <c r="G15" s="12"/>
      <c r="H15" s="17"/>
      <c r="I15" s="12"/>
      <c r="J15" s="11"/>
      <c r="K15" s="17"/>
      <c r="L15" s="12"/>
      <c r="M15" s="11"/>
      <c r="N15" s="17"/>
      <c r="O15" s="12"/>
      <c r="P15" s="11"/>
      <c r="Q15" s="17"/>
      <c r="R15" s="12"/>
      <c r="S15" s="11"/>
      <c r="T15" s="17"/>
      <c r="V15" s="112">
        <f t="shared" si="0"/>
        <v>0</v>
      </c>
      <c r="W15" s="112">
        <f t="shared" si="1"/>
        <v>0</v>
      </c>
    </row>
    <row r="16" spans="1:23" x14ac:dyDescent="0.25">
      <c r="A16" s="12" t="s">
        <v>1425</v>
      </c>
      <c r="B16" s="11"/>
      <c r="C16" s="8" t="s">
        <v>1427</v>
      </c>
      <c r="D16" s="19"/>
      <c r="E16" s="8" t="s">
        <v>1430</v>
      </c>
      <c r="F16" s="8" t="s">
        <v>1429</v>
      </c>
      <c r="G16" s="12" t="s">
        <v>1507</v>
      </c>
      <c r="H16" s="17" t="s">
        <v>1364</v>
      </c>
      <c r="I16" s="12"/>
      <c r="J16" s="11">
        <v>11.352825000000003</v>
      </c>
      <c r="K16" s="17" t="s">
        <v>1415</v>
      </c>
      <c r="L16" s="12"/>
      <c r="M16" s="11">
        <f t="shared" ref="M16:M79" si="2">J16/8760*24</f>
        <v>3.1103630136986311E-2</v>
      </c>
      <c r="N16" s="17" t="s">
        <v>1415</v>
      </c>
      <c r="O16" s="12"/>
      <c r="P16" s="11">
        <v>0</v>
      </c>
      <c r="Q16" s="17"/>
      <c r="R16" s="12"/>
      <c r="S16" s="11">
        <v>0</v>
      </c>
      <c r="T16" s="17"/>
      <c r="V16" s="112">
        <f t="shared" si="0"/>
        <v>11.352825000000003</v>
      </c>
      <c r="W16" s="112">
        <f t="shared" si="1"/>
        <v>3.1103630136986311E-2</v>
      </c>
    </row>
    <row r="17" spans="1:23" x14ac:dyDescent="0.25">
      <c r="A17" s="12" t="s">
        <v>1425</v>
      </c>
      <c r="B17" s="11"/>
      <c r="C17" s="8" t="s">
        <v>1427</v>
      </c>
      <c r="D17" s="19"/>
      <c r="E17" s="8" t="s">
        <v>1431</v>
      </c>
      <c r="F17" s="8" t="s">
        <v>1429</v>
      </c>
      <c r="G17" s="12" t="s">
        <v>1507</v>
      </c>
      <c r="H17" s="17" t="s">
        <v>1364</v>
      </c>
      <c r="I17" s="12"/>
      <c r="J17" s="11">
        <v>90.143056800000011</v>
      </c>
      <c r="K17" s="17" t="s">
        <v>1415</v>
      </c>
      <c r="L17" s="12"/>
      <c r="M17" s="11">
        <f t="shared" si="2"/>
        <v>0.24696727890410963</v>
      </c>
      <c r="N17" s="17" t="s">
        <v>1415</v>
      </c>
      <c r="O17" s="12"/>
      <c r="P17" s="11">
        <v>0</v>
      </c>
      <c r="Q17" s="17"/>
      <c r="R17" s="12"/>
      <c r="S17" s="11">
        <v>0</v>
      </c>
      <c r="T17" s="17"/>
      <c r="V17" s="112">
        <f t="shared" si="0"/>
        <v>90.143056800000011</v>
      </c>
      <c r="W17" s="112">
        <f t="shared" si="1"/>
        <v>0.24696727890410963</v>
      </c>
    </row>
    <row r="18" spans="1:23" x14ac:dyDescent="0.25">
      <c r="A18" s="12" t="s">
        <v>1425</v>
      </c>
      <c r="B18" s="11"/>
      <c r="C18" s="8" t="s">
        <v>1427</v>
      </c>
      <c r="D18" s="19"/>
      <c r="E18" s="8" t="s">
        <v>1432</v>
      </c>
      <c r="F18" s="8" t="s">
        <v>1429</v>
      </c>
      <c r="G18" s="12" t="s">
        <v>1507</v>
      </c>
      <c r="H18" s="17" t="s">
        <v>1364</v>
      </c>
      <c r="I18" s="12"/>
      <c r="J18" s="11">
        <v>0.71150625000000001</v>
      </c>
      <c r="K18" s="17" t="s">
        <v>1415</v>
      </c>
      <c r="L18" s="12"/>
      <c r="M18" s="11">
        <f t="shared" si="2"/>
        <v>1.9493321917808219E-3</v>
      </c>
      <c r="N18" s="17" t="s">
        <v>1415</v>
      </c>
      <c r="O18" s="12"/>
      <c r="P18" s="11">
        <v>0</v>
      </c>
      <c r="Q18" s="17"/>
      <c r="R18" s="12"/>
      <c r="S18" s="11">
        <v>0</v>
      </c>
      <c r="T18" s="17"/>
      <c r="V18" s="112">
        <f t="shared" si="0"/>
        <v>0.71150625000000001</v>
      </c>
      <c r="W18" s="112">
        <f t="shared" si="1"/>
        <v>1.9493321917808219E-3</v>
      </c>
    </row>
    <row r="19" spans="1:23" x14ac:dyDescent="0.25">
      <c r="A19" s="12" t="s">
        <v>1425</v>
      </c>
      <c r="B19" s="11"/>
      <c r="C19" s="8" t="s">
        <v>1427</v>
      </c>
      <c r="D19" s="19"/>
      <c r="E19" s="8" t="s">
        <v>1433</v>
      </c>
      <c r="F19" s="8" t="s">
        <v>1429</v>
      </c>
      <c r="G19" s="12" t="s">
        <v>1507</v>
      </c>
      <c r="H19" s="17" t="s">
        <v>1364</v>
      </c>
      <c r="I19" s="12"/>
      <c r="J19" s="11">
        <v>242.06941254194999</v>
      </c>
      <c r="K19" s="17" t="s">
        <v>1415</v>
      </c>
      <c r="L19" s="12"/>
      <c r="M19" s="11">
        <f t="shared" si="2"/>
        <v>0.66320386997794523</v>
      </c>
      <c r="N19" s="17" t="s">
        <v>1415</v>
      </c>
      <c r="O19" s="12"/>
      <c r="P19" s="11">
        <v>0</v>
      </c>
      <c r="Q19" s="17"/>
      <c r="R19" s="12"/>
      <c r="S19" s="11">
        <v>0</v>
      </c>
      <c r="T19" s="17"/>
      <c r="V19" s="112">
        <f t="shared" si="0"/>
        <v>242.06941254194999</v>
      </c>
      <c r="W19" s="112">
        <f t="shared" si="1"/>
        <v>0.66320386997794523</v>
      </c>
    </row>
    <row r="20" spans="1:23" x14ac:dyDescent="0.25">
      <c r="A20" s="12" t="s">
        <v>1425</v>
      </c>
      <c r="B20" s="11"/>
      <c r="C20" s="8" t="s">
        <v>1427</v>
      </c>
      <c r="D20" s="19"/>
      <c r="E20" s="8" t="s">
        <v>1434</v>
      </c>
      <c r="F20" s="8" t="s">
        <v>1429</v>
      </c>
      <c r="G20" s="12" t="s">
        <v>1507</v>
      </c>
      <c r="H20" s="17" t="s">
        <v>1364</v>
      </c>
      <c r="I20" s="12"/>
      <c r="J20" s="11">
        <v>5.2692120000000005</v>
      </c>
      <c r="K20" s="17" t="s">
        <v>1415</v>
      </c>
      <c r="L20" s="12"/>
      <c r="M20" s="11">
        <f t="shared" si="2"/>
        <v>1.4436197260273974E-2</v>
      </c>
      <c r="N20" s="17" t="s">
        <v>1415</v>
      </c>
      <c r="O20" s="12"/>
      <c r="P20" s="11">
        <v>0</v>
      </c>
      <c r="Q20" s="17"/>
      <c r="R20" s="12"/>
      <c r="S20" s="11">
        <v>0</v>
      </c>
      <c r="T20" s="17"/>
      <c r="V20" s="112">
        <f t="shared" si="0"/>
        <v>5.2692120000000005</v>
      </c>
      <c r="W20" s="112">
        <f t="shared" si="1"/>
        <v>1.4436197260273974E-2</v>
      </c>
    </row>
    <row r="21" spans="1:23" x14ac:dyDescent="0.25">
      <c r="A21" s="12" t="s">
        <v>1425</v>
      </c>
      <c r="B21" s="11"/>
      <c r="C21" s="8" t="s">
        <v>1427</v>
      </c>
      <c r="D21" s="19"/>
      <c r="E21" s="8" t="s">
        <v>1435</v>
      </c>
      <c r="F21" s="8" t="s">
        <v>1429</v>
      </c>
      <c r="G21" s="12" t="s">
        <v>1507</v>
      </c>
      <c r="H21" s="17" t="s">
        <v>1364</v>
      </c>
      <c r="I21" s="12"/>
      <c r="J21" s="11">
        <v>1.0602224999999996</v>
      </c>
      <c r="K21" s="17" t="s">
        <v>1415</v>
      </c>
      <c r="L21" s="12"/>
      <c r="M21" s="11">
        <f t="shared" si="2"/>
        <v>2.9047191780821905E-3</v>
      </c>
      <c r="N21" s="17" t="s">
        <v>1415</v>
      </c>
      <c r="O21" s="12"/>
      <c r="P21" s="11">
        <v>0</v>
      </c>
      <c r="Q21" s="17"/>
      <c r="R21" s="12"/>
      <c r="S21" s="11">
        <v>0</v>
      </c>
      <c r="T21" s="17"/>
      <c r="V21" s="112">
        <f t="shared" si="0"/>
        <v>1.0602224999999996</v>
      </c>
      <c r="W21" s="112">
        <f t="shared" si="1"/>
        <v>2.9047191780821905E-3</v>
      </c>
    </row>
    <row r="22" spans="1:23" x14ac:dyDescent="0.25">
      <c r="A22" s="12" t="s">
        <v>1425</v>
      </c>
      <c r="B22" s="11"/>
      <c r="C22" s="8" t="s">
        <v>1427</v>
      </c>
      <c r="D22" s="19"/>
      <c r="E22" s="8" t="s">
        <v>1436</v>
      </c>
      <c r="F22" s="8" t="s">
        <v>1429</v>
      </c>
      <c r="G22" s="12" t="s">
        <v>1507</v>
      </c>
      <c r="H22" s="17" t="s">
        <v>1364</v>
      </c>
      <c r="I22" s="12"/>
      <c r="J22" s="11">
        <v>18.377189999999995</v>
      </c>
      <c r="K22" s="17" t="s">
        <v>1415</v>
      </c>
      <c r="L22" s="12"/>
      <c r="M22" s="11">
        <f t="shared" si="2"/>
        <v>5.0348465753424644E-2</v>
      </c>
      <c r="N22" s="17" t="s">
        <v>1415</v>
      </c>
      <c r="O22" s="12"/>
      <c r="P22" s="11">
        <v>0</v>
      </c>
      <c r="Q22" s="17"/>
      <c r="R22" s="12"/>
      <c r="S22" s="11">
        <v>0</v>
      </c>
      <c r="T22" s="17"/>
      <c r="V22" s="112">
        <f t="shared" si="0"/>
        <v>18.377189999999995</v>
      </c>
      <c r="W22" s="112">
        <f t="shared" si="1"/>
        <v>5.0348465753424644E-2</v>
      </c>
    </row>
    <row r="23" spans="1:23" x14ac:dyDescent="0.25">
      <c r="A23" s="12" t="s">
        <v>1425</v>
      </c>
      <c r="B23" s="11"/>
      <c r="C23" s="8" t="s">
        <v>1427</v>
      </c>
      <c r="D23" s="19"/>
      <c r="E23" s="8" t="s">
        <v>1437</v>
      </c>
      <c r="F23" s="8" t="s">
        <v>1429</v>
      </c>
      <c r="G23" s="12" t="s">
        <v>1507</v>
      </c>
      <c r="H23" s="17" t="s">
        <v>1364</v>
      </c>
      <c r="I23" s="12"/>
      <c r="J23" s="11">
        <v>41.775581250000009</v>
      </c>
      <c r="K23" s="17" t="s">
        <v>1415</v>
      </c>
      <c r="L23" s="12"/>
      <c r="M23" s="11">
        <f t="shared" si="2"/>
        <v>0.11445364726027399</v>
      </c>
      <c r="N23" s="17" t="s">
        <v>1415</v>
      </c>
      <c r="O23" s="12"/>
      <c r="P23" s="11">
        <v>0</v>
      </c>
      <c r="Q23" s="17"/>
      <c r="R23" s="12"/>
      <c r="S23" s="11">
        <v>0</v>
      </c>
      <c r="T23" s="17"/>
      <c r="V23" s="112">
        <f t="shared" si="0"/>
        <v>41.775581250000009</v>
      </c>
      <c r="W23" s="112">
        <f t="shared" si="1"/>
        <v>0.11445364726027399</v>
      </c>
    </row>
    <row r="24" spans="1:23" x14ac:dyDescent="0.25">
      <c r="A24" s="12" t="s">
        <v>1425</v>
      </c>
      <c r="B24" s="11"/>
      <c r="C24" s="8" t="s">
        <v>1427</v>
      </c>
      <c r="D24" s="19"/>
      <c r="E24" s="8" t="s">
        <v>1438</v>
      </c>
      <c r="F24" s="8" t="s">
        <v>1429</v>
      </c>
      <c r="G24" s="12" t="s">
        <v>1507</v>
      </c>
      <c r="H24" s="17" t="s">
        <v>1364</v>
      </c>
      <c r="I24" s="12"/>
      <c r="J24" s="11">
        <v>0.47537999999999991</v>
      </c>
      <c r="K24" s="17" t="s">
        <v>1415</v>
      </c>
      <c r="L24" s="12"/>
      <c r="M24" s="11">
        <f t="shared" si="2"/>
        <v>1.3024109589041093E-3</v>
      </c>
      <c r="N24" s="17" t="s">
        <v>1415</v>
      </c>
      <c r="O24" s="12"/>
      <c r="P24" s="11">
        <v>0</v>
      </c>
      <c r="Q24" s="17"/>
      <c r="R24" s="12"/>
      <c r="S24" s="11">
        <v>0</v>
      </c>
      <c r="T24" s="17"/>
      <c r="V24" s="112">
        <f t="shared" si="0"/>
        <v>0.47537999999999991</v>
      </c>
      <c r="W24" s="112">
        <f t="shared" si="1"/>
        <v>1.3024109589041093E-3</v>
      </c>
    </row>
    <row r="25" spans="1:23" x14ac:dyDescent="0.25">
      <c r="A25" s="12" t="s">
        <v>1425</v>
      </c>
      <c r="B25" s="11"/>
      <c r="C25" s="8" t="s">
        <v>1427</v>
      </c>
      <c r="D25" s="19"/>
      <c r="E25" s="8" t="s">
        <v>1439</v>
      </c>
      <c r="F25" s="8" t="s">
        <v>1429</v>
      </c>
      <c r="G25" s="12" t="s">
        <v>1507</v>
      </c>
      <c r="H25" s="17" t="s">
        <v>1364</v>
      </c>
      <c r="I25" s="12"/>
      <c r="J25" s="11">
        <v>15.309112499999999</v>
      </c>
      <c r="K25" s="17" t="s">
        <v>1415</v>
      </c>
      <c r="L25" s="12"/>
      <c r="M25" s="11">
        <f t="shared" si="2"/>
        <v>4.1942773972602737E-2</v>
      </c>
      <c r="N25" s="17" t="s">
        <v>1415</v>
      </c>
      <c r="O25" s="12"/>
      <c r="P25" s="11">
        <v>0</v>
      </c>
      <c r="Q25" s="17"/>
      <c r="R25" s="12"/>
      <c r="S25" s="11">
        <v>0</v>
      </c>
      <c r="T25" s="17"/>
      <c r="V25" s="112">
        <f t="shared" si="0"/>
        <v>15.309112499999999</v>
      </c>
      <c r="W25" s="112">
        <f t="shared" si="1"/>
        <v>4.1942773972602737E-2</v>
      </c>
    </row>
    <row r="26" spans="1:23" x14ac:dyDescent="0.25">
      <c r="A26" s="12" t="s">
        <v>1425</v>
      </c>
      <c r="B26" s="11"/>
      <c r="C26" s="8" t="s">
        <v>1427</v>
      </c>
      <c r="D26" s="19"/>
      <c r="E26" s="8" t="s">
        <v>1440</v>
      </c>
      <c r="F26" s="8" t="s">
        <v>1429</v>
      </c>
      <c r="G26" s="12" t="s">
        <v>1507</v>
      </c>
      <c r="H26" s="17" t="s">
        <v>1364</v>
      </c>
      <c r="I26" s="12"/>
      <c r="J26" s="11">
        <v>4.6512180000000001</v>
      </c>
      <c r="K26" s="17" t="s">
        <v>1415</v>
      </c>
      <c r="L26" s="12"/>
      <c r="M26" s="11">
        <f t="shared" si="2"/>
        <v>1.274306301369863E-2</v>
      </c>
      <c r="N26" s="17" t="s">
        <v>1415</v>
      </c>
      <c r="O26" s="12"/>
      <c r="P26" s="11">
        <v>0</v>
      </c>
      <c r="Q26" s="17"/>
      <c r="R26" s="12"/>
      <c r="S26" s="11">
        <v>0</v>
      </c>
      <c r="T26" s="17"/>
      <c r="V26" s="112">
        <f t="shared" si="0"/>
        <v>4.6512180000000001</v>
      </c>
      <c r="W26" s="112">
        <f t="shared" si="1"/>
        <v>1.274306301369863E-2</v>
      </c>
    </row>
    <row r="27" spans="1:23" x14ac:dyDescent="0.25">
      <c r="A27" s="12" t="s">
        <v>1425</v>
      </c>
      <c r="B27" s="11"/>
      <c r="C27" s="8" t="s">
        <v>1427</v>
      </c>
      <c r="D27" s="19"/>
      <c r="E27" s="8" t="s">
        <v>1441</v>
      </c>
      <c r="F27" s="8" t="s">
        <v>1429</v>
      </c>
      <c r="G27" s="12" t="s">
        <v>1507</v>
      </c>
      <c r="H27" s="17" t="s">
        <v>1364</v>
      </c>
      <c r="I27" s="12"/>
      <c r="J27" s="11">
        <v>172.58946320159998</v>
      </c>
      <c r="K27" s="17" t="s">
        <v>1415</v>
      </c>
      <c r="L27" s="12"/>
      <c r="M27" s="11">
        <f t="shared" si="2"/>
        <v>0.47284784438794519</v>
      </c>
      <c r="N27" s="17" t="s">
        <v>1415</v>
      </c>
      <c r="O27" s="12"/>
      <c r="P27" s="11">
        <v>0</v>
      </c>
      <c r="Q27" s="17"/>
      <c r="R27" s="12"/>
      <c r="S27" s="11">
        <v>0</v>
      </c>
      <c r="T27" s="17"/>
      <c r="V27" s="112">
        <f t="shared" si="0"/>
        <v>172.58946320159998</v>
      </c>
      <c r="W27" s="112">
        <f t="shared" si="1"/>
        <v>0.47284784438794519</v>
      </c>
    </row>
    <row r="28" spans="1:23" x14ac:dyDescent="0.25">
      <c r="A28" s="12" t="s">
        <v>1425</v>
      </c>
      <c r="B28" s="11"/>
      <c r="C28" s="8" t="s">
        <v>1427</v>
      </c>
      <c r="D28" s="19"/>
      <c r="E28" s="8" t="s">
        <v>1442</v>
      </c>
      <c r="F28" s="8" t="s">
        <v>1429</v>
      </c>
      <c r="G28" s="12" t="s">
        <v>1507</v>
      </c>
      <c r="H28" s="17" t="s">
        <v>1364</v>
      </c>
      <c r="I28" s="12"/>
      <c r="J28" s="11">
        <v>225.91033195392967</v>
      </c>
      <c r="K28" s="17" t="s">
        <v>1415</v>
      </c>
      <c r="L28" s="12"/>
      <c r="M28" s="11">
        <f t="shared" si="2"/>
        <v>0.61893241631213614</v>
      </c>
      <c r="N28" s="17" t="s">
        <v>1415</v>
      </c>
      <c r="O28" s="12"/>
      <c r="P28" s="11">
        <v>0</v>
      </c>
      <c r="Q28" s="17"/>
      <c r="R28" s="12"/>
      <c r="S28" s="11">
        <v>0</v>
      </c>
      <c r="T28" s="17"/>
      <c r="V28" s="112">
        <f t="shared" si="0"/>
        <v>225.91033195392967</v>
      </c>
      <c r="W28" s="112">
        <f t="shared" si="1"/>
        <v>0.61893241631213614</v>
      </c>
    </row>
    <row r="29" spans="1:23" x14ac:dyDescent="0.25">
      <c r="A29" s="12" t="s">
        <v>1425</v>
      </c>
      <c r="B29" s="11"/>
      <c r="C29" s="8" t="s">
        <v>1427</v>
      </c>
      <c r="D29" s="19"/>
      <c r="E29" s="8" t="s">
        <v>1443</v>
      </c>
      <c r="F29" s="8" t="s">
        <v>1429</v>
      </c>
      <c r="G29" s="12" t="s">
        <v>1507</v>
      </c>
      <c r="H29" s="17" t="s">
        <v>1364</v>
      </c>
      <c r="I29" s="12"/>
      <c r="J29" s="11">
        <v>5231.2832437500001</v>
      </c>
      <c r="K29" s="17" t="s">
        <v>1415</v>
      </c>
      <c r="L29" s="12"/>
      <c r="M29" s="11">
        <f t="shared" si="2"/>
        <v>14.332282859589041</v>
      </c>
      <c r="N29" s="17" t="s">
        <v>1415</v>
      </c>
      <c r="O29" s="12"/>
      <c r="P29" s="11">
        <v>0</v>
      </c>
      <c r="Q29" s="17"/>
      <c r="R29" s="12"/>
      <c r="S29" s="11">
        <v>0</v>
      </c>
      <c r="T29" s="17"/>
      <c r="V29" s="112">
        <f t="shared" si="0"/>
        <v>5231.2832437500001</v>
      </c>
      <c r="W29" s="112">
        <f t="shared" si="1"/>
        <v>14.332282859589041</v>
      </c>
    </row>
    <row r="30" spans="1:23" x14ac:dyDescent="0.25">
      <c r="A30" s="12" t="s">
        <v>1425</v>
      </c>
      <c r="B30" s="11"/>
      <c r="C30" s="8" t="s">
        <v>1427</v>
      </c>
      <c r="D30" s="19"/>
      <c r="E30" s="8" t="s">
        <v>1444</v>
      </c>
      <c r="F30" s="8" t="s">
        <v>1429</v>
      </c>
      <c r="G30" s="12" t="s">
        <v>1507</v>
      </c>
      <c r="H30" s="17" t="s">
        <v>1364</v>
      </c>
      <c r="I30" s="12"/>
      <c r="J30" s="11">
        <v>1087.7812481249998</v>
      </c>
      <c r="K30" s="17" t="s">
        <v>1415</v>
      </c>
      <c r="L30" s="12"/>
      <c r="M30" s="11">
        <f t="shared" si="2"/>
        <v>2.9802225976027392</v>
      </c>
      <c r="N30" s="17" t="s">
        <v>1415</v>
      </c>
      <c r="O30" s="12"/>
      <c r="P30" s="11">
        <v>0</v>
      </c>
      <c r="Q30" s="17"/>
      <c r="R30" s="12"/>
      <c r="S30" s="11">
        <v>0</v>
      </c>
      <c r="T30" s="17"/>
      <c r="V30" s="112">
        <f t="shared" si="0"/>
        <v>1087.7812481249998</v>
      </c>
      <c r="W30" s="112">
        <f t="shared" si="1"/>
        <v>2.9802225976027392</v>
      </c>
    </row>
    <row r="31" spans="1:23" x14ac:dyDescent="0.25">
      <c r="A31" s="12" t="s">
        <v>1425</v>
      </c>
      <c r="B31" s="11"/>
      <c r="C31" s="8" t="s">
        <v>1427</v>
      </c>
      <c r="D31" s="19"/>
      <c r="E31" s="8" t="s">
        <v>1445</v>
      </c>
      <c r="F31" s="8" t="s">
        <v>1429</v>
      </c>
      <c r="G31" s="12" t="s">
        <v>1507</v>
      </c>
      <c r="H31" s="17" t="s">
        <v>1364</v>
      </c>
      <c r="I31" s="12"/>
      <c r="J31" s="11">
        <v>510.03270000000015</v>
      </c>
      <c r="K31" s="17" t="s">
        <v>1415</v>
      </c>
      <c r="L31" s="12"/>
      <c r="M31" s="11">
        <f t="shared" si="2"/>
        <v>1.3973498630136989</v>
      </c>
      <c r="N31" s="17" t="s">
        <v>1415</v>
      </c>
      <c r="O31" s="12"/>
      <c r="P31" s="11">
        <v>0</v>
      </c>
      <c r="Q31" s="17"/>
      <c r="R31" s="12"/>
      <c r="S31" s="11">
        <v>0</v>
      </c>
      <c r="T31" s="17"/>
      <c r="V31" s="112">
        <f t="shared" si="0"/>
        <v>510.03270000000015</v>
      </c>
      <c r="W31" s="112">
        <f t="shared" si="1"/>
        <v>1.3973498630136989</v>
      </c>
    </row>
    <row r="32" spans="1:23" x14ac:dyDescent="0.25">
      <c r="A32" s="12" t="s">
        <v>1425</v>
      </c>
      <c r="B32" s="11"/>
      <c r="C32" s="8" t="s">
        <v>1427</v>
      </c>
      <c r="D32" s="19"/>
      <c r="E32" s="8" t="s">
        <v>1446</v>
      </c>
      <c r="F32" s="8" t="s">
        <v>1429</v>
      </c>
      <c r="G32" s="12" t="s">
        <v>1507</v>
      </c>
      <c r="H32" s="17" t="s">
        <v>1364</v>
      </c>
      <c r="I32" s="12"/>
      <c r="J32" s="11">
        <v>748.66720499999985</v>
      </c>
      <c r="K32" s="17" t="s">
        <v>1415</v>
      </c>
      <c r="L32" s="12"/>
      <c r="M32" s="11">
        <f t="shared" si="2"/>
        <v>2.0511430273972597</v>
      </c>
      <c r="N32" s="17" t="s">
        <v>1415</v>
      </c>
      <c r="O32" s="12"/>
      <c r="P32" s="11">
        <v>0</v>
      </c>
      <c r="Q32" s="17"/>
      <c r="R32" s="12"/>
      <c r="S32" s="11">
        <v>0</v>
      </c>
      <c r="T32" s="17"/>
      <c r="V32" s="112">
        <f t="shared" si="0"/>
        <v>748.66720499999985</v>
      </c>
      <c r="W32" s="112">
        <f t="shared" si="1"/>
        <v>2.0511430273972597</v>
      </c>
    </row>
    <row r="33" spans="1:23" x14ac:dyDescent="0.25">
      <c r="A33" s="12" t="s">
        <v>1425</v>
      </c>
      <c r="B33" s="11"/>
      <c r="C33" s="8" t="s">
        <v>1427</v>
      </c>
      <c r="D33" s="19"/>
      <c r="E33" s="8" t="s">
        <v>1447</v>
      </c>
      <c r="F33" s="8" t="s">
        <v>1429</v>
      </c>
      <c r="G33" s="12" t="s">
        <v>1507</v>
      </c>
      <c r="H33" s="17" t="s">
        <v>1364</v>
      </c>
      <c r="I33" s="12"/>
      <c r="J33" s="11">
        <v>0.93824999999999992</v>
      </c>
      <c r="K33" s="17" t="s">
        <v>1415</v>
      </c>
      <c r="L33" s="12"/>
      <c r="M33" s="11">
        <f t="shared" si="2"/>
        <v>2.5705479452054793E-3</v>
      </c>
      <c r="N33" s="17" t="s">
        <v>1415</v>
      </c>
      <c r="O33" s="12"/>
      <c r="P33" s="11">
        <v>0</v>
      </c>
      <c r="Q33" s="17"/>
      <c r="R33" s="12"/>
      <c r="S33" s="11">
        <v>0</v>
      </c>
      <c r="T33" s="17"/>
      <c r="V33" s="112">
        <f t="shared" si="0"/>
        <v>0.93824999999999992</v>
      </c>
      <c r="W33" s="112">
        <f t="shared" si="1"/>
        <v>2.5705479452054793E-3</v>
      </c>
    </row>
    <row r="34" spans="1:23" x14ac:dyDescent="0.25">
      <c r="A34" s="12" t="s">
        <v>1425</v>
      </c>
      <c r="B34" s="11"/>
      <c r="C34" s="8" t="s">
        <v>1427</v>
      </c>
      <c r="D34" s="19"/>
      <c r="E34" s="8" t="s">
        <v>1448</v>
      </c>
      <c r="F34" s="8" t="s">
        <v>1429</v>
      </c>
      <c r="G34" s="12" t="s">
        <v>1507</v>
      </c>
      <c r="H34" s="17" t="s">
        <v>1364</v>
      </c>
      <c r="I34" s="12"/>
      <c r="J34" s="11">
        <v>76.921032374999996</v>
      </c>
      <c r="K34" s="17" t="s">
        <v>1415</v>
      </c>
      <c r="L34" s="12"/>
      <c r="M34" s="11">
        <f t="shared" si="2"/>
        <v>0.21074255445205481</v>
      </c>
      <c r="N34" s="17" t="s">
        <v>1415</v>
      </c>
      <c r="O34" s="12"/>
      <c r="P34" s="11">
        <v>0</v>
      </c>
      <c r="Q34" s="17"/>
      <c r="R34" s="12"/>
      <c r="S34" s="11">
        <v>0</v>
      </c>
      <c r="T34" s="17"/>
      <c r="V34" s="112">
        <f t="shared" si="0"/>
        <v>76.921032374999996</v>
      </c>
      <c r="W34" s="112">
        <f t="shared" si="1"/>
        <v>0.21074255445205481</v>
      </c>
    </row>
    <row r="35" spans="1:23" x14ac:dyDescent="0.25">
      <c r="A35" s="12" t="s">
        <v>1425</v>
      </c>
      <c r="B35" s="11"/>
      <c r="C35" s="8" t="s">
        <v>1427</v>
      </c>
      <c r="D35" s="19"/>
      <c r="E35" s="8" t="s">
        <v>1449</v>
      </c>
      <c r="F35" s="8" t="s">
        <v>1429</v>
      </c>
      <c r="G35" s="12" t="s">
        <v>1507</v>
      </c>
      <c r="H35" s="17" t="s">
        <v>1364</v>
      </c>
      <c r="I35" s="12"/>
      <c r="J35" s="11">
        <v>18.014400000000006</v>
      </c>
      <c r="K35" s="17" t="s">
        <v>1415</v>
      </c>
      <c r="L35" s="12"/>
      <c r="M35" s="11">
        <f t="shared" si="2"/>
        <v>4.9354520547945223E-2</v>
      </c>
      <c r="N35" s="17" t="s">
        <v>1415</v>
      </c>
      <c r="O35" s="12"/>
      <c r="P35" s="11">
        <v>0</v>
      </c>
      <c r="Q35" s="17"/>
      <c r="R35" s="12"/>
      <c r="S35" s="11">
        <v>0</v>
      </c>
      <c r="T35" s="17"/>
      <c r="V35" s="112">
        <f t="shared" si="0"/>
        <v>18.014400000000006</v>
      </c>
      <c r="W35" s="112">
        <f t="shared" si="1"/>
        <v>4.9354520547945223E-2</v>
      </c>
    </row>
    <row r="36" spans="1:23" x14ac:dyDescent="0.25">
      <c r="A36" s="12" t="s">
        <v>1425</v>
      </c>
      <c r="B36" s="11"/>
      <c r="C36" s="8" t="s">
        <v>1427</v>
      </c>
      <c r="D36" s="19"/>
      <c r="E36" s="8" t="s">
        <v>1450</v>
      </c>
      <c r="F36" s="8" t="s">
        <v>1429</v>
      </c>
      <c r="G36" s="12" t="s">
        <v>1507</v>
      </c>
      <c r="H36" s="17" t="s">
        <v>1364</v>
      </c>
      <c r="I36" s="12"/>
      <c r="J36" s="11">
        <v>10.358279999999999</v>
      </c>
      <c r="K36" s="17" t="s">
        <v>1415</v>
      </c>
      <c r="L36" s="12"/>
      <c r="M36" s="11">
        <f t="shared" si="2"/>
        <v>2.837884931506849E-2</v>
      </c>
      <c r="N36" s="17" t="s">
        <v>1415</v>
      </c>
      <c r="O36" s="12"/>
      <c r="P36" s="11">
        <v>0</v>
      </c>
      <c r="Q36" s="17"/>
      <c r="R36" s="12"/>
      <c r="S36" s="11">
        <v>0</v>
      </c>
      <c r="T36" s="17"/>
      <c r="V36" s="112">
        <f t="shared" si="0"/>
        <v>10.358279999999999</v>
      </c>
      <c r="W36" s="112">
        <f t="shared" si="1"/>
        <v>2.837884931506849E-2</v>
      </c>
    </row>
    <row r="37" spans="1:23" x14ac:dyDescent="0.25">
      <c r="A37" s="12" t="s">
        <v>1425</v>
      </c>
      <c r="B37" s="11"/>
      <c r="C37" s="8" t="s">
        <v>1427</v>
      </c>
      <c r="D37" s="19"/>
      <c r="E37" s="8" t="s">
        <v>1451</v>
      </c>
      <c r="F37" s="8" t="s">
        <v>1429</v>
      </c>
      <c r="G37" s="12" t="s">
        <v>1507</v>
      </c>
      <c r="H37" s="17" t="s">
        <v>1364</v>
      </c>
      <c r="I37" s="12"/>
      <c r="J37" s="11">
        <v>1142.3399931174026</v>
      </c>
      <c r="K37" s="17" t="s">
        <v>1415</v>
      </c>
      <c r="L37" s="12"/>
      <c r="M37" s="11">
        <f t="shared" si="2"/>
        <v>3.1296986112805549</v>
      </c>
      <c r="N37" s="17" t="s">
        <v>1415</v>
      </c>
      <c r="O37" s="12"/>
      <c r="P37" s="11">
        <v>0</v>
      </c>
      <c r="Q37" s="17"/>
      <c r="R37" s="12"/>
      <c r="S37" s="11">
        <v>0</v>
      </c>
      <c r="T37" s="17"/>
      <c r="V37" s="112">
        <f t="shared" si="0"/>
        <v>1142.3399931174026</v>
      </c>
      <c r="W37" s="112">
        <f t="shared" si="1"/>
        <v>3.1296986112805549</v>
      </c>
    </row>
    <row r="38" spans="1:23" x14ac:dyDescent="0.25">
      <c r="A38" s="12" t="s">
        <v>1425</v>
      </c>
      <c r="B38" s="11"/>
      <c r="C38" s="8" t="s">
        <v>1427</v>
      </c>
      <c r="D38" s="19"/>
      <c r="E38" s="8" t="s">
        <v>1452</v>
      </c>
      <c r="F38" s="8" t="s">
        <v>1429</v>
      </c>
      <c r="G38" s="12" t="s">
        <v>1507</v>
      </c>
      <c r="H38" s="17" t="s">
        <v>1364</v>
      </c>
      <c r="I38" s="12"/>
      <c r="J38" s="11">
        <v>7.2557999999999971</v>
      </c>
      <c r="K38" s="17" t="s">
        <v>1415</v>
      </c>
      <c r="L38" s="12"/>
      <c r="M38" s="11">
        <f t="shared" si="2"/>
        <v>1.9878904109589035E-2</v>
      </c>
      <c r="N38" s="17" t="s">
        <v>1415</v>
      </c>
      <c r="O38" s="12"/>
      <c r="P38" s="11">
        <v>0</v>
      </c>
      <c r="Q38" s="17"/>
      <c r="R38" s="12"/>
      <c r="S38" s="11">
        <v>0</v>
      </c>
      <c r="T38" s="17"/>
      <c r="V38" s="112">
        <f t="shared" si="0"/>
        <v>7.2557999999999971</v>
      </c>
      <c r="W38" s="112">
        <f t="shared" si="1"/>
        <v>1.9878904109589035E-2</v>
      </c>
    </row>
    <row r="39" spans="1:23" x14ac:dyDescent="0.25">
      <c r="A39" s="12" t="s">
        <v>1425</v>
      </c>
      <c r="B39" s="11"/>
      <c r="C39" s="8" t="s">
        <v>1427</v>
      </c>
      <c r="D39" s="19"/>
      <c r="E39" s="8" t="s">
        <v>1453</v>
      </c>
      <c r="F39" s="8" t="s">
        <v>1429</v>
      </c>
      <c r="G39" s="12" t="s">
        <v>1507</v>
      </c>
      <c r="H39" s="17" t="s">
        <v>1364</v>
      </c>
      <c r="I39" s="12"/>
      <c r="J39" s="11">
        <v>13.886100000000001</v>
      </c>
      <c r="K39" s="17" t="s">
        <v>1415</v>
      </c>
      <c r="L39" s="12"/>
      <c r="M39" s="11">
        <f t="shared" si="2"/>
        <v>3.80441095890411E-2</v>
      </c>
      <c r="N39" s="17" t="s">
        <v>1415</v>
      </c>
      <c r="O39" s="12"/>
      <c r="P39" s="11">
        <v>0</v>
      </c>
      <c r="Q39" s="17"/>
      <c r="R39" s="12"/>
      <c r="S39" s="11">
        <v>0</v>
      </c>
      <c r="T39" s="17"/>
      <c r="V39" s="112">
        <f t="shared" si="0"/>
        <v>13.886100000000001</v>
      </c>
      <c r="W39" s="112">
        <f t="shared" si="1"/>
        <v>3.80441095890411E-2</v>
      </c>
    </row>
    <row r="40" spans="1:23" x14ac:dyDescent="0.25">
      <c r="A40" s="12" t="s">
        <v>1425</v>
      </c>
      <c r="B40" s="11"/>
      <c r="C40" s="8" t="s">
        <v>1427</v>
      </c>
      <c r="D40" s="19"/>
      <c r="E40" s="8" t="s">
        <v>1454</v>
      </c>
      <c r="F40" s="8" t="s">
        <v>1429</v>
      </c>
      <c r="G40" s="12" t="s">
        <v>1507</v>
      </c>
      <c r="H40" s="17" t="s">
        <v>1364</v>
      </c>
      <c r="I40" s="12"/>
      <c r="J40" s="11">
        <v>2.4206849999999998</v>
      </c>
      <c r="K40" s="17" t="s">
        <v>1415</v>
      </c>
      <c r="L40" s="12"/>
      <c r="M40" s="11">
        <f t="shared" si="2"/>
        <v>6.6320136986301372E-3</v>
      </c>
      <c r="N40" s="17" t="s">
        <v>1415</v>
      </c>
      <c r="O40" s="12"/>
      <c r="P40" s="11">
        <v>0</v>
      </c>
      <c r="Q40" s="17"/>
      <c r="R40" s="12"/>
      <c r="S40" s="11">
        <v>0</v>
      </c>
      <c r="T40" s="17"/>
      <c r="V40" s="112">
        <f t="shared" si="0"/>
        <v>2.4206849999999998</v>
      </c>
      <c r="W40" s="112">
        <f t="shared" si="1"/>
        <v>6.6320136986301372E-3</v>
      </c>
    </row>
    <row r="41" spans="1:23" x14ac:dyDescent="0.25">
      <c r="A41" s="12" t="s">
        <v>1425</v>
      </c>
      <c r="B41" s="11"/>
      <c r="C41" s="8" t="s">
        <v>1427</v>
      </c>
      <c r="D41" s="19"/>
      <c r="E41" s="8" t="s">
        <v>1455</v>
      </c>
      <c r="F41" s="8" t="s">
        <v>1429</v>
      </c>
      <c r="G41" s="12" t="s">
        <v>1507</v>
      </c>
      <c r="H41" s="17" t="s">
        <v>1364</v>
      </c>
      <c r="I41" s="12"/>
      <c r="J41" s="11">
        <v>26.646299999999997</v>
      </c>
      <c r="K41" s="17" t="s">
        <v>1415</v>
      </c>
      <c r="L41" s="12"/>
      <c r="M41" s="11">
        <f t="shared" si="2"/>
        <v>7.3003561643835604E-2</v>
      </c>
      <c r="N41" s="17" t="s">
        <v>1415</v>
      </c>
      <c r="O41" s="12"/>
      <c r="P41" s="11">
        <v>0</v>
      </c>
      <c r="Q41" s="17"/>
      <c r="R41" s="12"/>
      <c r="S41" s="11">
        <v>0</v>
      </c>
      <c r="T41" s="17"/>
      <c r="V41" s="112">
        <f t="shared" ref="V41:V72" si="3">J41-P41</f>
        <v>26.646299999999997</v>
      </c>
      <c r="W41" s="112">
        <f t="shared" ref="W41:W72" si="4">$M41-$S41</f>
        <v>7.3003561643835604E-2</v>
      </c>
    </row>
    <row r="42" spans="1:23" x14ac:dyDescent="0.25">
      <c r="A42" s="12" t="s">
        <v>1425</v>
      </c>
      <c r="B42" s="11"/>
      <c r="C42" s="8" t="s">
        <v>1427</v>
      </c>
      <c r="D42" s="19"/>
      <c r="E42" s="8" t="s">
        <v>1456</v>
      </c>
      <c r="F42" s="8" t="s">
        <v>1429</v>
      </c>
      <c r="G42" s="12" t="s">
        <v>1507</v>
      </c>
      <c r="H42" s="17" t="s">
        <v>1364</v>
      </c>
      <c r="I42" s="12"/>
      <c r="J42" s="11">
        <v>9.1197900000000018</v>
      </c>
      <c r="K42" s="17" t="s">
        <v>1415</v>
      </c>
      <c r="L42" s="12"/>
      <c r="M42" s="11">
        <f t="shared" si="2"/>
        <v>2.4985726027397265E-2</v>
      </c>
      <c r="N42" s="17" t="s">
        <v>1415</v>
      </c>
      <c r="O42" s="12"/>
      <c r="P42" s="11">
        <v>0</v>
      </c>
      <c r="Q42" s="17"/>
      <c r="R42" s="12"/>
      <c r="S42" s="11">
        <v>0</v>
      </c>
      <c r="T42" s="17"/>
      <c r="V42" s="112">
        <f t="shared" si="3"/>
        <v>9.1197900000000018</v>
      </c>
      <c r="W42" s="112">
        <f t="shared" si="4"/>
        <v>2.4985726027397265E-2</v>
      </c>
    </row>
    <row r="43" spans="1:23" x14ac:dyDescent="0.25">
      <c r="A43" s="12" t="s">
        <v>1425</v>
      </c>
      <c r="B43" s="11"/>
      <c r="C43" s="8" t="s">
        <v>1427</v>
      </c>
      <c r="D43" s="19"/>
      <c r="E43" s="8" t="s">
        <v>1457</v>
      </c>
      <c r="F43" s="8" t="s">
        <v>1429</v>
      </c>
      <c r="G43" s="12" t="s">
        <v>1507</v>
      </c>
      <c r="H43" s="17" t="s">
        <v>1364</v>
      </c>
      <c r="I43" s="12"/>
      <c r="J43" s="11">
        <v>0.27037500000000003</v>
      </c>
      <c r="K43" s="17" t="s">
        <v>1415</v>
      </c>
      <c r="L43" s="12"/>
      <c r="M43" s="11">
        <f t="shared" si="2"/>
        <v>7.4075342465753421E-4</v>
      </c>
      <c r="N43" s="17" t="s">
        <v>1415</v>
      </c>
      <c r="O43" s="12"/>
      <c r="P43" s="11">
        <v>0</v>
      </c>
      <c r="Q43" s="17"/>
      <c r="R43" s="12"/>
      <c r="S43" s="11">
        <v>0</v>
      </c>
      <c r="T43" s="17"/>
      <c r="V43" s="112">
        <f t="shared" si="3"/>
        <v>0.27037500000000003</v>
      </c>
      <c r="W43" s="112">
        <f t="shared" si="4"/>
        <v>7.4075342465753421E-4</v>
      </c>
    </row>
    <row r="44" spans="1:23" x14ac:dyDescent="0.25">
      <c r="A44" s="12" t="s">
        <v>1425</v>
      </c>
      <c r="B44" s="11"/>
      <c r="C44" s="8" t="s">
        <v>1427</v>
      </c>
      <c r="D44" s="19"/>
      <c r="E44" s="8" t="s">
        <v>1458</v>
      </c>
      <c r="F44" s="8" t="s">
        <v>1429</v>
      </c>
      <c r="G44" s="12" t="s">
        <v>1507</v>
      </c>
      <c r="H44" s="17" t="s">
        <v>1364</v>
      </c>
      <c r="I44" s="12"/>
      <c r="J44" s="11">
        <v>41.633279999999992</v>
      </c>
      <c r="K44" s="17" t="s">
        <v>1415</v>
      </c>
      <c r="L44" s="12"/>
      <c r="M44" s="11">
        <f t="shared" si="2"/>
        <v>0.11406378082191779</v>
      </c>
      <c r="N44" s="17" t="s">
        <v>1415</v>
      </c>
      <c r="O44" s="12"/>
      <c r="P44" s="11">
        <v>0</v>
      </c>
      <c r="Q44" s="17"/>
      <c r="R44" s="12"/>
      <c r="S44" s="11">
        <v>0</v>
      </c>
      <c r="T44" s="17"/>
      <c r="V44" s="112">
        <f t="shared" si="3"/>
        <v>41.633279999999992</v>
      </c>
      <c r="W44" s="112">
        <f t="shared" si="4"/>
        <v>0.11406378082191779</v>
      </c>
    </row>
    <row r="45" spans="1:23" x14ac:dyDescent="0.25">
      <c r="A45" s="12" t="s">
        <v>1425</v>
      </c>
      <c r="B45" s="11"/>
      <c r="C45" s="8" t="s">
        <v>1427</v>
      </c>
      <c r="D45" s="19"/>
      <c r="E45" s="8" t="s">
        <v>1459</v>
      </c>
      <c r="F45" s="8" t="s">
        <v>1429</v>
      </c>
      <c r="G45" s="12" t="s">
        <v>1507</v>
      </c>
      <c r="H45" s="17" t="s">
        <v>1364</v>
      </c>
      <c r="I45" s="12"/>
      <c r="J45" s="11">
        <v>27.030044249999992</v>
      </c>
      <c r="K45" s="17" t="s">
        <v>1415</v>
      </c>
      <c r="L45" s="12"/>
      <c r="M45" s="11">
        <f t="shared" si="2"/>
        <v>7.4054915753424627E-2</v>
      </c>
      <c r="N45" s="17" t="s">
        <v>1415</v>
      </c>
      <c r="O45" s="12"/>
      <c r="P45" s="11">
        <v>0</v>
      </c>
      <c r="Q45" s="17"/>
      <c r="R45" s="12"/>
      <c r="S45" s="11">
        <v>0</v>
      </c>
      <c r="T45" s="17"/>
      <c r="V45" s="112">
        <f t="shared" si="3"/>
        <v>27.030044249999992</v>
      </c>
      <c r="W45" s="112">
        <f t="shared" si="4"/>
        <v>7.4054915753424627E-2</v>
      </c>
    </row>
    <row r="46" spans="1:23" x14ac:dyDescent="0.25">
      <c r="A46" s="12" t="s">
        <v>1425</v>
      </c>
      <c r="B46" s="11"/>
      <c r="C46" s="8" t="s">
        <v>1427</v>
      </c>
      <c r="D46" s="19"/>
      <c r="E46" s="8" t="s">
        <v>1460</v>
      </c>
      <c r="F46" s="8" t="s">
        <v>1429</v>
      </c>
      <c r="G46" s="12" t="s">
        <v>1507</v>
      </c>
      <c r="H46" s="17" t="s">
        <v>1364</v>
      </c>
      <c r="I46" s="12"/>
      <c r="J46" s="11">
        <v>1.6857225000000002</v>
      </c>
      <c r="K46" s="17" t="s">
        <v>1415</v>
      </c>
      <c r="L46" s="12"/>
      <c r="M46" s="11">
        <f t="shared" si="2"/>
        <v>4.6184178082191787E-3</v>
      </c>
      <c r="N46" s="17" t="s">
        <v>1415</v>
      </c>
      <c r="O46" s="12"/>
      <c r="P46" s="11">
        <v>0</v>
      </c>
      <c r="Q46" s="17"/>
      <c r="R46" s="12"/>
      <c r="S46" s="11">
        <v>0</v>
      </c>
      <c r="T46" s="17"/>
      <c r="V46" s="112">
        <f t="shared" si="3"/>
        <v>1.6857225000000002</v>
      </c>
      <c r="W46" s="112">
        <f t="shared" si="4"/>
        <v>4.6184178082191787E-3</v>
      </c>
    </row>
    <row r="47" spans="1:23" x14ac:dyDescent="0.25">
      <c r="A47" s="12" t="s">
        <v>1425</v>
      </c>
      <c r="B47" s="11"/>
      <c r="C47" s="8" t="s">
        <v>1427</v>
      </c>
      <c r="D47" s="19"/>
      <c r="E47" s="8" t="s">
        <v>1461</v>
      </c>
      <c r="F47" s="8" t="s">
        <v>1429</v>
      </c>
      <c r="G47" s="12" t="s">
        <v>1507</v>
      </c>
      <c r="H47" s="17" t="s">
        <v>1364</v>
      </c>
      <c r="I47" s="12"/>
      <c r="J47" s="11">
        <v>28.148771952305879</v>
      </c>
      <c r="K47" s="17" t="s">
        <v>1415</v>
      </c>
      <c r="L47" s="12"/>
      <c r="M47" s="11">
        <f t="shared" si="2"/>
        <v>7.7119923157002404E-2</v>
      </c>
      <c r="N47" s="17" t="s">
        <v>1415</v>
      </c>
      <c r="O47" s="12"/>
      <c r="P47" s="11">
        <v>0</v>
      </c>
      <c r="Q47" s="17"/>
      <c r="R47" s="12"/>
      <c r="S47" s="11">
        <v>0</v>
      </c>
      <c r="T47" s="17"/>
      <c r="V47" s="112">
        <f t="shared" si="3"/>
        <v>28.148771952305879</v>
      </c>
      <c r="W47" s="112">
        <f t="shared" si="4"/>
        <v>7.7119923157002404E-2</v>
      </c>
    </row>
    <row r="48" spans="1:23" x14ac:dyDescent="0.25">
      <c r="A48" s="12" t="s">
        <v>1425</v>
      </c>
      <c r="B48" s="11"/>
      <c r="C48" s="8" t="s">
        <v>1427</v>
      </c>
      <c r="D48" s="19"/>
      <c r="E48" s="8" t="s">
        <v>1462</v>
      </c>
      <c r="F48" s="8" t="s">
        <v>1429</v>
      </c>
      <c r="G48" s="12" t="s">
        <v>1507</v>
      </c>
      <c r="H48" s="17" t="s">
        <v>1364</v>
      </c>
      <c r="I48" s="12"/>
      <c r="J48" s="11">
        <v>64.451520000000002</v>
      </c>
      <c r="K48" s="17" t="s">
        <v>1415</v>
      </c>
      <c r="L48" s="12"/>
      <c r="M48" s="11">
        <f t="shared" si="2"/>
        <v>0.17657950684931506</v>
      </c>
      <c r="N48" s="17" t="s">
        <v>1415</v>
      </c>
      <c r="O48" s="12"/>
      <c r="P48" s="11">
        <v>0</v>
      </c>
      <c r="Q48" s="17"/>
      <c r="R48" s="12"/>
      <c r="S48" s="11">
        <v>0</v>
      </c>
      <c r="T48" s="17"/>
      <c r="V48" s="112">
        <f t="shared" si="3"/>
        <v>64.451520000000002</v>
      </c>
      <c r="W48" s="112">
        <f t="shared" si="4"/>
        <v>0.17657950684931506</v>
      </c>
    </row>
    <row r="49" spans="1:23" x14ac:dyDescent="0.25">
      <c r="A49" s="12" t="s">
        <v>1425</v>
      </c>
      <c r="B49" s="11"/>
      <c r="C49" s="8" t="s">
        <v>1427</v>
      </c>
      <c r="D49" s="19"/>
      <c r="E49" s="8" t="s">
        <v>1463</v>
      </c>
      <c r="F49" s="8" t="s">
        <v>1429</v>
      </c>
      <c r="G49" s="12" t="s">
        <v>1507</v>
      </c>
      <c r="H49" s="17" t="s">
        <v>1364</v>
      </c>
      <c r="I49" s="12"/>
      <c r="J49" s="11">
        <v>79.038179999999997</v>
      </c>
      <c r="K49" s="17" t="s">
        <v>1415</v>
      </c>
      <c r="L49" s="12"/>
      <c r="M49" s="11">
        <f t="shared" si="2"/>
        <v>0.21654295890410957</v>
      </c>
      <c r="N49" s="17" t="s">
        <v>1415</v>
      </c>
      <c r="O49" s="12"/>
      <c r="P49" s="11">
        <v>0</v>
      </c>
      <c r="Q49" s="17"/>
      <c r="R49" s="12"/>
      <c r="S49" s="11">
        <v>0</v>
      </c>
      <c r="T49" s="17"/>
      <c r="V49" s="112">
        <f t="shared" si="3"/>
        <v>79.038179999999997</v>
      </c>
      <c r="W49" s="112">
        <f t="shared" si="4"/>
        <v>0.21654295890410957</v>
      </c>
    </row>
    <row r="50" spans="1:23" x14ac:dyDescent="0.25">
      <c r="A50" s="12" t="s">
        <v>1425</v>
      </c>
      <c r="B50" s="11"/>
      <c r="C50" s="8" t="s">
        <v>1427</v>
      </c>
      <c r="D50" s="19"/>
      <c r="E50" s="8" t="s">
        <v>1464</v>
      </c>
      <c r="F50" s="8" t="s">
        <v>1429</v>
      </c>
      <c r="G50" s="12" t="s">
        <v>1507</v>
      </c>
      <c r="H50" s="17" t="s">
        <v>1364</v>
      </c>
      <c r="I50" s="12"/>
      <c r="J50" s="11">
        <v>307.3707</v>
      </c>
      <c r="K50" s="17" t="s">
        <v>1415</v>
      </c>
      <c r="L50" s="12"/>
      <c r="M50" s="11">
        <f t="shared" si="2"/>
        <v>0.84211150684931502</v>
      </c>
      <c r="N50" s="17" t="s">
        <v>1415</v>
      </c>
      <c r="O50" s="12"/>
      <c r="P50" s="11">
        <v>0</v>
      </c>
      <c r="Q50" s="17"/>
      <c r="R50" s="12"/>
      <c r="S50" s="11">
        <v>0</v>
      </c>
      <c r="T50" s="17"/>
      <c r="V50" s="112">
        <f t="shared" si="3"/>
        <v>307.3707</v>
      </c>
      <c r="W50" s="112">
        <f t="shared" si="4"/>
        <v>0.84211150684931502</v>
      </c>
    </row>
    <row r="51" spans="1:23" x14ac:dyDescent="0.25">
      <c r="A51" s="12" t="s">
        <v>1425</v>
      </c>
      <c r="B51" s="11"/>
      <c r="C51" s="8" t="s">
        <v>1427</v>
      </c>
      <c r="D51" s="19"/>
      <c r="E51" s="8" t="s">
        <v>1465</v>
      </c>
      <c r="F51" s="8" t="s">
        <v>1429</v>
      </c>
      <c r="G51" s="12" t="s">
        <v>1507</v>
      </c>
      <c r="H51" s="17" t="s">
        <v>1364</v>
      </c>
      <c r="I51" s="12"/>
      <c r="J51" s="11">
        <v>0.55669500000000005</v>
      </c>
      <c r="K51" s="17" t="s">
        <v>1415</v>
      </c>
      <c r="L51" s="12"/>
      <c r="M51" s="11">
        <f t="shared" si="2"/>
        <v>1.5251917808219179E-3</v>
      </c>
      <c r="N51" s="17" t="s">
        <v>1415</v>
      </c>
      <c r="O51" s="12"/>
      <c r="P51" s="11">
        <v>0</v>
      </c>
      <c r="Q51" s="17"/>
      <c r="R51" s="12"/>
      <c r="S51" s="11">
        <v>0</v>
      </c>
      <c r="T51" s="17"/>
      <c r="V51" s="112">
        <f t="shared" si="3"/>
        <v>0.55669500000000005</v>
      </c>
      <c r="W51" s="112">
        <f t="shared" si="4"/>
        <v>1.5251917808219179E-3</v>
      </c>
    </row>
    <row r="52" spans="1:23" x14ac:dyDescent="0.25">
      <c r="A52" s="12" t="s">
        <v>1425</v>
      </c>
      <c r="B52" s="11"/>
      <c r="C52" s="8" t="s">
        <v>1427</v>
      </c>
      <c r="D52" s="19"/>
      <c r="E52" s="8" t="s">
        <v>1466</v>
      </c>
      <c r="F52" s="8" t="s">
        <v>1429</v>
      </c>
      <c r="G52" s="12" t="s">
        <v>1507</v>
      </c>
      <c r="H52" s="17" t="s">
        <v>1364</v>
      </c>
      <c r="I52" s="12"/>
      <c r="J52" s="11">
        <v>15.0589125</v>
      </c>
      <c r="K52" s="17" t="s">
        <v>1415</v>
      </c>
      <c r="L52" s="12"/>
      <c r="M52" s="11">
        <f t="shared" si="2"/>
        <v>4.1257294520547945E-2</v>
      </c>
      <c r="N52" s="17" t="s">
        <v>1415</v>
      </c>
      <c r="O52" s="12"/>
      <c r="P52" s="11">
        <v>0</v>
      </c>
      <c r="Q52" s="17"/>
      <c r="R52" s="12"/>
      <c r="S52" s="11">
        <v>0</v>
      </c>
      <c r="T52" s="17"/>
      <c r="V52" s="112">
        <f t="shared" si="3"/>
        <v>15.0589125</v>
      </c>
      <c r="W52" s="112">
        <f t="shared" si="4"/>
        <v>4.1257294520547945E-2</v>
      </c>
    </row>
    <row r="53" spans="1:23" x14ac:dyDescent="0.25">
      <c r="A53" s="12" t="s">
        <v>1425</v>
      </c>
      <c r="B53" s="11"/>
      <c r="C53" s="8" t="s">
        <v>1427</v>
      </c>
      <c r="D53" s="19"/>
      <c r="E53" s="8" t="s">
        <v>1467</v>
      </c>
      <c r="F53" s="8" t="s">
        <v>1429</v>
      </c>
      <c r="G53" s="12" t="s">
        <v>1507</v>
      </c>
      <c r="H53" s="17" t="s">
        <v>1364</v>
      </c>
      <c r="I53" s="12"/>
      <c r="J53" s="11">
        <v>81.064799999999977</v>
      </c>
      <c r="K53" s="17" t="s">
        <v>1415</v>
      </c>
      <c r="L53" s="12"/>
      <c r="M53" s="11">
        <f t="shared" si="2"/>
        <v>0.22209534246575335</v>
      </c>
      <c r="N53" s="17" t="s">
        <v>1415</v>
      </c>
      <c r="O53" s="12"/>
      <c r="P53" s="11">
        <v>0</v>
      </c>
      <c r="Q53" s="17"/>
      <c r="R53" s="12"/>
      <c r="S53" s="11">
        <v>0</v>
      </c>
      <c r="T53" s="17"/>
      <c r="V53" s="112">
        <f t="shared" si="3"/>
        <v>81.064799999999977</v>
      </c>
      <c r="W53" s="112">
        <f t="shared" si="4"/>
        <v>0.22209534246575335</v>
      </c>
    </row>
    <row r="54" spans="1:23" x14ac:dyDescent="0.25">
      <c r="A54" s="12" t="s">
        <v>1425</v>
      </c>
      <c r="B54" s="11"/>
      <c r="C54" s="8" t="s">
        <v>1427</v>
      </c>
      <c r="D54" s="19"/>
      <c r="E54" s="8" t="s">
        <v>1468</v>
      </c>
      <c r="F54" s="8" t="s">
        <v>1429</v>
      </c>
      <c r="G54" s="12" t="s">
        <v>1507</v>
      </c>
      <c r="H54" s="17" t="s">
        <v>1364</v>
      </c>
      <c r="I54" s="12"/>
      <c r="J54" s="11">
        <v>81.064799999999977</v>
      </c>
      <c r="K54" s="17" t="s">
        <v>1415</v>
      </c>
      <c r="L54" s="12"/>
      <c r="M54" s="11">
        <f t="shared" si="2"/>
        <v>0.22209534246575335</v>
      </c>
      <c r="N54" s="17" t="s">
        <v>1415</v>
      </c>
      <c r="O54" s="12"/>
      <c r="P54" s="11">
        <v>0</v>
      </c>
      <c r="Q54" s="17"/>
      <c r="R54" s="12"/>
      <c r="S54" s="11">
        <v>0</v>
      </c>
      <c r="T54" s="17"/>
      <c r="V54" s="112">
        <f t="shared" si="3"/>
        <v>81.064799999999977</v>
      </c>
      <c r="W54" s="112">
        <f t="shared" si="4"/>
        <v>0.22209534246575335</v>
      </c>
    </row>
    <row r="55" spans="1:23" x14ac:dyDescent="0.25">
      <c r="A55" s="12" t="s">
        <v>1425</v>
      </c>
      <c r="B55" s="11"/>
      <c r="C55" s="8" t="s">
        <v>1427</v>
      </c>
      <c r="D55" s="19"/>
      <c r="E55" s="8" t="s">
        <v>1469</v>
      </c>
      <c r="F55" s="8" t="s">
        <v>1429</v>
      </c>
      <c r="G55" s="12" t="s">
        <v>1507</v>
      </c>
      <c r="H55" s="17" t="s">
        <v>1364</v>
      </c>
      <c r="I55" s="12"/>
      <c r="J55" s="11">
        <v>8.4442499999999985</v>
      </c>
      <c r="K55" s="17" t="s">
        <v>1415</v>
      </c>
      <c r="L55" s="12"/>
      <c r="M55" s="11">
        <f t="shared" si="2"/>
        <v>2.313493150684931E-2</v>
      </c>
      <c r="N55" s="17" t="s">
        <v>1415</v>
      </c>
      <c r="O55" s="12"/>
      <c r="P55" s="11">
        <v>0</v>
      </c>
      <c r="Q55" s="17"/>
      <c r="R55" s="12"/>
      <c r="S55" s="11">
        <v>0</v>
      </c>
      <c r="T55" s="17"/>
      <c r="V55" s="112">
        <f t="shared" si="3"/>
        <v>8.4442499999999985</v>
      </c>
      <c r="W55" s="112">
        <f t="shared" si="4"/>
        <v>2.313493150684931E-2</v>
      </c>
    </row>
    <row r="56" spans="1:23" x14ac:dyDescent="0.25">
      <c r="A56" s="12" t="s">
        <v>1425</v>
      </c>
      <c r="B56" s="11"/>
      <c r="C56" s="8" t="s">
        <v>1427</v>
      </c>
      <c r="D56" s="19"/>
      <c r="E56" s="8" t="s">
        <v>1470</v>
      </c>
      <c r="F56" s="8" t="s">
        <v>1429</v>
      </c>
      <c r="G56" s="12" t="s">
        <v>1507</v>
      </c>
      <c r="H56" s="17" t="s">
        <v>1364</v>
      </c>
      <c r="I56" s="12"/>
      <c r="J56" s="11">
        <v>8.6694299999999984</v>
      </c>
      <c r="K56" s="17" t="s">
        <v>1415</v>
      </c>
      <c r="L56" s="12"/>
      <c r="M56" s="11">
        <f t="shared" si="2"/>
        <v>2.3751863013698624E-2</v>
      </c>
      <c r="N56" s="17" t="s">
        <v>1415</v>
      </c>
      <c r="O56" s="12"/>
      <c r="P56" s="11">
        <v>0</v>
      </c>
      <c r="Q56" s="17"/>
      <c r="R56" s="12"/>
      <c r="S56" s="11">
        <v>0</v>
      </c>
      <c r="T56" s="17"/>
      <c r="V56" s="112">
        <f t="shared" si="3"/>
        <v>8.6694299999999984</v>
      </c>
      <c r="W56" s="112">
        <f t="shared" si="4"/>
        <v>2.3751863013698624E-2</v>
      </c>
    </row>
    <row r="57" spans="1:23" x14ac:dyDescent="0.25">
      <c r="A57" s="12" t="s">
        <v>1425</v>
      </c>
      <c r="B57" s="11"/>
      <c r="C57" s="8" t="s">
        <v>1427</v>
      </c>
      <c r="D57" s="19"/>
      <c r="E57" s="8" t="s">
        <v>1471</v>
      </c>
      <c r="F57" s="8" t="s">
        <v>1429</v>
      </c>
      <c r="G57" s="12" t="s">
        <v>1507</v>
      </c>
      <c r="H57" s="17" t="s">
        <v>1364</v>
      </c>
      <c r="I57" s="12"/>
      <c r="J57" s="11">
        <v>28.851187499999998</v>
      </c>
      <c r="K57" s="17" t="s">
        <v>1415</v>
      </c>
      <c r="L57" s="12"/>
      <c r="M57" s="11">
        <f t="shared" si="2"/>
        <v>7.9044349315068485E-2</v>
      </c>
      <c r="N57" s="17" t="s">
        <v>1415</v>
      </c>
      <c r="O57" s="12"/>
      <c r="P57" s="11">
        <v>0</v>
      </c>
      <c r="Q57" s="17"/>
      <c r="R57" s="12"/>
      <c r="S57" s="11">
        <v>0</v>
      </c>
      <c r="T57" s="17"/>
      <c r="V57" s="112">
        <f t="shared" si="3"/>
        <v>28.851187499999998</v>
      </c>
      <c r="W57" s="112">
        <f t="shared" si="4"/>
        <v>7.9044349315068485E-2</v>
      </c>
    </row>
    <row r="58" spans="1:23" x14ac:dyDescent="0.25">
      <c r="A58" s="12" t="s">
        <v>1425</v>
      </c>
      <c r="B58" s="11"/>
      <c r="C58" s="8" t="s">
        <v>1427</v>
      </c>
      <c r="D58" s="19"/>
      <c r="E58" s="8" t="s">
        <v>1472</v>
      </c>
      <c r="F58" s="8" t="s">
        <v>1429</v>
      </c>
      <c r="G58" s="12" t="s">
        <v>1507</v>
      </c>
      <c r="H58" s="17" t="s">
        <v>1364</v>
      </c>
      <c r="I58" s="12"/>
      <c r="J58" s="11">
        <v>29.948939999999993</v>
      </c>
      <c r="K58" s="17" t="s">
        <v>1415</v>
      </c>
      <c r="L58" s="12"/>
      <c r="M58" s="11">
        <f t="shared" si="2"/>
        <v>8.205189041095888E-2</v>
      </c>
      <c r="N58" s="17" t="s">
        <v>1415</v>
      </c>
      <c r="O58" s="12"/>
      <c r="P58" s="11">
        <v>0</v>
      </c>
      <c r="Q58" s="17"/>
      <c r="R58" s="12"/>
      <c r="S58" s="11">
        <v>0</v>
      </c>
      <c r="T58" s="17"/>
      <c r="V58" s="112">
        <f t="shared" si="3"/>
        <v>29.948939999999993</v>
      </c>
      <c r="W58" s="112">
        <f t="shared" si="4"/>
        <v>8.205189041095888E-2</v>
      </c>
    </row>
    <row r="59" spans="1:23" x14ac:dyDescent="0.25">
      <c r="A59" s="12" t="s">
        <v>1425</v>
      </c>
      <c r="B59" s="11"/>
      <c r="C59" s="8" t="s">
        <v>1427</v>
      </c>
      <c r="D59" s="19"/>
      <c r="E59" s="8" t="s">
        <v>1473</v>
      </c>
      <c r="F59" s="8" t="s">
        <v>1429</v>
      </c>
      <c r="G59" s="12" t="s">
        <v>1507</v>
      </c>
      <c r="H59" s="17" t="s">
        <v>1364</v>
      </c>
      <c r="I59" s="12"/>
      <c r="J59" s="11">
        <v>12.835259999999998</v>
      </c>
      <c r="K59" s="17" t="s">
        <v>1415</v>
      </c>
      <c r="L59" s="12"/>
      <c r="M59" s="11">
        <f t="shared" si="2"/>
        <v>3.5165095890410954E-2</v>
      </c>
      <c r="N59" s="17" t="s">
        <v>1415</v>
      </c>
      <c r="O59" s="12"/>
      <c r="P59" s="11">
        <v>0</v>
      </c>
      <c r="Q59" s="17"/>
      <c r="R59" s="12"/>
      <c r="S59" s="11">
        <v>0</v>
      </c>
      <c r="T59" s="17"/>
      <c r="V59" s="112">
        <f t="shared" si="3"/>
        <v>12.835259999999998</v>
      </c>
      <c r="W59" s="112">
        <f t="shared" si="4"/>
        <v>3.5165095890410954E-2</v>
      </c>
    </row>
    <row r="60" spans="1:23" x14ac:dyDescent="0.25">
      <c r="A60" s="12" t="s">
        <v>1425</v>
      </c>
      <c r="B60" s="11"/>
      <c r="C60" s="8" t="s">
        <v>1427</v>
      </c>
      <c r="D60" s="19"/>
      <c r="E60" s="8" t="s">
        <v>1474</v>
      </c>
      <c r="F60" s="8" t="s">
        <v>1429</v>
      </c>
      <c r="G60" s="12" t="s">
        <v>1507</v>
      </c>
      <c r="H60" s="17" t="s">
        <v>1364</v>
      </c>
      <c r="I60" s="12"/>
      <c r="J60" s="11">
        <v>66.152254500000012</v>
      </c>
      <c r="K60" s="17" t="s">
        <v>1415</v>
      </c>
      <c r="L60" s="12"/>
      <c r="M60" s="11">
        <f t="shared" si="2"/>
        <v>0.18123905342465757</v>
      </c>
      <c r="N60" s="17" t="s">
        <v>1415</v>
      </c>
      <c r="O60" s="12"/>
      <c r="P60" s="11">
        <v>0</v>
      </c>
      <c r="Q60" s="17"/>
      <c r="R60" s="12"/>
      <c r="S60" s="11">
        <v>0</v>
      </c>
      <c r="T60" s="17"/>
      <c r="V60" s="112">
        <f t="shared" si="3"/>
        <v>66.152254500000012</v>
      </c>
      <c r="W60" s="112">
        <f t="shared" si="4"/>
        <v>0.18123905342465757</v>
      </c>
    </row>
    <row r="61" spans="1:23" x14ac:dyDescent="0.25">
      <c r="A61" s="12" t="s">
        <v>1425</v>
      </c>
      <c r="B61" s="11"/>
      <c r="C61" s="8" t="s">
        <v>1427</v>
      </c>
      <c r="D61" s="19"/>
      <c r="E61" s="8" t="s">
        <v>1475</v>
      </c>
      <c r="F61" s="8" t="s">
        <v>1429</v>
      </c>
      <c r="G61" s="12" t="s">
        <v>1507</v>
      </c>
      <c r="H61" s="17" t="s">
        <v>1364</v>
      </c>
      <c r="I61" s="12"/>
      <c r="J61" s="11">
        <v>3.9922537499999997</v>
      </c>
      <c r="K61" s="17" t="s">
        <v>1415</v>
      </c>
      <c r="L61" s="12"/>
      <c r="M61" s="11">
        <f t="shared" si="2"/>
        <v>1.0937681506849314E-2</v>
      </c>
      <c r="N61" s="17" t="s">
        <v>1415</v>
      </c>
      <c r="O61" s="12"/>
      <c r="P61" s="11">
        <v>0</v>
      </c>
      <c r="Q61" s="17"/>
      <c r="R61" s="12"/>
      <c r="S61" s="11">
        <v>0</v>
      </c>
      <c r="T61" s="17"/>
      <c r="V61" s="112">
        <f t="shared" si="3"/>
        <v>3.9922537499999997</v>
      </c>
      <c r="W61" s="112">
        <f t="shared" si="4"/>
        <v>1.0937681506849314E-2</v>
      </c>
    </row>
    <row r="62" spans="1:23" x14ac:dyDescent="0.25">
      <c r="A62" s="12" t="s">
        <v>1425</v>
      </c>
      <c r="B62" s="11"/>
      <c r="C62" s="8" t="s">
        <v>1427</v>
      </c>
      <c r="D62" s="19"/>
      <c r="E62" s="8" t="s">
        <v>1476</v>
      </c>
      <c r="F62" s="8" t="s">
        <v>1429</v>
      </c>
      <c r="G62" s="12" t="s">
        <v>1507</v>
      </c>
      <c r="H62" s="17" t="s">
        <v>1364</v>
      </c>
      <c r="I62" s="12"/>
      <c r="J62" s="11">
        <v>47.214799458750008</v>
      </c>
      <c r="K62" s="17" t="s">
        <v>1415</v>
      </c>
      <c r="L62" s="12"/>
      <c r="M62" s="11">
        <f t="shared" si="2"/>
        <v>0.12935561495547948</v>
      </c>
      <c r="N62" s="17" t="s">
        <v>1415</v>
      </c>
      <c r="O62" s="12"/>
      <c r="P62" s="11">
        <v>0</v>
      </c>
      <c r="Q62" s="17"/>
      <c r="R62" s="12"/>
      <c r="S62" s="11">
        <v>0</v>
      </c>
      <c r="T62" s="17"/>
      <c r="V62" s="112">
        <f t="shared" si="3"/>
        <v>47.214799458750008</v>
      </c>
      <c r="W62" s="112">
        <f t="shared" si="4"/>
        <v>0.12935561495547948</v>
      </c>
    </row>
    <row r="63" spans="1:23" x14ac:dyDescent="0.25">
      <c r="A63" s="12" t="s">
        <v>1425</v>
      </c>
      <c r="B63" s="11"/>
      <c r="C63" s="8" t="s">
        <v>1427</v>
      </c>
      <c r="D63" s="19"/>
      <c r="E63" s="8" t="s">
        <v>1477</v>
      </c>
      <c r="F63" s="8" t="s">
        <v>1429</v>
      </c>
      <c r="G63" s="12" t="s">
        <v>1507</v>
      </c>
      <c r="H63" s="17" t="s">
        <v>1364</v>
      </c>
      <c r="I63" s="12"/>
      <c r="J63" s="11">
        <v>130.65694200000002</v>
      </c>
      <c r="K63" s="17" t="s">
        <v>1415</v>
      </c>
      <c r="L63" s="12"/>
      <c r="M63" s="11">
        <f t="shared" si="2"/>
        <v>0.3579642246575343</v>
      </c>
      <c r="N63" s="17" t="s">
        <v>1415</v>
      </c>
      <c r="O63" s="12"/>
      <c r="P63" s="11">
        <v>0</v>
      </c>
      <c r="Q63" s="17"/>
      <c r="R63" s="12"/>
      <c r="S63" s="11">
        <v>0</v>
      </c>
      <c r="T63" s="17"/>
      <c r="V63" s="112">
        <f t="shared" si="3"/>
        <v>130.65694200000002</v>
      </c>
      <c r="W63" s="112">
        <f t="shared" si="4"/>
        <v>0.3579642246575343</v>
      </c>
    </row>
    <row r="64" spans="1:23" x14ac:dyDescent="0.25">
      <c r="A64" s="12" t="s">
        <v>1425</v>
      </c>
      <c r="B64" s="11"/>
      <c r="C64" s="8" t="s">
        <v>1427</v>
      </c>
      <c r="D64" s="19"/>
      <c r="E64" s="8" t="s">
        <v>1478</v>
      </c>
      <c r="F64" s="8" t="s">
        <v>1429</v>
      </c>
      <c r="G64" s="12" t="s">
        <v>1507</v>
      </c>
      <c r="H64" s="17" t="s">
        <v>1364</v>
      </c>
      <c r="I64" s="12"/>
      <c r="J64" s="11">
        <v>4.4606500814566354</v>
      </c>
      <c r="K64" s="17" t="s">
        <v>1415</v>
      </c>
      <c r="L64" s="12"/>
      <c r="M64" s="11">
        <f t="shared" si="2"/>
        <v>1.2220959127278453E-2</v>
      </c>
      <c r="N64" s="17" t="s">
        <v>1415</v>
      </c>
      <c r="O64" s="12"/>
      <c r="P64" s="11">
        <v>0</v>
      </c>
      <c r="Q64" s="17"/>
      <c r="R64" s="12"/>
      <c r="S64" s="11">
        <v>0</v>
      </c>
      <c r="T64" s="17"/>
      <c r="V64" s="112">
        <f t="shared" si="3"/>
        <v>4.4606500814566354</v>
      </c>
      <c r="W64" s="112">
        <f t="shared" si="4"/>
        <v>1.2220959127278453E-2</v>
      </c>
    </row>
    <row r="65" spans="1:23" x14ac:dyDescent="0.25">
      <c r="A65" s="12" t="s">
        <v>1425</v>
      </c>
      <c r="B65" s="11"/>
      <c r="C65" s="8" t="s">
        <v>1427</v>
      </c>
      <c r="D65" s="19"/>
      <c r="E65" s="8" t="s">
        <v>1479</v>
      </c>
      <c r="F65" s="8" t="s">
        <v>1429</v>
      </c>
      <c r="G65" s="12" t="s">
        <v>1507</v>
      </c>
      <c r="H65" s="17" t="s">
        <v>1364</v>
      </c>
      <c r="I65" s="12"/>
      <c r="J65" s="11">
        <v>5.5872787500000012</v>
      </c>
      <c r="K65" s="17" t="s">
        <v>1415</v>
      </c>
      <c r="L65" s="12"/>
      <c r="M65" s="11">
        <f t="shared" si="2"/>
        <v>1.5307613013698634E-2</v>
      </c>
      <c r="N65" s="17" t="s">
        <v>1415</v>
      </c>
      <c r="O65" s="12"/>
      <c r="P65" s="11">
        <v>0</v>
      </c>
      <c r="Q65" s="17"/>
      <c r="R65" s="12"/>
      <c r="S65" s="11">
        <v>0</v>
      </c>
      <c r="T65" s="17"/>
      <c r="V65" s="112">
        <f t="shared" si="3"/>
        <v>5.5872787500000012</v>
      </c>
      <c r="W65" s="112">
        <f t="shared" si="4"/>
        <v>1.5307613013698634E-2</v>
      </c>
    </row>
    <row r="66" spans="1:23" x14ac:dyDescent="0.25">
      <c r="A66" s="12" t="s">
        <v>1425</v>
      </c>
      <c r="B66" s="11"/>
      <c r="C66" s="8" t="s">
        <v>1427</v>
      </c>
      <c r="D66" s="19"/>
      <c r="E66" s="8" t="s">
        <v>1480</v>
      </c>
      <c r="F66" s="8" t="s">
        <v>1429</v>
      </c>
      <c r="G66" s="12" t="s">
        <v>1507</v>
      </c>
      <c r="H66" s="17" t="s">
        <v>1364</v>
      </c>
      <c r="I66" s="12"/>
      <c r="J66" s="11">
        <v>6524.0407046135315</v>
      </c>
      <c r="K66" s="17" t="s">
        <v>1415</v>
      </c>
      <c r="L66" s="12"/>
      <c r="M66" s="11">
        <f t="shared" si="2"/>
        <v>17.874084122228851</v>
      </c>
      <c r="N66" s="17" t="s">
        <v>1415</v>
      </c>
      <c r="O66" s="12"/>
      <c r="P66" s="11">
        <v>0</v>
      </c>
      <c r="Q66" s="17"/>
      <c r="R66" s="12"/>
      <c r="S66" s="11">
        <v>0</v>
      </c>
      <c r="T66" s="17"/>
      <c r="V66" s="112">
        <f t="shared" si="3"/>
        <v>6524.0407046135315</v>
      </c>
      <c r="W66" s="112">
        <f t="shared" si="4"/>
        <v>17.874084122228851</v>
      </c>
    </row>
    <row r="67" spans="1:23" x14ac:dyDescent="0.25">
      <c r="A67" s="12" t="s">
        <v>1425</v>
      </c>
      <c r="B67" s="11"/>
      <c r="C67" s="8" t="s">
        <v>1427</v>
      </c>
      <c r="D67" s="19"/>
      <c r="E67" s="8" t="s">
        <v>1481</v>
      </c>
      <c r="F67" s="8" t="s">
        <v>1429</v>
      </c>
      <c r="G67" s="12" t="s">
        <v>1507</v>
      </c>
      <c r="H67" s="17" t="s">
        <v>1364</v>
      </c>
      <c r="I67" s="12"/>
      <c r="J67" s="11">
        <v>9837.2134800000058</v>
      </c>
      <c r="K67" s="17" t="s">
        <v>1415</v>
      </c>
      <c r="L67" s="12"/>
      <c r="M67" s="11">
        <f t="shared" si="2"/>
        <v>26.951269808219195</v>
      </c>
      <c r="N67" s="17" t="s">
        <v>1415</v>
      </c>
      <c r="O67" s="12"/>
      <c r="P67" s="11">
        <v>0</v>
      </c>
      <c r="Q67" s="17"/>
      <c r="R67" s="12"/>
      <c r="S67" s="11">
        <v>0</v>
      </c>
      <c r="T67" s="17"/>
      <c r="V67" s="112">
        <f t="shared" si="3"/>
        <v>9837.2134800000058</v>
      </c>
      <c r="W67" s="112">
        <f t="shared" si="4"/>
        <v>26.951269808219195</v>
      </c>
    </row>
    <row r="68" spans="1:23" x14ac:dyDescent="0.25">
      <c r="A68" s="12" t="s">
        <v>1425</v>
      </c>
      <c r="B68" s="11"/>
      <c r="C68" s="8" t="s">
        <v>1427</v>
      </c>
      <c r="D68" s="19"/>
      <c r="E68" s="8" t="s">
        <v>1482</v>
      </c>
      <c r="F68" s="8" t="s">
        <v>1429</v>
      </c>
      <c r="G68" s="12" t="s">
        <v>1507</v>
      </c>
      <c r="H68" s="17" t="s">
        <v>1364</v>
      </c>
      <c r="I68" s="12"/>
      <c r="J68" s="11">
        <v>13.792275000000005</v>
      </c>
      <c r="K68" s="17" t="s">
        <v>1415</v>
      </c>
      <c r="L68" s="12"/>
      <c r="M68" s="11">
        <f t="shared" si="2"/>
        <v>3.7787054794520561E-2</v>
      </c>
      <c r="N68" s="17" t="s">
        <v>1415</v>
      </c>
      <c r="O68" s="12"/>
      <c r="P68" s="11">
        <v>0</v>
      </c>
      <c r="Q68" s="17"/>
      <c r="R68" s="12"/>
      <c r="S68" s="11">
        <v>0</v>
      </c>
      <c r="T68" s="17"/>
      <c r="V68" s="112">
        <f t="shared" si="3"/>
        <v>13.792275000000005</v>
      </c>
      <c r="W68" s="112">
        <f t="shared" si="4"/>
        <v>3.7787054794520561E-2</v>
      </c>
    </row>
    <row r="69" spans="1:23" x14ac:dyDescent="0.25">
      <c r="A69" s="12" t="s">
        <v>1425</v>
      </c>
      <c r="B69" s="11"/>
      <c r="C69" s="8" t="s">
        <v>1427</v>
      </c>
      <c r="D69" s="19"/>
      <c r="E69" s="8" t="s">
        <v>1483</v>
      </c>
      <c r="F69" s="8" t="s">
        <v>1429</v>
      </c>
      <c r="G69" s="12" t="s">
        <v>1507</v>
      </c>
      <c r="H69" s="17" t="s">
        <v>1364</v>
      </c>
      <c r="I69" s="12"/>
      <c r="J69" s="11">
        <v>11.779728749999999</v>
      </c>
      <c r="K69" s="17" t="s">
        <v>1415</v>
      </c>
      <c r="L69" s="12"/>
      <c r="M69" s="11">
        <f t="shared" si="2"/>
        <v>3.227322945205479E-2</v>
      </c>
      <c r="N69" s="17" t="s">
        <v>1415</v>
      </c>
      <c r="O69" s="12"/>
      <c r="P69" s="11">
        <v>0</v>
      </c>
      <c r="Q69" s="17"/>
      <c r="R69" s="12"/>
      <c r="S69" s="11">
        <v>0</v>
      </c>
      <c r="T69" s="17"/>
      <c r="V69" s="112">
        <f t="shared" si="3"/>
        <v>11.779728749999999</v>
      </c>
      <c r="W69" s="112">
        <f t="shared" si="4"/>
        <v>3.227322945205479E-2</v>
      </c>
    </row>
    <row r="70" spans="1:23" x14ac:dyDescent="0.25">
      <c r="A70" s="12" t="s">
        <v>1425</v>
      </c>
      <c r="B70" s="11"/>
      <c r="C70" s="8" t="s">
        <v>1427</v>
      </c>
      <c r="D70" s="19"/>
      <c r="E70" s="8" t="s">
        <v>1484</v>
      </c>
      <c r="F70" s="8" t="s">
        <v>1429</v>
      </c>
      <c r="G70" s="12" t="s">
        <v>1507</v>
      </c>
      <c r="H70" s="17" t="s">
        <v>1364</v>
      </c>
      <c r="I70" s="12"/>
      <c r="J70" s="11">
        <v>97.598015999999987</v>
      </c>
      <c r="K70" s="17" t="s">
        <v>1415</v>
      </c>
      <c r="L70" s="12"/>
      <c r="M70" s="11">
        <f t="shared" si="2"/>
        <v>0.26739182465753419</v>
      </c>
      <c r="N70" s="17" t="s">
        <v>1415</v>
      </c>
      <c r="O70" s="12"/>
      <c r="P70" s="11">
        <v>0</v>
      </c>
      <c r="Q70" s="17"/>
      <c r="R70" s="12"/>
      <c r="S70" s="11">
        <v>0</v>
      </c>
      <c r="T70" s="17"/>
      <c r="V70" s="112">
        <f t="shared" si="3"/>
        <v>97.598015999999987</v>
      </c>
      <c r="W70" s="112">
        <f t="shared" si="4"/>
        <v>0.26739182465753419</v>
      </c>
    </row>
    <row r="71" spans="1:23" x14ac:dyDescent="0.25">
      <c r="A71" s="12" t="s">
        <v>1425</v>
      </c>
      <c r="B71" s="11"/>
      <c r="C71" s="8" t="s">
        <v>1427</v>
      </c>
      <c r="D71" s="19"/>
      <c r="E71" s="8" t="s">
        <v>1485</v>
      </c>
      <c r="F71" s="8" t="s">
        <v>1429</v>
      </c>
      <c r="G71" s="12" t="s">
        <v>1507</v>
      </c>
      <c r="H71" s="17" t="s">
        <v>1364</v>
      </c>
      <c r="I71" s="12"/>
      <c r="J71" s="11">
        <v>15.586959599999995</v>
      </c>
      <c r="K71" s="17" t="s">
        <v>1415</v>
      </c>
      <c r="L71" s="12"/>
      <c r="M71" s="11">
        <f t="shared" si="2"/>
        <v>4.2703998904109572E-2</v>
      </c>
      <c r="N71" s="17" t="s">
        <v>1415</v>
      </c>
      <c r="O71" s="12"/>
      <c r="P71" s="11">
        <v>0</v>
      </c>
      <c r="Q71" s="17"/>
      <c r="R71" s="12"/>
      <c r="S71" s="11">
        <v>0</v>
      </c>
      <c r="T71" s="17"/>
      <c r="V71" s="112">
        <f t="shared" si="3"/>
        <v>15.586959599999995</v>
      </c>
      <c r="W71" s="112">
        <f t="shared" si="4"/>
        <v>4.2703998904109572E-2</v>
      </c>
    </row>
    <row r="72" spans="1:23" x14ac:dyDescent="0.25">
      <c r="A72" s="12" t="s">
        <v>1425</v>
      </c>
      <c r="B72" s="11"/>
      <c r="C72" s="8" t="s">
        <v>1427</v>
      </c>
      <c r="D72" s="19"/>
      <c r="E72" s="8" t="s">
        <v>1486</v>
      </c>
      <c r="F72" s="8" t="s">
        <v>1429</v>
      </c>
      <c r="G72" s="12" t="s">
        <v>1507</v>
      </c>
      <c r="H72" s="17" t="s">
        <v>1364</v>
      </c>
      <c r="I72" s="12"/>
      <c r="J72" s="11">
        <v>18.577349999999996</v>
      </c>
      <c r="K72" s="17" t="s">
        <v>1415</v>
      </c>
      <c r="L72" s="12"/>
      <c r="M72" s="11">
        <f t="shared" si="2"/>
        <v>5.0896849315068479E-2</v>
      </c>
      <c r="N72" s="17" t="s">
        <v>1415</v>
      </c>
      <c r="O72" s="12"/>
      <c r="P72" s="11">
        <v>0</v>
      </c>
      <c r="Q72" s="17"/>
      <c r="R72" s="12"/>
      <c r="S72" s="11">
        <v>0</v>
      </c>
      <c r="T72" s="17"/>
      <c r="V72" s="112">
        <f t="shared" si="3"/>
        <v>18.577349999999996</v>
      </c>
      <c r="W72" s="112">
        <f t="shared" si="4"/>
        <v>5.0896849315068479E-2</v>
      </c>
    </row>
    <row r="73" spans="1:23" x14ac:dyDescent="0.25">
      <c r="A73" s="12" t="s">
        <v>1425</v>
      </c>
      <c r="B73" s="11"/>
      <c r="C73" s="8" t="s">
        <v>1427</v>
      </c>
      <c r="D73" s="19"/>
      <c r="E73" s="8" t="s">
        <v>1487</v>
      </c>
      <c r="F73" s="8" t="s">
        <v>1429</v>
      </c>
      <c r="G73" s="12" t="s">
        <v>1507</v>
      </c>
      <c r="H73" s="17" t="s">
        <v>1364</v>
      </c>
      <c r="I73" s="12"/>
      <c r="J73" s="11">
        <v>3.3312304478250008</v>
      </c>
      <c r="K73" s="17" t="s">
        <v>1415</v>
      </c>
      <c r="L73" s="12"/>
      <c r="M73" s="11">
        <f t="shared" si="2"/>
        <v>9.1266587611643843E-3</v>
      </c>
      <c r="N73" s="17" t="s">
        <v>1415</v>
      </c>
      <c r="O73" s="12"/>
      <c r="P73" s="11">
        <v>0</v>
      </c>
      <c r="Q73" s="17"/>
      <c r="R73" s="12"/>
      <c r="S73" s="11">
        <v>0</v>
      </c>
      <c r="T73" s="17"/>
      <c r="V73" s="112">
        <f t="shared" ref="V73:V104" si="5">J73-P73</f>
        <v>3.3312304478250008</v>
      </c>
      <c r="W73" s="112">
        <f t="shared" ref="W73:W104" si="6">$M73-$S73</f>
        <v>9.1266587611643843E-3</v>
      </c>
    </row>
    <row r="74" spans="1:23" x14ac:dyDescent="0.25">
      <c r="A74" s="12" t="s">
        <v>1425</v>
      </c>
      <c r="B74" s="11"/>
      <c r="C74" s="8" t="s">
        <v>1427</v>
      </c>
      <c r="D74" s="19"/>
      <c r="E74" s="8" t="s">
        <v>1488</v>
      </c>
      <c r="F74" s="8" t="s">
        <v>1429</v>
      </c>
      <c r="G74" s="12" t="s">
        <v>1507</v>
      </c>
      <c r="H74" s="17" t="s">
        <v>1364</v>
      </c>
      <c r="I74" s="12"/>
      <c r="J74" s="11">
        <v>3.4700317164843755</v>
      </c>
      <c r="K74" s="17" t="s">
        <v>1415</v>
      </c>
      <c r="L74" s="12"/>
      <c r="M74" s="11">
        <f t="shared" si="2"/>
        <v>9.5069362095462351E-3</v>
      </c>
      <c r="N74" s="17" t="s">
        <v>1415</v>
      </c>
      <c r="O74" s="12"/>
      <c r="P74" s="11">
        <v>0</v>
      </c>
      <c r="Q74" s="17"/>
      <c r="R74" s="12"/>
      <c r="S74" s="11">
        <v>0</v>
      </c>
      <c r="T74" s="17"/>
      <c r="V74" s="112">
        <f t="shared" si="5"/>
        <v>3.4700317164843755</v>
      </c>
      <c r="W74" s="112">
        <f t="shared" si="6"/>
        <v>9.5069362095462351E-3</v>
      </c>
    </row>
    <row r="75" spans="1:23" x14ac:dyDescent="0.25">
      <c r="A75" s="12" t="s">
        <v>1425</v>
      </c>
      <c r="B75" s="11"/>
      <c r="C75" s="8" t="s">
        <v>1427</v>
      </c>
      <c r="D75" s="19"/>
      <c r="E75" s="8" t="s">
        <v>1489</v>
      </c>
      <c r="F75" s="8" t="s">
        <v>1429</v>
      </c>
      <c r="G75" s="12" t="s">
        <v>1507</v>
      </c>
      <c r="H75" s="17" t="s">
        <v>1364</v>
      </c>
      <c r="I75" s="12"/>
      <c r="J75" s="11">
        <v>5.5256124094874997</v>
      </c>
      <c r="K75" s="17" t="s">
        <v>1415</v>
      </c>
      <c r="L75" s="12"/>
      <c r="M75" s="11">
        <f t="shared" si="2"/>
        <v>1.5138664135582191E-2</v>
      </c>
      <c r="N75" s="17" t="s">
        <v>1415</v>
      </c>
      <c r="O75" s="12"/>
      <c r="P75" s="11">
        <v>0</v>
      </c>
      <c r="Q75" s="17"/>
      <c r="R75" s="12"/>
      <c r="S75" s="11">
        <v>0</v>
      </c>
      <c r="T75" s="17"/>
      <c r="V75" s="112">
        <f t="shared" si="5"/>
        <v>5.5256124094874997</v>
      </c>
      <c r="W75" s="112">
        <f t="shared" si="6"/>
        <v>1.5138664135582191E-2</v>
      </c>
    </row>
    <row r="76" spans="1:23" x14ac:dyDescent="0.25">
      <c r="A76" s="12" t="s">
        <v>1425</v>
      </c>
      <c r="B76" s="11"/>
      <c r="C76" s="8" t="s">
        <v>1427</v>
      </c>
      <c r="D76" s="19"/>
      <c r="E76" s="8" t="s">
        <v>1490</v>
      </c>
      <c r="F76" s="8" t="s">
        <v>1429</v>
      </c>
      <c r="G76" s="12" t="s">
        <v>1507</v>
      </c>
      <c r="H76" s="17" t="s">
        <v>1364</v>
      </c>
      <c r="I76" s="12"/>
      <c r="J76" s="11">
        <v>3.0523618125</v>
      </c>
      <c r="K76" s="17" t="s">
        <v>1415</v>
      </c>
      <c r="L76" s="12"/>
      <c r="M76" s="11">
        <f t="shared" si="2"/>
        <v>8.3626351027397267E-3</v>
      </c>
      <c r="N76" s="17" t="s">
        <v>1415</v>
      </c>
      <c r="O76" s="12"/>
      <c r="P76" s="11">
        <v>0</v>
      </c>
      <c r="Q76" s="17"/>
      <c r="R76" s="12"/>
      <c r="S76" s="11">
        <v>0</v>
      </c>
      <c r="T76" s="17"/>
      <c r="V76" s="112">
        <f t="shared" si="5"/>
        <v>3.0523618125</v>
      </c>
      <c r="W76" s="112">
        <f t="shared" si="6"/>
        <v>8.3626351027397267E-3</v>
      </c>
    </row>
    <row r="77" spans="1:23" x14ac:dyDescent="0.25">
      <c r="A77" s="12" t="s">
        <v>1425</v>
      </c>
      <c r="B77" s="11"/>
      <c r="C77" s="8" t="s">
        <v>1427</v>
      </c>
      <c r="D77" s="19"/>
      <c r="E77" s="8" t="s">
        <v>1491</v>
      </c>
      <c r="F77" s="8" t="s">
        <v>1429</v>
      </c>
      <c r="G77" s="12" t="s">
        <v>1507</v>
      </c>
      <c r="H77" s="17" t="s">
        <v>1364</v>
      </c>
      <c r="I77" s="12"/>
      <c r="J77" s="11">
        <v>1.7201249999999999</v>
      </c>
      <c r="K77" s="17" t="s">
        <v>1415</v>
      </c>
      <c r="L77" s="12"/>
      <c r="M77" s="11">
        <f t="shared" si="2"/>
        <v>4.7126712328767117E-3</v>
      </c>
      <c r="N77" s="17" t="s">
        <v>1415</v>
      </c>
      <c r="O77" s="12"/>
      <c r="P77" s="11">
        <v>0</v>
      </c>
      <c r="Q77" s="17"/>
      <c r="R77" s="12"/>
      <c r="S77" s="11">
        <v>0</v>
      </c>
      <c r="T77" s="17"/>
      <c r="V77" s="112">
        <f t="shared" si="5"/>
        <v>1.7201249999999999</v>
      </c>
      <c r="W77" s="112">
        <f t="shared" si="6"/>
        <v>4.7126712328767117E-3</v>
      </c>
    </row>
    <row r="78" spans="1:23" x14ac:dyDescent="0.25">
      <c r="A78" s="12" t="s">
        <v>1425</v>
      </c>
      <c r="B78" s="11"/>
      <c r="C78" s="8" t="s">
        <v>1427</v>
      </c>
      <c r="D78" s="19"/>
      <c r="E78" s="8" t="s">
        <v>1492</v>
      </c>
      <c r="F78" s="8" t="s">
        <v>1429</v>
      </c>
      <c r="G78" s="12" t="s">
        <v>1507</v>
      </c>
      <c r="H78" s="17" t="s">
        <v>1364</v>
      </c>
      <c r="I78" s="12"/>
      <c r="J78" s="11">
        <v>3.0936448125000005</v>
      </c>
      <c r="K78" s="17" t="s">
        <v>1415</v>
      </c>
      <c r="L78" s="12"/>
      <c r="M78" s="11">
        <f t="shared" si="2"/>
        <v>8.4757392123287686E-3</v>
      </c>
      <c r="N78" s="17" t="s">
        <v>1415</v>
      </c>
      <c r="O78" s="12"/>
      <c r="P78" s="11">
        <v>0</v>
      </c>
      <c r="Q78" s="17"/>
      <c r="R78" s="12"/>
      <c r="S78" s="11">
        <v>0</v>
      </c>
      <c r="T78" s="17"/>
      <c r="V78" s="112">
        <f t="shared" si="5"/>
        <v>3.0936448125000005</v>
      </c>
      <c r="W78" s="112">
        <f t="shared" si="6"/>
        <v>8.4757392123287686E-3</v>
      </c>
    </row>
    <row r="79" spans="1:23" x14ac:dyDescent="0.25">
      <c r="A79" s="12" t="s">
        <v>1425</v>
      </c>
      <c r="B79" s="11"/>
      <c r="C79" s="8" t="s">
        <v>1427</v>
      </c>
      <c r="D79" s="19"/>
      <c r="E79" s="8" t="s">
        <v>1493</v>
      </c>
      <c r="F79" s="8" t="s">
        <v>1429</v>
      </c>
      <c r="G79" s="12" t="s">
        <v>1507</v>
      </c>
      <c r="H79" s="17" t="s">
        <v>1364</v>
      </c>
      <c r="I79" s="12"/>
      <c r="J79" s="11">
        <v>2.9070112499999996</v>
      </c>
      <c r="K79" s="17" t="s">
        <v>1415</v>
      </c>
      <c r="L79" s="12"/>
      <c r="M79" s="11">
        <f t="shared" si="2"/>
        <v>7.9644143835616438E-3</v>
      </c>
      <c r="N79" s="17" t="s">
        <v>1415</v>
      </c>
      <c r="O79" s="12"/>
      <c r="P79" s="11">
        <v>0</v>
      </c>
      <c r="Q79" s="17"/>
      <c r="R79" s="12"/>
      <c r="S79" s="11">
        <v>0</v>
      </c>
      <c r="T79" s="17"/>
      <c r="V79" s="112">
        <f t="shared" si="5"/>
        <v>2.9070112499999996</v>
      </c>
      <c r="W79" s="112">
        <f t="shared" si="6"/>
        <v>7.9644143835616438E-3</v>
      </c>
    </row>
    <row r="80" spans="1:23" x14ac:dyDescent="0.25">
      <c r="A80" s="12" t="s">
        <v>1425</v>
      </c>
      <c r="B80" s="11"/>
      <c r="C80" s="8" t="s">
        <v>1427</v>
      </c>
      <c r="D80" s="19"/>
      <c r="E80" s="8" t="s">
        <v>1494</v>
      </c>
      <c r="F80" s="8" t="s">
        <v>1429</v>
      </c>
      <c r="G80" s="12" t="s">
        <v>1507</v>
      </c>
      <c r="H80" s="17" t="s">
        <v>1364</v>
      </c>
      <c r="I80" s="12"/>
      <c r="J80" s="11">
        <v>1.3477961249999997</v>
      </c>
      <c r="K80" s="17" t="s">
        <v>1415</v>
      </c>
      <c r="L80" s="12"/>
      <c r="M80" s="11">
        <f t="shared" ref="M80:M91" si="7">J80/8760*24</f>
        <v>3.6925921232876702E-3</v>
      </c>
      <c r="N80" s="17" t="s">
        <v>1415</v>
      </c>
      <c r="O80" s="12"/>
      <c r="P80" s="11">
        <v>0</v>
      </c>
      <c r="Q80" s="17"/>
      <c r="R80" s="12"/>
      <c r="S80" s="11">
        <v>0</v>
      </c>
      <c r="T80" s="17"/>
      <c r="V80" s="112">
        <f t="shared" si="5"/>
        <v>1.3477961249999997</v>
      </c>
      <c r="W80" s="112">
        <f t="shared" si="6"/>
        <v>3.6925921232876702E-3</v>
      </c>
    </row>
    <row r="81" spans="1:23" x14ac:dyDescent="0.25">
      <c r="A81" s="12" t="s">
        <v>1425</v>
      </c>
      <c r="B81" s="11"/>
      <c r="C81" s="8" t="s">
        <v>1427</v>
      </c>
      <c r="D81" s="19"/>
      <c r="E81" s="8" t="s">
        <v>1495</v>
      </c>
      <c r="F81" s="8" t="s">
        <v>1429</v>
      </c>
      <c r="G81" s="12" t="s">
        <v>1507</v>
      </c>
      <c r="H81" s="17" t="s">
        <v>1364</v>
      </c>
      <c r="I81" s="12"/>
      <c r="J81" s="11">
        <v>1.8726407959534965</v>
      </c>
      <c r="K81" s="17" t="s">
        <v>1415</v>
      </c>
      <c r="L81" s="12"/>
      <c r="M81" s="11">
        <f t="shared" si="7"/>
        <v>5.1305227286397165E-3</v>
      </c>
      <c r="N81" s="17" t="s">
        <v>1415</v>
      </c>
      <c r="O81" s="12"/>
      <c r="P81" s="11">
        <v>0</v>
      </c>
      <c r="Q81" s="17"/>
      <c r="R81" s="12"/>
      <c r="S81" s="11">
        <v>0</v>
      </c>
      <c r="T81" s="17"/>
      <c r="V81" s="112">
        <f t="shared" si="5"/>
        <v>1.8726407959534965</v>
      </c>
      <c r="W81" s="112">
        <f t="shared" si="6"/>
        <v>5.1305227286397165E-3</v>
      </c>
    </row>
    <row r="82" spans="1:23" x14ac:dyDescent="0.25">
      <c r="A82" s="12" t="s">
        <v>1425</v>
      </c>
      <c r="B82" s="11"/>
      <c r="C82" s="8" t="s">
        <v>1427</v>
      </c>
      <c r="D82" s="19"/>
      <c r="E82" s="8" t="s">
        <v>1496</v>
      </c>
      <c r="F82" s="8" t="s">
        <v>1429</v>
      </c>
      <c r="G82" s="12" t="s">
        <v>1507</v>
      </c>
      <c r="H82" s="17" t="s">
        <v>1364</v>
      </c>
      <c r="I82" s="12"/>
      <c r="J82" s="11">
        <v>3.8473036224567578</v>
      </c>
      <c r="K82" s="17" t="s">
        <v>1415</v>
      </c>
      <c r="L82" s="12"/>
      <c r="M82" s="11">
        <f t="shared" si="7"/>
        <v>1.0540557869744543E-2</v>
      </c>
      <c r="N82" s="17" t="s">
        <v>1415</v>
      </c>
      <c r="O82" s="12"/>
      <c r="P82" s="11">
        <v>0</v>
      </c>
      <c r="Q82" s="17"/>
      <c r="R82" s="12"/>
      <c r="S82" s="11">
        <v>0</v>
      </c>
      <c r="T82" s="17"/>
      <c r="V82" s="112">
        <f t="shared" si="5"/>
        <v>3.8473036224567578</v>
      </c>
      <c r="W82" s="112">
        <f t="shared" si="6"/>
        <v>1.0540557869744543E-2</v>
      </c>
    </row>
    <row r="83" spans="1:23" x14ac:dyDescent="0.25">
      <c r="A83" s="12" t="s">
        <v>1425</v>
      </c>
      <c r="B83" s="11"/>
      <c r="C83" s="8" t="s">
        <v>1427</v>
      </c>
      <c r="D83" s="19"/>
      <c r="E83" s="8" t="s">
        <v>1497</v>
      </c>
      <c r="F83" s="8" t="s">
        <v>1429</v>
      </c>
      <c r="G83" s="12" t="s">
        <v>1507</v>
      </c>
      <c r="H83" s="17" t="s">
        <v>1364</v>
      </c>
      <c r="I83" s="12"/>
      <c r="J83" s="11">
        <v>0.29082170576249999</v>
      </c>
      <c r="K83" s="17" t="s">
        <v>1415</v>
      </c>
      <c r="L83" s="12"/>
      <c r="M83" s="11">
        <f t="shared" si="7"/>
        <v>7.9677179660958899E-4</v>
      </c>
      <c r="N83" s="17" t="s">
        <v>1415</v>
      </c>
      <c r="O83" s="12"/>
      <c r="P83" s="11">
        <v>0</v>
      </c>
      <c r="Q83" s="17"/>
      <c r="R83" s="12"/>
      <c r="S83" s="11">
        <v>0</v>
      </c>
      <c r="T83" s="17"/>
      <c r="V83" s="112">
        <f t="shared" si="5"/>
        <v>0.29082170576249999</v>
      </c>
      <c r="W83" s="112">
        <f t="shared" si="6"/>
        <v>7.9677179660958899E-4</v>
      </c>
    </row>
    <row r="84" spans="1:23" x14ac:dyDescent="0.25">
      <c r="A84" s="12" t="s">
        <v>1425</v>
      </c>
      <c r="B84" s="11"/>
      <c r="C84" s="8" t="s">
        <v>1427</v>
      </c>
      <c r="D84" s="19"/>
      <c r="E84" s="8" t="s">
        <v>1498</v>
      </c>
      <c r="F84" s="8" t="s">
        <v>1429</v>
      </c>
      <c r="G84" s="12" t="s">
        <v>1507</v>
      </c>
      <c r="H84" s="17" t="s">
        <v>1364</v>
      </c>
      <c r="I84" s="12"/>
      <c r="J84" s="11">
        <v>2.3265736460999999</v>
      </c>
      <c r="K84" s="17" t="s">
        <v>1415</v>
      </c>
      <c r="L84" s="12"/>
      <c r="M84" s="11">
        <f t="shared" si="7"/>
        <v>6.374174372876712E-3</v>
      </c>
      <c r="N84" s="17" t="s">
        <v>1415</v>
      </c>
      <c r="O84" s="12"/>
      <c r="P84" s="11">
        <v>0</v>
      </c>
      <c r="Q84" s="17"/>
      <c r="R84" s="12"/>
      <c r="S84" s="11">
        <v>0</v>
      </c>
      <c r="T84" s="17"/>
      <c r="V84" s="112">
        <f t="shared" si="5"/>
        <v>2.3265736460999999</v>
      </c>
      <c r="W84" s="112">
        <f t="shared" si="6"/>
        <v>6.374174372876712E-3</v>
      </c>
    </row>
    <row r="85" spans="1:23" x14ac:dyDescent="0.25">
      <c r="A85" s="12" t="s">
        <v>1425</v>
      </c>
      <c r="B85" s="11"/>
      <c r="C85" s="8" t="s">
        <v>1427</v>
      </c>
      <c r="D85" s="19"/>
      <c r="E85" s="8" t="s">
        <v>1499</v>
      </c>
      <c r="F85" s="8" t="s">
        <v>1429</v>
      </c>
      <c r="G85" s="12" t="s">
        <v>1507</v>
      </c>
      <c r="H85" s="17" t="s">
        <v>1364</v>
      </c>
      <c r="I85" s="12"/>
      <c r="J85" s="11">
        <v>3051.9396000000002</v>
      </c>
      <c r="K85" s="17" t="s">
        <v>1415</v>
      </c>
      <c r="L85" s="12"/>
      <c r="M85" s="11">
        <f t="shared" si="7"/>
        <v>8.3614783561643851</v>
      </c>
      <c r="N85" s="17" t="s">
        <v>1415</v>
      </c>
      <c r="O85" s="12"/>
      <c r="P85" s="11">
        <v>0</v>
      </c>
      <c r="Q85" s="17"/>
      <c r="R85" s="12"/>
      <c r="S85" s="11">
        <v>0</v>
      </c>
      <c r="T85" s="17"/>
      <c r="V85" s="112">
        <f t="shared" si="5"/>
        <v>3051.9396000000002</v>
      </c>
      <c r="W85" s="112">
        <f t="shared" si="6"/>
        <v>8.3614783561643851</v>
      </c>
    </row>
    <row r="86" spans="1:23" x14ac:dyDescent="0.25">
      <c r="A86" s="12" t="s">
        <v>1425</v>
      </c>
      <c r="B86" s="11"/>
      <c r="C86" s="8" t="s">
        <v>1427</v>
      </c>
      <c r="D86" s="19"/>
      <c r="E86" s="8" t="s">
        <v>1500</v>
      </c>
      <c r="F86" s="8" t="s">
        <v>1429</v>
      </c>
      <c r="G86" s="12" t="s">
        <v>1507</v>
      </c>
      <c r="H86" s="17" t="s">
        <v>1364</v>
      </c>
      <c r="I86" s="12"/>
      <c r="J86" s="11">
        <v>4.3347149999999992</v>
      </c>
      <c r="K86" s="17" t="s">
        <v>1415</v>
      </c>
      <c r="L86" s="12"/>
      <c r="M86" s="11">
        <f t="shared" si="7"/>
        <v>1.1875931506849312E-2</v>
      </c>
      <c r="N86" s="17" t="s">
        <v>1415</v>
      </c>
      <c r="O86" s="12"/>
      <c r="P86" s="11">
        <v>0</v>
      </c>
      <c r="Q86" s="17"/>
      <c r="R86" s="12"/>
      <c r="S86" s="11">
        <v>0</v>
      </c>
      <c r="T86" s="17"/>
      <c r="V86" s="112">
        <f t="shared" si="5"/>
        <v>4.3347149999999992</v>
      </c>
      <c r="W86" s="112">
        <f t="shared" si="6"/>
        <v>1.1875931506849312E-2</v>
      </c>
    </row>
    <row r="87" spans="1:23" x14ac:dyDescent="0.25">
      <c r="A87" s="12" t="s">
        <v>1425</v>
      </c>
      <c r="B87" s="11"/>
      <c r="C87" s="8" t="s">
        <v>1427</v>
      </c>
      <c r="D87" s="19"/>
      <c r="E87" s="8" t="s">
        <v>1501</v>
      </c>
      <c r="F87" s="8" t="s">
        <v>1429</v>
      </c>
      <c r="G87" s="12" t="s">
        <v>1507</v>
      </c>
      <c r="H87" s="17" t="s">
        <v>1364</v>
      </c>
      <c r="I87" s="12"/>
      <c r="J87" s="11">
        <v>16.888499999999997</v>
      </c>
      <c r="K87" s="17" t="s">
        <v>1415</v>
      </c>
      <c r="L87" s="12"/>
      <c r="M87" s="11">
        <f t="shared" si="7"/>
        <v>4.626986301369862E-2</v>
      </c>
      <c r="N87" s="17" t="s">
        <v>1415</v>
      </c>
      <c r="O87" s="12"/>
      <c r="P87" s="11">
        <v>0</v>
      </c>
      <c r="Q87" s="17"/>
      <c r="R87" s="12"/>
      <c r="S87" s="11">
        <v>0</v>
      </c>
      <c r="T87" s="17"/>
      <c r="V87" s="112">
        <f t="shared" si="5"/>
        <v>16.888499999999997</v>
      </c>
      <c r="W87" s="112">
        <f t="shared" si="6"/>
        <v>4.626986301369862E-2</v>
      </c>
    </row>
    <row r="88" spans="1:23" x14ac:dyDescent="0.25">
      <c r="A88" s="12" t="s">
        <v>1425</v>
      </c>
      <c r="B88" s="11"/>
      <c r="C88" s="8" t="s">
        <v>1427</v>
      </c>
      <c r="D88" s="19"/>
      <c r="E88" s="8" t="s">
        <v>1502</v>
      </c>
      <c r="F88" s="8" t="s">
        <v>1429</v>
      </c>
      <c r="G88" s="12" t="s">
        <v>1507</v>
      </c>
      <c r="H88" s="17" t="s">
        <v>1364</v>
      </c>
      <c r="I88" s="12"/>
      <c r="J88" s="11">
        <v>1.760063175</v>
      </c>
      <c r="K88" s="17" t="s">
        <v>1415</v>
      </c>
      <c r="L88" s="12"/>
      <c r="M88" s="11">
        <f t="shared" si="7"/>
        <v>4.8220908904109587E-3</v>
      </c>
      <c r="N88" s="17" t="s">
        <v>1415</v>
      </c>
      <c r="O88" s="12"/>
      <c r="P88" s="11">
        <v>0</v>
      </c>
      <c r="Q88" s="17"/>
      <c r="R88" s="12"/>
      <c r="S88" s="11">
        <v>0</v>
      </c>
      <c r="T88" s="17"/>
      <c r="V88" s="112">
        <f t="shared" si="5"/>
        <v>1.760063175</v>
      </c>
      <c r="W88" s="112">
        <f t="shared" si="6"/>
        <v>4.8220908904109587E-3</v>
      </c>
    </row>
    <row r="89" spans="1:23" x14ac:dyDescent="0.25">
      <c r="A89" s="12" t="s">
        <v>1425</v>
      </c>
      <c r="B89" s="11"/>
      <c r="C89" s="8" t="s">
        <v>1427</v>
      </c>
      <c r="D89" s="19"/>
      <c r="E89" s="8" t="s">
        <v>1503</v>
      </c>
      <c r="F89" s="8" t="s">
        <v>1429</v>
      </c>
      <c r="G89" s="12" t="s">
        <v>1507</v>
      </c>
      <c r="H89" s="17" t="s">
        <v>1364</v>
      </c>
      <c r="I89" s="12"/>
      <c r="J89" s="11">
        <v>14.07375</v>
      </c>
      <c r="K89" s="17" t="s">
        <v>1415</v>
      </c>
      <c r="L89" s="12"/>
      <c r="M89" s="11">
        <f t="shared" si="7"/>
        <v>3.8558219178082193E-2</v>
      </c>
      <c r="N89" s="17" t="s">
        <v>1415</v>
      </c>
      <c r="O89" s="12"/>
      <c r="P89" s="11">
        <v>0</v>
      </c>
      <c r="Q89" s="17"/>
      <c r="R89" s="12"/>
      <c r="S89" s="11">
        <v>0</v>
      </c>
      <c r="T89" s="17"/>
      <c r="V89" s="112">
        <f t="shared" si="5"/>
        <v>14.07375</v>
      </c>
      <c r="W89" s="112">
        <f t="shared" si="6"/>
        <v>3.8558219178082193E-2</v>
      </c>
    </row>
    <row r="90" spans="1:23" x14ac:dyDescent="0.25">
      <c r="A90" s="12" t="s">
        <v>1425</v>
      </c>
      <c r="B90" s="11"/>
      <c r="C90" s="8" t="s">
        <v>1427</v>
      </c>
      <c r="D90" s="19"/>
      <c r="E90" s="8" t="s">
        <v>1504</v>
      </c>
      <c r="F90" s="8" t="s">
        <v>1429</v>
      </c>
      <c r="G90" s="12" t="s">
        <v>1507</v>
      </c>
      <c r="H90" s="17" t="s">
        <v>1364</v>
      </c>
      <c r="I90" s="12"/>
      <c r="J90" s="11">
        <v>44.641935000000004</v>
      </c>
      <c r="K90" s="17" t="s">
        <v>1415</v>
      </c>
      <c r="L90" s="12"/>
      <c r="M90" s="11">
        <f t="shared" si="7"/>
        <v>0.12230667123287672</v>
      </c>
      <c r="N90" s="17" t="s">
        <v>1415</v>
      </c>
      <c r="O90" s="12"/>
      <c r="P90" s="11">
        <v>0</v>
      </c>
      <c r="Q90" s="17"/>
      <c r="R90" s="12"/>
      <c r="S90" s="11">
        <v>0</v>
      </c>
      <c r="T90" s="17"/>
      <c r="V90" s="112">
        <f t="shared" si="5"/>
        <v>44.641935000000004</v>
      </c>
      <c r="W90" s="112">
        <f t="shared" si="6"/>
        <v>0.12230667123287672</v>
      </c>
    </row>
    <row r="91" spans="1:23" x14ac:dyDescent="0.25">
      <c r="A91" s="12" t="s">
        <v>1425</v>
      </c>
      <c r="B91" s="11"/>
      <c r="C91" s="8" t="s">
        <v>1427</v>
      </c>
      <c r="D91" s="19"/>
      <c r="E91" s="8" t="s">
        <v>1505</v>
      </c>
      <c r="F91" s="8" t="s">
        <v>1429</v>
      </c>
      <c r="G91" s="12" t="s">
        <v>1507</v>
      </c>
      <c r="H91" s="17" t="s">
        <v>1364</v>
      </c>
      <c r="I91" s="12"/>
      <c r="J91" s="11">
        <v>5.7069056250000001</v>
      </c>
      <c r="K91" s="17" t="s">
        <v>1415</v>
      </c>
      <c r="L91" s="12"/>
      <c r="M91" s="11">
        <f t="shared" si="7"/>
        <v>1.563535787671233E-2</v>
      </c>
      <c r="N91" s="17" t="s">
        <v>1415</v>
      </c>
      <c r="O91" s="12"/>
      <c r="P91" s="11">
        <v>0</v>
      </c>
      <c r="Q91" s="17"/>
      <c r="R91" s="12"/>
      <c r="S91" s="11">
        <v>0</v>
      </c>
      <c r="T91" s="17"/>
      <c r="V91" s="112">
        <f t="shared" si="5"/>
        <v>5.7069056250000001</v>
      </c>
      <c r="W91" s="112">
        <f t="shared" si="6"/>
        <v>1.563535787671233E-2</v>
      </c>
    </row>
    <row r="92" spans="1:23" x14ac:dyDescent="0.25">
      <c r="A92" s="12"/>
      <c r="B92" s="11"/>
      <c r="C92" s="8"/>
      <c r="D92" s="19"/>
      <c r="E92" s="8"/>
      <c r="F92" s="8"/>
      <c r="G92" s="12"/>
      <c r="H92" s="17"/>
      <c r="I92" s="12"/>
      <c r="J92" s="11"/>
      <c r="K92" s="17"/>
      <c r="L92" s="12"/>
      <c r="M92" s="11"/>
      <c r="N92" s="17"/>
      <c r="O92" s="12"/>
      <c r="P92" s="11"/>
      <c r="Q92" s="17"/>
      <c r="R92" s="12"/>
      <c r="S92" s="11"/>
      <c r="T92" s="17"/>
      <c r="V92" s="112">
        <f t="shared" si="5"/>
        <v>0</v>
      </c>
      <c r="W92" s="112">
        <f t="shared" si="6"/>
        <v>0</v>
      </c>
    </row>
    <row r="93" spans="1:23" x14ac:dyDescent="0.25">
      <c r="A93" s="12" t="s">
        <v>1510</v>
      </c>
      <c r="B93" s="11"/>
      <c r="C93" s="8" t="s">
        <v>1428</v>
      </c>
      <c r="D93" s="19"/>
      <c r="E93" s="8" t="s">
        <v>1506</v>
      </c>
      <c r="F93" s="8"/>
      <c r="G93" s="12" t="s">
        <v>1507</v>
      </c>
      <c r="H93" s="17" t="s">
        <v>1364</v>
      </c>
      <c r="I93" s="12"/>
      <c r="J93" s="11">
        <v>10583</v>
      </c>
      <c r="K93" s="17" t="s">
        <v>1415</v>
      </c>
      <c r="L93" s="12"/>
      <c r="M93" s="11">
        <f t="shared" ref="M93" si="8">J93/8760*24</f>
        <v>28.994520547945204</v>
      </c>
      <c r="N93" s="17" t="s">
        <v>1415</v>
      </c>
      <c r="O93" s="12"/>
      <c r="P93" s="11">
        <v>0</v>
      </c>
      <c r="Q93" s="17"/>
      <c r="R93" s="12"/>
      <c r="S93" s="11">
        <v>0</v>
      </c>
      <c r="T93" s="17"/>
      <c r="V93" s="112">
        <f t="shared" si="5"/>
        <v>10583</v>
      </c>
      <c r="W93" s="112">
        <f t="shared" si="6"/>
        <v>28.994520547945204</v>
      </c>
    </row>
    <row r="94" spans="1:23" x14ac:dyDescent="0.25">
      <c r="A94" s="12"/>
      <c r="B94" s="11"/>
      <c r="C94" s="8"/>
      <c r="D94" s="19"/>
      <c r="E94" s="8"/>
      <c r="F94" s="8"/>
      <c r="G94" s="12"/>
      <c r="H94" s="17"/>
      <c r="I94" s="12"/>
      <c r="J94" s="11"/>
      <c r="K94" s="17"/>
      <c r="L94" s="12"/>
      <c r="M94" s="11"/>
      <c r="N94" s="17"/>
      <c r="O94" s="12"/>
      <c r="P94" s="11"/>
      <c r="Q94" s="17"/>
      <c r="R94" s="12"/>
      <c r="S94" s="11"/>
      <c r="T94" s="17"/>
      <c r="V94" s="112">
        <f t="shared" si="5"/>
        <v>0</v>
      </c>
      <c r="W94" s="112">
        <f t="shared" si="6"/>
        <v>0</v>
      </c>
    </row>
    <row r="95" spans="1:23" x14ac:dyDescent="0.25">
      <c r="A95" s="12" t="s">
        <v>1516</v>
      </c>
      <c r="B95" s="11"/>
      <c r="C95" s="8" t="s">
        <v>1517</v>
      </c>
      <c r="D95" s="19"/>
      <c r="E95" s="8" t="s">
        <v>1518</v>
      </c>
      <c r="F95" s="8" t="s">
        <v>1429</v>
      </c>
      <c r="G95" s="12" t="s">
        <v>1507</v>
      </c>
      <c r="H95" s="17" t="s">
        <v>1364</v>
      </c>
      <c r="I95" s="12"/>
      <c r="J95" s="11">
        <v>94.8</v>
      </c>
      <c r="K95" s="17" t="s">
        <v>1415</v>
      </c>
      <c r="L95" s="12"/>
      <c r="M95" s="11">
        <v>10</v>
      </c>
      <c r="N95" s="17" t="s">
        <v>1415</v>
      </c>
      <c r="O95" s="12"/>
      <c r="P95" s="11">
        <v>0</v>
      </c>
      <c r="Q95" s="17"/>
      <c r="R95" s="12"/>
      <c r="S95" s="11">
        <v>0</v>
      </c>
      <c r="T95" s="17"/>
      <c r="V95" s="112">
        <f t="shared" si="5"/>
        <v>94.8</v>
      </c>
      <c r="W95" s="112">
        <f t="shared" si="6"/>
        <v>10</v>
      </c>
    </row>
    <row r="96" spans="1:23" x14ac:dyDescent="0.25">
      <c r="A96" s="12"/>
      <c r="B96" s="11"/>
      <c r="C96" s="8"/>
      <c r="D96" s="19"/>
      <c r="E96" s="8"/>
      <c r="F96" s="8"/>
      <c r="G96" s="12"/>
      <c r="H96" s="17"/>
      <c r="I96" s="12"/>
      <c r="J96" s="11"/>
      <c r="K96" s="17"/>
      <c r="L96" s="12"/>
      <c r="M96" s="11"/>
      <c r="N96" s="17"/>
      <c r="O96" s="12"/>
      <c r="P96" s="11"/>
      <c r="Q96" s="17"/>
      <c r="R96" s="12"/>
      <c r="S96" s="11"/>
      <c r="T96" s="17"/>
      <c r="V96" s="112">
        <f t="shared" si="5"/>
        <v>0</v>
      </c>
      <c r="W96" s="112">
        <f t="shared" si="6"/>
        <v>0</v>
      </c>
    </row>
    <row r="97" spans="1:23" x14ac:dyDescent="0.25">
      <c r="A97" s="12"/>
      <c r="B97" s="11"/>
      <c r="C97" s="8"/>
      <c r="D97" s="19"/>
      <c r="E97" s="8"/>
      <c r="F97" s="8"/>
      <c r="G97" s="12"/>
      <c r="H97" s="17"/>
      <c r="I97" s="12"/>
      <c r="J97" s="11"/>
      <c r="K97" s="17"/>
      <c r="L97" s="12"/>
      <c r="M97" s="11"/>
      <c r="N97" s="17"/>
      <c r="O97" s="12"/>
      <c r="P97" s="11"/>
      <c r="Q97" s="17"/>
      <c r="R97" s="12"/>
      <c r="S97" s="11"/>
      <c r="T97" s="17"/>
      <c r="V97" s="112">
        <f t="shared" si="5"/>
        <v>0</v>
      </c>
      <c r="W97" s="112">
        <f t="shared" si="6"/>
        <v>0</v>
      </c>
    </row>
    <row r="98" spans="1:23" x14ac:dyDescent="0.25">
      <c r="A98" s="12"/>
      <c r="B98" s="11"/>
      <c r="C98" s="8"/>
      <c r="D98" s="19"/>
      <c r="E98" s="8"/>
      <c r="F98" s="8"/>
      <c r="G98" s="12"/>
      <c r="H98" s="17"/>
      <c r="I98" s="12"/>
      <c r="J98" s="11"/>
      <c r="K98" s="17"/>
      <c r="L98" s="12"/>
      <c r="M98" s="11"/>
      <c r="N98" s="17"/>
      <c r="O98" s="12"/>
      <c r="P98" s="11"/>
      <c r="Q98" s="17"/>
      <c r="R98" s="12"/>
      <c r="S98" s="11"/>
      <c r="T98" s="17"/>
      <c r="V98" s="112">
        <f t="shared" si="5"/>
        <v>0</v>
      </c>
      <c r="W98" s="112">
        <f t="shared" si="6"/>
        <v>0</v>
      </c>
    </row>
    <row r="99" spans="1:23" x14ac:dyDescent="0.25">
      <c r="A99" s="12"/>
      <c r="B99" s="11"/>
      <c r="C99" s="8"/>
      <c r="D99" s="19"/>
      <c r="E99" s="8"/>
      <c r="F99" s="8"/>
      <c r="G99" s="12"/>
      <c r="H99" s="17"/>
      <c r="I99" s="12"/>
      <c r="J99" s="11"/>
      <c r="K99" s="17"/>
      <c r="L99" s="12"/>
      <c r="M99" s="11"/>
      <c r="N99" s="17"/>
      <c r="O99" s="12"/>
      <c r="P99" s="11"/>
      <c r="Q99" s="17"/>
      <c r="R99" s="12"/>
      <c r="S99" s="11"/>
      <c r="T99" s="17"/>
      <c r="V99" s="112">
        <f t="shared" si="5"/>
        <v>0</v>
      </c>
      <c r="W99" s="112">
        <f t="shared" si="6"/>
        <v>0</v>
      </c>
    </row>
    <row r="100" spans="1:23" x14ac:dyDescent="0.25">
      <c r="A100" s="12"/>
      <c r="B100" s="11"/>
      <c r="C100" s="8"/>
      <c r="D100" s="19"/>
      <c r="E100" s="8"/>
      <c r="F100" s="8"/>
      <c r="G100" s="12"/>
      <c r="H100" s="17"/>
      <c r="I100" s="12"/>
      <c r="J100" s="11"/>
      <c r="K100" s="17"/>
      <c r="L100" s="12"/>
      <c r="M100" s="11"/>
      <c r="N100" s="17"/>
      <c r="O100" s="12"/>
      <c r="P100" s="11"/>
      <c r="Q100" s="17"/>
      <c r="R100" s="12"/>
      <c r="S100" s="11"/>
      <c r="T100" s="17"/>
      <c r="V100" s="112">
        <f t="shared" si="5"/>
        <v>0</v>
      </c>
      <c r="W100" s="112">
        <f t="shared" si="6"/>
        <v>0</v>
      </c>
    </row>
    <row r="101" spans="1:23" x14ac:dyDescent="0.25">
      <c r="A101" s="12"/>
      <c r="B101" s="11"/>
      <c r="C101" s="8"/>
      <c r="D101" s="19"/>
      <c r="E101" s="8"/>
      <c r="F101" s="8"/>
      <c r="G101" s="12"/>
      <c r="H101" s="17"/>
      <c r="I101" s="12"/>
      <c r="J101" s="11"/>
      <c r="K101" s="17"/>
      <c r="L101" s="12"/>
      <c r="M101" s="11"/>
      <c r="N101" s="17"/>
      <c r="O101" s="12"/>
      <c r="P101" s="11"/>
      <c r="Q101" s="17"/>
      <c r="R101" s="12"/>
      <c r="S101" s="11"/>
      <c r="T101" s="17"/>
      <c r="V101" s="112">
        <f t="shared" si="5"/>
        <v>0</v>
      </c>
      <c r="W101" s="112">
        <f t="shared" si="6"/>
        <v>0</v>
      </c>
    </row>
    <row r="102" spans="1:23" x14ac:dyDescent="0.25">
      <c r="A102" s="12"/>
      <c r="B102" s="11"/>
      <c r="C102" s="8"/>
      <c r="D102" s="19"/>
      <c r="E102" s="8"/>
      <c r="F102" s="8"/>
      <c r="G102" s="12"/>
      <c r="H102" s="17"/>
      <c r="I102" s="12"/>
      <c r="J102" s="11"/>
      <c r="K102" s="17"/>
      <c r="L102" s="12"/>
      <c r="M102" s="11"/>
      <c r="N102" s="17"/>
      <c r="O102" s="12"/>
      <c r="P102" s="11"/>
      <c r="Q102" s="17"/>
      <c r="R102" s="12"/>
      <c r="S102" s="11"/>
      <c r="T102" s="17"/>
      <c r="V102" s="112">
        <f t="shared" si="5"/>
        <v>0</v>
      </c>
      <c r="W102" s="112">
        <f t="shared" si="6"/>
        <v>0</v>
      </c>
    </row>
    <row r="103" spans="1:23" x14ac:dyDescent="0.25">
      <c r="A103" s="12"/>
      <c r="B103" s="11"/>
      <c r="C103" s="8"/>
      <c r="D103" s="19"/>
      <c r="E103" s="8"/>
      <c r="F103" s="8"/>
      <c r="G103" s="12"/>
      <c r="H103" s="17"/>
      <c r="I103" s="12"/>
      <c r="J103" s="11"/>
      <c r="K103" s="17"/>
      <c r="L103" s="12"/>
      <c r="M103" s="11"/>
      <c r="N103" s="17"/>
      <c r="O103" s="12"/>
      <c r="P103" s="11"/>
      <c r="Q103" s="17"/>
      <c r="R103" s="12"/>
      <c r="S103" s="11"/>
      <c r="T103" s="17"/>
      <c r="V103" s="112">
        <f t="shared" si="5"/>
        <v>0</v>
      </c>
      <c r="W103" s="112">
        <f t="shared" si="6"/>
        <v>0</v>
      </c>
    </row>
    <row r="104" spans="1:23" x14ac:dyDescent="0.25">
      <c r="A104" s="12"/>
      <c r="B104" s="11"/>
      <c r="C104" s="8"/>
      <c r="D104" s="19"/>
      <c r="E104" s="8"/>
      <c r="F104" s="8"/>
      <c r="G104" s="12"/>
      <c r="H104" s="17"/>
      <c r="I104" s="12"/>
      <c r="J104" s="11"/>
      <c r="K104" s="17"/>
      <c r="L104" s="12"/>
      <c r="M104" s="11"/>
      <c r="N104" s="17"/>
      <c r="O104" s="12"/>
      <c r="P104" s="11"/>
      <c r="Q104" s="17"/>
      <c r="R104" s="12"/>
      <c r="S104" s="11"/>
      <c r="T104" s="17"/>
      <c r="V104" s="112">
        <f t="shared" si="5"/>
        <v>0</v>
      </c>
      <c r="W104" s="112">
        <f t="shared" si="6"/>
        <v>0</v>
      </c>
    </row>
    <row r="105" spans="1:23" x14ac:dyDescent="0.25">
      <c r="A105" s="12"/>
      <c r="B105" s="11"/>
      <c r="C105" s="8"/>
      <c r="D105" s="19"/>
      <c r="E105" s="8"/>
      <c r="F105" s="8"/>
      <c r="G105" s="12"/>
      <c r="H105" s="17"/>
      <c r="I105" s="12"/>
      <c r="J105" s="11"/>
      <c r="K105" s="17"/>
      <c r="L105" s="12"/>
      <c r="M105" s="11"/>
      <c r="N105" s="17"/>
      <c r="O105" s="12"/>
      <c r="P105" s="11"/>
      <c r="Q105" s="17"/>
      <c r="R105" s="12"/>
      <c r="S105" s="11"/>
      <c r="T105" s="17"/>
      <c r="V105" s="112">
        <f t="shared" ref="V105:V136" si="9">J105-P105</f>
        <v>0</v>
      </c>
      <c r="W105" s="112">
        <f t="shared" ref="W105:W136" si="10">$M105-$S105</f>
        <v>0</v>
      </c>
    </row>
    <row r="106" spans="1:23" x14ac:dyDescent="0.25">
      <c r="A106" s="12"/>
      <c r="B106" s="11"/>
      <c r="C106" s="8"/>
      <c r="D106" s="19"/>
      <c r="E106" s="8"/>
      <c r="F106" s="8"/>
      <c r="G106" s="12"/>
      <c r="H106" s="17"/>
      <c r="I106" s="12"/>
      <c r="J106" s="11"/>
      <c r="K106" s="17"/>
      <c r="L106" s="12"/>
      <c r="M106" s="11"/>
      <c r="N106" s="17"/>
      <c r="O106" s="12"/>
      <c r="P106" s="11"/>
      <c r="Q106" s="17"/>
      <c r="R106" s="12"/>
      <c r="S106" s="11"/>
      <c r="T106" s="17"/>
      <c r="V106" s="112">
        <f t="shared" si="9"/>
        <v>0</v>
      </c>
      <c r="W106" s="112">
        <f t="shared" si="10"/>
        <v>0</v>
      </c>
    </row>
    <row r="107" spans="1:23" x14ac:dyDescent="0.25">
      <c r="A107" s="12"/>
      <c r="B107" s="11"/>
      <c r="C107" s="8"/>
      <c r="D107" s="19"/>
      <c r="E107" s="8"/>
      <c r="F107" s="8"/>
      <c r="G107" s="12"/>
      <c r="H107" s="17"/>
      <c r="I107" s="12"/>
      <c r="J107" s="11"/>
      <c r="K107" s="17"/>
      <c r="L107" s="12"/>
      <c r="M107" s="11"/>
      <c r="N107" s="17"/>
      <c r="O107" s="12"/>
      <c r="P107" s="11"/>
      <c r="Q107" s="17"/>
      <c r="R107" s="12"/>
      <c r="S107" s="11"/>
      <c r="T107" s="17"/>
      <c r="V107" s="112">
        <f t="shared" si="9"/>
        <v>0</v>
      </c>
      <c r="W107" s="112">
        <f t="shared" si="10"/>
        <v>0</v>
      </c>
    </row>
    <row r="108" spans="1:23" x14ac:dyDescent="0.25">
      <c r="A108" s="12"/>
      <c r="B108" s="11"/>
      <c r="C108" s="8"/>
      <c r="D108" s="19"/>
      <c r="E108" s="8"/>
      <c r="F108" s="8"/>
      <c r="G108" s="12"/>
      <c r="H108" s="17"/>
      <c r="I108" s="12"/>
      <c r="J108" s="11"/>
      <c r="K108" s="17"/>
      <c r="L108" s="12"/>
      <c r="M108" s="11"/>
      <c r="N108" s="17"/>
      <c r="O108" s="12"/>
      <c r="P108" s="11"/>
      <c r="Q108" s="17"/>
      <c r="R108" s="12"/>
      <c r="S108" s="11"/>
      <c r="T108" s="17"/>
      <c r="V108" s="112">
        <f t="shared" si="9"/>
        <v>0</v>
      </c>
      <c r="W108" s="112">
        <f t="shared" si="10"/>
        <v>0</v>
      </c>
    </row>
    <row r="109" spans="1:23" x14ac:dyDescent="0.25">
      <c r="A109" s="12"/>
      <c r="B109" s="11"/>
      <c r="C109" s="8"/>
      <c r="D109" s="19"/>
      <c r="E109" s="8"/>
      <c r="F109" s="8"/>
      <c r="G109" s="12"/>
      <c r="H109" s="17"/>
      <c r="I109" s="12"/>
      <c r="J109" s="11"/>
      <c r="K109" s="17"/>
      <c r="L109" s="12"/>
      <c r="M109" s="11"/>
      <c r="N109" s="17"/>
      <c r="O109" s="12"/>
      <c r="P109" s="11"/>
      <c r="Q109" s="17"/>
      <c r="R109" s="12"/>
      <c r="S109" s="11"/>
      <c r="T109" s="17"/>
      <c r="V109" s="112">
        <f t="shared" si="9"/>
        <v>0</v>
      </c>
      <c r="W109" s="112">
        <f t="shared" si="10"/>
        <v>0</v>
      </c>
    </row>
    <row r="110" spans="1:23" x14ac:dyDescent="0.25">
      <c r="A110" s="12"/>
      <c r="B110" s="11"/>
      <c r="C110" s="8"/>
      <c r="D110" s="19"/>
      <c r="E110" s="8"/>
      <c r="F110" s="8"/>
      <c r="G110" s="12"/>
      <c r="H110" s="17"/>
      <c r="I110" s="12"/>
      <c r="J110" s="11"/>
      <c r="K110" s="17"/>
      <c r="L110" s="12"/>
      <c r="M110" s="11"/>
      <c r="N110" s="17"/>
      <c r="O110" s="12"/>
      <c r="P110" s="11"/>
      <c r="Q110" s="17"/>
      <c r="R110" s="12"/>
      <c r="S110" s="11"/>
      <c r="T110" s="17"/>
      <c r="V110" s="112">
        <f t="shared" si="9"/>
        <v>0</v>
      </c>
      <c r="W110" s="112">
        <f t="shared" si="10"/>
        <v>0</v>
      </c>
    </row>
    <row r="111" spans="1:23" x14ac:dyDescent="0.25">
      <c r="A111" s="12"/>
      <c r="B111" s="11"/>
      <c r="C111" s="8"/>
      <c r="D111" s="19"/>
      <c r="E111" s="8"/>
      <c r="F111" s="8"/>
      <c r="G111" s="12"/>
      <c r="H111" s="17"/>
      <c r="I111" s="12"/>
      <c r="J111" s="11"/>
      <c r="K111" s="17"/>
      <c r="L111" s="12"/>
      <c r="M111" s="11"/>
      <c r="N111" s="17"/>
      <c r="O111" s="12"/>
      <c r="P111" s="11"/>
      <c r="Q111" s="17"/>
      <c r="R111" s="12"/>
      <c r="S111" s="11"/>
      <c r="T111" s="17"/>
      <c r="V111" s="112">
        <f t="shared" si="9"/>
        <v>0</v>
      </c>
      <c r="W111" s="112">
        <f t="shared" si="10"/>
        <v>0</v>
      </c>
    </row>
    <row r="112" spans="1:23" x14ac:dyDescent="0.25">
      <c r="A112" s="12"/>
      <c r="B112" s="11"/>
      <c r="C112" s="8"/>
      <c r="D112" s="19"/>
      <c r="E112" s="8"/>
      <c r="F112" s="8"/>
      <c r="G112" s="12"/>
      <c r="H112" s="17"/>
      <c r="I112" s="12"/>
      <c r="J112" s="11"/>
      <c r="K112" s="17"/>
      <c r="L112" s="12"/>
      <c r="M112" s="11"/>
      <c r="N112" s="17"/>
      <c r="O112" s="12"/>
      <c r="P112" s="11"/>
      <c r="Q112" s="17"/>
      <c r="R112" s="12"/>
      <c r="S112" s="11"/>
      <c r="T112" s="17"/>
      <c r="V112" s="112">
        <f t="shared" si="9"/>
        <v>0</v>
      </c>
      <c r="W112" s="112">
        <f t="shared" si="10"/>
        <v>0</v>
      </c>
    </row>
    <row r="113" spans="1:23" x14ac:dyDescent="0.25">
      <c r="A113" s="12"/>
      <c r="B113" s="11"/>
      <c r="C113" s="8"/>
      <c r="D113" s="19"/>
      <c r="E113" s="8"/>
      <c r="F113" s="8"/>
      <c r="G113" s="12"/>
      <c r="H113" s="17"/>
      <c r="I113" s="12"/>
      <c r="J113" s="11"/>
      <c r="K113" s="17"/>
      <c r="L113" s="12"/>
      <c r="M113" s="11"/>
      <c r="N113" s="17"/>
      <c r="O113" s="12"/>
      <c r="P113" s="11"/>
      <c r="Q113" s="17"/>
      <c r="R113" s="12"/>
      <c r="S113" s="11"/>
      <c r="T113" s="17"/>
      <c r="V113" s="112">
        <f t="shared" si="9"/>
        <v>0</v>
      </c>
      <c r="W113" s="112">
        <f t="shared" si="10"/>
        <v>0</v>
      </c>
    </row>
    <row r="114" spans="1:23" x14ac:dyDescent="0.25">
      <c r="A114" s="12"/>
      <c r="B114" s="11"/>
      <c r="C114" s="8"/>
      <c r="D114" s="19"/>
      <c r="E114" s="8"/>
      <c r="F114" s="8"/>
      <c r="G114" s="12"/>
      <c r="H114" s="17"/>
      <c r="I114" s="12"/>
      <c r="J114" s="11"/>
      <c r="K114" s="17"/>
      <c r="L114" s="12"/>
      <c r="M114" s="11"/>
      <c r="N114" s="17"/>
      <c r="O114" s="12"/>
      <c r="P114" s="11"/>
      <c r="Q114" s="17"/>
      <c r="R114" s="12"/>
      <c r="S114" s="11"/>
      <c r="T114" s="17"/>
      <c r="V114" s="112">
        <f t="shared" si="9"/>
        <v>0</v>
      </c>
      <c r="W114" s="112">
        <f t="shared" si="10"/>
        <v>0</v>
      </c>
    </row>
    <row r="115" spans="1:23" x14ac:dyDescent="0.25">
      <c r="A115" s="12"/>
      <c r="B115" s="11"/>
      <c r="C115" s="8"/>
      <c r="D115" s="19"/>
      <c r="E115" s="8"/>
      <c r="F115" s="8"/>
      <c r="G115" s="12"/>
      <c r="H115" s="17"/>
      <c r="I115" s="12"/>
      <c r="J115" s="11"/>
      <c r="K115" s="17"/>
      <c r="L115" s="12"/>
      <c r="M115" s="11"/>
      <c r="N115" s="17"/>
      <c r="O115" s="12"/>
      <c r="P115" s="11"/>
      <c r="Q115" s="17"/>
      <c r="R115" s="12"/>
      <c r="S115" s="11"/>
      <c r="T115" s="17"/>
      <c r="V115" s="112">
        <f t="shared" si="9"/>
        <v>0</v>
      </c>
      <c r="W115" s="112">
        <f t="shared" si="10"/>
        <v>0</v>
      </c>
    </row>
    <row r="116" spans="1:23" x14ac:dyDescent="0.25">
      <c r="A116" s="12"/>
      <c r="B116" s="11"/>
      <c r="C116" s="8"/>
      <c r="D116" s="19"/>
      <c r="E116" s="8"/>
      <c r="F116" s="8"/>
      <c r="G116" s="12"/>
      <c r="H116" s="17"/>
      <c r="I116" s="12"/>
      <c r="J116" s="11"/>
      <c r="K116" s="17"/>
      <c r="L116" s="12"/>
      <c r="M116" s="11"/>
      <c r="N116" s="17"/>
      <c r="O116" s="12"/>
      <c r="P116" s="11"/>
      <c r="Q116" s="17"/>
      <c r="R116" s="12"/>
      <c r="S116" s="11"/>
      <c r="T116" s="17"/>
      <c r="V116" s="112">
        <f t="shared" si="9"/>
        <v>0</v>
      </c>
      <c r="W116" s="112">
        <f t="shared" si="10"/>
        <v>0</v>
      </c>
    </row>
    <row r="117" spans="1:23" x14ac:dyDescent="0.25">
      <c r="A117" s="12"/>
      <c r="B117" s="11"/>
      <c r="C117" s="8"/>
      <c r="D117" s="19"/>
      <c r="E117" s="8"/>
      <c r="F117" s="8"/>
      <c r="G117" s="12"/>
      <c r="H117" s="17"/>
      <c r="I117" s="12"/>
      <c r="J117" s="11"/>
      <c r="K117" s="17"/>
      <c r="L117" s="12"/>
      <c r="M117" s="11"/>
      <c r="N117" s="17"/>
      <c r="O117" s="12"/>
      <c r="P117" s="11"/>
      <c r="Q117" s="17"/>
      <c r="R117" s="12"/>
      <c r="S117" s="11"/>
      <c r="T117" s="17"/>
      <c r="V117" s="112">
        <f t="shared" si="9"/>
        <v>0</v>
      </c>
      <c r="W117" s="112">
        <f t="shared" si="10"/>
        <v>0</v>
      </c>
    </row>
    <row r="118" spans="1:23" x14ac:dyDescent="0.25">
      <c r="A118" s="12"/>
      <c r="B118" s="11"/>
      <c r="C118" s="8"/>
      <c r="D118" s="19"/>
      <c r="E118" s="8"/>
      <c r="F118" s="8"/>
      <c r="G118" s="12"/>
      <c r="H118" s="17"/>
      <c r="I118" s="12"/>
      <c r="J118" s="11"/>
      <c r="K118" s="17"/>
      <c r="L118" s="12"/>
      <c r="M118" s="11"/>
      <c r="N118" s="17"/>
      <c r="O118" s="12"/>
      <c r="P118" s="11"/>
      <c r="Q118" s="17"/>
      <c r="R118" s="12"/>
      <c r="S118" s="11"/>
      <c r="T118" s="17"/>
      <c r="V118" s="112">
        <f t="shared" si="9"/>
        <v>0</v>
      </c>
      <c r="W118" s="112">
        <f t="shared" si="10"/>
        <v>0</v>
      </c>
    </row>
    <row r="119" spans="1:23" x14ac:dyDescent="0.25">
      <c r="A119" s="12"/>
      <c r="B119" s="11"/>
      <c r="C119" s="8"/>
      <c r="D119" s="19"/>
      <c r="E119" s="8"/>
      <c r="F119" s="8"/>
      <c r="G119" s="12"/>
      <c r="H119" s="17"/>
      <c r="I119" s="12"/>
      <c r="J119" s="11"/>
      <c r="K119" s="17"/>
      <c r="L119" s="12"/>
      <c r="M119" s="11"/>
      <c r="N119" s="17"/>
      <c r="O119" s="12"/>
      <c r="P119" s="11"/>
      <c r="Q119" s="17"/>
      <c r="R119" s="12"/>
      <c r="S119" s="11"/>
      <c r="T119" s="17"/>
      <c r="V119" s="112">
        <f t="shared" si="9"/>
        <v>0</v>
      </c>
      <c r="W119" s="112">
        <f t="shared" si="10"/>
        <v>0</v>
      </c>
    </row>
    <row r="120" spans="1:23" x14ac:dyDescent="0.25">
      <c r="A120" s="12"/>
      <c r="B120" s="11"/>
      <c r="C120" s="8"/>
      <c r="D120" s="19"/>
      <c r="E120" s="8"/>
      <c r="F120" s="8"/>
      <c r="G120" s="12"/>
      <c r="H120" s="17"/>
      <c r="I120" s="12"/>
      <c r="J120" s="11"/>
      <c r="K120" s="17"/>
      <c r="L120" s="12"/>
      <c r="M120" s="11"/>
      <c r="N120" s="17"/>
      <c r="O120" s="12"/>
      <c r="P120" s="11"/>
      <c r="Q120" s="17"/>
      <c r="R120" s="12"/>
      <c r="S120" s="11"/>
      <c r="T120" s="17"/>
      <c r="V120" s="112">
        <f t="shared" si="9"/>
        <v>0</v>
      </c>
      <c r="W120" s="112">
        <f t="shared" si="10"/>
        <v>0</v>
      </c>
    </row>
    <row r="121" spans="1:23" x14ac:dyDescent="0.25">
      <c r="A121" s="12"/>
      <c r="B121" s="11"/>
      <c r="C121" s="8"/>
      <c r="D121" s="19"/>
      <c r="E121" s="8"/>
      <c r="F121" s="8"/>
      <c r="G121" s="12"/>
      <c r="H121" s="17"/>
      <c r="I121" s="12"/>
      <c r="J121" s="11"/>
      <c r="K121" s="17"/>
      <c r="L121" s="12"/>
      <c r="M121" s="11"/>
      <c r="N121" s="17"/>
      <c r="O121" s="12"/>
      <c r="P121" s="11"/>
      <c r="Q121" s="17"/>
      <c r="R121" s="12"/>
      <c r="S121" s="11"/>
      <c r="T121" s="17"/>
      <c r="V121" s="112">
        <f t="shared" si="9"/>
        <v>0</v>
      </c>
      <c r="W121" s="112">
        <f t="shared" si="10"/>
        <v>0</v>
      </c>
    </row>
    <row r="122" spans="1:23" x14ac:dyDescent="0.25">
      <c r="A122" s="12"/>
      <c r="B122" s="11"/>
      <c r="C122" s="8"/>
      <c r="D122" s="19"/>
      <c r="E122" s="8"/>
      <c r="F122" s="8"/>
      <c r="G122" s="12"/>
      <c r="H122" s="17"/>
      <c r="I122" s="12"/>
      <c r="J122" s="11"/>
      <c r="K122" s="17"/>
      <c r="L122" s="12"/>
      <c r="M122" s="11"/>
      <c r="N122" s="17"/>
      <c r="O122" s="12"/>
      <c r="P122" s="11"/>
      <c r="Q122" s="17"/>
      <c r="R122" s="12"/>
      <c r="S122" s="11"/>
      <c r="T122" s="17"/>
      <c r="V122" s="112">
        <f t="shared" si="9"/>
        <v>0</v>
      </c>
      <c r="W122" s="112">
        <f t="shared" si="10"/>
        <v>0</v>
      </c>
    </row>
    <row r="123" spans="1:23" x14ac:dyDescent="0.25">
      <c r="A123" s="12"/>
      <c r="B123" s="11"/>
      <c r="C123" s="8"/>
      <c r="D123" s="19"/>
      <c r="E123" s="8"/>
      <c r="F123" s="8"/>
      <c r="G123" s="12"/>
      <c r="H123" s="17"/>
      <c r="I123" s="12"/>
      <c r="J123" s="11"/>
      <c r="K123" s="17"/>
      <c r="L123" s="12"/>
      <c r="M123" s="11"/>
      <c r="N123" s="17"/>
      <c r="O123" s="12"/>
      <c r="P123" s="11"/>
      <c r="Q123" s="17"/>
      <c r="R123" s="12"/>
      <c r="S123" s="11"/>
      <c r="T123" s="17"/>
      <c r="V123" s="112">
        <f t="shared" si="9"/>
        <v>0</v>
      </c>
      <c r="W123" s="112">
        <f t="shared" si="10"/>
        <v>0</v>
      </c>
    </row>
    <row r="124" spans="1:23" x14ac:dyDescent="0.25">
      <c r="A124" s="12"/>
      <c r="B124" s="11"/>
      <c r="C124" s="8"/>
      <c r="D124" s="19"/>
      <c r="E124" s="8"/>
      <c r="F124" s="8"/>
      <c r="G124" s="12"/>
      <c r="H124" s="17"/>
      <c r="I124" s="12"/>
      <c r="J124" s="11"/>
      <c r="K124" s="17"/>
      <c r="L124" s="12"/>
      <c r="M124" s="11"/>
      <c r="N124" s="17"/>
      <c r="O124" s="12"/>
      <c r="P124" s="11"/>
      <c r="Q124" s="17"/>
      <c r="R124" s="12"/>
      <c r="S124" s="11"/>
      <c r="T124" s="17"/>
      <c r="V124" s="112">
        <f t="shared" si="9"/>
        <v>0</v>
      </c>
      <c r="W124" s="112">
        <f t="shared" si="10"/>
        <v>0</v>
      </c>
    </row>
    <row r="125" spans="1:23" x14ac:dyDescent="0.25">
      <c r="A125" s="12"/>
      <c r="B125" s="11"/>
      <c r="C125" s="8"/>
      <c r="D125" s="19"/>
      <c r="E125" s="8"/>
      <c r="F125" s="8"/>
      <c r="G125" s="12"/>
      <c r="H125" s="17"/>
      <c r="I125" s="12"/>
      <c r="J125" s="11"/>
      <c r="K125" s="17"/>
      <c r="L125" s="12"/>
      <c r="M125" s="11"/>
      <c r="N125" s="17"/>
      <c r="O125" s="12"/>
      <c r="P125" s="11"/>
      <c r="Q125" s="17"/>
      <c r="R125" s="12"/>
      <c r="S125" s="11"/>
      <c r="T125" s="17"/>
      <c r="V125" s="112">
        <f t="shared" si="9"/>
        <v>0</v>
      </c>
      <c r="W125" s="112">
        <f t="shared" si="10"/>
        <v>0</v>
      </c>
    </row>
    <row r="126" spans="1:23" x14ac:dyDescent="0.25">
      <c r="A126" s="12"/>
      <c r="B126" s="11"/>
      <c r="C126" s="8"/>
      <c r="D126" s="19"/>
      <c r="E126" s="8"/>
      <c r="F126" s="8"/>
      <c r="G126" s="12"/>
      <c r="H126" s="17"/>
      <c r="I126" s="12"/>
      <c r="J126" s="11"/>
      <c r="K126" s="17"/>
      <c r="L126" s="12"/>
      <c r="M126" s="11"/>
      <c r="N126" s="17"/>
      <c r="O126" s="12"/>
      <c r="P126" s="11"/>
      <c r="Q126" s="17"/>
      <c r="R126" s="12"/>
      <c r="S126" s="11"/>
      <c r="T126" s="17"/>
      <c r="V126" s="112">
        <f t="shared" si="9"/>
        <v>0</v>
      </c>
      <c r="W126" s="112">
        <f t="shared" si="10"/>
        <v>0</v>
      </c>
    </row>
    <row r="127" spans="1:23" x14ac:dyDescent="0.25">
      <c r="A127" s="12"/>
      <c r="B127" s="11"/>
      <c r="C127" s="8"/>
      <c r="D127" s="19"/>
      <c r="E127" s="8"/>
      <c r="F127" s="8"/>
      <c r="G127" s="12"/>
      <c r="H127" s="17"/>
      <c r="I127" s="12"/>
      <c r="J127" s="11"/>
      <c r="K127" s="17"/>
      <c r="L127" s="12"/>
      <c r="M127" s="11"/>
      <c r="N127" s="17"/>
      <c r="O127" s="12"/>
      <c r="P127" s="11"/>
      <c r="Q127" s="17"/>
      <c r="R127" s="12"/>
      <c r="S127" s="11"/>
      <c r="T127" s="17"/>
      <c r="V127" s="112">
        <f t="shared" si="9"/>
        <v>0</v>
      </c>
      <c r="W127" s="112">
        <f t="shared" si="10"/>
        <v>0</v>
      </c>
    </row>
    <row r="128" spans="1:23" x14ac:dyDescent="0.25">
      <c r="A128" s="12"/>
      <c r="B128" s="11"/>
      <c r="C128" s="8"/>
      <c r="D128" s="19"/>
      <c r="E128" s="8"/>
      <c r="F128" s="8"/>
      <c r="G128" s="12"/>
      <c r="H128" s="17"/>
      <c r="I128" s="12"/>
      <c r="J128" s="11"/>
      <c r="K128" s="17"/>
      <c r="L128" s="12"/>
      <c r="M128" s="11"/>
      <c r="N128" s="17"/>
      <c r="O128" s="12"/>
      <c r="P128" s="11"/>
      <c r="Q128" s="17"/>
      <c r="R128" s="12"/>
      <c r="S128" s="11"/>
      <c r="T128" s="17"/>
      <c r="V128" s="112">
        <f t="shared" si="9"/>
        <v>0</v>
      </c>
      <c r="W128" s="112">
        <f t="shared" si="10"/>
        <v>0</v>
      </c>
    </row>
    <row r="129" spans="1:23" x14ac:dyDescent="0.25">
      <c r="A129" s="12"/>
      <c r="B129" s="11"/>
      <c r="C129" s="8"/>
      <c r="D129" s="19"/>
      <c r="E129" s="8"/>
      <c r="F129" s="8"/>
      <c r="G129" s="12"/>
      <c r="H129" s="17"/>
      <c r="I129" s="12"/>
      <c r="J129" s="11"/>
      <c r="K129" s="17"/>
      <c r="L129" s="12"/>
      <c r="M129" s="11"/>
      <c r="N129" s="17"/>
      <c r="O129" s="12"/>
      <c r="P129" s="11"/>
      <c r="Q129" s="17"/>
      <c r="R129" s="12"/>
      <c r="S129" s="11"/>
      <c r="T129" s="17"/>
      <c r="V129" s="112">
        <f t="shared" si="9"/>
        <v>0</v>
      </c>
      <c r="W129" s="112">
        <f t="shared" si="10"/>
        <v>0</v>
      </c>
    </row>
    <row r="130" spans="1:23" x14ac:dyDescent="0.25">
      <c r="A130" s="12"/>
      <c r="B130" s="11"/>
      <c r="C130" s="8"/>
      <c r="D130" s="19"/>
      <c r="E130" s="8"/>
      <c r="F130" s="8"/>
      <c r="G130" s="12"/>
      <c r="H130" s="17"/>
      <c r="I130" s="12"/>
      <c r="J130" s="11"/>
      <c r="K130" s="17"/>
      <c r="L130" s="12"/>
      <c r="M130" s="11"/>
      <c r="N130" s="17"/>
      <c r="O130" s="12"/>
      <c r="P130" s="11"/>
      <c r="Q130" s="17"/>
      <c r="R130" s="12"/>
      <c r="S130" s="11"/>
      <c r="T130" s="17"/>
      <c r="V130" s="112">
        <f t="shared" si="9"/>
        <v>0</v>
      </c>
      <c r="W130" s="112">
        <f t="shared" si="10"/>
        <v>0</v>
      </c>
    </row>
    <row r="131" spans="1:23" x14ac:dyDescent="0.25">
      <c r="A131" s="12"/>
      <c r="B131" s="11"/>
      <c r="C131" s="8"/>
      <c r="D131" s="19"/>
      <c r="E131" s="8"/>
      <c r="F131" s="8"/>
      <c r="G131" s="12"/>
      <c r="H131" s="17"/>
      <c r="I131" s="12"/>
      <c r="J131" s="11"/>
      <c r="K131" s="17"/>
      <c r="L131" s="12"/>
      <c r="M131" s="11"/>
      <c r="N131" s="17"/>
      <c r="O131" s="12"/>
      <c r="P131" s="11"/>
      <c r="Q131" s="17"/>
      <c r="R131" s="12"/>
      <c r="S131" s="11"/>
      <c r="T131" s="17"/>
      <c r="V131" s="112">
        <f t="shared" si="9"/>
        <v>0</v>
      </c>
      <c r="W131" s="112">
        <f t="shared" si="10"/>
        <v>0</v>
      </c>
    </row>
    <row r="132" spans="1:23" x14ac:dyDescent="0.25">
      <c r="A132" s="12"/>
      <c r="B132" s="11"/>
      <c r="C132" s="8"/>
      <c r="D132" s="19"/>
      <c r="E132" s="8"/>
      <c r="F132" s="8"/>
      <c r="G132" s="12"/>
      <c r="H132" s="17"/>
      <c r="I132" s="12"/>
      <c r="J132" s="11"/>
      <c r="K132" s="17"/>
      <c r="L132" s="12"/>
      <c r="M132" s="11"/>
      <c r="N132" s="17"/>
      <c r="O132" s="12"/>
      <c r="P132" s="11"/>
      <c r="Q132" s="17"/>
      <c r="R132" s="12"/>
      <c r="S132" s="11"/>
      <c r="T132" s="17"/>
      <c r="V132" s="112">
        <f t="shared" si="9"/>
        <v>0</v>
      </c>
      <c r="W132" s="112">
        <f t="shared" si="10"/>
        <v>0</v>
      </c>
    </row>
    <row r="133" spans="1:23" x14ac:dyDescent="0.25">
      <c r="A133" s="12"/>
      <c r="B133" s="11"/>
      <c r="C133" s="8"/>
      <c r="D133" s="19"/>
      <c r="E133" s="8"/>
      <c r="F133" s="8"/>
      <c r="G133" s="12"/>
      <c r="H133" s="17"/>
      <c r="I133" s="12"/>
      <c r="J133" s="11"/>
      <c r="K133" s="17"/>
      <c r="L133" s="12"/>
      <c r="M133" s="11"/>
      <c r="N133" s="17"/>
      <c r="O133" s="12"/>
      <c r="P133" s="11"/>
      <c r="Q133" s="17"/>
      <c r="R133" s="12"/>
      <c r="S133" s="11"/>
      <c r="T133" s="17"/>
      <c r="V133" s="112">
        <f t="shared" si="9"/>
        <v>0</v>
      </c>
      <c r="W133" s="112">
        <f t="shared" si="10"/>
        <v>0</v>
      </c>
    </row>
    <row r="134" spans="1:23" x14ac:dyDescent="0.25">
      <c r="A134" s="12"/>
      <c r="B134" s="11"/>
      <c r="C134" s="8"/>
      <c r="D134" s="19"/>
      <c r="E134" s="8"/>
      <c r="F134" s="8"/>
      <c r="G134" s="12"/>
      <c r="H134" s="17"/>
      <c r="I134" s="12"/>
      <c r="J134" s="11"/>
      <c r="K134" s="17"/>
      <c r="L134" s="12"/>
      <c r="M134" s="11"/>
      <c r="N134" s="17"/>
      <c r="O134" s="12"/>
      <c r="P134" s="11"/>
      <c r="Q134" s="17"/>
      <c r="R134" s="12"/>
      <c r="S134" s="11"/>
      <c r="T134" s="17"/>
      <c r="V134" s="112">
        <f t="shared" si="9"/>
        <v>0</v>
      </c>
      <c r="W134" s="112">
        <f t="shared" si="10"/>
        <v>0</v>
      </c>
    </row>
    <row r="135" spans="1:23" x14ac:dyDescent="0.25">
      <c r="A135" s="12"/>
      <c r="B135" s="11"/>
      <c r="C135" s="8"/>
      <c r="D135" s="19"/>
      <c r="E135" s="8"/>
      <c r="F135" s="8"/>
      <c r="G135" s="12"/>
      <c r="H135" s="17"/>
      <c r="I135" s="12"/>
      <c r="J135" s="11"/>
      <c r="K135" s="17"/>
      <c r="L135" s="12"/>
      <c r="M135" s="11"/>
      <c r="N135" s="17"/>
      <c r="O135" s="12"/>
      <c r="P135" s="11"/>
      <c r="Q135" s="17"/>
      <c r="R135" s="12"/>
      <c r="S135" s="11"/>
      <c r="T135" s="17"/>
      <c r="V135" s="112">
        <f t="shared" si="9"/>
        <v>0</v>
      </c>
      <c r="W135" s="112">
        <f t="shared" si="10"/>
        <v>0</v>
      </c>
    </row>
    <row r="136" spans="1:23" x14ac:dyDescent="0.25">
      <c r="A136" s="12"/>
      <c r="B136" s="11"/>
      <c r="C136" s="8"/>
      <c r="D136" s="19"/>
      <c r="E136" s="8"/>
      <c r="F136" s="8"/>
      <c r="G136" s="12"/>
      <c r="H136" s="17"/>
      <c r="I136" s="12"/>
      <c r="J136" s="11"/>
      <c r="K136" s="17"/>
      <c r="L136" s="12"/>
      <c r="M136" s="11"/>
      <c r="N136" s="17"/>
      <c r="O136" s="12"/>
      <c r="P136" s="11"/>
      <c r="Q136" s="17"/>
      <c r="R136" s="12"/>
      <c r="S136" s="11"/>
      <c r="T136" s="17"/>
      <c r="V136" s="112">
        <f t="shared" si="9"/>
        <v>0</v>
      </c>
      <c r="W136" s="112">
        <f t="shared" si="10"/>
        <v>0</v>
      </c>
    </row>
    <row r="137" spans="1:23" x14ac:dyDescent="0.25">
      <c r="A137" s="12"/>
      <c r="B137" s="11"/>
      <c r="C137" s="8"/>
      <c r="D137" s="19"/>
      <c r="E137" s="8"/>
      <c r="F137" s="8"/>
      <c r="G137" s="12"/>
      <c r="H137" s="17"/>
      <c r="I137" s="12"/>
      <c r="J137" s="11"/>
      <c r="K137" s="17"/>
      <c r="L137" s="12"/>
      <c r="M137" s="11"/>
      <c r="N137" s="17"/>
      <c r="O137" s="12"/>
      <c r="P137" s="11"/>
      <c r="Q137" s="17"/>
      <c r="R137" s="12"/>
      <c r="S137" s="11"/>
      <c r="T137" s="17"/>
      <c r="V137" s="112">
        <f t="shared" ref="V137:V168" si="11">J137-P137</f>
        <v>0</v>
      </c>
      <c r="W137" s="112">
        <f t="shared" ref="W137:W168" si="12">$M137-$S137</f>
        <v>0</v>
      </c>
    </row>
    <row r="138" spans="1:23" x14ac:dyDescent="0.25">
      <c r="A138" s="12"/>
      <c r="B138" s="11"/>
      <c r="C138" s="8"/>
      <c r="D138" s="19"/>
      <c r="E138" s="8"/>
      <c r="F138" s="8"/>
      <c r="G138" s="12"/>
      <c r="H138" s="17"/>
      <c r="I138" s="12"/>
      <c r="J138" s="11"/>
      <c r="K138" s="17"/>
      <c r="L138" s="12"/>
      <c r="M138" s="11"/>
      <c r="N138" s="17"/>
      <c r="O138" s="12"/>
      <c r="P138" s="11"/>
      <c r="Q138" s="17"/>
      <c r="R138" s="12"/>
      <c r="S138" s="11"/>
      <c r="T138" s="17"/>
      <c r="V138" s="112">
        <f t="shared" si="11"/>
        <v>0</v>
      </c>
      <c r="W138" s="112">
        <f t="shared" si="12"/>
        <v>0</v>
      </c>
    </row>
    <row r="139" spans="1:23" x14ac:dyDescent="0.25">
      <c r="A139" s="12"/>
      <c r="B139" s="11"/>
      <c r="C139" s="8"/>
      <c r="D139" s="19"/>
      <c r="E139" s="8"/>
      <c r="F139" s="8"/>
      <c r="G139" s="12"/>
      <c r="H139" s="17"/>
      <c r="I139" s="12"/>
      <c r="J139" s="11"/>
      <c r="K139" s="17"/>
      <c r="L139" s="12"/>
      <c r="M139" s="11"/>
      <c r="N139" s="17"/>
      <c r="O139" s="12"/>
      <c r="P139" s="11"/>
      <c r="Q139" s="17"/>
      <c r="R139" s="12"/>
      <c r="S139" s="11"/>
      <c r="T139" s="17"/>
      <c r="V139" s="112">
        <f t="shared" si="11"/>
        <v>0</v>
      </c>
      <c r="W139" s="112">
        <f t="shared" si="12"/>
        <v>0</v>
      </c>
    </row>
    <row r="140" spans="1:23" x14ac:dyDescent="0.25">
      <c r="A140" s="12"/>
      <c r="B140" s="11"/>
      <c r="C140" s="8"/>
      <c r="D140" s="19"/>
      <c r="E140" s="8"/>
      <c r="F140" s="8"/>
      <c r="G140" s="12"/>
      <c r="H140" s="17"/>
      <c r="I140" s="12"/>
      <c r="J140" s="11"/>
      <c r="K140" s="17"/>
      <c r="L140" s="12"/>
      <c r="M140" s="11"/>
      <c r="N140" s="17"/>
      <c r="O140" s="12"/>
      <c r="P140" s="11"/>
      <c r="Q140" s="17"/>
      <c r="R140" s="12"/>
      <c r="S140" s="11"/>
      <c r="T140" s="17"/>
      <c r="V140" s="112">
        <f t="shared" si="11"/>
        <v>0</v>
      </c>
      <c r="W140" s="112">
        <f t="shared" si="12"/>
        <v>0</v>
      </c>
    </row>
    <row r="141" spans="1:23" x14ac:dyDescent="0.25">
      <c r="A141" s="12"/>
      <c r="B141" s="11"/>
      <c r="C141" s="8"/>
      <c r="D141" s="19"/>
      <c r="E141" s="8"/>
      <c r="F141" s="8"/>
      <c r="G141" s="12"/>
      <c r="H141" s="17"/>
      <c r="I141" s="12"/>
      <c r="J141" s="11"/>
      <c r="K141" s="17"/>
      <c r="L141" s="12"/>
      <c r="M141" s="11"/>
      <c r="N141" s="17"/>
      <c r="O141" s="12"/>
      <c r="P141" s="11"/>
      <c r="Q141" s="17"/>
      <c r="R141" s="12"/>
      <c r="S141" s="11"/>
      <c r="T141" s="17"/>
      <c r="V141" s="112">
        <f t="shared" si="11"/>
        <v>0</v>
      </c>
      <c r="W141" s="112">
        <f t="shared" si="12"/>
        <v>0</v>
      </c>
    </row>
    <row r="142" spans="1:23" x14ac:dyDescent="0.25">
      <c r="A142" s="12"/>
      <c r="B142" s="11"/>
      <c r="C142" s="8"/>
      <c r="D142" s="19"/>
      <c r="E142" s="8"/>
      <c r="F142" s="8"/>
      <c r="G142" s="12"/>
      <c r="H142" s="17"/>
      <c r="I142" s="12"/>
      <c r="J142" s="11"/>
      <c r="K142" s="17"/>
      <c r="L142" s="12"/>
      <c r="M142" s="11"/>
      <c r="N142" s="17"/>
      <c r="O142" s="12"/>
      <c r="P142" s="11"/>
      <c r="Q142" s="17"/>
      <c r="R142" s="12"/>
      <c r="S142" s="11"/>
      <c r="T142" s="17"/>
      <c r="V142" s="112">
        <f t="shared" si="11"/>
        <v>0</v>
      </c>
      <c r="W142" s="112">
        <f t="shared" si="12"/>
        <v>0</v>
      </c>
    </row>
    <row r="143" spans="1:23" x14ac:dyDescent="0.25">
      <c r="A143" s="12"/>
      <c r="B143" s="11"/>
      <c r="C143" s="8"/>
      <c r="D143" s="19"/>
      <c r="E143" s="8"/>
      <c r="F143" s="8"/>
      <c r="G143" s="12"/>
      <c r="H143" s="17"/>
      <c r="I143" s="12"/>
      <c r="J143" s="11"/>
      <c r="K143" s="17"/>
      <c r="L143" s="12"/>
      <c r="M143" s="11"/>
      <c r="N143" s="17"/>
      <c r="O143" s="12"/>
      <c r="P143" s="11"/>
      <c r="Q143" s="17"/>
      <c r="R143" s="12"/>
      <c r="S143" s="11"/>
      <c r="T143" s="17"/>
      <c r="V143" s="112">
        <f t="shared" si="11"/>
        <v>0</v>
      </c>
      <c r="W143" s="112">
        <f t="shared" si="12"/>
        <v>0</v>
      </c>
    </row>
    <row r="144" spans="1:23" x14ac:dyDescent="0.25">
      <c r="A144" s="12"/>
      <c r="B144" s="11"/>
      <c r="C144" s="8"/>
      <c r="D144" s="19"/>
      <c r="E144" s="8"/>
      <c r="F144" s="8"/>
      <c r="G144" s="12"/>
      <c r="H144" s="17"/>
      <c r="I144" s="12"/>
      <c r="J144" s="11"/>
      <c r="K144" s="17"/>
      <c r="L144" s="12"/>
      <c r="M144" s="11"/>
      <c r="N144" s="17"/>
      <c r="O144" s="12"/>
      <c r="P144" s="11"/>
      <c r="Q144" s="17"/>
      <c r="R144" s="12"/>
      <c r="S144" s="11"/>
      <c r="T144" s="17"/>
      <c r="V144" s="112">
        <f t="shared" si="11"/>
        <v>0</v>
      </c>
      <c r="W144" s="112">
        <f t="shared" si="12"/>
        <v>0</v>
      </c>
    </row>
    <row r="145" spans="1:23" x14ac:dyDescent="0.25">
      <c r="A145" s="12"/>
      <c r="B145" s="11"/>
      <c r="C145" s="8"/>
      <c r="D145" s="19"/>
      <c r="E145" s="8"/>
      <c r="F145" s="8"/>
      <c r="G145" s="12"/>
      <c r="H145" s="17"/>
      <c r="I145" s="12"/>
      <c r="J145" s="11"/>
      <c r="K145" s="17"/>
      <c r="L145" s="12"/>
      <c r="M145" s="11"/>
      <c r="N145" s="17"/>
      <c r="O145" s="12"/>
      <c r="P145" s="11"/>
      <c r="Q145" s="17"/>
      <c r="R145" s="12"/>
      <c r="S145" s="11"/>
      <c r="T145" s="17"/>
      <c r="V145" s="112">
        <f t="shared" si="11"/>
        <v>0</v>
      </c>
      <c r="W145" s="112">
        <f t="shared" si="12"/>
        <v>0</v>
      </c>
    </row>
    <row r="146" spans="1:23" x14ac:dyDescent="0.25">
      <c r="A146" s="12"/>
      <c r="B146" s="11"/>
      <c r="C146" s="8"/>
      <c r="D146" s="19"/>
      <c r="E146" s="8"/>
      <c r="F146" s="8"/>
      <c r="G146" s="12"/>
      <c r="H146" s="17"/>
      <c r="I146" s="12"/>
      <c r="J146" s="11"/>
      <c r="K146" s="17"/>
      <c r="L146" s="12"/>
      <c r="M146" s="11"/>
      <c r="N146" s="17"/>
      <c r="O146" s="12"/>
      <c r="P146" s="11"/>
      <c r="Q146" s="17"/>
      <c r="R146" s="12"/>
      <c r="S146" s="11"/>
      <c r="T146" s="17"/>
      <c r="V146" s="112">
        <f t="shared" si="11"/>
        <v>0</v>
      </c>
      <c r="W146" s="112">
        <f t="shared" si="12"/>
        <v>0</v>
      </c>
    </row>
    <row r="147" spans="1:23" x14ac:dyDescent="0.25">
      <c r="A147" s="12"/>
      <c r="B147" s="11"/>
      <c r="C147" s="8"/>
      <c r="D147" s="19"/>
      <c r="E147" s="8"/>
      <c r="F147" s="8"/>
      <c r="G147" s="12"/>
      <c r="H147" s="17"/>
      <c r="I147" s="12"/>
      <c r="J147" s="11"/>
      <c r="K147" s="17"/>
      <c r="L147" s="12"/>
      <c r="M147" s="11"/>
      <c r="N147" s="17"/>
      <c r="O147" s="12"/>
      <c r="P147" s="11"/>
      <c r="Q147" s="17"/>
      <c r="R147" s="12"/>
      <c r="S147" s="11"/>
      <c r="T147" s="17"/>
      <c r="V147" s="112">
        <f t="shared" si="11"/>
        <v>0</v>
      </c>
      <c r="W147" s="112">
        <f t="shared" si="12"/>
        <v>0</v>
      </c>
    </row>
    <row r="148" spans="1:23" x14ac:dyDescent="0.25">
      <c r="A148" s="12"/>
      <c r="B148" s="11"/>
      <c r="C148" s="8"/>
      <c r="D148" s="19"/>
      <c r="E148" s="8"/>
      <c r="F148" s="8"/>
      <c r="G148" s="12"/>
      <c r="H148" s="17"/>
      <c r="I148" s="12"/>
      <c r="J148" s="11"/>
      <c r="K148" s="17"/>
      <c r="L148" s="12"/>
      <c r="M148" s="11"/>
      <c r="N148" s="17"/>
      <c r="O148" s="12"/>
      <c r="P148" s="11"/>
      <c r="Q148" s="17"/>
      <c r="R148" s="12"/>
      <c r="S148" s="11"/>
      <c r="T148" s="17"/>
      <c r="V148" s="112">
        <f t="shared" si="11"/>
        <v>0</v>
      </c>
      <c r="W148" s="112">
        <f t="shared" si="12"/>
        <v>0</v>
      </c>
    </row>
    <row r="149" spans="1:23" x14ac:dyDescent="0.25">
      <c r="A149" s="12"/>
      <c r="B149" s="11"/>
      <c r="C149" s="8"/>
      <c r="D149" s="19"/>
      <c r="E149" s="8"/>
      <c r="F149" s="8"/>
      <c r="G149" s="12"/>
      <c r="H149" s="17"/>
      <c r="I149" s="12"/>
      <c r="J149" s="11"/>
      <c r="K149" s="17"/>
      <c r="L149" s="12"/>
      <c r="M149" s="11"/>
      <c r="N149" s="17"/>
      <c r="O149" s="12"/>
      <c r="P149" s="11"/>
      <c r="Q149" s="17"/>
      <c r="R149" s="12"/>
      <c r="S149" s="11"/>
      <c r="T149" s="17"/>
      <c r="V149" s="112">
        <f t="shared" si="11"/>
        <v>0</v>
      </c>
      <c r="W149" s="112">
        <f t="shared" si="12"/>
        <v>0</v>
      </c>
    </row>
    <row r="150" spans="1:23" x14ac:dyDescent="0.25">
      <c r="A150" s="12"/>
      <c r="B150" s="11"/>
      <c r="C150" s="8"/>
      <c r="D150" s="19"/>
      <c r="E150" s="8"/>
      <c r="F150" s="8"/>
      <c r="G150" s="12"/>
      <c r="H150" s="17"/>
      <c r="I150" s="12"/>
      <c r="J150" s="11"/>
      <c r="K150" s="17"/>
      <c r="L150" s="12"/>
      <c r="M150" s="11"/>
      <c r="N150" s="17"/>
      <c r="O150" s="12"/>
      <c r="P150" s="11"/>
      <c r="Q150" s="17"/>
      <c r="R150" s="12"/>
      <c r="S150" s="11"/>
      <c r="T150" s="17"/>
      <c r="V150" s="112">
        <f t="shared" si="11"/>
        <v>0</v>
      </c>
      <c r="W150" s="112">
        <f t="shared" si="12"/>
        <v>0</v>
      </c>
    </row>
    <row r="151" spans="1:23" x14ac:dyDescent="0.25">
      <c r="A151" s="12"/>
      <c r="B151" s="11"/>
      <c r="C151" s="8"/>
      <c r="D151" s="19"/>
      <c r="E151" s="8"/>
      <c r="F151" s="8"/>
      <c r="G151" s="12"/>
      <c r="H151" s="17"/>
      <c r="I151" s="12"/>
      <c r="J151" s="11"/>
      <c r="K151" s="17"/>
      <c r="L151" s="12"/>
      <c r="M151" s="11"/>
      <c r="N151" s="17"/>
      <c r="O151" s="12"/>
      <c r="P151" s="11"/>
      <c r="Q151" s="17"/>
      <c r="R151" s="12"/>
      <c r="S151" s="11"/>
      <c r="T151" s="17"/>
      <c r="V151" s="112">
        <f t="shared" si="11"/>
        <v>0</v>
      </c>
      <c r="W151" s="112">
        <f t="shared" si="12"/>
        <v>0</v>
      </c>
    </row>
    <row r="152" spans="1:23" x14ac:dyDescent="0.25">
      <c r="A152" s="12"/>
      <c r="B152" s="11"/>
      <c r="C152" s="8"/>
      <c r="D152" s="19"/>
      <c r="E152" s="8"/>
      <c r="F152" s="8"/>
      <c r="G152" s="12"/>
      <c r="H152" s="17"/>
      <c r="I152" s="12"/>
      <c r="J152" s="11"/>
      <c r="K152" s="17"/>
      <c r="L152" s="12"/>
      <c r="M152" s="11"/>
      <c r="N152" s="17"/>
      <c r="O152" s="12"/>
      <c r="P152" s="11"/>
      <c r="Q152" s="17"/>
      <c r="R152" s="12"/>
      <c r="S152" s="11"/>
      <c r="T152" s="17"/>
      <c r="V152" s="112">
        <f t="shared" si="11"/>
        <v>0</v>
      </c>
      <c r="W152" s="112">
        <f t="shared" si="12"/>
        <v>0</v>
      </c>
    </row>
    <row r="153" spans="1:23" x14ac:dyDescent="0.25">
      <c r="A153" s="12"/>
      <c r="B153" s="11"/>
      <c r="C153" s="8"/>
      <c r="D153" s="19"/>
      <c r="E153" s="8"/>
      <c r="F153" s="8"/>
      <c r="G153" s="12"/>
      <c r="H153" s="17"/>
      <c r="I153" s="12"/>
      <c r="J153" s="11"/>
      <c r="K153" s="17"/>
      <c r="L153" s="12"/>
      <c r="M153" s="11"/>
      <c r="N153" s="17"/>
      <c r="O153" s="12"/>
      <c r="P153" s="11"/>
      <c r="Q153" s="17"/>
      <c r="R153" s="12"/>
      <c r="S153" s="11"/>
      <c r="T153" s="17"/>
      <c r="V153" s="112">
        <f t="shared" si="11"/>
        <v>0</v>
      </c>
      <c r="W153" s="112">
        <f t="shared" si="12"/>
        <v>0</v>
      </c>
    </row>
    <row r="154" spans="1:23" x14ac:dyDescent="0.25">
      <c r="A154" s="12"/>
      <c r="B154" s="11"/>
      <c r="C154" s="8"/>
      <c r="D154" s="19"/>
      <c r="E154" s="8"/>
      <c r="F154" s="8"/>
      <c r="G154" s="12"/>
      <c r="H154" s="17"/>
      <c r="I154" s="12"/>
      <c r="J154" s="11"/>
      <c r="K154" s="17"/>
      <c r="L154" s="12"/>
      <c r="M154" s="11"/>
      <c r="N154" s="17"/>
      <c r="O154" s="12"/>
      <c r="P154" s="11"/>
      <c r="Q154" s="17"/>
      <c r="R154" s="12"/>
      <c r="S154" s="11"/>
      <c r="T154" s="17"/>
      <c r="V154" s="112">
        <f t="shared" si="11"/>
        <v>0</v>
      </c>
      <c r="W154" s="112">
        <f t="shared" si="12"/>
        <v>0</v>
      </c>
    </row>
    <row r="155" spans="1:23" x14ac:dyDescent="0.25">
      <c r="A155" s="12"/>
      <c r="B155" s="11"/>
      <c r="C155" s="8"/>
      <c r="D155" s="19"/>
      <c r="E155" s="8"/>
      <c r="F155" s="8"/>
      <c r="G155" s="12"/>
      <c r="H155" s="17"/>
      <c r="I155" s="12"/>
      <c r="J155" s="11"/>
      <c r="K155" s="17"/>
      <c r="L155" s="12"/>
      <c r="M155" s="11"/>
      <c r="N155" s="17"/>
      <c r="O155" s="12"/>
      <c r="P155" s="11"/>
      <c r="Q155" s="17"/>
      <c r="R155" s="12"/>
      <c r="S155" s="11"/>
      <c r="T155" s="17"/>
      <c r="V155" s="112">
        <f t="shared" si="11"/>
        <v>0</v>
      </c>
      <c r="W155" s="112">
        <f t="shared" si="12"/>
        <v>0</v>
      </c>
    </row>
    <row r="156" spans="1:23" x14ac:dyDescent="0.25">
      <c r="A156" s="12"/>
      <c r="B156" s="11"/>
      <c r="C156" s="8"/>
      <c r="D156" s="19"/>
      <c r="E156" s="8"/>
      <c r="F156" s="8"/>
      <c r="G156" s="12"/>
      <c r="H156" s="17"/>
      <c r="I156" s="12"/>
      <c r="J156" s="11"/>
      <c r="K156" s="17"/>
      <c r="L156" s="12"/>
      <c r="M156" s="11"/>
      <c r="N156" s="17"/>
      <c r="O156" s="12"/>
      <c r="P156" s="11"/>
      <c r="Q156" s="17"/>
      <c r="R156" s="12"/>
      <c r="S156" s="11"/>
      <c r="T156" s="17"/>
      <c r="V156" s="112">
        <f t="shared" si="11"/>
        <v>0</v>
      </c>
      <c r="W156" s="112">
        <f t="shared" si="12"/>
        <v>0</v>
      </c>
    </row>
    <row r="157" spans="1:23" x14ac:dyDescent="0.25">
      <c r="A157" s="12"/>
      <c r="B157" s="11"/>
      <c r="C157" s="8"/>
      <c r="D157" s="19"/>
      <c r="E157" s="8"/>
      <c r="F157" s="8"/>
      <c r="G157" s="12"/>
      <c r="H157" s="17"/>
      <c r="I157" s="12"/>
      <c r="J157" s="11"/>
      <c r="K157" s="17"/>
      <c r="L157" s="12"/>
      <c r="M157" s="11"/>
      <c r="N157" s="17"/>
      <c r="O157" s="12"/>
      <c r="P157" s="11"/>
      <c r="Q157" s="17"/>
      <c r="R157" s="12"/>
      <c r="S157" s="11"/>
      <c r="T157" s="17"/>
      <c r="V157" s="112">
        <f t="shared" si="11"/>
        <v>0</v>
      </c>
      <c r="W157" s="112">
        <f t="shared" si="12"/>
        <v>0</v>
      </c>
    </row>
    <row r="158" spans="1:23" x14ac:dyDescent="0.25">
      <c r="A158" s="12"/>
      <c r="B158" s="11"/>
      <c r="C158" s="8"/>
      <c r="D158" s="19"/>
      <c r="E158" s="8"/>
      <c r="F158" s="8"/>
      <c r="G158" s="12"/>
      <c r="H158" s="17"/>
      <c r="I158" s="12"/>
      <c r="J158" s="11"/>
      <c r="K158" s="17"/>
      <c r="L158" s="12"/>
      <c r="M158" s="11"/>
      <c r="N158" s="17"/>
      <c r="O158" s="12"/>
      <c r="P158" s="11"/>
      <c r="Q158" s="17"/>
      <c r="R158" s="12"/>
      <c r="S158" s="11"/>
      <c r="T158" s="17"/>
      <c r="V158" s="112">
        <f t="shared" si="11"/>
        <v>0</v>
      </c>
      <c r="W158" s="112">
        <f t="shared" si="12"/>
        <v>0</v>
      </c>
    </row>
    <row r="159" spans="1:23" x14ac:dyDescent="0.25">
      <c r="A159" s="12"/>
      <c r="B159" s="11"/>
      <c r="C159" s="8"/>
      <c r="D159" s="19"/>
      <c r="E159" s="8"/>
      <c r="F159" s="8"/>
      <c r="G159" s="12"/>
      <c r="H159" s="17"/>
      <c r="I159" s="12"/>
      <c r="J159" s="11"/>
      <c r="K159" s="17"/>
      <c r="L159" s="12"/>
      <c r="M159" s="11"/>
      <c r="N159" s="17"/>
      <c r="O159" s="12"/>
      <c r="P159" s="11"/>
      <c r="Q159" s="17"/>
      <c r="R159" s="12"/>
      <c r="S159" s="11"/>
      <c r="T159" s="17"/>
      <c r="V159" s="112">
        <f t="shared" si="11"/>
        <v>0</v>
      </c>
      <c r="W159" s="112">
        <f t="shared" si="12"/>
        <v>0</v>
      </c>
    </row>
    <row r="160" spans="1:23" x14ac:dyDescent="0.25">
      <c r="A160" s="12"/>
      <c r="B160" s="11"/>
      <c r="C160" s="8"/>
      <c r="D160" s="19"/>
      <c r="E160" s="8"/>
      <c r="F160" s="8"/>
      <c r="G160" s="12"/>
      <c r="H160" s="17"/>
      <c r="I160" s="12"/>
      <c r="J160" s="11"/>
      <c r="K160" s="17"/>
      <c r="L160" s="12"/>
      <c r="M160" s="11"/>
      <c r="N160" s="17"/>
      <c r="O160" s="12"/>
      <c r="P160" s="11"/>
      <c r="Q160" s="17"/>
      <c r="R160" s="12"/>
      <c r="S160" s="11"/>
      <c r="T160" s="17"/>
      <c r="V160" s="112">
        <f t="shared" si="11"/>
        <v>0</v>
      </c>
      <c r="W160" s="112">
        <f t="shared" si="12"/>
        <v>0</v>
      </c>
    </row>
    <row r="161" spans="1:23" x14ac:dyDescent="0.25">
      <c r="A161" s="12"/>
      <c r="B161" s="11"/>
      <c r="C161" s="8"/>
      <c r="D161" s="19"/>
      <c r="E161" s="8"/>
      <c r="F161" s="8"/>
      <c r="G161" s="12"/>
      <c r="H161" s="17"/>
      <c r="I161" s="12"/>
      <c r="J161" s="11"/>
      <c r="K161" s="17"/>
      <c r="L161" s="12"/>
      <c r="M161" s="11"/>
      <c r="N161" s="17"/>
      <c r="O161" s="12"/>
      <c r="P161" s="11"/>
      <c r="Q161" s="17"/>
      <c r="R161" s="12"/>
      <c r="S161" s="11"/>
      <c r="T161" s="17"/>
      <c r="V161" s="112">
        <f t="shared" si="11"/>
        <v>0</v>
      </c>
      <c r="W161" s="112">
        <f t="shared" si="12"/>
        <v>0</v>
      </c>
    </row>
    <row r="162" spans="1:23" x14ac:dyDescent="0.25">
      <c r="A162" s="12"/>
      <c r="B162" s="11"/>
      <c r="C162" s="8"/>
      <c r="D162" s="19"/>
      <c r="E162" s="8"/>
      <c r="F162" s="8"/>
      <c r="G162" s="12"/>
      <c r="H162" s="17"/>
      <c r="I162" s="12"/>
      <c r="J162" s="11"/>
      <c r="K162" s="17"/>
      <c r="L162" s="12"/>
      <c r="M162" s="11"/>
      <c r="N162" s="17"/>
      <c r="O162" s="12"/>
      <c r="P162" s="11"/>
      <c r="Q162" s="17"/>
      <c r="R162" s="12"/>
      <c r="S162" s="11"/>
      <c r="T162" s="17"/>
      <c r="V162" s="112">
        <f t="shared" si="11"/>
        <v>0</v>
      </c>
      <c r="W162" s="112">
        <f t="shared" si="12"/>
        <v>0</v>
      </c>
    </row>
    <row r="163" spans="1:23" x14ac:dyDescent="0.25">
      <c r="A163" s="12"/>
      <c r="B163" s="11"/>
      <c r="C163" s="8"/>
      <c r="D163" s="19"/>
      <c r="E163" s="8"/>
      <c r="F163" s="8"/>
      <c r="G163" s="12"/>
      <c r="H163" s="17"/>
      <c r="I163" s="12"/>
      <c r="J163" s="11"/>
      <c r="K163" s="17"/>
      <c r="L163" s="12"/>
      <c r="M163" s="11"/>
      <c r="N163" s="17"/>
      <c r="O163" s="12"/>
      <c r="P163" s="11"/>
      <c r="Q163" s="17"/>
      <c r="R163" s="12"/>
      <c r="S163" s="11"/>
      <c r="T163" s="17"/>
      <c r="V163" s="112">
        <f t="shared" si="11"/>
        <v>0</v>
      </c>
      <c r="W163" s="112">
        <f t="shared" si="12"/>
        <v>0</v>
      </c>
    </row>
    <row r="164" spans="1:23" x14ac:dyDescent="0.25">
      <c r="A164" s="12"/>
      <c r="B164" s="11"/>
      <c r="C164" s="8"/>
      <c r="D164" s="19"/>
      <c r="E164" s="8"/>
      <c r="F164" s="8"/>
      <c r="G164" s="12"/>
      <c r="H164" s="17"/>
      <c r="I164" s="12"/>
      <c r="J164" s="11"/>
      <c r="K164" s="17"/>
      <c r="L164" s="12"/>
      <c r="M164" s="11"/>
      <c r="N164" s="17"/>
      <c r="O164" s="12"/>
      <c r="P164" s="11"/>
      <c r="Q164" s="17"/>
      <c r="R164" s="12"/>
      <c r="S164" s="11"/>
      <c r="T164" s="17"/>
      <c r="V164" s="112">
        <f t="shared" si="11"/>
        <v>0</v>
      </c>
      <c r="W164" s="112">
        <f t="shared" si="12"/>
        <v>0</v>
      </c>
    </row>
    <row r="165" spans="1:23" x14ac:dyDescent="0.25">
      <c r="A165" s="12"/>
      <c r="B165" s="11"/>
      <c r="C165" s="8"/>
      <c r="D165" s="19"/>
      <c r="E165" s="8"/>
      <c r="F165" s="8"/>
      <c r="G165" s="12"/>
      <c r="H165" s="17"/>
      <c r="I165" s="12"/>
      <c r="J165" s="11"/>
      <c r="K165" s="17"/>
      <c r="L165" s="12"/>
      <c r="M165" s="11"/>
      <c r="N165" s="17"/>
      <c r="O165" s="12"/>
      <c r="P165" s="11"/>
      <c r="Q165" s="17"/>
      <c r="R165" s="12"/>
      <c r="S165" s="11"/>
      <c r="T165" s="17"/>
      <c r="V165" s="112">
        <f t="shared" si="11"/>
        <v>0</v>
      </c>
      <c r="W165" s="112">
        <f t="shared" si="12"/>
        <v>0</v>
      </c>
    </row>
    <row r="166" spans="1:23" x14ac:dyDescent="0.25">
      <c r="A166" s="12"/>
      <c r="B166" s="11"/>
      <c r="C166" s="8"/>
      <c r="D166" s="19"/>
      <c r="E166" s="8"/>
      <c r="F166" s="8"/>
      <c r="G166" s="12"/>
      <c r="H166" s="17"/>
      <c r="I166" s="12"/>
      <c r="J166" s="11"/>
      <c r="K166" s="17"/>
      <c r="L166" s="12"/>
      <c r="M166" s="11"/>
      <c r="N166" s="17"/>
      <c r="O166" s="12"/>
      <c r="P166" s="11"/>
      <c r="Q166" s="17"/>
      <c r="R166" s="12"/>
      <c r="S166" s="11"/>
      <c r="T166" s="17"/>
      <c r="V166" s="112">
        <f t="shared" si="11"/>
        <v>0</v>
      </c>
      <c r="W166" s="112">
        <f t="shared" si="12"/>
        <v>0</v>
      </c>
    </row>
    <row r="167" spans="1:23" x14ac:dyDescent="0.25">
      <c r="A167" s="12"/>
      <c r="B167" s="11"/>
      <c r="C167" s="8"/>
      <c r="D167" s="19"/>
      <c r="E167" s="8"/>
      <c r="F167" s="8"/>
      <c r="G167" s="12"/>
      <c r="H167" s="17"/>
      <c r="I167" s="12"/>
      <c r="J167" s="11"/>
      <c r="K167" s="17"/>
      <c r="L167" s="12"/>
      <c r="M167" s="11"/>
      <c r="N167" s="17"/>
      <c r="O167" s="12"/>
      <c r="P167" s="11"/>
      <c r="Q167" s="17"/>
      <c r="R167" s="12"/>
      <c r="S167" s="11"/>
      <c r="T167" s="17"/>
      <c r="V167" s="112">
        <f t="shared" si="11"/>
        <v>0</v>
      </c>
      <c r="W167" s="112">
        <f t="shared" si="12"/>
        <v>0</v>
      </c>
    </row>
    <row r="168" spans="1:23" x14ac:dyDescent="0.25">
      <c r="A168" s="12"/>
      <c r="B168" s="11"/>
      <c r="C168" s="8"/>
      <c r="D168" s="19"/>
      <c r="E168" s="8"/>
      <c r="F168" s="8"/>
      <c r="G168" s="12"/>
      <c r="H168" s="17"/>
      <c r="I168" s="12"/>
      <c r="J168" s="11"/>
      <c r="K168" s="17"/>
      <c r="L168" s="12"/>
      <c r="M168" s="11"/>
      <c r="N168" s="17"/>
      <c r="O168" s="12"/>
      <c r="P168" s="11"/>
      <c r="Q168" s="17"/>
      <c r="R168" s="12"/>
      <c r="S168" s="11"/>
      <c r="T168" s="17"/>
      <c r="V168" s="112">
        <f t="shared" si="11"/>
        <v>0</v>
      </c>
      <c r="W168" s="112">
        <f t="shared" si="12"/>
        <v>0</v>
      </c>
    </row>
    <row r="169" spans="1:23" x14ac:dyDescent="0.25">
      <c r="A169" s="12"/>
      <c r="B169" s="11"/>
      <c r="C169" s="8"/>
      <c r="D169" s="19"/>
      <c r="E169" s="8"/>
      <c r="F169" s="8"/>
      <c r="G169" s="12"/>
      <c r="H169" s="17"/>
      <c r="I169" s="12"/>
      <c r="J169" s="11"/>
      <c r="K169" s="17"/>
      <c r="L169" s="12"/>
      <c r="M169" s="11"/>
      <c r="N169" s="17"/>
      <c r="O169" s="12"/>
      <c r="P169" s="11"/>
      <c r="Q169" s="17"/>
      <c r="R169" s="12"/>
      <c r="S169" s="11"/>
      <c r="T169" s="17"/>
      <c r="V169" s="112">
        <f t="shared" ref="V169:V194" si="13">J169-P169</f>
        <v>0</v>
      </c>
      <c r="W169" s="112">
        <f t="shared" ref="W169:W194" si="14">$M169-$S169</f>
        <v>0</v>
      </c>
    </row>
    <row r="170" spans="1:23" x14ac:dyDescent="0.25">
      <c r="A170" s="12"/>
      <c r="B170" s="11"/>
      <c r="C170" s="8"/>
      <c r="D170" s="19"/>
      <c r="E170" s="8"/>
      <c r="F170" s="8"/>
      <c r="G170" s="12"/>
      <c r="H170" s="17"/>
      <c r="I170" s="12"/>
      <c r="J170" s="11"/>
      <c r="K170" s="17"/>
      <c r="L170" s="12"/>
      <c r="M170" s="11"/>
      <c r="N170" s="17"/>
      <c r="O170" s="12"/>
      <c r="P170" s="11"/>
      <c r="Q170" s="17"/>
      <c r="R170" s="12"/>
      <c r="S170" s="11"/>
      <c r="T170" s="17"/>
      <c r="V170" s="112">
        <f t="shared" si="13"/>
        <v>0</v>
      </c>
      <c r="W170" s="112">
        <f t="shared" si="14"/>
        <v>0</v>
      </c>
    </row>
    <row r="171" spans="1:23" x14ac:dyDescent="0.25">
      <c r="A171" s="12"/>
      <c r="B171" s="11"/>
      <c r="C171" s="8"/>
      <c r="D171" s="19"/>
      <c r="E171" s="8"/>
      <c r="F171" s="8"/>
      <c r="G171" s="12"/>
      <c r="H171" s="17"/>
      <c r="I171" s="12"/>
      <c r="J171" s="11"/>
      <c r="K171" s="17"/>
      <c r="L171" s="12"/>
      <c r="M171" s="11"/>
      <c r="N171" s="17"/>
      <c r="O171" s="12"/>
      <c r="P171" s="11"/>
      <c r="Q171" s="17"/>
      <c r="R171" s="12"/>
      <c r="S171" s="11"/>
      <c r="T171" s="17"/>
      <c r="V171" s="112">
        <f t="shared" si="13"/>
        <v>0</v>
      </c>
      <c r="W171" s="112">
        <f t="shared" si="14"/>
        <v>0</v>
      </c>
    </row>
    <row r="172" spans="1:23" x14ac:dyDescent="0.25">
      <c r="A172" s="12"/>
      <c r="B172" s="11"/>
      <c r="C172" s="8"/>
      <c r="D172" s="19"/>
      <c r="E172" s="8"/>
      <c r="F172" s="8"/>
      <c r="G172" s="12"/>
      <c r="H172" s="17"/>
      <c r="I172" s="12"/>
      <c r="J172" s="11"/>
      <c r="K172" s="17"/>
      <c r="L172" s="12"/>
      <c r="M172" s="11"/>
      <c r="N172" s="17"/>
      <c r="O172" s="12"/>
      <c r="P172" s="11"/>
      <c r="Q172" s="17"/>
      <c r="R172" s="12"/>
      <c r="S172" s="11"/>
      <c r="T172" s="17"/>
      <c r="V172" s="112">
        <f t="shared" si="13"/>
        <v>0</v>
      </c>
      <c r="W172" s="112">
        <f t="shared" si="14"/>
        <v>0</v>
      </c>
    </row>
    <row r="173" spans="1:23" x14ac:dyDescent="0.25">
      <c r="A173" s="12"/>
      <c r="B173" s="11"/>
      <c r="C173" s="8"/>
      <c r="D173" s="19"/>
      <c r="E173" s="8"/>
      <c r="F173" s="8"/>
      <c r="G173" s="12"/>
      <c r="H173" s="17"/>
      <c r="I173" s="12"/>
      <c r="J173" s="11"/>
      <c r="K173" s="17"/>
      <c r="L173" s="12"/>
      <c r="M173" s="11"/>
      <c r="N173" s="17"/>
      <c r="O173" s="12"/>
      <c r="P173" s="11"/>
      <c r="Q173" s="17"/>
      <c r="R173" s="12"/>
      <c r="S173" s="11"/>
      <c r="T173" s="17"/>
      <c r="V173" s="112">
        <f t="shared" si="13"/>
        <v>0</v>
      </c>
      <c r="W173" s="112">
        <f t="shared" si="14"/>
        <v>0</v>
      </c>
    </row>
    <row r="174" spans="1:23" x14ac:dyDescent="0.25">
      <c r="A174" s="12"/>
      <c r="B174" s="11"/>
      <c r="C174" s="8"/>
      <c r="D174" s="19"/>
      <c r="E174" s="8"/>
      <c r="F174" s="8"/>
      <c r="G174" s="12"/>
      <c r="H174" s="17"/>
      <c r="I174" s="12"/>
      <c r="J174" s="11"/>
      <c r="K174" s="17"/>
      <c r="L174" s="12"/>
      <c r="M174" s="11"/>
      <c r="N174" s="17"/>
      <c r="O174" s="12"/>
      <c r="P174" s="11"/>
      <c r="Q174" s="17"/>
      <c r="R174" s="12"/>
      <c r="S174" s="11"/>
      <c r="T174" s="17"/>
      <c r="V174" s="112">
        <f t="shared" si="13"/>
        <v>0</v>
      </c>
      <c r="W174" s="112">
        <f t="shared" si="14"/>
        <v>0</v>
      </c>
    </row>
    <row r="175" spans="1:23" x14ac:dyDescent="0.25">
      <c r="A175" s="12"/>
      <c r="B175" s="11"/>
      <c r="C175" s="8"/>
      <c r="D175" s="19"/>
      <c r="E175" s="8"/>
      <c r="F175" s="8"/>
      <c r="G175" s="12"/>
      <c r="H175" s="17"/>
      <c r="I175" s="12"/>
      <c r="J175" s="11"/>
      <c r="K175" s="17"/>
      <c r="L175" s="12"/>
      <c r="M175" s="11"/>
      <c r="N175" s="17"/>
      <c r="O175" s="12"/>
      <c r="P175" s="11"/>
      <c r="Q175" s="17"/>
      <c r="R175" s="12"/>
      <c r="S175" s="11"/>
      <c r="T175" s="17"/>
      <c r="V175" s="112">
        <f t="shared" si="13"/>
        <v>0</v>
      </c>
      <c r="W175" s="112">
        <f t="shared" si="14"/>
        <v>0</v>
      </c>
    </row>
    <row r="176" spans="1:23" x14ac:dyDescent="0.25">
      <c r="A176" s="12"/>
      <c r="B176" s="11"/>
      <c r="C176" s="8"/>
      <c r="D176" s="19"/>
      <c r="E176" s="8"/>
      <c r="F176" s="8"/>
      <c r="G176" s="12"/>
      <c r="H176" s="17"/>
      <c r="I176" s="12"/>
      <c r="J176" s="11"/>
      <c r="K176" s="17"/>
      <c r="L176" s="12"/>
      <c r="M176" s="11"/>
      <c r="N176" s="17"/>
      <c r="O176" s="12"/>
      <c r="P176" s="11"/>
      <c r="Q176" s="17"/>
      <c r="R176" s="12"/>
      <c r="S176" s="11"/>
      <c r="T176" s="17"/>
      <c r="V176" s="112">
        <f t="shared" si="13"/>
        <v>0</v>
      </c>
      <c r="W176" s="112">
        <f t="shared" si="14"/>
        <v>0</v>
      </c>
    </row>
    <row r="177" spans="1:23" x14ac:dyDescent="0.25">
      <c r="A177" s="12"/>
      <c r="B177" s="11"/>
      <c r="C177" s="8"/>
      <c r="D177" s="19"/>
      <c r="E177" s="8"/>
      <c r="F177" s="8"/>
      <c r="G177" s="12"/>
      <c r="H177" s="17"/>
      <c r="I177" s="12"/>
      <c r="J177" s="11"/>
      <c r="K177" s="17"/>
      <c r="L177" s="12"/>
      <c r="M177" s="11"/>
      <c r="N177" s="17"/>
      <c r="O177" s="12"/>
      <c r="P177" s="11"/>
      <c r="Q177" s="17"/>
      <c r="R177" s="12"/>
      <c r="S177" s="11"/>
      <c r="T177" s="17"/>
      <c r="V177" s="112">
        <f t="shared" si="13"/>
        <v>0</v>
      </c>
      <c r="W177" s="112">
        <f t="shared" si="14"/>
        <v>0</v>
      </c>
    </row>
    <row r="178" spans="1:23" x14ac:dyDescent="0.25">
      <c r="A178" s="12"/>
      <c r="B178" s="11"/>
      <c r="C178" s="8"/>
      <c r="D178" s="19"/>
      <c r="E178" s="8"/>
      <c r="F178" s="8"/>
      <c r="G178" s="12"/>
      <c r="H178" s="17"/>
      <c r="I178" s="12"/>
      <c r="J178" s="11"/>
      <c r="K178" s="17"/>
      <c r="L178" s="12"/>
      <c r="M178" s="11"/>
      <c r="N178" s="17"/>
      <c r="O178" s="12"/>
      <c r="P178" s="11"/>
      <c r="Q178" s="17"/>
      <c r="R178" s="12"/>
      <c r="S178" s="11"/>
      <c r="T178" s="17"/>
      <c r="V178" s="112">
        <f t="shared" si="13"/>
        <v>0</v>
      </c>
      <c r="W178" s="112">
        <f t="shared" si="14"/>
        <v>0</v>
      </c>
    </row>
    <row r="179" spans="1:23" x14ac:dyDescent="0.25">
      <c r="A179" s="12"/>
      <c r="B179" s="11"/>
      <c r="C179" s="8"/>
      <c r="D179" s="19"/>
      <c r="E179" s="8"/>
      <c r="F179" s="8"/>
      <c r="G179" s="12"/>
      <c r="H179" s="17"/>
      <c r="I179" s="12"/>
      <c r="J179" s="11"/>
      <c r="K179" s="17"/>
      <c r="L179" s="12"/>
      <c r="M179" s="11"/>
      <c r="N179" s="17"/>
      <c r="O179" s="12"/>
      <c r="P179" s="11"/>
      <c r="Q179" s="17"/>
      <c r="R179" s="12"/>
      <c r="S179" s="11"/>
      <c r="T179" s="17"/>
      <c r="V179" s="112">
        <f t="shared" si="13"/>
        <v>0</v>
      </c>
      <c r="W179" s="112">
        <f t="shared" si="14"/>
        <v>0</v>
      </c>
    </row>
    <row r="180" spans="1:23" x14ac:dyDescent="0.25">
      <c r="A180" s="12"/>
      <c r="B180" s="11"/>
      <c r="C180" s="8"/>
      <c r="D180" s="19"/>
      <c r="E180" s="8"/>
      <c r="F180" s="8"/>
      <c r="G180" s="12"/>
      <c r="H180" s="17"/>
      <c r="I180" s="12"/>
      <c r="J180" s="11"/>
      <c r="K180" s="17"/>
      <c r="L180" s="12"/>
      <c r="M180" s="11"/>
      <c r="N180" s="17"/>
      <c r="O180" s="12"/>
      <c r="P180" s="11"/>
      <c r="Q180" s="17"/>
      <c r="R180" s="12"/>
      <c r="S180" s="11"/>
      <c r="T180" s="17"/>
      <c r="V180" s="112">
        <f t="shared" si="13"/>
        <v>0</v>
      </c>
      <c r="W180" s="112">
        <f t="shared" si="14"/>
        <v>0</v>
      </c>
    </row>
    <row r="181" spans="1:23" x14ac:dyDescent="0.25">
      <c r="A181" s="12"/>
      <c r="B181" s="11"/>
      <c r="C181" s="8"/>
      <c r="D181" s="19"/>
      <c r="E181" s="8"/>
      <c r="F181" s="8"/>
      <c r="G181" s="12"/>
      <c r="H181" s="17"/>
      <c r="I181" s="12"/>
      <c r="J181" s="11"/>
      <c r="K181" s="17"/>
      <c r="L181" s="12"/>
      <c r="M181" s="11"/>
      <c r="N181" s="17"/>
      <c r="O181" s="12"/>
      <c r="P181" s="11"/>
      <c r="Q181" s="17"/>
      <c r="R181" s="12"/>
      <c r="S181" s="11"/>
      <c r="T181" s="17"/>
      <c r="V181" s="112">
        <f t="shared" si="13"/>
        <v>0</v>
      </c>
      <c r="W181" s="112">
        <f t="shared" si="14"/>
        <v>0</v>
      </c>
    </row>
    <row r="182" spans="1:23" x14ac:dyDescent="0.25">
      <c r="A182" s="12"/>
      <c r="B182" s="11"/>
      <c r="C182" s="8"/>
      <c r="D182" s="19"/>
      <c r="E182" s="8"/>
      <c r="F182" s="8"/>
      <c r="G182" s="12"/>
      <c r="H182" s="17"/>
      <c r="I182" s="12"/>
      <c r="J182" s="11"/>
      <c r="K182" s="17"/>
      <c r="L182" s="12"/>
      <c r="M182" s="11"/>
      <c r="N182" s="17"/>
      <c r="O182" s="12"/>
      <c r="P182" s="11"/>
      <c r="Q182" s="17"/>
      <c r="R182" s="12"/>
      <c r="S182" s="11"/>
      <c r="T182" s="17"/>
      <c r="V182" s="112">
        <f t="shared" si="13"/>
        <v>0</v>
      </c>
      <c r="W182" s="112">
        <f t="shared" si="14"/>
        <v>0</v>
      </c>
    </row>
    <row r="183" spans="1:23" x14ac:dyDescent="0.25">
      <c r="A183" s="12"/>
      <c r="B183" s="11"/>
      <c r="C183" s="8"/>
      <c r="D183" s="19"/>
      <c r="E183" s="8"/>
      <c r="F183" s="8"/>
      <c r="G183" s="12"/>
      <c r="H183" s="17"/>
      <c r="I183" s="12"/>
      <c r="J183" s="11"/>
      <c r="K183" s="17"/>
      <c r="L183" s="12"/>
      <c r="M183" s="11"/>
      <c r="N183" s="17"/>
      <c r="O183" s="12"/>
      <c r="P183" s="11"/>
      <c r="Q183" s="17"/>
      <c r="R183" s="12"/>
      <c r="S183" s="11"/>
      <c r="T183" s="17"/>
      <c r="V183" s="112">
        <f t="shared" si="13"/>
        <v>0</v>
      </c>
      <c r="W183" s="112">
        <f t="shared" si="14"/>
        <v>0</v>
      </c>
    </row>
    <row r="184" spans="1:23" x14ac:dyDescent="0.25">
      <c r="A184" s="12"/>
      <c r="B184" s="11"/>
      <c r="C184" s="8"/>
      <c r="D184" s="19"/>
      <c r="E184" s="8"/>
      <c r="F184" s="8"/>
      <c r="G184" s="12"/>
      <c r="H184" s="17"/>
      <c r="I184" s="12"/>
      <c r="J184" s="11"/>
      <c r="K184" s="17"/>
      <c r="L184" s="12"/>
      <c r="M184" s="11"/>
      <c r="N184" s="17"/>
      <c r="O184" s="12"/>
      <c r="P184" s="11"/>
      <c r="Q184" s="17"/>
      <c r="R184" s="12"/>
      <c r="S184" s="11"/>
      <c r="T184" s="17"/>
      <c r="V184" s="112">
        <f t="shared" si="13"/>
        <v>0</v>
      </c>
      <c r="W184" s="112">
        <f t="shared" si="14"/>
        <v>0</v>
      </c>
    </row>
    <row r="185" spans="1:23" x14ac:dyDescent="0.25">
      <c r="A185" s="12"/>
      <c r="B185" s="11"/>
      <c r="C185" s="8"/>
      <c r="D185" s="19"/>
      <c r="E185" s="8"/>
      <c r="F185" s="8"/>
      <c r="G185" s="12"/>
      <c r="H185" s="17"/>
      <c r="I185" s="12"/>
      <c r="J185" s="11"/>
      <c r="K185" s="17"/>
      <c r="L185" s="12"/>
      <c r="M185" s="11"/>
      <c r="N185" s="17"/>
      <c r="O185" s="12"/>
      <c r="P185" s="11"/>
      <c r="Q185" s="17"/>
      <c r="R185" s="12"/>
      <c r="S185" s="11"/>
      <c r="T185" s="17"/>
      <c r="V185" s="112">
        <f t="shared" si="13"/>
        <v>0</v>
      </c>
      <c r="W185" s="112">
        <f t="shared" si="14"/>
        <v>0</v>
      </c>
    </row>
    <row r="186" spans="1:23" x14ac:dyDescent="0.25">
      <c r="A186" s="12"/>
      <c r="B186" s="11"/>
      <c r="C186" s="8"/>
      <c r="D186" s="19"/>
      <c r="E186" s="8"/>
      <c r="F186" s="8"/>
      <c r="G186" s="12"/>
      <c r="H186" s="17"/>
      <c r="I186" s="12"/>
      <c r="J186" s="11"/>
      <c r="K186" s="17"/>
      <c r="L186" s="12"/>
      <c r="M186" s="11"/>
      <c r="N186" s="17"/>
      <c r="O186" s="12"/>
      <c r="P186" s="11"/>
      <c r="Q186" s="17"/>
      <c r="R186" s="12"/>
      <c r="S186" s="11"/>
      <c r="T186" s="17"/>
      <c r="V186" s="112">
        <f t="shared" si="13"/>
        <v>0</v>
      </c>
      <c r="W186" s="112">
        <f t="shared" si="14"/>
        <v>0</v>
      </c>
    </row>
    <row r="187" spans="1:23" x14ac:dyDescent="0.25">
      <c r="A187" s="12"/>
      <c r="B187" s="11"/>
      <c r="C187" s="8"/>
      <c r="D187" s="19"/>
      <c r="E187" s="8"/>
      <c r="F187" s="8"/>
      <c r="G187" s="12"/>
      <c r="H187" s="17"/>
      <c r="I187" s="12"/>
      <c r="J187" s="11"/>
      <c r="K187" s="17"/>
      <c r="L187" s="12"/>
      <c r="M187" s="11"/>
      <c r="N187" s="17"/>
      <c r="O187" s="12"/>
      <c r="P187" s="11"/>
      <c r="Q187" s="17"/>
      <c r="R187" s="12"/>
      <c r="S187" s="11"/>
      <c r="T187" s="17"/>
      <c r="V187" s="112">
        <f t="shared" si="13"/>
        <v>0</v>
      </c>
      <c r="W187" s="112">
        <f t="shared" si="14"/>
        <v>0</v>
      </c>
    </row>
    <row r="188" spans="1:23" x14ac:dyDescent="0.25">
      <c r="A188" s="12"/>
      <c r="B188" s="11"/>
      <c r="C188" s="8"/>
      <c r="D188" s="19"/>
      <c r="E188" s="8"/>
      <c r="F188" s="8"/>
      <c r="G188" s="12"/>
      <c r="H188" s="17"/>
      <c r="I188" s="12"/>
      <c r="J188" s="11"/>
      <c r="K188" s="17"/>
      <c r="L188" s="12"/>
      <c r="M188" s="11"/>
      <c r="N188" s="17"/>
      <c r="O188" s="12"/>
      <c r="P188" s="11"/>
      <c r="Q188" s="17"/>
      <c r="R188" s="12"/>
      <c r="S188" s="11"/>
      <c r="T188" s="17"/>
      <c r="V188" s="112">
        <f t="shared" si="13"/>
        <v>0</v>
      </c>
      <c r="W188" s="112">
        <f t="shared" si="14"/>
        <v>0</v>
      </c>
    </row>
    <row r="189" spans="1:23" x14ac:dyDescent="0.25">
      <c r="A189" s="12"/>
      <c r="B189" s="11"/>
      <c r="C189" s="8"/>
      <c r="D189" s="19"/>
      <c r="E189" s="8"/>
      <c r="F189" s="8"/>
      <c r="G189" s="12"/>
      <c r="H189" s="17"/>
      <c r="I189" s="12"/>
      <c r="J189" s="11"/>
      <c r="K189" s="17"/>
      <c r="L189" s="12"/>
      <c r="M189" s="11"/>
      <c r="N189" s="17"/>
      <c r="O189" s="12"/>
      <c r="P189" s="11"/>
      <c r="Q189" s="17"/>
      <c r="R189" s="12"/>
      <c r="S189" s="11"/>
      <c r="T189" s="17"/>
      <c r="V189" s="112">
        <f t="shared" si="13"/>
        <v>0</v>
      </c>
      <c r="W189" s="112">
        <f t="shared" si="14"/>
        <v>0</v>
      </c>
    </row>
    <row r="190" spans="1:23" x14ac:dyDescent="0.25">
      <c r="A190" s="12"/>
      <c r="B190" s="11"/>
      <c r="C190" s="8"/>
      <c r="D190" s="19"/>
      <c r="E190" s="8"/>
      <c r="F190" s="8"/>
      <c r="G190" s="12"/>
      <c r="H190" s="17"/>
      <c r="I190" s="12"/>
      <c r="J190" s="11"/>
      <c r="K190" s="17"/>
      <c r="L190" s="12"/>
      <c r="M190" s="11"/>
      <c r="N190" s="17"/>
      <c r="O190" s="12"/>
      <c r="P190" s="11"/>
      <c r="Q190" s="17"/>
      <c r="R190" s="12"/>
      <c r="S190" s="11"/>
      <c r="T190" s="17"/>
      <c r="V190" s="112">
        <f t="shared" si="13"/>
        <v>0</v>
      </c>
      <c r="W190" s="112">
        <f t="shared" si="14"/>
        <v>0</v>
      </c>
    </row>
    <row r="191" spans="1:23" x14ac:dyDescent="0.25">
      <c r="A191" s="12"/>
      <c r="B191" s="11"/>
      <c r="C191" s="8"/>
      <c r="D191" s="19"/>
      <c r="E191" s="8"/>
      <c r="F191" s="8"/>
      <c r="G191" s="12"/>
      <c r="H191" s="17"/>
      <c r="I191" s="12"/>
      <c r="J191" s="11"/>
      <c r="K191" s="17"/>
      <c r="L191" s="12"/>
      <c r="M191" s="11"/>
      <c r="N191" s="17"/>
      <c r="O191" s="12"/>
      <c r="P191" s="11"/>
      <c r="Q191" s="17"/>
      <c r="R191" s="12"/>
      <c r="S191" s="11"/>
      <c r="T191" s="17"/>
      <c r="V191" s="112">
        <f t="shared" si="13"/>
        <v>0</v>
      </c>
      <c r="W191" s="112">
        <f t="shared" si="14"/>
        <v>0</v>
      </c>
    </row>
    <row r="192" spans="1:23" x14ac:dyDescent="0.25">
      <c r="A192" s="12"/>
      <c r="B192" s="11"/>
      <c r="C192" s="8"/>
      <c r="D192" s="19"/>
      <c r="E192" s="8"/>
      <c r="F192" s="8"/>
      <c r="G192" s="12"/>
      <c r="H192" s="17"/>
      <c r="I192" s="12"/>
      <c r="J192" s="11"/>
      <c r="K192" s="17"/>
      <c r="L192" s="12"/>
      <c r="M192" s="11"/>
      <c r="N192" s="17"/>
      <c r="O192" s="12"/>
      <c r="P192" s="11"/>
      <c r="Q192" s="17"/>
      <c r="R192" s="12"/>
      <c r="S192" s="11"/>
      <c r="T192" s="17"/>
      <c r="V192" s="112">
        <f t="shared" si="13"/>
        <v>0</v>
      </c>
      <c r="W192" s="112">
        <f t="shared" si="14"/>
        <v>0</v>
      </c>
    </row>
    <row r="193" spans="1:23" x14ac:dyDescent="0.25">
      <c r="A193" s="12"/>
      <c r="B193" s="11"/>
      <c r="C193" s="8"/>
      <c r="D193" s="19"/>
      <c r="E193" s="8"/>
      <c r="F193" s="8"/>
      <c r="G193" s="12"/>
      <c r="H193" s="17"/>
      <c r="I193" s="12"/>
      <c r="J193" s="11"/>
      <c r="K193" s="17"/>
      <c r="L193" s="12"/>
      <c r="M193" s="11"/>
      <c r="N193" s="17"/>
      <c r="O193" s="12"/>
      <c r="P193" s="11"/>
      <c r="Q193" s="17"/>
      <c r="R193" s="12"/>
      <c r="S193" s="11"/>
      <c r="T193" s="17"/>
      <c r="V193" s="112">
        <f t="shared" si="13"/>
        <v>0</v>
      </c>
      <c r="W193" s="112">
        <f t="shared" si="14"/>
        <v>0</v>
      </c>
    </row>
    <row r="194" spans="1:23" ht="15" thickBot="1" x14ac:dyDescent="0.3">
      <c r="A194" s="30"/>
      <c r="B194" s="27"/>
      <c r="C194" s="37"/>
      <c r="D194" s="32"/>
      <c r="E194" s="37"/>
      <c r="F194" s="37"/>
      <c r="G194" s="30"/>
      <c r="H194" s="31"/>
      <c r="I194" s="30"/>
      <c r="J194" s="27"/>
      <c r="K194" s="31"/>
      <c r="L194" s="30"/>
      <c r="M194" s="27"/>
      <c r="N194" s="31"/>
      <c r="O194" s="30"/>
      <c r="P194" s="27"/>
      <c r="Q194" s="31"/>
      <c r="R194" s="30"/>
      <c r="S194" s="27"/>
      <c r="T194" s="31"/>
      <c r="V194" s="112">
        <f t="shared" si="13"/>
        <v>0</v>
      </c>
      <c r="W194" s="112">
        <f t="shared" si="14"/>
        <v>0</v>
      </c>
    </row>
    <row r="195" spans="1:23" ht="39.950000000000003" customHeight="1" thickBot="1" x14ac:dyDescent="0.3">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800"/>
  <sheetViews>
    <sheetView zoomScale="80" zoomScaleNormal="80" workbookViewId="0">
      <pane xSplit="3" ySplit="7" topLeftCell="D8" activePane="bottomRight" state="frozen"/>
      <selection activeCell="H7" sqref="H7:H8"/>
      <selection pane="topRight" activeCell="H7" sqref="H7:H8"/>
      <selection pane="bottomLeft" activeCell="H7" sqref="H7:H8"/>
      <selection pane="bottomRight" sqref="A1:XFD1"/>
    </sheetView>
  </sheetViews>
  <sheetFormatPr defaultColWidth="9.140625" defaultRowHeight="14.25" x14ac:dyDescent="0.25"/>
  <cols>
    <col min="1" max="2" width="25.5703125" style="112" customWidth="1"/>
    <col min="3" max="3" width="39.42578125" style="4" customWidth="1"/>
    <col min="4" max="4" width="15.5703125" style="113" customWidth="1"/>
    <col min="5" max="5" width="50.5703125" style="4" customWidth="1"/>
    <col min="6" max="6" width="15.5703125" style="4" customWidth="1"/>
    <col min="7" max="9" width="12.5703125" style="4" customWidth="1"/>
    <col min="10" max="10" width="15.5703125" style="54" customWidth="1"/>
    <col min="11" max="11" width="50.5703125" style="4" customWidth="1"/>
    <col min="12" max="13" width="15.5703125" style="112" customWidth="1"/>
    <col min="14" max="16384" width="9.140625" style="4"/>
  </cols>
  <sheetData>
    <row r="1" spans="1:14" ht="20.100000000000001" customHeight="1" x14ac:dyDescent="0.25">
      <c r="A1" s="2" t="str">
        <f>'1. Facility Information'!$B$1</f>
        <v>AQ520 Form - Version 2.0</v>
      </c>
    </row>
    <row r="2" spans="1:14" ht="20.100000000000001" customHeight="1" x14ac:dyDescent="0.25">
      <c r="A2" s="114" t="str">
        <f>IF(ISBLANK('1. Facility Information'!$B$6),"",'1. Facility Information'!$B$6)</f>
        <v>Boeing Portland</v>
      </c>
      <c r="J2" s="33"/>
    </row>
    <row r="3" spans="1:14" ht="20.100000000000001" customHeight="1" x14ac:dyDescent="0.25">
      <c r="A3" s="85" t="str">
        <f>"Source No. "&amp;IF(ISBLANK('1. Facility Information'!$B$10),"",'1. Facility Information'!$B$10)</f>
        <v>Source No. 26-2204-ST-01</v>
      </c>
      <c r="J3" s="33"/>
    </row>
    <row r="4" spans="1:14" ht="20.100000000000001" customHeight="1" x14ac:dyDescent="0.25">
      <c r="A4" s="85" t="str">
        <f>_xlfn.CONCAT("Submitted on ",IF(ISBLANK('1. Facility Information'!$B$14),"",TEXT('1. Facility Information'!$B$14,"mm/dd/yyyy")))</f>
        <v>Submitted on 02/12/2026</v>
      </c>
      <c r="D4" s="112"/>
      <c r="E4" s="112"/>
      <c r="F4" s="112"/>
      <c r="G4" s="89"/>
      <c r="H4" s="89"/>
      <c r="I4" s="89"/>
      <c r="J4" s="4"/>
      <c r="K4" s="112"/>
      <c r="N4" s="112"/>
    </row>
    <row r="5" spans="1:14" ht="15" customHeight="1" thickBot="1" x14ac:dyDescent="0.3">
      <c r="J5" s="33"/>
    </row>
    <row r="6" spans="1:14" s="159" customFormat="1" ht="39.950000000000003" customHeight="1" thickBot="1" x14ac:dyDescent="0.3">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25">
      <c r="A8" s="91" t="s">
        <v>1424</v>
      </c>
      <c r="B8" s="107"/>
      <c r="C8" s="104" t="s">
        <v>1652</v>
      </c>
      <c r="D8" s="101" t="s">
        <v>60</v>
      </c>
      <c r="E8" s="105" t="str">
        <f>IFERROR(IF(D8="No CAS","",INDEX('DEQ Pollutant List'!$B$7:$B$611,MATCH('5. Pollutant Emissions - MB'!D8,'DEQ Pollutant List'!$A$7:$A$611,0))),"")</f>
        <v>Ethyl benzene</v>
      </c>
      <c r="F8" s="99">
        <v>7.0000000000000001E-3</v>
      </c>
      <c r="G8" s="108"/>
      <c r="H8" s="109"/>
      <c r="I8" s="109"/>
      <c r="J8" s="110"/>
      <c r="K8" s="106" t="s">
        <v>1508</v>
      </c>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436.57037953646244</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25">
      <c r="A9" s="12" t="s">
        <v>1424</v>
      </c>
      <c r="B9" s="14"/>
      <c r="C9" s="20" t="s">
        <v>1652</v>
      </c>
      <c r="D9" s="13" t="s">
        <v>705</v>
      </c>
      <c r="E9" s="8" t="str">
        <f>IFERROR(IF(D9="No CAS","",INDEX('DEQ Pollutant List'!$B$7:$B$611,MATCH('5. Pollutant Emissions - MB'!D9,'DEQ Pollutant List'!$A$7:$A$611,0))),"")</f>
        <v>Ethylene glycol</v>
      </c>
      <c r="F9" s="36">
        <v>6.4122544057138428E-3</v>
      </c>
      <c r="G9" s="38"/>
      <c r="H9" s="48"/>
      <c r="I9" s="48"/>
      <c r="J9" s="40"/>
      <c r="K9" s="19" t="s">
        <v>1508</v>
      </c>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399.91433422669223</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25">
      <c r="A10" s="12" t="s">
        <v>1424</v>
      </c>
      <c r="B10" s="14"/>
      <c r="C10" s="20" t="s">
        <v>1652</v>
      </c>
      <c r="D10" s="13" t="s">
        <v>102</v>
      </c>
      <c r="E10" s="8" t="str">
        <f>IFERROR(IF(D10="No CAS","",INDEX('DEQ Pollutant List'!$B$7:$B$611,MATCH('5. Pollutant Emissions - MB'!D10,'DEQ Pollutant List'!$A$7:$A$611,0))),"")</f>
        <v>Methyl isobutyl ketone (MIBK, hexone)</v>
      </c>
      <c r="F10" s="36">
        <v>6.2300000000000001E-2</v>
      </c>
      <c r="G10" s="38"/>
      <c r="H10" s="111"/>
      <c r="I10" s="48"/>
      <c r="J10" s="40"/>
      <c r="K10" s="19" t="s">
        <v>1508</v>
      </c>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3885.4763778745155</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25">
      <c r="A11" s="12" t="s">
        <v>1424</v>
      </c>
      <c r="B11" s="14"/>
      <c r="C11" s="20" t="s">
        <v>1652</v>
      </c>
      <c r="D11" s="13" t="s">
        <v>68</v>
      </c>
      <c r="E11" s="8" t="str">
        <f>IFERROR(IF(D11="No CAS","",INDEX('DEQ Pollutant List'!$B$7:$B$611,MATCH('5. Pollutant Emissions - MB'!D11,'DEQ Pollutant List'!$A$7:$A$611,0))),"")</f>
        <v>Toluene</v>
      </c>
      <c r="F11" s="36">
        <v>8.1500000000000003E-2</v>
      </c>
      <c r="G11" s="38"/>
      <c r="H11" s="48"/>
      <c r="I11" s="48"/>
      <c r="J11" s="40"/>
      <c r="K11" s="19" t="s">
        <v>1508</v>
      </c>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5082.926561745955</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25">
      <c r="A12" s="12" t="s">
        <v>1424</v>
      </c>
      <c r="B12" s="14"/>
      <c r="C12" s="20" t="s">
        <v>1652</v>
      </c>
      <c r="D12" s="13" t="s">
        <v>711</v>
      </c>
      <c r="E12" s="8" t="str">
        <f>IFERROR(IF(D12="No CAS","",INDEX('DEQ Pollutant List'!$B$7:$B$611,MATCH('5. Pollutant Emissions - MB'!D12,'DEQ Pollutant List'!$A$7:$A$611,0))),"")</f>
        <v>Ethylene glycol monobutyl ether</v>
      </c>
      <c r="F12" s="36">
        <v>2.5499999999999998E-2</v>
      </c>
      <c r="G12" s="38"/>
      <c r="H12" s="48"/>
      <c r="I12" s="48"/>
      <c r="J12" s="40"/>
      <c r="K12" s="19" t="s">
        <v>1508</v>
      </c>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1590.3635254542558</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25">
      <c r="A13" s="12" t="s">
        <v>1424</v>
      </c>
      <c r="B13" s="14"/>
      <c r="C13" s="20" t="s">
        <v>1652</v>
      </c>
      <c r="D13" s="13" t="s">
        <v>70</v>
      </c>
      <c r="E13" s="8" t="str">
        <f>IFERROR(IF(D13="No CAS","",INDEX('DEQ Pollutant List'!$B$7:$B$611,MATCH('5. Pollutant Emissions - MB'!D13,'DEQ Pollutant List'!$A$7:$A$611,0))),"")</f>
        <v>Xylene (mixture), including m-xylene, o-xylene, p-xylene</v>
      </c>
      <c r="F13" s="36">
        <v>5.5300000000000002E-2</v>
      </c>
      <c r="G13" s="38"/>
      <c r="H13" s="48"/>
      <c r="I13" s="48"/>
      <c r="J13" s="40"/>
      <c r="K13" s="19" t="s">
        <v>1508</v>
      </c>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3448.905998338053</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25">
      <c r="A14" s="12" t="s">
        <v>1424</v>
      </c>
      <c r="B14" s="14"/>
      <c r="C14" s="20" t="s">
        <v>1652</v>
      </c>
      <c r="D14" s="13" t="s">
        <v>62</v>
      </c>
      <c r="E14" s="8" t="str">
        <f>IFERROR(IF(D14="No CAS","",INDEX('DEQ Pollutant List'!$B$7:$B$611,MATCH('5. Pollutant Emissions - MB'!D14,'DEQ Pollutant List'!$A$7:$A$611,0))),"")</f>
        <v>Lead and compounds</v>
      </c>
      <c r="F14" s="36">
        <v>2.5000000000000001E-2</v>
      </c>
      <c r="G14" s="38"/>
      <c r="H14" s="48">
        <v>0.65</v>
      </c>
      <c r="I14" s="48"/>
      <c r="J14" s="40">
        <v>0.99970000000000003</v>
      </c>
      <c r="K14" s="19" t="s">
        <v>1534</v>
      </c>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0.16371389232615538</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25">
      <c r="A15" s="12" t="s">
        <v>1424</v>
      </c>
      <c r="B15" s="14"/>
      <c r="C15" s="20" t="s">
        <v>1652</v>
      </c>
      <c r="D15" s="13" t="s">
        <v>56</v>
      </c>
      <c r="E15" s="8" t="str">
        <f>IFERROR(IF(D15="No CAS","",INDEX('DEQ Pollutant List'!$B$7:$B$611,MATCH('5. Pollutant Emissions - MB'!D15,'DEQ Pollutant List'!$A$7:$A$611,0))),"")</f>
        <v>Cadmium and compounds</v>
      </c>
      <c r="F15" s="36">
        <v>2.5000000000000001E-4</v>
      </c>
      <c r="G15" s="38"/>
      <c r="H15" s="48">
        <v>0.65</v>
      </c>
      <c r="I15" s="48"/>
      <c r="J15" s="40">
        <v>0.99970000000000003</v>
      </c>
      <c r="K15" s="19" t="s">
        <v>1534</v>
      </c>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1.6371389232615536E-3</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25">
      <c r="A16" s="12" t="s">
        <v>1424</v>
      </c>
      <c r="B16" s="14"/>
      <c r="C16" s="20" t="s">
        <v>1652</v>
      </c>
      <c r="D16" s="13" t="s">
        <v>100</v>
      </c>
      <c r="E16" s="8" t="str">
        <f>IFERROR(IF(D16="No CAS","",INDEX('DEQ Pollutant List'!$B$7:$B$611,MATCH('5. Pollutant Emissions - MB'!D16,'DEQ Pollutant List'!$A$7:$A$611,0))),"")</f>
        <v>Isopropylbenzene (cumene)</v>
      </c>
      <c r="F16" s="36">
        <v>5.9999999999999995E-4</v>
      </c>
      <c r="G16" s="38"/>
      <c r="H16" s="48"/>
      <c r="I16" s="48"/>
      <c r="J16" s="40"/>
      <c r="K16" s="19" t="s">
        <v>1508</v>
      </c>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37.420318245982486</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25">
      <c r="A17" s="12" t="s">
        <v>1424</v>
      </c>
      <c r="B17" s="14"/>
      <c r="C17" s="20" t="s">
        <v>1652</v>
      </c>
      <c r="D17" s="13" t="s">
        <v>57</v>
      </c>
      <c r="E17" s="8" t="str">
        <f>IFERROR(IF(D17="No CAS","",INDEX('DEQ Pollutant List'!$B$7:$B$611,MATCH('5. Pollutant Emissions - MB'!D17,'DEQ Pollutant List'!$A$7:$A$611,0))),"")</f>
        <v>Chromium VI, chromate and dichromate particulate</v>
      </c>
      <c r="F17" s="36">
        <v>5.6188302554027507E-2</v>
      </c>
      <c r="G17" s="38"/>
      <c r="H17" s="48">
        <v>0.65</v>
      </c>
      <c r="I17" s="48"/>
      <c r="J17" s="40">
        <v>0.99970000000000003</v>
      </c>
      <c r="K17" s="19" t="s">
        <v>1534</v>
      </c>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0.36795222857277998</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25">
      <c r="A18" s="12"/>
      <c r="B18" s="14"/>
      <c r="C18" s="20"/>
      <c r="D18" s="13"/>
      <c r="E18" s="8"/>
      <c r="F18" s="36"/>
      <c r="G18" s="38"/>
      <c r="H18" s="48"/>
      <c r="I18" s="48"/>
      <c r="J18" s="40"/>
      <c r="K18" s="19"/>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25">
      <c r="A19" s="12"/>
      <c r="B19" s="14"/>
      <c r="C19" s="20"/>
      <c r="D19" s="13"/>
      <c r="E19" s="8" t="s">
        <v>1511</v>
      </c>
      <c r="F19" s="36"/>
      <c r="G19" s="38"/>
      <c r="H19" s="48"/>
      <c r="I19" s="48"/>
      <c r="J19" s="40"/>
      <c r="K19" s="19"/>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25">
      <c r="A20" s="12" t="s">
        <v>1424</v>
      </c>
      <c r="B20" s="14"/>
      <c r="C20" s="20" t="s">
        <v>1652</v>
      </c>
      <c r="D20" s="13" t="s">
        <v>1109</v>
      </c>
      <c r="E20" s="8" t="str">
        <f>IFERROR(IF(D20="No CAS","",INDEX('DEQ Pollutant List'!$B$7:$B$611,MATCH('5. Pollutant Emissions - MB'!D20,'DEQ Pollutant List'!$A$7:$A$611,0))),"")</f>
        <v>Propylene glycol monomethyl ether</v>
      </c>
      <c r="F20" s="36">
        <v>0.25</v>
      </c>
      <c r="G20" s="38"/>
      <c r="H20" s="48"/>
      <c r="I20" s="48"/>
      <c r="J20" s="40"/>
      <c r="K20" s="19" t="s">
        <v>1520</v>
      </c>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15591.799269159372</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25">
      <c r="A21" s="12" t="s">
        <v>1424</v>
      </c>
      <c r="B21" s="14"/>
      <c r="C21" s="20" t="s">
        <v>1652</v>
      </c>
      <c r="D21" s="13" t="s">
        <v>853</v>
      </c>
      <c r="E21" s="8" t="str">
        <f>IFERROR(IF(D21="No CAS","",INDEX('DEQ Pollutant List'!$B$7:$B$611,MATCH('5. Pollutant Emissions - MB'!D21,'DEQ Pollutant List'!$A$7:$A$611,0))),"")</f>
        <v>n-Butyl alcohol</v>
      </c>
      <c r="F21" s="36">
        <v>0.2</v>
      </c>
      <c r="G21" s="38"/>
      <c r="H21" s="48"/>
      <c r="I21" s="48"/>
      <c r="J21" s="40"/>
      <c r="K21" s="19" t="s">
        <v>1520</v>
      </c>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12473.439415327499</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25">
      <c r="A22" s="12" t="s">
        <v>1424</v>
      </c>
      <c r="B22" s="14"/>
      <c r="C22" s="20" t="s">
        <v>1652</v>
      </c>
      <c r="D22" s="13" t="s">
        <v>1139</v>
      </c>
      <c r="E22" s="8" t="str">
        <f>IFERROR(IF(D22="No CAS","",INDEX('DEQ Pollutant List'!$B$7:$B$611,MATCH('5. Pollutant Emissions - MB'!D22,'DEQ Pollutant List'!$A$7:$A$611,0))),"")</f>
        <v>Silica, crystalline (respirable)</v>
      </c>
      <c r="F22" s="36">
        <v>0.5</v>
      </c>
      <c r="G22" s="38"/>
      <c r="H22" s="48">
        <v>0.65</v>
      </c>
      <c r="I22" s="48"/>
      <c r="J22" s="40">
        <v>0.99970000000000003</v>
      </c>
      <c r="K22" s="19" t="s">
        <v>1534</v>
      </c>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3.2742778465231068</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25">
      <c r="A23" s="12" t="s">
        <v>1424</v>
      </c>
      <c r="B23" s="14"/>
      <c r="C23" s="20" t="s">
        <v>1652</v>
      </c>
      <c r="D23" s="13" t="s">
        <v>1132</v>
      </c>
      <c r="E23" s="8" t="str">
        <f>IFERROR(IF(D23="No CAS","",INDEX('DEQ Pollutant List'!$B$7:$B$611,MATCH('5. Pollutant Emissions - MB'!D23,'DEQ Pollutant List'!$A$7:$A$611,0))),"")</f>
        <v>sec-Butyl alcohol</v>
      </c>
      <c r="F23" s="36">
        <v>0.2</v>
      </c>
      <c r="G23" s="38"/>
      <c r="H23" s="48"/>
      <c r="I23" s="48"/>
      <c r="J23" s="40"/>
      <c r="K23" s="19" t="s">
        <v>1520</v>
      </c>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12473.439415327499</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25">
      <c r="A24" s="12" t="s">
        <v>1424</v>
      </c>
      <c r="B24" s="14"/>
      <c r="C24" s="20" t="s">
        <v>1652</v>
      </c>
      <c r="D24" s="13" t="s">
        <v>77</v>
      </c>
      <c r="E24" s="8" t="str">
        <f>IFERROR(IF(D24="No CAS","",INDEX('DEQ Pollutant List'!$B$7:$B$611,MATCH('5. Pollutant Emissions - MB'!D24,'DEQ Pollutant List'!$A$7:$A$611,0))),"")</f>
        <v>2-Butanone (methyl ethyl ketone)</v>
      </c>
      <c r="F24" s="36">
        <v>0.08</v>
      </c>
      <c r="G24" s="38"/>
      <c r="H24" s="48"/>
      <c r="I24" s="48"/>
      <c r="J24" s="40"/>
      <c r="K24" s="19" t="s">
        <v>1520</v>
      </c>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4989.3757661309992</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25">
      <c r="A25" s="12" t="s">
        <v>1424</v>
      </c>
      <c r="B25" s="14"/>
      <c r="C25" s="20" t="s">
        <v>1652</v>
      </c>
      <c r="D25" s="13" t="s">
        <v>172</v>
      </c>
      <c r="E25" s="8" t="str">
        <f>IFERROR(IF(D25="No CAS","",INDEX('DEQ Pollutant List'!$B$7:$B$611,MATCH('5. Pollutant Emissions - MB'!D25,'DEQ Pollutant List'!$A$7:$A$611,0))),"")</f>
        <v>1,2,4-Trimethylbenzene</v>
      </c>
      <c r="F25" s="36">
        <v>0.03</v>
      </c>
      <c r="G25" s="38"/>
      <c r="H25" s="48"/>
      <c r="I25" s="48"/>
      <c r="J25" s="40"/>
      <c r="K25" s="19" t="s">
        <v>1520</v>
      </c>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1871.0159122991245</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25">
      <c r="A26" s="12" t="s">
        <v>1424</v>
      </c>
      <c r="B26" s="14"/>
      <c r="C26" s="20" t="s">
        <v>1652</v>
      </c>
      <c r="D26" s="13" t="s">
        <v>54</v>
      </c>
      <c r="E26" s="8" t="str">
        <f>IFERROR(IF(D26="No CAS","",INDEX('DEQ Pollutant List'!$B$7:$B$611,MATCH('5. Pollutant Emissions - MB'!D26,'DEQ Pollutant List'!$A$7:$A$611,0))),"")</f>
        <v>Barium and compounds</v>
      </c>
      <c r="F26" s="36">
        <v>5.4204500592183189E-3</v>
      </c>
      <c r="G26" s="38"/>
      <c r="H26" s="48">
        <v>0.65</v>
      </c>
      <c r="I26" s="48"/>
      <c r="J26" s="40">
        <v>0.99970000000000003</v>
      </c>
      <c r="K26" s="19" t="s">
        <v>1534</v>
      </c>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3.5496119094166813E-2</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25">
      <c r="A27" s="12" t="s">
        <v>1424</v>
      </c>
      <c r="B27" s="14"/>
      <c r="C27" s="20" t="s">
        <v>1652</v>
      </c>
      <c r="D27" s="13" t="s">
        <v>401</v>
      </c>
      <c r="E27" s="8" t="str">
        <f>IFERROR(IF(D27="No CAS","",INDEX('DEQ Pollutant List'!$B$7:$B$611,MATCH('5. Pollutant Emissions - MB'!D27,'DEQ Pollutant List'!$A$7:$A$611,0))),"")</f>
        <v>Aluminum and compounds</v>
      </c>
      <c r="F27" s="36">
        <v>1.7294206633078218E-2</v>
      </c>
      <c r="G27" s="38"/>
      <c r="H27" s="48">
        <v>0.65</v>
      </c>
      <c r="I27" s="48"/>
      <c r="J27" s="40">
        <v>0.99970000000000003</v>
      </c>
      <c r="K27" s="19" t="s">
        <v>1534</v>
      </c>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0.11325207530376197</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25">
      <c r="A28" s="12"/>
      <c r="B28" s="14"/>
      <c r="C28" s="20"/>
      <c r="D28" s="13"/>
      <c r="E28" s="8"/>
      <c r="F28" s="36"/>
      <c r="G28" s="38"/>
      <c r="H28" s="48"/>
      <c r="I28" s="48"/>
      <c r="J28" s="40"/>
      <c r="K28" s="19"/>
      <c r="L28" s="12"/>
      <c r="M28" s="17"/>
    </row>
    <row r="29" spans="1:13" x14ac:dyDescent="0.25">
      <c r="A29" s="12" t="s">
        <v>1424</v>
      </c>
      <c r="B29" s="14"/>
      <c r="C29" s="20" t="s">
        <v>1654</v>
      </c>
      <c r="D29" s="13" t="s">
        <v>60</v>
      </c>
      <c r="E29" s="8" t="str">
        <f>IFERROR(IF(D29="No CAS","",INDEX('DEQ Pollutant List'!$B$7:$B$611,MATCH('5. Pollutant Emissions - MB'!D29,'DEQ Pollutant List'!$A$7:$A$611,0))),"")</f>
        <v>Ethyl benzene</v>
      </c>
      <c r="F29" s="36">
        <v>6.0499999999999998E-3</v>
      </c>
      <c r="G29" s="38"/>
      <c r="H29" s="48"/>
      <c r="I29" s="111"/>
      <c r="J29" s="40"/>
      <c r="K29" s="19" t="s">
        <v>1508</v>
      </c>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377.32154231365678</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0.1758690330650852</v>
      </c>
    </row>
    <row r="30" spans="1:13" x14ac:dyDescent="0.25">
      <c r="A30" s="12" t="s">
        <v>1424</v>
      </c>
      <c r="B30" s="14"/>
      <c r="C30" s="20" t="s">
        <v>1654</v>
      </c>
      <c r="D30" s="13" t="s">
        <v>705</v>
      </c>
      <c r="E30" s="8" t="str">
        <f>IFERROR(IF(D30="No CAS","",INDEX('DEQ Pollutant List'!$B$7:$B$611,MATCH('5. Pollutant Emissions - MB'!D30,'DEQ Pollutant List'!$A$7:$A$611,0))),"")</f>
        <v>Ethylene glycol</v>
      </c>
      <c r="F30" s="36">
        <v>3.2000000000000002E-3</v>
      </c>
      <c r="G30" s="38"/>
      <c r="H30" s="48"/>
      <c r="I30" s="48"/>
      <c r="J30" s="40"/>
      <c r="K30" s="19" t="s">
        <v>1508</v>
      </c>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199.57503064523996</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9.3021637323681433E-2</v>
      </c>
    </row>
    <row r="31" spans="1:13" x14ac:dyDescent="0.25">
      <c r="A31" s="12" t="s">
        <v>1424</v>
      </c>
      <c r="B31" s="14"/>
      <c r="C31" s="20" t="s">
        <v>1654</v>
      </c>
      <c r="D31" s="13" t="s">
        <v>174</v>
      </c>
      <c r="E31" s="8" t="str">
        <f>IFERROR(IF(D31="No CAS","",INDEX('DEQ Pollutant List'!$B$7:$B$611,MATCH('5. Pollutant Emissions - MB'!D31,'DEQ Pollutant List'!$A$7:$A$611,0))),"")</f>
        <v>Vinyl acetate</v>
      </c>
      <c r="F31" s="36">
        <v>2.7100000000000002E-3</v>
      </c>
      <c r="G31" s="38"/>
      <c r="H31" s="48"/>
      <c r="I31" s="48"/>
      <c r="J31" s="40"/>
      <c r="K31" s="19" t="s">
        <v>1508</v>
      </c>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169.0151040776876</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7.8777699108492721E-2</v>
      </c>
    </row>
    <row r="32" spans="1:13" x14ac:dyDescent="0.25">
      <c r="A32" s="12" t="s">
        <v>1424</v>
      </c>
      <c r="B32" s="14"/>
      <c r="C32" s="20" t="s">
        <v>1654</v>
      </c>
      <c r="D32" s="13" t="s">
        <v>68</v>
      </c>
      <c r="E32" s="8" t="str">
        <f>IFERROR(IF(D32="No CAS","",INDEX('DEQ Pollutant List'!$B$7:$B$611,MATCH('5. Pollutant Emissions - MB'!D32,'DEQ Pollutant List'!$A$7:$A$611,0))),"")</f>
        <v>Toluene</v>
      </c>
      <c r="F32" s="36">
        <v>1E-3</v>
      </c>
      <c r="G32" s="38"/>
      <c r="H32" s="48"/>
      <c r="I32" s="48"/>
      <c r="J32" s="40"/>
      <c r="K32" s="19" t="s">
        <v>1508</v>
      </c>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62.367197076637488</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2.906926166365045E-2</v>
      </c>
    </row>
    <row r="33" spans="1:13" x14ac:dyDescent="0.25">
      <c r="A33" s="12" t="s">
        <v>1424</v>
      </c>
      <c r="B33" s="14"/>
      <c r="C33" s="20" t="s">
        <v>1654</v>
      </c>
      <c r="D33" s="13" t="s">
        <v>70</v>
      </c>
      <c r="E33" s="8" t="str">
        <f>IFERROR(IF(D33="No CAS","",INDEX('DEQ Pollutant List'!$B$7:$B$611,MATCH('5. Pollutant Emissions - MB'!D33,'DEQ Pollutant List'!$A$7:$A$611,0))),"")</f>
        <v>Xylene (mixture), including m-xylene, o-xylene, p-xylene</v>
      </c>
      <c r="F33" s="36">
        <v>9.9000000000000005E-2</v>
      </c>
      <c r="G33" s="38"/>
      <c r="H33" s="48"/>
      <c r="I33" s="48"/>
      <c r="J33" s="40"/>
      <c r="K33" s="19" t="s">
        <v>1508</v>
      </c>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6174.3525105871113</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2.8778569047013947</v>
      </c>
    </row>
    <row r="34" spans="1:13" x14ac:dyDescent="0.25">
      <c r="A34" s="12" t="s">
        <v>1424</v>
      </c>
      <c r="B34" s="14"/>
      <c r="C34" s="20" t="s">
        <v>1654</v>
      </c>
      <c r="D34" s="13" t="s">
        <v>46</v>
      </c>
      <c r="E34" s="8" t="str">
        <f>IFERROR(IF(D34="No CAS","",INDEX('DEQ Pollutant List'!$B$7:$B$611,MATCH('5. Pollutant Emissions - MB'!D34,'DEQ Pollutant List'!$A$7:$A$611,0))),"")</f>
        <v>Benzene</v>
      </c>
      <c r="F34" s="36">
        <v>2.9999999999999997E-4</v>
      </c>
      <c r="G34" s="38"/>
      <c r="H34" s="48"/>
      <c r="I34" s="48"/>
      <c r="J34" s="40"/>
      <c r="K34" s="19" t="s">
        <v>1508</v>
      </c>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18.710159122991243</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8.7207784990951335E-3</v>
      </c>
    </row>
    <row r="35" spans="1:13" x14ac:dyDescent="0.25">
      <c r="A35" s="12" t="s">
        <v>1424</v>
      </c>
      <c r="B35" s="14"/>
      <c r="C35" s="20" t="s">
        <v>1654</v>
      </c>
      <c r="D35" s="13" t="s">
        <v>62</v>
      </c>
      <c r="E35" s="8" t="str">
        <f>IFERROR(IF(D35="No CAS","",INDEX('DEQ Pollutant List'!$B$7:$B$611,MATCH('5. Pollutant Emissions - MB'!D35,'DEQ Pollutant List'!$A$7:$A$611,0))),"")</f>
        <v>Lead and compounds</v>
      </c>
      <c r="F35" s="36">
        <v>8.9999999999999998E-4</v>
      </c>
      <c r="G35" s="38"/>
      <c r="H35" s="48">
        <v>0.65</v>
      </c>
      <c r="I35" s="48"/>
      <c r="J35" s="40">
        <v>0.99970000000000003</v>
      </c>
      <c r="K35" s="19" t="s">
        <v>1534</v>
      </c>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5.8937001237415933E-3</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2.7470452272146644E-6</v>
      </c>
    </row>
    <row r="36" spans="1:13" x14ac:dyDescent="0.25">
      <c r="A36" s="12" t="s">
        <v>1424</v>
      </c>
      <c r="B36" s="14"/>
      <c r="C36" s="20" t="s">
        <v>1654</v>
      </c>
      <c r="D36" s="13" t="s">
        <v>171</v>
      </c>
      <c r="E36" s="8" t="str">
        <f>IFERROR(IF(D36="No CAS","",INDEX('DEQ Pollutant List'!$B$7:$B$611,MATCH('5. Pollutant Emissions - MB'!D36,'DEQ Pollutant List'!$A$7:$A$611,0))),"")</f>
        <v>Hexamethylene-1,6-diisocyanate</v>
      </c>
      <c r="F36" s="36">
        <v>2.7100000000000002E-3</v>
      </c>
      <c r="G36" s="38"/>
      <c r="H36" s="48"/>
      <c r="I36" s="48"/>
      <c r="J36" s="40"/>
      <c r="K36" s="19" t="s">
        <v>1508</v>
      </c>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169.0151040776876</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7.8777699108492721E-2</v>
      </c>
    </row>
    <row r="37" spans="1:13" x14ac:dyDescent="0.25">
      <c r="A37" s="12"/>
      <c r="B37" s="14"/>
      <c r="C37" s="20"/>
      <c r="D37" s="13"/>
      <c r="E37" s="8"/>
      <c r="F37" s="36"/>
      <c r="G37" s="38"/>
      <c r="H37" s="48"/>
      <c r="I37" s="48"/>
      <c r="J37" s="40"/>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25">
      <c r="A38" s="12"/>
      <c r="B38" s="14"/>
      <c r="C38" s="20"/>
      <c r="D38" s="13"/>
      <c r="E38" s="8" t="s">
        <v>1511</v>
      </c>
      <c r="F38" s="36"/>
      <c r="G38" s="38"/>
      <c r="H38" s="48"/>
      <c r="I38" s="48"/>
      <c r="J38" s="40"/>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25">
      <c r="A39" s="12" t="s">
        <v>1424</v>
      </c>
      <c r="B39" s="14"/>
      <c r="C39" s="20" t="s">
        <v>1654</v>
      </c>
      <c r="D39" s="13" t="s">
        <v>77</v>
      </c>
      <c r="E39" s="8" t="str">
        <f>IFERROR(IF(D39="No CAS","",INDEX('DEQ Pollutant List'!$B$7:$B$611,MATCH('5. Pollutant Emissions - MB'!D39,'DEQ Pollutant List'!$A$7:$A$611,0))),"")</f>
        <v>2-Butanone (methyl ethyl ketone)</v>
      </c>
      <c r="F39" s="36">
        <v>0.13439999999999999</v>
      </c>
      <c r="G39" s="38"/>
      <c r="H39" s="48"/>
      <c r="I39" s="48"/>
      <c r="J39" s="40"/>
      <c r="K39" s="19" t="s">
        <v>1521</v>
      </c>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8382.1512871000778</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3.9069087675946199</v>
      </c>
    </row>
    <row r="40" spans="1:13" x14ac:dyDescent="0.25">
      <c r="A40" s="12" t="s">
        <v>1424</v>
      </c>
      <c r="B40" s="14"/>
      <c r="C40" s="20" t="s">
        <v>1654</v>
      </c>
      <c r="D40" s="13" t="s">
        <v>401</v>
      </c>
      <c r="E40" s="8" t="str">
        <f>IFERROR(IF(D40="No CAS","",INDEX('DEQ Pollutant List'!$B$7:$B$611,MATCH('5. Pollutant Emissions - MB'!D40,'DEQ Pollutant List'!$A$7:$A$611,0))),"")</f>
        <v>Aluminum and compounds</v>
      </c>
      <c r="F40" s="36">
        <v>6.9176826532312856E-3</v>
      </c>
      <c r="G40" s="38"/>
      <c r="H40" s="48">
        <v>0.65</v>
      </c>
      <c r="I40" s="48"/>
      <c r="J40" s="40">
        <v>0.99970000000000003</v>
      </c>
      <c r="K40" s="19" t="s">
        <v>1534</v>
      </c>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4.5300830121504779E-2</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2.1114652351049642E-5</v>
      </c>
    </row>
    <row r="41" spans="1:13" x14ac:dyDescent="0.25">
      <c r="A41" s="12" t="s">
        <v>1424</v>
      </c>
      <c r="B41" s="14"/>
      <c r="C41" s="20" t="s">
        <v>1654</v>
      </c>
      <c r="D41" s="13" t="s">
        <v>54</v>
      </c>
      <c r="E41" s="8" t="str">
        <f>IFERROR(IF(D41="No CAS","",INDEX('DEQ Pollutant List'!$B$7:$B$611,MATCH('5. Pollutant Emissions - MB'!D41,'DEQ Pollutant List'!$A$7:$A$611,0))),"")</f>
        <v>Barium and compounds</v>
      </c>
      <c r="F41" s="36">
        <v>0.22943142379707787</v>
      </c>
      <c r="G41" s="38"/>
      <c r="H41" s="48">
        <v>0.65</v>
      </c>
      <c r="I41" s="48"/>
      <c r="J41" s="40">
        <v>0.99970000000000003</v>
      </c>
      <c r="K41" s="19" t="s">
        <v>1534</v>
      </c>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1.502444456470053</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7.0028721968314197E-4</v>
      </c>
    </row>
    <row r="42" spans="1:13" x14ac:dyDescent="0.25">
      <c r="A42" s="12"/>
      <c r="B42" s="14"/>
      <c r="C42" s="20"/>
      <c r="D42" s="13"/>
      <c r="E42" s="8"/>
      <c r="F42" s="36"/>
      <c r="G42" s="38"/>
      <c r="H42" s="48"/>
      <c r="I42" s="48"/>
      <c r="J42" s="40"/>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25">
      <c r="A43" s="12"/>
      <c r="B43" s="14"/>
      <c r="C43" s="20"/>
      <c r="D43" s="13"/>
      <c r="E43" s="8" t="str">
        <f>IFERROR(IF(D43="No CAS","",INDEX('DEQ Pollutant List'!$B$7:$B$611,MATCH('5. Pollutant Emissions - MB'!D43,'DEQ Pollutant List'!$A$7:$A$611,0))),"")</f>
        <v/>
      </c>
      <c r="F43" s="36"/>
      <c r="G43" s="38"/>
      <c r="H43" s="48"/>
      <c r="I43" s="48"/>
      <c r="J43" s="40"/>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25">
      <c r="A44" s="12" t="s">
        <v>1424</v>
      </c>
      <c r="B44" s="14"/>
      <c r="C44" s="20" t="s">
        <v>1653</v>
      </c>
      <c r="D44" s="13" t="s">
        <v>60</v>
      </c>
      <c r="E44" s="8" t="str">
        <f>IFERROR(IF(D44="No CAS","",INDEX('DEQ Pollutant List'!$B$7:$B$611,MATCH('5. Pollutant Emissions - MB'!D44,'DEQ Pollutant List'!$A$7:$A$611,0))),"")</f>
        <v>Ethyl benzene</v>
      </c>
      <c r="F44" s="36">
        <v>2.2000000000000001E-3</v>
      </c>
      <c r="G44" s="38"/>
      <c r="H44" s="48"/>
      <c r="I44" s="48"/>
      <c r="J44" s="40"/>
      <c r="K44" s="19" t="s">
        <v>1508</v>
      </c>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137.20783356860247</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25">
      <c r="A45" s="12" t="s">
        <v>1424</v>
      </c>
      <c r="B45" s="14"/>
      <c r="C45" s="20" t="s">
        <v>1653</v>
      </c>
      <c r="D45" s="13" t="s">
        <v>102</v>
      </c>
      <c r="E45" s="8" t="str">
        <f>IFERROR(IF(D45="No CAS","",INDEX('DEQ Pollutant List'!$B$7:$B$611,MATCH('5. Pollutant Emissions - MB'!D45,'DEQ Pollutant List'!$A$7:$A$611,0))),"")</f>
        <v>Methyl isobutyl ketone (MIBK, hexone)</v>
      </c>
      <c r="F45" s="36">
        <v>4.7100000000000003E-2</v>
      </c>
      <c r="G45" s="38"/>
      <c r="H45" s="48"/>
      <c r="I45" s="48"/>
      <c r="J45" s="40"/>
      <c r="K45" s="19" t="s">
        <v>1508</v>
      </c>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2937.4949823096258</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25">
      <c r="A46" s="12" t="s">
        <v>1424</v>
      </c>
      <c r="B46" s="14"/>
      <c r="C46" s="20" t="s">
        <v>1653</v>
      </c>
      <c r="D46" s="13" t="s">
        <v>68</v>
      </c>
      <c r="E46" s="8" t="str">
        <f>IFERROR(IF(D46="No CAS","",INDEX('DEQ Pollutant List'!$B$7:$B$611,MATCH('5. Pollutant Emissions - MB'!D46,'DEQ Pollutant List'!$A$7:$A$611,0))),"")</f>
        <v>Toluene</v>
      </c>
      <c r="F46" s="36">
        <v>0.21</v>
      </c>
      <c r="G46" s="38"/>
      <c r="H46" s="48"/>
      <c r="I46" s="48"/>
      <c r="J46" s="40"/>
      <c r="K46" s="19" t="s">
        <v>1508</v>
      </c>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13097.111386093871</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25">
      <c r="A47" s="12" t="s">
        <v>1424</v>
      </c>
      <c r="B47" s="14"/>
      <c r="C47" s="20" t="s">
        <v>1653</v>
      </c>
      <c r="D47" s="13" t="s">
        <v>70</v>
      </c>
      <c r="E47" s="8" t="str">
        <f>IFERROR(IF(D47="No CAS","",INDEX('DEQ Pollutant List'!$B$7:$B$611,MATCH('5. Pollutant Emissions - MB'!D47,'DEQ Pollutant List'!$A$7:$A$611,0))),"")</f>
        <v>Xylene (mixture), including m-xylene, o-xylene, p-xylene</v>
      </c>
      <c r="F47" s="36">
        <v>1.1299999999999999E-2</v>
      </c>
      <c r="G47" s="38"/>
      <c r="H47" s="48"/>
      <c r="I47" s="48"/>
      <c r="J47" s="40"/>
      <c r="K47" s="19" t="s">
        <v>1508</v>
      </c>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704.74932696600354</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25">
      <c r="A48" s="12" t="s">
        <v>1424</v>
      </c>
      <c r="B48" s="14"/>
      <c r="C48" s="20" t="s">
        <v>1653</v>
      </c>
      <c r="D48" s="13" t="s">
        <v>57</v>
      </c>
      <c r="E48" s="8" t="str">
        <f>IFERROR(IF(D48="No CAS","",INDEX('DEQ Pollutant List'!$B$7:$B$611,MATCH('5. Pollutant Emissions - MB'!D48,'DEQ Pollutant List'!$A$7:$A$611,0))),"")</f>
        <v>Chromium VI, chromate and dichromate particulate</v>
      </c>
      <c r="F48" s="36">
        <v>0.11692477373328256</v>
      </c>
      <c r="G48" s="38"/>
      <c r="H48" s="48">
        <v>0.65</v>
      </c>
      <c r="I48" s="48"/>
      <c r="J48" s="40">
        <v>0.99970000000000003</v>
      </c>
      <c r="K48" s="19" t="s">
        <v>1534</v>
      </c>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0.76568839268922795</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25">
      <c r="A49" s="12"/>
      <c r="B49" s="14"/>
      <c r="C49" s="20"/>
      <c r="D49" s="13"/>
      <c r="E49" s="8"/>
      <c r="F49" s="36"/>
      <c r="G49" s="38"/>
      <c r="H49" s="48"/>
      <c r="I49" s="48"/>
      <c r="J49" s="40"/>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25">
      <c r="A50" s="12"/>
      <c r="B50" s="14"/>
      <c r="C50" s="20"/>
      <c r="D50" s="13"/>
      <c r="E50" s="8" t="s">
        <v>1511</v>
      </c>
      <c r="F50" s="36"/>
      <c r="G50" s="38"/>
      <c r="H50" s="48"/>
      <c r="I50" s="48"/>
      <c r="J50" s="40"/>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25">
      <c r="A51" s="12" t="s">
        <v>1424</v>
      </c>
      <c r="B51" s="14"/>
      <c r="C51" s="20" t="s">
        <v>1653</v>
      </c>
      <c r="D51" s="13" t="s">
        <v>783</v>
      </c>
      <c r="E51" s="8" t="str">
        <f>IFERROR(IF(D51="No CAS","",INDEX('DEQ Pollutant List'!$B$7:$B$611,MATCH('5. Pollutant Emissions - MB'!D51,'DEQ Pollutant List'!$A$7:$A$611,0))),"")</f>
        <v>Hydroquinone</v>
      </c>
      <c r="F51" s="36">
        <v>1E-3</v>
      </c>
      <c r="G51" s="38"/>
      <c r="H51" s="48"/>
      <c r="I51" s="48"/>
      <c r="J51" s="40"/>
      <c r="K51" s="19" t="s">
        <v>1522</v>
      </c>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62.367197076637488</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25">
      <c r="A52" s="12" t="s">
        <v>1424</v>
      </c>
      <c r="B52" s="14"/>
      <c r="C52" s="20" t="s">
        <v>1653</v>
      </c>
      <c r="D52" s="13" t="s">
        <v>81</v>
      </c>
      <c r="E52" s="8" t="str">
        <f>IFERROR(IF(D52="No CAS","",INDEX('DEQ Pollutant List'!$B$7:$B$611,MATCH('5. Pollutant Emissions - MB'!D52,'DEQ Pollutant List'!$A$7:$A$611,0))),"")</f>
        <v>Acetone</v>
      </c>
      <c r="F52" s="36">
        <v>0.5</v>
      </c>
      <c r="G52" s="38"/>
      <c r="H52" s="48"/>
      <c r="I52" s="48"/>
      <c r="J52" s="40"/>
      <c r="K52" s="19" t="s">
        <v>1522</v>
      </c>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31183.598538318744</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25">
      <c r="A53" s="12" t="s">
        <v>1424</v>
      </c>
      <c r="B53" s="14"/>
      <c r="C53" s="20" t="s">
        <v>1653</v>
      </c>
      <c r="D53" s="13" t="s">
        <v>853</v>
      </c>
      <c r="E53" s="8" t="str">
        <f>IFERROR(IF(D53="No CAS","",INDEX('DEQ Pollutant List'!$B$7:$B$611,MATCH('5. Pollutant Emissions - MB'!D53,'DEQ Pollutant List'!$A$7:$A$611,0))),"")</f>
        <v>n-Butyl alcohol</v>
      </c>
      <c r="F53" s="36">
        <v>0.05</v>
      </c>
      <c r="G53" s="38"/>
      <c r="H53" s="48"/>
      <c r="I53" s="48"/>
      <c r="J53" s="40"/>
      <c r="K53" s="19" t="s">
        <v>1522</v>
      </c>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3118.3598538318747</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25">
      <c r="A54" s="12" t="s">
        <v>1424</v>
      </c>
      <c r="B54" s="14"/>
      <c r="C54" s="20" t="s">
        <v>1653</v>
      </c>
      <c r="D54" s="13" t="s">
        <v>1139</v>
      </c>
      <c r="E54" s="8" t="str">
        <f>IFERROR(IF(D54="No CAS","",INDEX('DEQ Pollutant List'!$B$7:$B$611,MATCH('5. Pollutant Emissions - MB'!D54,'DEQ Pollutant List'!$A$7:$A$611,0))),"")</f>
        <v>Silica, crystalline (respirable)</v>
      </c>
      <c r="F54" s="36">
        <v>0.5</v>
      </c>
      <c r="G54" s="38"/>
      <c r="H54" s="48">
        <v>0.65</v>
      </c>
      <c r="I54" s="48"/>
      <c r="J54" s="40">
        <v>0.99970000000000003</v>
      </c>
      <c r="K54" s="19" t="s">
        <v>1534</v>
      </c>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3.2742778465231068</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25">
      <c r="A55" s="12" t="s">
        <v>1424</v>
      </c>
      <c r="B55" s="14"/>
      <c r="C55" s="20" t="s">
        <v>1653</v>
      </c>
      <c r="D55" s="13" t="s">
        <v>77</v>
      </c>
      <c r="E55" s="8" t="str">
        <f>IFERROR(IF(D55="No CAS","",INDEX('DEQ Pollutant List'!$B$7:$B$611,MATCH('5. Pollutant Emissions - MB'!D55,'DEQ Pollutant List'!$A$7:$A$611,0))),"")</f>
        <v>2-Butanone (methyl ethyl ketone)</v>
      </c>
      <c r="F55" s="36">
        <v>0.2</v>
      </c>
      <c r="G55" s="38"/>
      <c r="H55" s="48"/>
      <c r="I55" s="48"/>
      <c r="J55" s="40"/>
      <c r="K55" s="19" t="s">
        <v>1522</v>
      </c>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12473.439415327499</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25">
      <c r="A56" s="12" t="s">
        <v>1424</v>
      </c>
      <c r="B56" s="14"/>
      <c r="C56" s="20" t="s">
        <v>1653</v>
      </c>
      <c r="D56" s="13" t="s">
        <v>54</v>
      </c>
      <c r="E56" s="8" t="str">
        <f>IFERROR(IF(D56="No CAS","",INDEX('DEQ Pollutant List'!$B$7:$B$611,MATCH('5. Pollutant Emissions - MB'!D56,'DEQ Pollutant List'!$A$7:$A$611,0))),"")</f>
        <v>Barium and compounds</v>
      </c>
      <c r="F56" s="36">
        <v>2.9812475325700746E-3</v>
      </c>
      <c r="G56" s="38"/>
      <c r="H56" s="48">
        <v>0.65</v>
      </c>
      <c r="I56" s="48"/>
      <c r="J56" s="40">
        <v>0.99970000000000003</v>
      </c>
      <c r="K56" s="19" t="s">
        <v>1534</v>
      </c>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1.952286550179174E-2</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25">
      <c r="A57" s="12"/>
      <c r="B57" s="14"/>
      <c r="C57" s="20"/>
      <c r="D57" s="13"/>
      <c r="E57" s="8"/>
      <c r="F57" s="36"/>
      <c r="G57" s="38"/>
      <c r="H57" s="48"/>
      <c r="I57" s="48"/>
      <c r="J57" s="40"/>
      <c r="K57" s="19"/>
      <c r="L57" s="12"/>
      <c r="M57" s="17"/>
    </row>
    <row r="58" spans="1:13" x14ac:dyDescent="0.25">
      <c r="A58" s="12"/>
      <c r="B58" s="14"/>
      <c r="C58" s="20"/>
      <c r="D58" s="13"/>
      <c r="E58" s="8"/>
      <c r="F58" s="36"/>
      <c r="G58" s="38"/>
      <c r="H58" s="48"/>
      <c r="I58" s="48"/>
      <c r="J58" s="40"/>
      <c r="K58" s="19"/>
      <c r="L58" s="12"/>
      <c r="M58" s="17"/>
    </row>
    <row r="59" spans="1:13" x14ac:dyDescent="0.25">
      <c r="A59" s="12" t="s">
        <v>1425</v>
      </c>
      <c r="B59" s="14"/>
      <c r="C59" s="20" t="s">
        <v>1446</v>
      </c>
      <c r="D59" s="13" t="s">
        <v>70</v>
      </c>
      <c r="E59" s="8" t="str">
        <f>IFERROR(IF(D59="No CAS","",INDEX('DEQ Pollutant List'!$B$7:$B$611,MATCH('5. Pollutant Emissions - MB'!D59,'DEQ Pollutant List'!$A$7:$A$611,0))),"")</f>
        <v>Xylene (mixture), including m-xylene, o-xylene, p-xylene</v>
      </c>
      <c r="F59" s="36">
        <v>0.1</v>
      </c>
      <c r="G59" s="38"/>
      <c r="H59" s="48"/>
      <c r="I59" s="48"/>
      <c r="J59" s="40"/>
      <c r="K59" s="19" t="s">
        <v>1508</v>
      </c>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74.866720499999985</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0.20511430273972597</v>
      </c>
    </row>
    <row r="60" spans="1:13" x14ac:dyDescent="0.25">
      <c r="A60" s="12" t="s">
        <v>1425</v>
      </c>
      <c r="B60" s="14"/>
      <c r="C60" s="20" t="s">
        <v>1453</v>
      </c>
      <c r="D60" s="13" t="s">
        <v>70</v>
      </c>
      <c r="E60" s="8" t="str">
        <f>IFERROR(IF(D60="No CAS","",INDEX('DEQ Pollutant List'!$B$7:$B$611,MATCH('5. Pollutant Emissions - MB'!D60,'DEQ Pollutant List'!$A$7:$A$611,0))),"")</f>
        <v>Xylene (mixture), including m-xylene, o-xylene, p-xylene</v>
      </c>
      <c r="F60" s="36">
        <v>7.0000000000000007E-2</v>
      </c>
      <c r="G60" s="38"/>
      <c r="H60" s="48"/>
      <c r="I60" s="48"/>
      <c r="J60" s="40"/>
      <c r="K60" s="19" t="s">
        <v>1508</v>
      </c>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0.9720270000000002</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2.6630876712328772E-3</v>
      </c>
    </row>
    <row r="61" spans="1:13" x14ac:dyDescent="0.25">
      <c r="A61" s="12" t="s">
        <v>1425</v>
      </c>
      <c r="B61" s="14"/>
      <c r="C61" s="20" t="s">
        <v>1460</v>
      </c>
      <c r="D61" s="13" t="s">
        <v>70</v>
      </c>
      <c r="E61" s="8" t="str">
        <f>IFERROR(IF(D61="No CAS","",INDEX('DEQ Pollutant List'!$B$7:$B$611,MATCH('5. Pollutant Emissions - MB'!D61,'DEQ Pollutant List'!$A$7:$A$611,0))),"")</f>
        <v>Xylene (mixture), including m-xylene, o-xylene, p-xylene</v>
      </c>
      <c r="F61" s="21">
        <v>0.05</v>
      </c>
      <c r="G61" s="38"/>
      <c r="H61" s="48"/>
      <c r="I61" s="48"/>
      <c r="J61" s="39"/>
      <c r="K61" s="19" t="s">
        <v>1508</v>
      </c>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8.4286125000000017E-2</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2.3092089041095896E-4</v>
      </c>
    </row>
    <row r="62" spans="1:13" x14ac:dyDescent="0.25">
      <c r="A62" s="12" t="s">
        <v>1425</v>
      </c>
      <c r="B62" s="14"/>
      <c r="C62" s="20" t="s">
        <v>1471</v>
      </c>
      <c r="D62" s="13" t="s">
        <v>70</v>
      </c>
      <c r="E62" s="8" t="str">
        <f>IFERROR(IF(D62="No CAS","",INDEX('DEQ Pollutant List'!$B$7:$B$611,MATCH('5. Pollutant Emissions - MB'!D62,'DEQ Pollutant List'!$A$7:$A$611,0))),"")</f>
        <v>Xylene (mixture), including m-xylene, o-xylene, p-xylene</v>
      </c>
      <c r="F62" s="21">
        <v>0.1</v>
      </c>
      <c r="G62" s="38"/>
      <c r="H62" s="48"/>
      <c r="I62" s="48"/>
      <c r="J62" s="39"/>
      <c r="K62" s="19" t="s">
        <v>1508</v>
      </c>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2.8851187500000002</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7.9044349315068492E-3</v>
      </c>
    </row>
    <row r="63" spans="1:13" x14ac:dyDescent="0.25">
      <c r="A63" s="12" t="s">
        <v>1425</v>
      </c>
      <c r="B63" s="14"/>
      <c r="C63" s="20" t="s">
        <v>1475</v>
      </c>
      <c r="D63" s="13" t="s">
        <v>70</v>
      </c>
      <c r="E63" s="8" t="str">
        <f>IFERROR(IF(D63="No CAS","",INDEX('DEQ Pollutant List'!$B$7:$B$611,MATCH('5. Pollutant Emissions - MB'!D63,'DEQ Pollutant List'!$A$7:$A$611,0))),"")</f>
        <v>Xylene (mixture), including m-xylene, o-xylene, p-xylene</v>
      </c>
      <c r="F63" s="21">
        <v>1.6500000000000001E-2</v>
      </c>
      <c r="G63" s="38"/>
      <c r="H63" s="48"/>
      <c r="I63" s="48"/>
      <c r="J63" s="39"/>
      <c r="K63" s="19" t="s">
        <v>1508</v>
      </c>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6.5872186875000002E-2</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1.8047174486301369E-4</v>
      </c>
    </row>
    <row r="64" spans="1:13" x14ac:dyDescent="0.25">
      <c r="A64" s="12" t="s">
        <v>1425</v>
      </c>
      <c r="B64" s="14"/>
      <c r="C64" s="20" t="s">
        <v>1478</v>
      </c>
      <c r="D64" s="13" t="s">
        <v>70</v>
      </c>
      <c r="E64" s="8" t="str">
        <f>IFERROR(IF(D64="No CAS","",INDEX('DEQ Pollutant List'!$B$7:$B$611,MATCH('5. Pollutant Emissions - MB'!D64,'DEQ Pollutant List'!$A$7:$A$611,0))),"")</f>
        <v>Xylene (mixture), including m-xylene, o-xylene, p-xylene</v>
      </c>
      <c r="F64" s="21">
        <v>0.1</v>
      </c>
      <c r="G64" s="38"/>
      <c r="H64" s="48"/>
      <c r="I64" s="48"/>
      <c r="J64" s="39"/>
      <c r="K64" s="19" t="s">
        <v>1508</v>
      </c>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0.44606500814566358</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1.2220959127278454E-3</v>
      </c>
    </row>
    <row r="65" spans="1:13" x14ac:dyDescent="0.25">
      <c r="A65" s="12" t="s">
        <v>1425</v>
      </c>
      <c r="B65" s="14"/>
      <c r="C65" s="20" t="s">
        <v>1479</v>
      </c>
      <c r="D65" s="13" t="s">
        <v>70</v>
      </c>
      <c r="E65" s="8" t="str">
        <f>IFERROR(IF(D65="No CAS","",INDEX('DEQ Pollutant List'!$B$7:$B$611,MATCH('5. Pollutant Emissions - MB'!D65,'DEQ Pollutant List'!$A$7:$A$611,0))),"")</f>
        <v>Xylene (mixture), including m-xylene, o-xylene, p-xylene</v>
      </c>
      <c r="F65" s="21">
        <v>0.1</v>
      </c>
      <c r="G65" s="38"/>
      <c r="H65" s="48"/>
      <c r="I65" s="48"/>
      <c r="J65" s="39"/>
      <c r="K65" s="19" t="s">
        <v>1508</v>
      </c>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0.5587278750000001</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1.5307613013698634E-3</v>
      </c>
    </row>
    <row r="66" spans="1:13" x14ac:dyDescent="0.25">
      <c r="A66" s="12" t="s">
        <v>1425</v>
      </c>
      <c r="B66" s="14"/>
      <c r="C66" s="20" t="s">
        <v>1482</v>
      </c>
      <c r="D66" s="13" t="s">
        <v>70</v>
      </c>
      <c r="E66" s="8" t="str">
        <f>IFERROR(IF(D66="No CAS","",INDEX('DEQ Pollutant List'!$B$7:$B$611,MATCH('5. Pollutant Emissions - MB'!D66,'DEQ Pollutant List'!$A$7:$A$611,0))),"")</f>
        <v>Xylene (mixture), including m-xylene, o-xylene, p-xylene</v>
      </c>
      <c r="F66" s="21">
        <v>1.4999999999999999E-2</v>
      </c>
      <c r="G66" s="38"/>
      <c r="H66" s="48"/>
      <c r="I66" s="48"/>
      <c r="J66" s="39"/>
      <c r="K66" s="19" t="s">
        <v>1508</v>
      </c>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0.20688412500000009</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5.6680582191780842E-4</v>
      </c>
    </row>
    <row r="67" spans="1:13" x14ac:dyDescent="0.25">
      <c r="A67" s="12" t="s">
        <v>1425</v>
      </c>
      <c r="B67" s="14"/>
      <c r="C67" s="20" t="s">
        <v>1483</v>
      </c>
      <c r="D67" s="13" t="s">
        <v>70</v>
      </c>
      <c r="E67" s="8" t="str">
        <f>IFERROR(IF(D67="No CAS","",INDEX('DEQ Pollutant List'!$B$7:$B$611,MATCH('5. Pollutant Emissions - MB'!D67,'DEQ Pollutant List'!$A$7:$A$611,0))),"")</f>
        <v>Xylene (mixture), including m-xylene, o-xylene, p-xylene</v>
      </c>
      <c r="F67" s="21">
        <v>4.2000000000000003E-2</v>
      </c>
      <c r="G67" s="38"/>
      <c r="H67" s="48"/>
      <c r="I67" s="48"/>
      <c r="J67" s="39"/>
      <c r="K67" s="19" t="s">
        <v>1508</v>
      </c>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0.49474860749999999</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1.3554756369863012E-3</v>
      </c>
    </row>
    <row r="68" spans="1:13" x14ac:dyDescent="0.25">
      <c r="A68" s="12" t="s">
        <v>1425</v>
      </c>
      <c r="B68" s="14"/>
      <c r="C68" s="20" t="s">
        <v>1485</v>
      </c>
      <c r="D68" s="13" t="s">
        <v>70</v>
      </c>
      <c r="E68" s="8" t="str">
        <f>IFERROR(IF(D68="No CAS","",INDEX('DEQ Pollutant List'!$B$7:$B$611,MATCH('5. Pollutant Emissions - MB'!D68,'DEQ Pollutant List'!$A$7:$A$611,0))),"")</f>
        <v>Xylene (mixture), including m-xylene, o-xylene, p-xylene</v>
      </c>
      <c r="F68" s="21">
        <v>7.0000000000000007E-2</v>
      </c>
      <c r="G68" s="38"/>
      <c r="H68" s="48"/>
      <c r="I68" s="48"/>
      <c r="J68" s="39"/>
      <c r="K68" s="19" t="s">
        <v>1508</v>
      </c>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1.0910871719999997</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2.9892799232876703E-3</v>
      </c>
    </row>
    <row r="69" spans="1:13" x14ac:dyDescent="0.25">
      <c r="A69" s="12" t="s">
        <v>1425</v>
      </c>
      <c r="B69" s="14"/>
      <c r="C69" s="20" t="s">
        <v>1500</v>
      </c>
      <c r="D69" s="13" t="s">
        <v>70</v>
      </c>
      <c r="E69" s="8" t="str">
        <f>IFERROR(IF(D69="No CAS","",INDEX('DEQ Pollutant List'!$B$7:$B$611,MATCH('5. Pollutant Emissions - MB'!D69,'DEQ Pollutant List'!$A$7:$A$611,0))),"")</f>
        <v>Xylene (mixture), including m-xylene, o-xylene, p-xylene</v>
      </c>
      <c r="F69" s="21">
        <v>0.05</v>
      </c>
      <c r="G69" s="38"/>
      <c r="H69" s="48"/>
      <c r="I69" s="48"/>
      <c r="J69" s="39"/>
      <c r="K69" s="19" t="s">
        <v>1508</v>
      </c>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0.21673574999999998</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5.9379657534246568E-4</v>
      </c>
    </row>
    <row r="70" spans="1:13" x14ac:dyDescent="0.25">
      <c r="A70" s="12" t="s">
        <v>1425</v>
      </c>
      <c r="B70" s="14"/>
      <c r="C70" s="20" t="s">
        <v>1503</v>
      </c>
      <c r="D70" s="13" t="s">
        <v>70</v>
      </c>
      <c r="E70" s="8" t="str">
        <f>IFERROR(IF(D70="No CAS","",INDEX('DEQ Pollutant List'!$B$7:$B$611,MATCH('5. Pollutant Emissions - MB'!D70,'DEQ Pollutant List'!$A$7:$A$611,0))),"")</f>
        <v>Xylene (mixture), including m-xylene, o-xylene, p-xylene</v>
      </c>
      <c r="F70" s="21">
        <v>4.8000000000000001E-2</v>
      </c>
      <c r="G70" s="38"/>
      <c r="H70" s="48"/>
      <c r="I70" s="48"/>
      <c r="J70" s="39"/>
      <c r="K70" s="19" t="s">
        <v>1508</v>
      </c>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0.67554000000000003</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1.8507945205479453E-3</v>
      </c>
    </row>
    <row r="71" spans="1:13" x14ac:dyDescent="0.25">
      <c r="A71" s="12" t="s">
        <v>1425</v>
      </c>
      <c r="B71" s="14"/>
      <c r="C71" s="20" t="s">
        <v>1504</v>
      </c>
      <c r="D71" s="13" t="s">
        <v>70</v>
      </c>
      <c r="E71" s="8" t="str">
        <f>IFERROR(IF(D71="No CAS","",INDEX('DEQ Pollutant List'!$B$7:$B$611,MATCH('5. Pollutant Emissions - MB'!D71,'DEQ Pollutant List'!$A$7:$A$611,0))),"")</f>
        <v>Xylene (mixture), including m-xylene, o-xylene, p-xylene</v>
      </c>
      <c r="F71" s="21">
        <v>0.05</v>
      </c>
      <c r="G71" s="38"/>
      <c r="H71" s="48"/>
      <c r="I71" s="48"/>
      <c r="J71" s="39"/>
      <c r="K71" s="19" t="s">
        <v>1508</v>
      </c>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2.2320967500000002</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6.1153335616438362E-3</v>
      </c>
    </row>
    <row r="72" spans="1:13" x14ac:dyDescent="0.25">
      <c r="A72" s="12" t="s">
        <v>1425</v>
      </c>
      <c r="B72" s="14"/>
      <c r="C72" s="20" t="s">
        <v>1505</v>
      </c>
      <c r="D72" s="13" t="s">
        <v>70</v>
      </c>
      <c r="E72" s="8" t="str">
        <f>IFERROR(IF(D72="No CAS","",INDEX('DEQ Pollutant List'!$B$7:$B$611,MATCH('5. Pollutant Emissions - MB'!D72,'DEQ Pollutant List'!$A$7:$A$611,0))),"")</f>
        <v>Xylene (mixture), including m-xylene, o-xylene, p-xylene</v>
      </c>
      <c r="F72" s="21">
        <v>0.05</v>
      </c>
      <c r="G72" s="38"/>
      <c r="H72" s="48"/>
      <c r="I72" s="48"/>
      <c r="J72" s="39"/>
      <c r="K72" s="19" t="s">
        <v>1508</v>
      </c>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0.28534528125000003</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7.8176789383561658E-4</v>
      </c>
    </row>
    <row r="73" spans="1:13" x14ac:dyDescent="0.25">
      <c r="A73" s="12" t="s">
        <v>1425</v>
      </c>
      <c r="B73" s="14"/>
      <c r="C73" s="20" t="s">
        <v>1447</v>
      </c>
      <c r="D73" s="13" t="s">
        <v>711</v>
      </c>
      <c r="E73" s="8" t="str">
        <f>IFERROR(IF(D73="No CAS","",INDEX('DEQ Pollutant List'!$B$7:$B$611,MATCH('5. Pollutant Emissions - MB'!D73,'DEQ Pollutant List'!$A$7:$A$611,0))),"")</f>
        <v>Ethylene glycol monobutyl ether</v>
      </c>
      <c r="F73" s="21">
        <v>0.15</v>
      </c>
      <c r="G73" s="38"/>
      <c r="H73" s="48"/>
      <c r="I73" s="48"/>
      <c r="J73" s="39"/>
      <c r="K73" s="19" t="s">
        <v>1508</v>
      </c>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0.14073749999999999</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3.8558219178082189E-4</v>
      </c>
    </row>
    <row r="74" spans="1:13" x14ac:dyDescent="0.25">
      <c r="A74" s="12" t="s">
        <v>1425</v>
      </c>
      <c r="B74" s="14"/>
      <c r="C74" s="20" t="s">
        <v>1458</v>
      </c>
      <c r="D74" s="13" t="s">
        <v>711</v>
      </c>
      <c r="E74" s="8" t="str">
        <f>IFERROR(IF(D74="No CAS","",INDEX('DEQ Pollutant List'!$B$7:$B$611,MATCH('5. Pollutant Emissions - MB'!D74,'DEQ Pollutant List'!$A$7:$A$611,0))),"")</f>
        <v>Ethylene glycol monobutyl ether</v>
      </c>
      <c r="F74" s="21">
        <v>0.1</v>
      </c>
      <c r="G74" s="38"/>
      <c r="H74" s="48"/>
      <c r="I74" s="48"/>
      <c r="J74" s="39"/>
      <c r="K74" s="19" t="s">
        <v>1508</v>
      </c>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4.163327999999999</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1.1406378082191779E-2</v>
      </c>
    </row>
    <row r="75" spans="1:13" x14ac:dyDescent="0.25">
      <c r="A75" s="12" t="s">
        <v>1425</v>
      </c>
      <c r="B75" s="14"/>
      <c r="C75" s="20" t="s">
        <v>1430</v>
      </c>
      <c r="D75" s="13" t="s">
        <v>68</v>
      </c>
      <c r="E75" s="8" t="str">
        <f>IFERROR(IF(D75="No CAS","",INDEX('DEQ Pollutant List'!$B$7:$B$611,MATCH('5. Pollutant Emissions - MB'!D75,'DEQ Pollutant List'!$A$7:$A$611,0))),"")</f>
        <v>Toluene</v>
      </c>
      <c r="F75" s="21">
        <v>0.1</v>
      </c>
      <c r="G75" s="38"/>
      <c r="H75" s="48"/>
      <c r="I75" s="48"/>
      <c r="J75" s="39"/>
      <c r="K75" s="19" t="s">
        <v>1508</v>
      </c>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1.1352825000000004</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3.1103630136986313E-3</v>
      </c>
    </row>
    <row r="76" spans="1:13" x14ac:dyDescent="0.25">
      <c r="A76" s="12" t="s">
        <v>1425</v>
      </c>
      <c r="B76" s="14"/>
      <c r="C76" s="20" t="s">
        <v>1431</v>
      </c>
      <c r="D76" s="13" t="s">
        <v>68</v>
      </c>
      <c r="E76" s="8" t="str">
        <f>IFERROR(IF(D76="No CAS","",INDEX('DEQ Pollutant List'!$B$7:$B$611,MATCH('5. Pollutant Emissions - MB'!D76,'DEQ Pollutant List'!$A$7:$A$611,0))),"")</f>
        <v>Toluene</v>
      </c>
      <c r="F76" s="21">
        <v>0.45</v>
      </c>
      <c r="G76" s="38"/>
      <c r="H76" s="48"/>
      <c r="I76" s="48"/>
      <c r="J76" s="39"/>
      <c r="K76" s="19" t="s">
        <v>1508</v>
      </c>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40.564375560000009</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0.11113527550684933</v>
      </c>
    </row>
    <row r="77" spans="1:13" x14ac:dyDescent="0.25">
      <c r="A77" s="12" t="s">
        <v>1425</v>
      </c>
      <c r="B77" s="14"/>
      <c r="C77" s="20" t="s">
        <v>1437</v>
      </c>
      <c r="D77" s="13" t="s">
        <v>68</v>
      </c>
      <c r="E77" s="8" t="str">
        <f>IFERROR(IF(D77="No CAS","",INDEX('DEQ Pollutant List'!$B$7:$B$611,MATCH('5. Pollutant Emissions - MB'!D77,'DEQ Pollutant List'!$A$7:$A$611,0))),"")</f>
        <v>Toluene</v>
      </c>
      <c r="F77" s="21">
        <v>9.9000000000000005E-2</v>
      </c>
      <c r="G77" s="38"/>
      <c r="H77" s="48"/>
      <c r="I77" s="48"/>
      <c r="J77" s="39"/>
      <c r="K77" s="19" t="s">
        <v>1508</v>
      </c>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4.1357825437500013</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1.1330911078767126E-2</v>
      </c>
    </row>
    <row r="78" spans="1:13" x14ac:dyDescent="0.25">
      <c r="A78" s="12" t="s">
        <v>1425</v>
      </c>
      <c r="B78" s="14"/>
      <c r="C78" s="20" t="s">
        <v>1441</v>
      </c>
      <c r="D78" s="13" t="s">
        <v>68</v>
      </c>
      <c r="E78" s="8" t="str">
        <f>IFERROR(IF(D78="No CAS","",INDEX('DEQ Pollutant List'!$B$7:$B$611,MATCH('5. Pollutant Emissions - MB'!D78,'DEQ Pollutant List'!$A$7:$A$611,0))),"")</f>
        <v>Toluene</v>
      </c>
      <c r="F78" s="21">
        <v>7.4999999999999997E-3</v>
      </c>
      <c r="G78" s="38"/>
      <c r="H78" s="48"/>
      <c r="I78" s="48"/>
      <c r="J78" s="39"/>
      <c r="K78" s="19" t="s">
        <v>1508</v>
      </c>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1.2944209740119998</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3.5463588329095888E-3</v>
      </c>
    </row>
    <row r="79" spans="1:13" x14ac:dyDescent="0.25">
      <c r="A79" s="12" t="s">
        <v>1425</v>
      </c>
      <c r="B79" s="14"/>
      <c r="C79" s="20" t="s">
        <v>1442</v>
      </c>
      <c r="D79" s="13" t="s">
        <v>68</v>
      </c>
      <c r="E79" s="8" t="str">
        <f>IFERROR(IF(D79="No CAS","",INDEX('DEQ Pollutant List'!$B$7:$B$611,MATCH('5. Pollutant Emissions - MB'!D79,'DEQ Pollutant List'!$A$7:$A$611,0))),"")</f>
        <v>Toluene</v>
      </c>
      <c r="F79" s="21">
        <v>9.9000000000000008E-3</v>
      </c>
      <c r="G79" s="38"/>
      <c r="H79" s="48"/>
      <c r="I79" s="48"/>
      <c r="J79" s="39"/>
      <c r="K79" s="19" t="s">
        <v>1508</v>
      </c>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2.236512286343904</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6.1274309214901486E-3</v>
      </c>
    </row>
    <row r="80" spans="1:13" x14ac:dyDescent="0.25">
      <c r="A80" s="12" t="s">
        <v>1425</v>
      </c>
      <c r="B80" s="14"/>
      <c r="C80" s="20" t="s">
        <v>1449</v>
      </c>
      <c r="D80" s="13" t="s">
        <v>68</v>
      </c>
      <c r="E80" s="8" t="str">
        <f>IFERROR(IF(D80="No CAS","",INDEX('DEQ Pollutant List'!$B$7:$B$611,MATCH('5. Pollutant Emissions - MB'!D80,'DEQ Pollutant List'!$A$7:$A$611,0))),"")</f>
        <v>Toluene</v>
      </c>
      <c r="F80" s="21">
        <v>0.5</v>
      </c>
      <c r="G80" s="38"/>
      <c r="H80" s="48"/>
      <c r="I80" s="48"/>
      <c r="J80" s="39"/>
      <c r="K80" s="19" t="s">
        <v>1508</v>
      </c>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9.0072000000000028</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2.4677260273972611E-2</v>
      </c>
    </row>
    <row r="81" spans="1:13" x14ac:dyDescent="0.25">
      <c r="A81" s="12" t="s">
        <v>1425</v>
      </c>
      <c r="B81" s="14"/>
      <c r="C81" s="20" t="s">
        <v>1462</v>
      </c>
      <c r="D81" s="13" t="s">
        <v>68</v>
      </c>
      <c r="E81" s="8" t="str">
        <f>IFERROR(IF(D81="No CAS","",INDEX('DEQ Pollutant List'!$B$7:$B$611,MATCH('5. Pollutant Emissions - MB'!D81,'DEQ Pollutant List'!$A$7:$A$611,0))),"")</f>
        <v>Toluene</v>
      </c>
      <c r="F81" s="21">
        <v>0.3</v>
      </c>
      <c r="G81" s="38"/>
      <c r="H81" s="48"/>
      <c r="I81" s="48"/>
      <c r="J81" s="39"/>
      <c r="K81" s="19" t="s">
        <v>1508</v>
      </c>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19.335456000000001</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5.2973852054794518E-2</v>
      </c>
    </row>
    <row r="82" spans="1:13" x14ac:dyDescent="0.25">
      <c r="A82" s="12" t="s">
        <v>1425</v>
      </c>
      <c r="B82" s="14"/>
      <c r="C82" s="20" t="s">
        <v>1464</v>
      </c>
      <c r="D82" s="13" t="s">
        <v>68</v>
      </c>
      <c r="E82" s="8" t="str">
        <f>IFERROR(IF(D82="No CAS","",INDEX('DEQ Pollutant List'!$B$7:$B$611,MATCH('5. Pollutant Emissions - MB'!D82,'DEQ Pollutant List'!$A$7:$A$611,0))),"")</f>
        <v>Toluene</v>
      </c>
      <c r="F82" s="21">
        <v>0.1</v>
      </c>
      <c r="G82" s="38"/>
      <c r="H82" s="48"/>
      <c r="I82" s="48"/>
      <c r="J82" s="39"/>
      <c r="K82" s="19" t="s">
        <v>1508</v>
      </c>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30.737070000000003</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8.4211150684931513E-2</v>
      </c>
    </row>
    <row r="83" spans="1:13" x14ac:dyDescent="0.25">
      <c r="A83" s="12" t="s">
        <v>1425</v>
      </c>
      <c r="B83" s="14"/>
      <c r="C83" s="20" t="s">
        <v>1465</v>
      </c>
      <c r="D83" s="13" t="s">
        <v>68</v>
      </c>
      <c r="E83" s="8" t="str">
        <f>IFERROR(IF(D83="No CAS","",INDEX('DEQ Pollutant List'!$B$7:$B$611,MATCH('5. Pollutant Emissions - MB'!D83,'DEQ Pollutant List'!$A$7:$A$611,0))),"")</f>
        <v>Toluene</v>
      </c>
      <c r="F83" s="21">
        <v>0.3</v>
      </c>
      <c r="G83" s="38"/>
      <c r="H83" s="48"/>
      <c r="I83" s="48"/>
      <c r="J83" s="39"/>
      <c r="K83" s="19" t="s">
        <v>1508</v>
      </c>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0.1670085</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4.5755753424657535E-4</v>
      </c>
    </row>
    <row r="84" spans="1:13" x14ac:dyDescent="0.25">
      <c r="A84" s="12" t="s">
        <v>1425</v>
      </c>
      <c r="B84" s="14"/>
      <c r="C84" s="20" t="s">
        <v>1469</v>
      </c>
      <c r="D84" s="13" t="s">
        <v>68</v>
      </c>
      <c r="E84" s="8" t="str">
        <f>IFERROR(IF(D84="No CAS","",INDEX('DEQ Pollutant List'!$B$7:$B$611,MATCH('5. Pollutant Emissions - MB'!D84,'DEQ Pollutant List'!$A$7:$A$611,0))),"")</f>
        <v>Toluene</v>
      </c>
      <c r="F84" s="21">
        <v>0.25</v>
      </c>
      <c r="G84" s="38"/>
      <c r="H84" s="48"/>
      <c r="I84" s="48"/>
      <c r="J84" s="39"/>
      <c r="K84" s="19" t="s">
        <v>1508</v>
      </c>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2.1110624999999996</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5.7837328767123275E-3</v>
      </c>
    </row>
    <row r="85" spans="1:13" x14ac:dyDescent="0.25">
      <c r="A85" s="12" t="s">
        <v>1425</v>
      </c>
      <c r="B85" s="14"/>
      <c r="C85" s="20" t="s">
        <v>1470</v>
      </c>
      <c r="D85" s="13" t="s">
        <v>68</v>
      </c>
      <c r="E85" s="8" t="str">
        <f>IFERROR(IF(D85="No CAS","",INDEX('DEQ Pollutant List'!$B$7:$B$611,MATCH('5. Pollutant Emissions - MB'!D85,'DEQ Pollutant List'!$A$7:$A$611,0))),"")</f>
        <v>Toluene</v>
      </c>
      <c r="F85" s="21">
        <v>0.03</v>
      </c>
      <c r="G85" s="38"/>
      <c r="H85" s="48"/>
      <c r="I85" s="48"/>
      <c r="J85" s="39"/>
      <c r="K85" s="19" t="s">
        <v>1508</v>
      </c>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0.26008289999999995</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7.1255589041095864E-4</v>
      </c>
    </row>
    <row r="86" spans="1:13" x14ac:dyDescent="0.25">
      <c r="A86" s="12" t="s">
        <v>1425</v>
      </c>
      <c r="B86" s="14"/>
      <c r="C86" s="20" t="s">
        <v>1471</v>
      </c>
      <c r="D86" s="13" t="s">
        <v>68</v>
      </c>
      <c r="E86" s="8" t="str">
        <f>IFERROR(IF(D86="No CAS","",INDEX('DEQ Pollutant List'!$B$7:$B$611,MATCH('5. Pollutant Emissions - MB'!D86,'DEQ Pollutant List'!$A$7:$A$611,0))),"")</f>
        <v>Toluene</v>
      </c>
      <c r="F86" s="21">
        <v>3.0000000000000001E-3</v>
      </c>
      <c r="G86" s="38"/>
      <c r="H86" s="48"/>
      <c r="I86" s="48"/>
      <c r="J86" s="39"/>
      <c r="K86" s="19" t="s">
        <v>1508</v>
      </c>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8.65535625E-2</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2.3713304794520547E-4</v>
      </c>
    </row>
    <row r="87" spans="1:13" x14ac:dyDescent="0.25">
      <c r="A87" s="12" t="s">
        <v>1425</v>
      </c>
      <c r="B87" s="14"/>
      <c r="C87" s="20" t="s">
        <v>1472</v>
      </c>
      <c r="D87" s="13" t="s">
        <v>68</v>
      </c>
      <c r="E87" s="8" t="str">
        <f>IFERROR(IF(D87="No CAS","",INDEX('DEQ Pollutant List'!$B$7:$B$611,MATCH('5. Pollutant Emissions - MB'!D87,'DEQ Pollutant List'!$A$7:$A$611,0))),"")</f>
        <v>Toluene</v>
      </c>
      <c r="F87" s="21">
        <v>8.6499999999999994E-2</v>
      </c>
      <c r="G87" s="38"/>
      <c r="H87" s="48"/>
      <c r="I87" s="48"/>
      <c r="J87" s="39"/>
      <c r="K87" s="19" t="s">
        <v>1508</v>
      </c>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2.5905833099999991</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7.0974885205479423E-3</v>
      </c>
    </row>
    <row r="88" spans="1:13" x14ac:dyDescent="0.25">
      <c r="A88" s="12" t="s">
        <v>1425</v>
      </c>
      <c r="B88" s="14"/>
      <c r="C88" s="20" t="s">
        <v>1475</v>
      </c>
      <c r="D88" s="13" t="s">
        <v>68</v>
      </c>
      <c r="E88" s="8" t="str">
        <f>IFERROR(IF(D88="No CAS","",INDEX('DEQ Pollutant List'!$B$7:$B$611,MATCH('5. Pollutant Emissions - MB'!D88,'DEQ Pollutant List'!$A$7:$A$611,0))),"")</f>
        <v>Toluene</v>
      </c>
      <c r="F88" s="21">
        <v>4.1000000000000002E-2</v>
      </c>
      <c r="G88" s="38"/>
      <c r="H88" s="48"/>
      <c r="I88" s="48"/>
      <c r="J88" s="39"/>
      <c r="K88" s="19" t="s">
        <v>1508</v>
      </c>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0.16368240374999998</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4.4844494178082188E-4</v>
      </c>
    </row>
    <row r="89" spans="1:13" x14ac:dyDescent="0.25">
      <c r="A89" s="12" t="s">
        <v>1425</v>
      </c>
      <c r="B89" s="14"/>
      <c r="C89" s="20" t="s">
        <v>1478</v>
      </c>
      <c r="D89" s="13" t="s">
        <v>68</v>
      </c>
      <c r="E89" s="8" t="str">
        <f>IFERROR(IF(D89="No CAS","",INDEX('DEQ Pollutant List'!$B$7:$B$611,MATCH('5. Pollutant Emissions - MB'!D89,'DEQ Pollutant List'!$A$7:$A$611,0))),"")</f>
        <v>Toluene</v>
      </c>
      <c r="F89" s="21">
        <v>0.4</v>
      </c>
      <c r="G89" s="38"/>
      <c r="H89" s="48"/>
      <c r="I89" s="48"/>
      <c r="J89" s="39"/>
      <c r="K89" s="19" t="s">
        <v>1508</v>
      </c>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1.7842600325826543</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4.8883836509113817E-3</v>
      </c>
    </row>
    <row r="90" spans="1:13" x14ac:dyDescent="0.25">
      <c r="A90" s="12" t="s">
        <v>1425</v>
      </c>
      <c r="B90" s="14"/>
      <c r="C90" s="20" t="s">
        <v>1430</v>
      </c>
      <c r="D90" s="13" t="s">
        <v>60</v>
      </c>
      <c r="E90" s="8" t="str">
        <f>IFERROR(IF(D90="No CAS","",INDEX('DEQ Pollutant List'!$B$7:$B$611,MATCH('5. Pollutant Emissions - MB'!D90,'DEQ Pollutant List'!$A$7:$A$611,0))),"")</f>
        <v>Ethyl benzene</v>
      </c>
      <c r="F90" s="21">
        <v>0.01</v>
      </c>
      <c r="G90" s="38"/>
      <c r="H90" s="48"/>
      <c r="I90" s="48"/>
      <c r="J90" s="39"/>
      <c r="K90" s="19" t="s">
        <v>1508</v>
      </c>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0.11352825000000002</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3.1103630136986314E-4</v>
      </c>
    </row>
    <row r="91" spans="1:13" x14ac:dyDescent="0.25">
      <c r="A91" s="12" t="s">
        <v>1425</v>
      </c>
      <c r="B91" s="14"/>
      <c r="C91" s="20" t="s">
        <v>1446</v>
      </c>
      <c r="D91" s="13" t="s">
        <v>60</v>
      </c>
      <c r="E91" s="8" t="s">
        <v>1177</v>
      </c>
      <c r="F91" s="21">
        <v>0.03</v>
      </c>
      <c r="G91" s="38"/>
      <c r="H91" s="48"/>
      <c r="I91" s="48"/>
      <c r="J91" s="39"/>
      <c r="K91" s="19" t="s">
        <v>1508</v>
      </c>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22.460016149999994</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6.1534290821917789E-2</v>
      </c>
    </row>
    <row r="92" spans="1:13" x14ac:dyDescent="0.25">
      <c r="A92" s="12" t="s">
        <v>1425</v>
      </c>
      <c r="B92" s="14"/>
      <c r="C92" s="20" t="s">
        <v>1450</v>
      </c>
      <c r="D92" s="13" t="s">
        <v>60</v>
      </c>
      <c r="E92" s="8" t="str">
        <f>IFERROR(IF(D92="No CAS","",INDEX('DEQ Pollutant List'!$B$7:$B$611,MATCH('5. Pollutant Emissions - MB'!D92,'DEQ Pollutant List'!$A$7:$A$611,0))),"")</f>
        <v>Ethyl benzene</v>
      </c>
      <c r="F92" s="21">
        <v>0.01</v>
      </c>
      <c r="G92" s="38"/>
      <c r="H92" s="48"/>
      <c r="I92" s="48"/>
      <c r="J92" s="39"/>
      <c r="K92" s="19" t="s">
        <v>1508</v>
      </c>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0.10358279999999999</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2.8378849315068488E-4</v>
      </c>
    </row>
    <row r="93" spans="1:13" x14ac:dyDescent="0.25">
      <c r="A93" s="12" t="s">
        <v>1425</v>
      </c>
      <c r="B93" s="14"/>
      <c r="C93" s="20" t="s">
        <v>1471</v>
      </c>
      <c r="D93" s="13" t="s">
        <v>60</v>
      </c>
      <c r="E93" s="8" t="str">
        <f>IFERROR(IF(D93="No CAS","",INDEX('DEQ Pollutant List'!$B$7:$B$611,MATCH('5. Pollutant Emissions - MB'!D93,'DEQ Pollutant List'!$A$7:$A$611,0))),"")</f>
        <v>Ethyl benzene</v>
      </c>
      <c r="F93" s="21">
        <v>0.03</v>
      </c>
      <c r="G93" s="38"/>
      <c r="H93" s="48"/>
      <c r="I93" s="48"/>
      <c r="J93" s="39"/>
      <c r="K93" s="19" t="s">
        <v>1508</v>
      </c>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0.86553562499999992</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2.3713304794520545E-3</v>
      </c>
    </row>
    <row r="94" spans="1:13" x14ac:dyDescent="0.25">
      <c r="A94" s="12" t="s">
        <v>1425</v>
      </c>
      <c r="B94" s="14"/>
      <c r="C94" s="20" t="s">
        <v>1474</v>
      </c>
      <c r="D94" s="13" t="s">
        <v>60</v>
      </c>
      <c r="E94" s="8" t="str">
        <f>IFERROR(IF(D94="No CAS","",INDEX('DEQ Pollutant List'!$B$7:$B$611,MATCH('5. Pollutant Emissions - MB'!D94,'DEQ Pollutant List'!$A$7:$A$611,0))),"")</f>
        <v>Ethyl benzene</v>
      </c>
      <c r="F94" s="21">
        <v>1E-3</v>
      </c>
      <c r="G94" s="38"/>
      <c r="H94" s="48"/>
      <c r="I94" s="48"/>
      <c r="J94" s="39"/>
      <c r="K94" s="19" t="s">
        <v>1508</v>
      </c>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6.6152254500000007E-2</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1.8123905342465758E-4</v>
      </c>
    </row>
    <row r="95" spans="1:13" x14ac:dyDescent="0.25">
      <c r="A95" s="12" t="s">
        <v>1425</v>
      </c>
      <c r="B95" s="14"/>
      <c r="C95" s="20" t="s">
        <v>1478</v>
      </c>
      <c r="D95" s="13" t="s">
        <v>60</v>
      </c>
      <c r="E95" s="8" t="str">
        <f>IFERROR(IF(D95="No CAS","",INDEX('DEQ Pollutant List'!$B$7:$B$611,MATCH('5. Pollutant Emissions - MB'!D95,'DEQ Pollutant List'!$A$7:$A$611,0))),"")</f>
        <v>Ethyl benzene</v>
      </c>
      <c r="F95" s="21">
        <v>0.05</v>
      </c>
      <c r="G95" s="38"/>
      <c r="H95" s="48"/>
      <c r="I95" s="48"/>
      <c r="J95" s="39"/>
      <c r="K95" s="19" t="s">
        <v>1508</v>
      </c>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0.22303250407283179</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6.1104795636392271E-4</v>
      </c>
    </row>
    <row r="96" spans="1:13" x14ac:dyDescent="0.25">
      <c r="A96" s="12" t="s">
        <v>1425</v>
      </c>
      <c r="B96" s="14"/>
      <c r="C96" s="20" t="s">
        <v>1479</v>
      </c>
      <c r="D96" s="13" t="s">
        <v>60</v>
      </c>
      <c r="E96" s="8" t="str">
        <f>IFERROR(IF(D96="No CAS","",INDEX('DEQ Pollutant List'!$B$7:$B$611,MATCH('5. Pollutant Emissions - MB'!D96,'DEQ Pollutant List'!$A$7:$A$611,0))),"")</f>
        <v>Ethyl benzene</v>
      </c>
      <c r="F96" s="21">
        <v>0.01</v>
      </c>
      <c r="G96" s="38"/>
      <c r="H96" s="48"/>
      <c r="I96" s="48"/>
      <c r="J96" s="39"/>
      <c r="K96" s="19" t="s">
        <v>1508</v>
      </c>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5.5872787500000014E-2</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1.5307613013698635E-4</v>
      </c>
    </row>
    <row r="97" spans="1:13" x14ac:dyDescent="0.25">
      <c r="A97" s="12" t="s">
        <v>1425</v>
      </c>
      <c r="B97" s="14"/>
      <c r="C97" s="20" t="s">
        <v>1482</v>
      </c>
      <c r="D97" s="13" t="s">
        <v>60</v>
      </c>
      <c r="E97" s="8" t="str">
        <f>IFERROR(IF(D97="No CAS","",INDEX('DEQ Pollutant List'!$B$7:$B$611,MATCH('5. Pollutant Emissions - MB'!D97,'DEQ Pollutant List'!$A$7:$A$611,0))),"")</f>
        <v>Ethyl benzene</v>
      </c>
      <c r="F97" s="21">
        <v>4.0000000000000001E-3</v>
      </c>
      <c r="G97" s="38"/>
      <c r="H97" s="48"/>
      <c r="I97" s="48"/>
      <c r="J97" s="39"/>
      <c r="K97" s="19" t="s">
        <v>1508</v>
      </c>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5.516910000000002E-2</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1.5114821917808224E-4</v>
      </c>
    </row>
    <row r="98" spans="1:13" x14ac:dyDescent="0.25">
      <c r="A98" s="12" t="s">
        <v>1425</v>
      </c>
      <c r="B98" s="14"/>
      <c r="C98" s="20" t="s">
        <v>1483</v>
      </c>
      <c r="D98" s="13" t="s">
        <v>60</v>
      </c>
      <c r="E98" s="8" t="str">
        <f>IFERROR(IF(D98="No CAS","",INDEX('DEQ Pollutant List'!$B$7:$B$611,MATCH('5. Pollutant Emissions - MB'!D98,'DEQ Pollutant List'!$A$7:$A$611,0))),"")</f>
        <v>Ethyl benzene</v>
      </c>
      <c r="F98" s="21">
        <v>0.01</v>
      </c>
      <c r="G98" s="38"/>
      <c r="H98" s="48"/>
      <c r="I98" s="48"/>
      <c r="J98" s="39"/>
      <c r="K98" s="19" t="s">
        <v>1508</v>
      </c>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0.11779728749999999</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3.2273229452054792E-4</v>
      </c>
    </row>
    <row r="99" spans="1:13" x14ac:dyDescent="0.25">
      <c r="A99" s="12" t="s">
        <v>1425</v>
      </c>
      <c r="B99" s="14"/>
      <c r="C99" s="20" t="s">
        <v>1503</v>
      </c>
      <c r="D99" s="13" t="s">
        <v>60</v>
      </c>
      <c r="E99" s="8" t="str">
        <f>IFERROR(IF(D99="No CAS","",INDEX('DEQ Pollutant List'!$B$7:$B$611,MATCH('5. Pollutant Emissions - MB'!D99,'DEQ Pollutant List'!$A$7:$A$611,0))),"")</f>
        <v>Ethyl benzene</v>
      </c>
      <c r="F99" s="21">
        <v>1.0999999999999999E-2</v>
      </c>
      <c r="G99" s="38"/>
      <c r="H99" s="48"/>
      <c r="I99" s="48"/>
      <c r="J99" s="39"/>
      <c r="K99" s="19" t="s">
        <v>1508</v>
      </c>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0.15481124999999998</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4.241404109589041E-4</v>
      </c>
    </row>
    <row r="100" spans="1:13" x14ac:dyDescent="0.25">
      <c r="A100" s="12" t="s">
        <v>1425</v>
      </c>
      <c r="B100" s="14"/>
      <c r="C100" s="20" t="s">
        <v>1504</v>
      </c>
      <c r="D100" s="13" t="s">
        <v>60</v>
      </c>
      <c r="E100" s="8" t="str">
        <f>IFERROR(IF(D100="No CAS","",INDEX('DEQ Pollutant List'!$B$7:$B$611,MATCH('5. Pollutant Emissions - MB'!D100,'DEQ Pollutant List'!$A$7:$A$611,0))),"")</f>
        <v>Ethyl benzene</v>
      </c>
      <c r="F100" s="21">
        <v>1.4999999999999999E-2</v>
      </c>
      <c r="G100" s="38"/>
      <c r="H100" s="48"/>
      <c r="I100" s="48"/>
      <c r="J100" s="39"/>
      <c r="K100" s="19" t="s">
        <v>1508</v>
      </c>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0.66962902499999999</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1.8346000684931509E-3</v>
      </c>
    </row>
    <row r="101" spans="1:13" x14ac:dyDescent="0.25">
      <c r="A101" s="12" t="s">
        <v>1425</v>
      </c>
      <c r="B101" s="14"/>
      <c r="C101" s="20" t="s">
        <v>1505</v>
      </c>
      <c r="D101" s="13" t="s">
        <v>60</v>
      </c>
      <c r="E101" s="8" t="str">
        <f>IFERROR(IF(D101="No CAS","",INDEX('DEQ Pollutant List'!$B$7:$B$611,MATCH('5. Pollutant Emissions - MB'!D101,'DEQ Pollutant List'!$A$7:$A$611,0))),"")</f>
        <v>Ethyl benzene</v>
      </c>
      <c r="F101" s="21">
        <v>1.4999999999999999E-2</v>
      </c>
      <c r="G101" s="38"/>
      <c r="H101" s="48"/>
      <c r="I101" s="48"/>
      <c r="J101" s="39"/>
      <c r="K101" s="19" t="s">
        <v>1508</v>
      </c>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8.5603584375E-2</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2.3453036815068495E-4</v>
      </c>
    </row>
    <row r="102" spans="1:13" x14ac:dyDescent="0.25">
      <c r="A102" s="12" t="s">
        <v>1425</v>
      </c>
      <c r="B102" s="14"/>
      <c r="C102" s="20" t="s">
        <v>1433</v>
      </c>
      <c r="D102" s="13" t="s">
        <v>102</v>
      </c>
      <c r="E102" s="8" t="str">
        <f>IFERROR(IF(D102="No CAS","",INDEX('DEQ Pollutant List'!$B$7:$B$611,MATCH('5. Pollutant Emissions - MB'!D102,'DEQ Pollutant List'!$A$7:$A$611,0))),"")</f>
        <v>Methyl isobutyl ketone (MIBK, hexone)</v>
      </c>
      <c r="F102" s="21">
        <v>0.1</v>
      </c>
      <c r="G102" s="38"/>
      <c r="H102" s="48"/>
      <c r="I102" s="48"/>
      <c r="J102" s="39"/>
      <c r="K102" s="19" t="s">
        <v>1508</v>
      </c>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24.206941254195002</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6.6320386997794523E-2</v>
      </c>
    </row>
    <row r="103" spans="1:13" x14ac:dyDescent="0.25">
      <c r="A103" s="12" t="s">
        <v>1425</v>
      </c>
      <c r="B103" s="14"/>
      <c r="C103" s="20" t="s">
        <v>1454</v>
      </c>
      <c r="D103" s="13" t="s">
        <v>102</v>
      </c>
      <c r="E103" s="8" t="str">
        <f>IFERROR(IF(D103="No CAS","",INDEX('DEQ Pollutant List'!$B$7:$B$611,MATCH('5. Pollutant Emissions - MB'!D103,'DEQ Pollutant List'!$A$7:$A$611,0))),"")</f>
        <v>Methyl isobutyl ketone (MIBK, hexone)</v>
      </c>
      <c r="F103" s="21">
        <v>1</v>
      </c>
      <c r="G103" s="38"/>
      <c r="H103" s="48"/>
      <c r="I103" s="48"/>
      <c r="J103" s="39"/>
      <c r="K103" s="19" t="s">
        <v>1508</v>
      </c>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2.4206849999999998</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6.6320136986301372E-3</v>
      </c>
    </row>
    <row r="104" spans="1:13" x14ac:dyDescent="0.25">
      <c r="A104" s="12" t="s">
        <v>1425</v>
      </c>
      <c r="B104" s="14"/>
      <c r="C104" s="20" t="s">
        <v>1471</v>
      </c>
      <c r="D104" s="13" t="s">
        <v>102</v>
      </c>
      <c r="E104" s="8" t="str">
        <f>IFERROR(IF(D104="No CAS","",INDEX('DEQ Pollutant List'!$B$7:$B$611,MATCH('5. Pollutant Emissions - MB'!D104,'DEQ Pollutant List'!$A$7:$A$611,0))),"")</f>
        <v>Methyl isobutyl ketone (MIBK, hexone)</v>
      </c>
      <c r="F104" s="21">
        <v>3.0000000000000001E-3</v>
      </c>
      <c r="G104" s="38"/>
      <c r="H104" s="48"/>
      <c r="I104" s="48"/>
      <c r="J104" s="39"/>
      <c r="K104" s="19" t="s">
        <v>1508</v>
      </c>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8.65535625E-2</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2.3713304794520547E-4</v>
      </c>
    </row>
    <row r="105" spans="1:13" x14ac:dyDescent="0.25">
      <c r="A105" s="12" t="s">
        <v>1425</v>
      </c>
      <c r="B105" s="14"/>
      <c r="C105" s="20" t="s">
        <v>1481</v>
      </c>
      <c r="D105" s="13" t="s">
        <v>102</v>
      </c>
      <c r="E105" s="8" t="str">
        <f>IFERROR(IF(D105="No CAS","",INDEX('DEQ Pollutant List'!$B$7:$B$611,MATCH('5. Pollutant Emissions - MB'!D105,'DEQ Pollutant List'!$A$7:$A$611,0))),"")</f>
        <v>Methyl isobutyl ketone (MIBK, hexone)</v>
      </c>
      <c r="F105" s="21">
        <v>0.1</v>
      </c>
      <c r="G105" s="38"/>
      <c r="H105" s="48"/>
      <c r="I105" s="48"/>
      <c r="J105" s="39"/>
      <c r="K105" s="19" t="s">
        <v>1508</v>
      </c>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983.7213480000006</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2.6951269808219198</v>
      </c>
    </row>
    <row r="106" spans="1:13" x14ac:dyDescent="0.25">
      <c r="A106" s="12" t="s">
        <v>1425</v>
      </c>
      <c r="B106" s="14"/>
      <c r="C106" s="20" t="s">
        <v>1500</v>
      </c>
      <c r="D106" s="13" t="s">
        <v>102</v>
      </c>
      <c r="E106" s="8" t="str">
        <f>IFERROR(IF(D106="No CAS","",INDEX('DEQ Pollutant List'!$B$7:$B$611,MATCH('5. Pollutant Emissions - MB'!D106,'DEQ Pollutant List'!$A$7:$A$611,0))),"")</f>
        <v>Methyl isobutyl ketone (MIBK, hexone)</v>
      </c>
      <c r="F106" s="21">
        <v>0.05</v>
      </c>
      <c r="G106" s="38"/>
      <c r="H106" s="48"/>
      <c r="I106" s="48"/>
      <c r="J106" s="39"/>
      <c r="K106" s="19" t="s">
        <v>1508</v>
      </c>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0.21673574999999998</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5.9379657534246568E-4</v>
      </c>
    </row>
    <row r="107" spans="1:13" x14ac:dyDescent="0.25">
      <c r="A107" s="12" t="s">
        <v>1425</v>
      </c>
      <c r="B107" s="14"/>
      <c r="C107" s="20" t="s">
        <v>1430</v>
      </c>
      <c r="D107" s="13" t="s">
        <v>61</v>
      </c>
      <c r="E107" s="8" t="str">
        <f>IFERROR(IF(D107="No CAS","",INDEX('DEQ Pollutant List'!$B$7:$B$611,MATCH('5. Pollutant Emissions - MB'!D107,'DEQ Pollutant List'!$A$7:$A$611,0))),"")</f>
        <v>Hexane</v>
      </c>
      <c r="F107" s="21">
        <v>0.2</v>
      </c>
      <c r="G107" s="38"/>
      <c r="H107" s="48"/>
      <c r="I107" s="48"/>
      <c r="J107" s="39"/>
      <c r="K107" s="19" t="s">
        <v>1508</v>
      </c>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2.2705650000000008</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6.2207260273972626E-3</v>
      </c>
    </row>
    <row r="108" spans="1:13" x14ac:dyDescent="0.25">
      <c r="A108" s="12" t="s">
        <v>1425</v>
      </c>
      <c r="B108" s="14"/>
      <c r="C108" s="20" t="s">
        <v>1438</v>
      </c>
      <c r="D108" s="13" t="s">
        <v>61</v>
      </c>
      <c r="E108" s="8" t="str">
        <f>IFERROR(IF(D108="No CAS","",INDEX('DEQ Pollutant List'!$B$7:$B$611,MATCH('5. Pollutant Emissions - MB'!D108,'DEQ Pollutant List'!$A$7:$A$611,0))),"")</f>
        <v>Hexane</v>
      </c>
      <c r="F108" s="21">
        <v>0.4</v>
      </c>
      <c r="G108" s="38"/>
      <c r="H108" s="48"/>
      <c r="I108" s="48"/>
      <c r="J108" s="39"/>
      <c r="K108" s="19" t="s">
        <v>1508</v>
      </c>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0.19015199999999999</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5.2096438356164377E-4</v>
      </c>
    </row>
    <row r="109" spans="1:13" x14ac:dyDescent="0.25">
      <c r="A109" s="12" t="s">
        <v>1425</v>
      </c>
      <c r="B109" s="14"/>
      <c r="C109" s="20" t="s">
        <v>1448</v>
      </c>
      <c r="D109" s="13" t="s">
        <v>61</v>
      </c>
      <c r="E109" s="8" t="str">
        <f>IFERROR(IF(D109="No CAS","",INDEX('DEQ Pollutant List'!$B$7:$B$611,MATCH('5. Pollutant Emissions - MB'!D109,'DEQ Pollutant List'!$A$7:$A$611,0))),"")</f>
        <v>Hexane</v>
      </c>
      <c r="F109" s="21">
        <v>3.0000000000000001E-3</v>
      </c>
      <c r="G109" s="38"/>
      <c r="H109" s="48"/>
      <c r="I109" s="48"/>
      <c r="J109" s="39"/>
      <c r="K109" s="19" t="s">
        <v>1508</v>
      </c>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0.23076309712499998</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6.3222766335616445E-4</v>
      </c>
    </row>
    <row r="110" spans="1:13" x14ac:dyDescent="0.25">
      <c r="A110" s="12" t="s">
        <v>1425</v>
      </c>
      <c r="B110" s="14"/>
      <c r="C110" s="20" t="s">
        <v>1455</v>
      </c>
      <c r="D110" s="13" t="s">
        <v>61</v>
      </c>
      <c r="E110" s="8" t="str">
        <f>IFERROR(IF(D110="No CAS","",INDEX('DEQ Pollutant List'!$B$7:$B$611,MATCH('5. Pollutant Emissions - MB'!D110,'DEQ Pollutant List'!$A$7:$A$611,0))),"")</f>
        <v>Hexane</v>
      </c>
      <c r="F110" s="21">
        <v>0.05</v>
      </c>
      <c r="G110" s="38"/>
      <c r="H110" s="48"/>
      <c r="I110" s="48"/>
      <c r="J110" s="39"/>
      <c r="K110" s="19" t="s">
        <v>1508</v>
      </c>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1.3323149999999999</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3.6501780821917803E-3</v>
      </c>
    </row>
    <row r="111" spans="1:13" x14ac:dyDescent="0.25">
      <c r="A111" s="12" t="s">
        <v>1425</v>
      </c>
      <c r="B111" s="14"/>
      <c r="C111" s="20" t="s">
        <v>1462</v>
      </c>
      <c r="D111" s="13" t="s">
        <v>61</v>
      </c>
      <c r="E111" s="8" t="str">
        <f>IFERROR(IF(D111="No CAS","",INDEX('DEQ Pollutant List'!$B$7:$B$611,MATCH('5. Pollutant Emissions - MB'!D111,'DEQ Pollutant List'!$A$7:$A$611,0))),"")</f>
        <v>Hexane</v>
      </c>
      <c r="F111" s="21">
        <v>0.2</v>
      </c>
      <c r="G111" s="38"/>
      <c r="H111" s="48"/>
      <c r="I111" s="48"/>
      <c r="J111" s="39"/>
      <c r="K111" s="19" t="s">
        <v>1508</v>
      </c>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12.890304</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3.5315901369863012E-2</v>
      </c>
    </row>
    <row r="112" spans="1:13" x14ac:dyDescent="0.25">
      <c r="A112" s="12" t="s">
        <v>1425</v>
      </c>
      <c r="B112" s="14"/>
      <c r="C112" s="20" t="s">
        <v>1435</v>
      </c>
      <c r="D112" s="13" t="s">
        <v>107</v>
      </c>
      <c r="E112" s="8" t="str">
        <f>IFERROR(IF(D112="No CAS","",INDEX('DEQ Pollutant List'!$B$7:$B$611,MATCH('5. Pollutant Emissions - MB'!D112,'DEQ Pollutant List'!$A$7:$A$611,0))),"")</f>
        <v>Styrene</v>
      </c>
      <c r="F112" s="21">
        <v>0.2</v>
      </c>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0.21204449999999994</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5.8094383561643813E-4</v>
      </c>
    </row>
    <row r="113" spans="1:13" x14ac:dyDescent="0.25">
      <c r="A113" s="12" t="s">
        <v>1425</v>
      </c>
      <c r="B113" s="14"/>
      <c r="C113" s="20" t="s">
        <v>1436</v>
      </c>
      <c r="D113" s="13" t="s">
        <v>107</v>
      </c>
      <c r="E113" s="8" t="str">
        <f>IFERROR(IF(D113="No CAS","",INDEX('DEQ Pollutant List'!$B$7:$B$611,MATCH('5. Pollutant Emissions - MB'!D113,'DEQ Pollutant List'!$A$7:$A$611,0))),"")</f>
        <v>Styrene</v>
      </c>
      <c r="F113" s="21">
        <v>0.2</v>
      </c>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3.6754379999999993</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1.0069693150684929E-2</v>
      </c>
    </row>
    <row r="114" spans="1:13" x14ac:dyDescent="0.25">
      <c r="A114" s="12" t="s">
        <v>1425</v>
      </c>
      <c r="B114" s="14"/>
      <c r="C114" s="20" t="s">
        <v>1460</v>
      </c>
      <c r="D114" s="13" t="s">
        <v>62</v>
      </c>
      <c r="E114" s="8" t="str">
        <f>IFERROR(IF(D114="No CAS","",INDEX('DEQ Pollutant List'!$B$7:$B$611,MATCH('5. Pollutant Emissions - MB'!D114,'DEQ Pollutant List'!$A$7:$A$611,0))),"")</f>
        <v>Lead and compounds</v>
      </c>
      <c r="F114" s="21">
        <v>4.24E-2</v>
      </c>
      <c r="G114" s="38"/>
      <c r="H114" s="48"/>
      <c r="I114" s="48"/>
      <c r="J114" s="39"/>
      <c r="K114" s="19" t="s">
        <v>1508</v>
      </c>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7.1474634000000009E-2</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1.9582091506849318E-4</v>
      </c>
    </row>
    <row r="115" spans="1:13" x14ac:dyDescent="0.25">
      <c r="A115" s="12" t="s">
        <v>1425</v>
      </c>
      <c r="B115" s="14"/>
      <c r="C115" s="20" t="s">
        <v>1491</v>
      </c>
      <c r="D115" s="13" t="s">
        <v>783</v>
      </c>
      <c r="E115" s="8" t="str">
        <f>IFERROR(IF(D115="No CAS","",INDEX('DEQ Pollutant List'!$B$7:$B$611,MATCH('5. Pollutant Emissions - MB'!D115,'DEQ Pollutant List'!$A$7:$A$611,0))),"")</f>
        <v>Hydroquinone</v>
      </c>
      <c r="F115" s="21">
        <v>0.01</v>
      </c>
      <c r="G115" s="38"/>
      <c r="H115" s="48"/>
      <c r="I115" s="48"/>
      <c r="J115" s="39"/>
      <c r="K115" s="19" t="s">
        <v>1508</v>
      </c>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1.7201249999999998E-2</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4.7126712328767121E-5</v>
      </c>
    </row>
    <row r="116" spans="1:13" x14ac:dyDescent="0.25">
      <c r="A116" s="12" t="s">
        <v>1425</v>
      </c>
      <c r="B116" s="14"/>
      <c r="C116" s="20" t="s">
        <v>1492</v>
      </c>
      <c r="D116" s="13" t="s">
        <v>783</v>
      </c>
      <c r="E116" s="8" t="str">
        <f>IFERROR(IF(D116="No CAS","",INDEX('DEQ Pollutant List'!$B$7:$B$611,MATCH('5. Pollutant Emissions - MB'!D116,'DEQ Pollutant List'!$A$7:$A$611,0))),"")</f>
        <v>Hydroquinone</v>
      </c>
      <c r="F116" s="21">
        <v>0.01</v>
      </c>
      <c r="G116" s="38"/>
      <c r="H116" s="48"/>
      <c r="I116" s="48"/>
      <c r="J116" s="39"/>
      <c r="K116" s="19" t="s">
        <v>1508</v>
      </c>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3.0936448125000005E-2</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8.4757392123287686E-5</v>
      </c>
    </row>
    <row r="117" spans="1:13" x14ac:dyDescent="0.25">
      <c r="A117" s="12" t="s">
        <v>1425</v>
      </c>
      <c r="B117" s="14"/>
      <c r="C117" s="20" t="s">
        <v>1440</v>
      </c>
      <c r="D117" s="13" t="s">
        <v>705</v>
      </c>
      <c r="E117" s="8" t="str">
        <f>IFERROR(IF(D117="No CAS","",INDEX('DEQ Pollutant List'!$B$7:$B$611,MATCH('5. Pollutant Emissions - MB'!D117,'DEQ Pollutant List'!$A$7:$A$611,0))),"")</f>
        <v>Ethylene glycol</v>
      </c>
      <c r="F117" s="21">
        <v>0.01</v>
      </c>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4.651218E-2</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1.2743063013698631E-4</v>
      </c>
    </row>
    <row r="118" spans="1:13" x14ac:dyDescent="0.25">
      <c r="A118" s="12" t="s">
        <v>1425</v>
      </c>
      <c r="B118" s="14"/>
      <c r="C118" s="20" t="s">
        <v>1499</v>
      </c>
      <c r="D118" s="13" t="s">
        <v>101</v>
      </c>
      <c r="E118" s="8" t="str">
        <f>IFERROR(IF(D118="No CAS","",INDEX('DEQ Pollutant List'!$B$7:$B$611,MATCH('5. Pollutant Emissions - MB'!D118,'DEQ Pollutant List'!$A$7:$A$611,0))),"")</f>
        <v>Methanol</v>
      </c>
      <c r="F118" s="21">
        <v>0.03</v>
      </c>
      <c r="G118" s="38"/>
      <c r="H118" s="48"/>
      <c r="I118" s="48"/>
      <c r="J118" s="39"/>
      <c r="K118" s="19" t="s">
        <v>1508</v>
      </c>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91.558188000000001</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0.25084435068493155</v>
      </c>
    </row>
    <row r="119" spans="1:13" x14ac:dyDescent="0.25">
      <c r="A119" s="12" t="s">
        <v>1425</v>
      </c>
      <c r="B119" s="14"/>
      <c r="C119" s="20" t="s">
        <v>1431</v>
      </c>
      <c r="D119" s="13" t="s">
        <v>101</v>
      </c>
      <c r="E119" s="8" t="str">
        <f>IFERROR(IF(D119="No CAS","",INDEX('DEQ Pollutant List'!$B$7:$B$611,MATCH('5. Pollutant Emissions - MB'!D119,'DEQ Pollutant List'!$A$7:$A$611,0))),"")</f>
        <v>Methanol</v>
      </c>
      <c r="F119" s="21">
        <v>0.05</v>
      </c>
      <c r="G119" s="38"/>
      <c r="H119" s="48"/>
      <c r="I119" s="48"/>
      <c r="J119" s="39"/>
      <c r="K119" s="19" t="s">
        <v>1508</v>
      </c>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4.5071528400000007</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1.2348363945205483E-2</v>
      </c>
    </row>
    <row r="120" spans="1:13" x14ac:dyDescent="0.25">
      <c r="A120" s="12" t="s">
        <v>1425</v>
      </c>
      <c r="B120" s="14"/>
      <c r="C120" s="20" t="s">
        <v>1464</v>
      </c>
      <c r="D120" s="13" t="s">
        <v>101</v>
      </c>
      <c r="E120" s="8" t="str">
        <f>IFERROR(IF(D120="No CAS","",INDEX('DEQ Pollutant List'!$B$7:$B$611,MATCH('5. Pollutant Emissions - MB'!D120,'DEQ Pollutant List'!$A$7:$A$611,0))),"")</f>
        <v>Methanol</v>
      </c>
      <c r="F120" s="21">
        <v>0.2</v>
      </c>
      <c r="G120" s="38"/>
      <c r="H120" s="48"/>
      <c r="I120" s="48"/>
      <c r="J120" s="39"/>
      <c r="K120" s="19" t="s">
        <v>1508</v>
      </c>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61.474140000000006</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0.16842230136986303</v>
      </c>
    </row>
    <row r="121" spans="1:13" x14ac:dyDescent="0.25">
      <c r="A121" s="12" t="s">
        <v>1425</v>
      </c>
      <c r="B121" s="14"/>
      <c r="C121" s="20" t="s">
        <v>1480</v>
      </c>
      <c r="D121" s="13" t="s">
        <v>101</v>
      </c>
      <c r="E121" s="8" t="str">
        <f>IFERROR(IF(D121="No CAS","",INDEX('DEQ Pollutant List'!$B$7:$B$611,MATCH('5. Pollutant Emissions - MB'!D121,'DEQ Pollutant List'!$A$7:$A$611,0))),"")</f>
        <v>Methanol</v>
      </c>
      <c r="F121" s="21">
        <v>0.6</v>
      </c>
      <c r="G121" s="38"/>
      <c r="H121" s="48"/>
      <c r="I121" s="48"/>
      <c r="J121" s="39"/>
      <c r="K121" s="19" t="s">
        <v>1508</v>
      </c>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3914.4244227681188</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10.72445047333731</v>
      </c>
    </row>
    <row r="122" spans="1:13" x14ac:dyDescent="0.25">
      <c r="A122" s="12" t="s">
        <v>1425</v>
      </c>
      <c r="B122" s="14"/>
      <c r="C122" s="20" t="s">
        <v>1493</v>
      </c>
      <c r="D122" s="13" t="s">
        <v>387</v>
      </c>
      <c r="E122" s="8" t="str">
        <f>IFERROR(IF(D122="No CAS","",INDEX('DEQ Pollutant List'!$B$7:$B$611,MATCH('5. Pollutant Emissions - MB'!D122,'DEQ Pollutant List'!$A$7:$A$611,0))),"")</f>
        <v>Acrylic acid</v>
      </c>
      <c r="F122" s="21">
        <v>0.05</v>
      </c>
      <c r="G122" s="38"/>
      <c r="H122" s="48"/>
      <c r="I122" s="48"/>
      <c r="J122" s="39"/>
      <c r="K122" s="19" t="s">
        <v>1508</v>
      </c>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0.14535056249999997</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3.9822071917808223E-4</v>
      </c>
    </row>
    <row r="123" spans="1:13" x14ac:dyDescent="0.25">
      <c r="A123" s="12" t="s">
        <v>1425</v>
      </c>
      <c r="B123" s="14"/>
      <c r="C123" s="20" t="s">
        <v>1495</v>
      </c>
      <c r="D123" s="13" t="s">
        <v>387</v>
      </c>
      <c r="E123" s="8" t="str">
        <f>IFERROR(IF(D123="No CAS","",INDEX('DEQ Pollutant List'!$B$7:$B$611,MATCH('5. Pollutant Emissions - MB'!D123,'DEQ Pollutant List'!$A$7:$A$611,0))),"")</f>
        <v>Acrylic acid</v>
      </c>
      <c r="F123" s="21">
        <v>0.1</v>
      </c>
      <c r="G123" s="38"/>
      <c r="H123" s="48"/>
      <c r="I123" s="48"/>
      <c r="J123" s="39"/>
      <c r="K123" s="19" t="s">
        <v>1508</v>
      </c>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0.18726407959534966</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5.1305227286397171E-4</v>
      </c>
    </row>
    <row r="124" spans="1:13" x14ac:dyDescent="0.25">
      <c r="A124" s="12" t="s">
        <v>1425</v>
      </c>
      <c r="B124" s="14"/>
      <c r="C124" s="20" t="s">
        <v>1496</v>
      </c>
      <c r="D124" s="13" t="s">
        <v>387</v>
      </c>
      <c r="E124" s="8" t="str">
        <f>IFERROR(IF(D124="No CAS","",INDEX('DEQ Pollutant List'!$B$7:$B$611,MATCH('5. Pollutant Emissions - MB'!D124,'DEQ Pollutant List'!$A$7:$A$611,0))),"")</f>
        <v>Acrylic acid</v>
      </c>
      <c r="F124" s="21">
        <v>0.1</v>
      </c>
      <c r="G124" s="38"/>
      <c r="H124" s="48"/>
      <c r="I124" s="48"/>
      <c r="J124" s="39"/>
      <c r="K124" s="19" t="s">
        <v>1508</v>
      </c>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0.38473036224567581</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1.0540557869744543E-3</v>
      </c>
    </row>
    <row r="125" spans="1:13" x14ac:dyDescent="0.25">
      <c r="A125" s="12" t="s">
        <v>1425</v>
      </c>
      <c r="B125" s="14"/>
      <c r="C125" s="20" t="s">
        <v>1497</v>
      </c>
      <c r="D125" s="13" t="s">
        <v>387</v>
      </c>
      <c r="E125" s="8" t="str">
        <f>IFERROR(IF(D125="No CAS","",INDEX('DEQ Pollutant List'!$B$7:$B$611,MATCH('5. Pollutant Emissions - MB'!D125,'DEQ Pollutant List'!$A$7:$A$611,0))),"")</f>
        <v>Acrylic acid</v>
      </c>
      <c r="F125" s="21">
        <v>0.1</v>
      </c>
      <c r="G125" s="38"/>
      <c r="H125" s="48"/>
      <c r="I125" s="48"/>
      <c r="J125" s="39"/>
      <c r="K125" s="19" t="s">
        <v>1508</v>
      </c>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2.908217057625E-2</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7.967717966095891E-5</v>
      </c>
    </row>
    <row r="126" spans="1:13" x14ac:dyDescent="0.25">
      <c r="A126" s="12" t="s">
        <v>1425</v>
      </c>
      <c r="B126" s="14"/>
      <c r="C126" s="20" t="s">
        <v>1498</v>
      </c>
      <c r="D126" s="13" t="s">
        <v>387</v>
      </c>
      <c r="E126" s="8" t="str">
        <f>IFERROR(IF(D126="No CAS","",INDEX('DEQ Pollutant List'!$B$7:$B$611,MATCH('5. Pollutant Emissions - MB'!D126,'DEQ Pollutant List'!$A$7:$A$611,0))),"")</f>
        <v>Acrylic acid</v>
      </c>
      <c r="F126" s="21">
        <v>0.05</v>
      </c>
      <c r="G126" s="38"/>
      <c r="H126" s="48"/>
      <c r="I126" s="48"/>
      <c r="J126" s="39"/>
      <c r="K126" s="19" t="s">
        <v>1508</v>
      </c>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0.116328682305</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3.1870871864383564E-4</v>
      </c>
    </row>
    <row r="127" spans="1:13" x14ac:dyDescent="0.25">
      <c r="A127" s="12" t="s">
        <v>1425</v>
      </c>
      <c r="B127" s="14"/>
      <c r="C127" s="20" t="s">
        <v>1451</v>
      </c>
      <c r="D127" s="13" t="s">
        <v>223</v>
      </c>
      <c r="E127" s="8" t="str">
        <f>IFERROR(IF(D127="No CAS","",INDEX('DEQ Pollutant List'!$B$7:$B$611,MATCH('5. Pollutant Emissions - MB'!D127,'DEQ Pollutant List'!$A$7:$A$611,0))),"")</f>
        <v>1,2-Epoxybutane</v>
      </c>
      <c r="F127" s="21">
        <v>0.01</v>
      </c>
      <c r="G127" s="38"/>
      <c r="H127" s="48"/>
      <c r="I127" s="48"/>
      <c r="J127" s="39"/>
      <c r="K127" s="19" t="s">
        <v>1508</v>
      </c>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11.423399931174027</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3.1296986112805548E-2</v>
      </c>
    </row>
    <row r="128" spans="1:13" x14ac:dyDescent="0.25">
      <c r="A128" s="12" t="s">
        <v>1425</v>
      </c>
      <c r="B128" s="14"/>
      <c r="C128" s="20" t="s">
        <v>1440</v>
      </c>
      <c r="D128" s="13" t="s">
        <v>100</v>
      </c>
      <c r="E128" s="8" t="str">
        <f>IFERROR(IF(D128="No CAS","",INDEX('DEQ Pollutant List'!$B$7:$B$611,MATCH('5. Pollutant Emissions - MB'!D128,'DEQ Pollutant List'!$A$7:$A$611,0))),"")</f>
        <v>Isopropylbenzene (cumene)</v>
      </c>
      <c r="F128" s="21">
        <v>0.01</v>
      </c>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4.651218E-2</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1.2743063013698631E-4</v>
      </c>
    </row>
    <row r="129" spans="1:13" x14ac:dyDescent="0.25">
      <c r="A129" s="12" t="s">
        <v>1425</v>
      </c>
      <c r="B129" s="14"/>
      <c r="C129" s="20" t="s">
        <v>1489</v>
      </c>
      <c r="D129" s="13" t="s">
        <v>575</v>
      </c>
      <c r="E129" s="8" t="str">
        <f>IFERROR(IF(D129="No CAS","",INDEX('DEQ Pollutant List'!$B$7:$B$611,MATCH('5. Pollutant Emissions - MB'!D129,'DEQ Pollutant List'!$A$7:$A$611,0))),"")</f>
        <v>Cumene hydroperoxide</v>
      </c>
      <c r="F129" s="21">
        <v>0.05</v>
      </c>
      <c r="G129" s="38"/>
      <c r="H129" s="48"/>
      <c r="I129" s="48"/>
      <c r="J129" s="39"/>
      <c r="K129" s="19" t="s">
        <v>1508</v>
      </c>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0.27628062047437502</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7.5693320677910957E-4</v>
      </c>
    </row>
    <row r="130" spans="1:13" x14ac:dyDescent="0.25">
      <c r="A130" s="12" t="s">
        <v>1425</v>
      </c>
      <c r="B130" s="14"/>
      <c r="C130" s="20" t="s">
        <v>1490</v>
      </c>
      <c r="D130" s="13" t="s">
        <v>100</v>
      </c>
      <c r="E130" s="8" t="str">
        <f>IFERROR(IF(D130="No CAS","",INDEX('DEQ Pollutant List'!$B$7:$B$611,MATCH('5. Pollutant Emissions - MB'!D130,'DEQ Pollutant List'!$A$7:$A$611,0))),"")</f>
        <v>Isopropylbenzene (cumene)</v>
      </c>
      <c r="F130" s="21">
        <v>0.01</v>
      </c>
      <c r="G130" s="38"/>
      <c r="H130" s="48"/>
      <c r="I130" s="48"/>
      <c r="J130" s="39"/>
      <c r="K130" s="19" t="s">
        <v>1508</v>
      </c>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3.0523618125000002E-2</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8.3626351027397269E-5</v>
      </c>
    </row>
    <row r="131" spans="1:13" x14ac:dyDescent="0.25">
      <c r="A131" s="12" t="s">
        <v>1425</v>
      </c>
      <c r="B131" s="14"/>
      <c r="C131" s="20" t="s">
        <v>1495</v>
      </c>
      <c r="D131" s="13" t="s">
        <v>100</v>
      </c>
      <c r="E131" s="8" t="str">
        <f>IFERROR(IF(D131="No CAS","",INDEX('DEQ Pollutant List'!$B$7:$B$611,MATCH('5. Pollutant Emissions - MB'!D131,'DEQ Pollutant List'!$A$7:$A$611,0))),"")</f>
        <v>Isopropylbenzene (cumene)</v>
      </c>
      <c r="F131" s="21">
        <v>0.01</v>
      </c>
      <c r="G131" s="38"/>
      <c r="H131" s="48"/>
      <c r="I131" s="48"/>
      <c r="J131" s="39"/>
      <c r="K131" s="19" t="s">
        <v>1508</v>
      </c>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1.8726407959534966E-2</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5.1305227286397166E-5</v>
      </c>
    </row>
    <row r="132" spans="1:13" x14ac:dyDescent="0.25">
      <c r="A132" s="12" t="s">
        <v>1425</v>
      </c>
      <c r="B132" s="14"/>
      <c r="C132" s="20" t="s">
        <v>1497</v>
      </c>
      <c r="D132" s="13" t="s">
        <v>100</v>
      </c>
      <c r="E132" s="8" t="str">
        <f>IFERROR(IF(D132="No CAS","",INDEX('DEQ Pollutant List'!$B$7:$B$611,MATCH('5. Pollutant Emissions - MB'!D132,'DEQ Pollutant List'!$A$7:$A$611,0))),"")</f>
        <v>Isopropylbenzene (cumene)</v>
      </c>
      <c r="F132" s="21">
        <v>0.01</v>
      </c>
      <c r="G132" s="38"/>
      <c r="H132" s="48"/>
      <c r="I132" s="48"/>
      <c r="J132" s="39"/>
      <c r="K132" s="19" t="s">
        <v>1508</v>
      </c>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2.9082170576250001E-3</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7.9677179660958893E-6</v>
      </c>
    </row>
    <row r="133" spans="1:13" x14ac:dyDescent="0.25">
      <c r="A133" s="12" t="s">
        <v>1425</v>
      </c>
      <c r="B133" s="14"/>
      <c r="C133" s="20" t="s">
        <v>1502</v>
      </c>
      <c r="D133" s="13" t="s">
        <v>100</v>
      </c>
      <c r="E133" s="8" t="str">
        <f>IFERROR(IF(D133="No CAS","",INDEX('DEQ Pollutant List'!$B$7:$B$611,MATCH('5. Pollutant Emissions - MB'!D133,'DEQ Pollutant List'!$A$7:$A$611,0))),"")</f>
        <v>Isopropylbenzene (cumene)</v>
      </c>
      <c r="F133" s="21">
        <v>0.01</v>
      </c>
      <c r="G133" s="38"/>
      <c r="H133" s="48"/>
      <c r="I133" s="48"/>
      <c r="J133" s="39"/>
      <c r="K133" s="19" t="s">
        <v>1508</v>
      </c>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1.7600631750000002E-2</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4.8220908904109591E-5</v>
      </c>
    </row>
    <row r="134" spans="1:13" x14ac:dyDescent="0.25">
      <c r="A134" s="12" t="s">
        <v>1425</v>
      </c>
      <c r="B134" s="14"/>
      <c r="C134" s="20" t="s">
        <v>1446</v>
      </c>
      <c r="D134" s="13" t="s">
        <v>171</v>
      </c>
      <c r="E134" s="8" t="s">
        <v>1177</v>
      </c>
      <c r="F134" s="21">
        <v>0.01</v>
      </c>
      <c r="G134" s="38"/>
      <c r="H134" s="48"/>
      <c r="I134" s="48"/>
      <c r="J134" s="39"/>
      <c r="K134" s="19" t="s">
        <v>1508</v>
      </c>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7.4866720499999984</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2.0511430273972599E-2</v>
      </c>
    </row>
    <row r="135" spans="1:13" x14ac:dyDescent="0.25">
      <c r="A135" s="12" t="s">
        <v>1425</v>
      </c>
      <c r="B135" s="14"/>
      <c r="C135" s="20" t="s">
        <v>1451</v>
      </c>
      <c r="D135" s="13" t="s">
        <v>246</v>
      </c>
      <c r="E135" s="8" t="str">
        <f>IFERROR(IF(D135="No CAS","",INDEX('DEQ Pollutant List'!$B$7:$B$611,MATCH('5. Pollutant Emissions - MB'!D135,'DEQ Pollutant List'!$A$7:$A$611,0))),"")</f>
        <v>1-Bromopropane (n-propyl bromide)</v>
      </c>
      <c r="F135" s="21">
        <v>1</v>
      </c>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1142.3399931174026</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3.1296986112805549</v>
      </c>
    </row>
    <row r="136" spans="1:13" x14ac:dyDescent="0.25">
      <c r="A136" s="12" t="s">
        <v>1425</v>
      </c>
      <c r="B136" s="14"/>
      <c r="C136" s="20" t="s">
        <v>1453</v>
      </c>
      <c r="D136" s="13" t="s">
        <v>844</v>
      </c>
      <c r="E136" s="8" t="str">
        <f>IFERROR(IF(D136="No CAS","",INDEX('DEQ Pollutant List'!$B$7:$B$611,MATCH('5. Pollutant Emissions - MB'!D136,'DEQ Pollutant List'!$A$7:$A$611,0))),"")</f>
        <v>m-Xylene</v>
      </c>
      <c r="F136" s="21">
        <v>0.04</v>
      </c>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0.55544400000000005</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1.5217643835616441E-3</v>
      </c>
    </row>
    <row r="137" spans="1:13" x14ac:dyDescent="0.25">
      <c r="A137" s="12" t="s">
        <v>1425</v>
      </c>
      <c r="B137" s="14"/>
      <c r="C137" s="20" t="s">
        <v>1446</v>
      </c>
      <c r="D137" s="13" t="s">
        <v>170</v>
      </c>
      <c r="E137" s="8" t="str">
        <f>IFERROR(IF(D137="No CAS","",INDEX('DEQ Pollutant List'!$B$7:$B$611,MATCH('5. Pollutant Emissions - MB'!D137,'DEQ Pollutant List'!$A$7:$A$611,0))),"")</f>
        <v>Propylene glycol monomethyl ether acetate</v>
      </c>
      <c r="F137" s="21">
        <v>0.75</v>
      </c>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561.50040374999992</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1.5383572705479449</v>
      </c>
    </row>
    <row r="138" spans="1:13" x14ac:dyDescent="0.25">
      <c r="A138" s="12" t="s">
        <v>1425</v>
      </c>
      <c r="B138" s="14"/>
      <c r="C138" s="20" t="s">
        <v>1475</v>
      </c>
      <c r="D138" s="13" t="s">
        <v>170</v>
      </c>
      <c r="E138" s="8" t="str">
        <f>IFERROR(IF(D138="No CAS","",INDEX('DEQ Pollutant List'!$B$7:$B$611,MATCH('5. Pollutant Emissions - MB'!D138,'DEQ Pollutant List'!$A$7:$A$611,0))),"")</f>
        <v>Propylene glycol monomethyl ether acetate</v>
      </c>
      <c r="F138" s="21">
        <v>1.8599999999999998E-2</v>
      </c>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7.4255919749999982E-2</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2.0344087602739721E-4</v>
      </c>
    </row>
    <row r="139" spans="1:13" x14ac:dyDescent="0.25">
      <c r="A139" s="12" t="s">
        <v>1425</v>
      </c>
      <c r="B139" s="14"/>
      <c r="C139" s="20" t="s">
        <v>1500</v>
      </c>
      <c r="D139" s="13" t="s">
        <v>170</v>
      </c>
      <c r="E139" s="8" t="str">
        <f>IFERROR(IF(D139="No CAS","",INDEX('DEQ Pollutant List'!$B$7:$B$611,MATCH('5. Pollutant Emissions - MB'!D139,'DEQ Pollutant List'!$A$7:$A$611,0))),"")</f>
        <v>Propylene glycol monomethyl ether acetate</v>
      </c>
      <c r="F139" s="21">
        <v>0.1</v>
      </c>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0.43347149999999995</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1.1875931506849314E-3</v>
      </c>
    </row>
    <row r="140" spans="1:13" x14ac:dyDescent="0.25">
      <c r="A140" s="12" t="s">
        <v>1425</v>
      </c>
      <c r="B140" s="14"/>
      <c r="C140" s="20" t="s">
        <v>1450</v>
      </c>
      <c r="D140" s="13" t="s">
        <v>227</v>
      </c>
      <c r="E140" s="8" t="str">
        <f>IFERROR(IF(D140="No CAS","",INDEX('DEQ Pollutant List'!$B$7:$B$611,MATCH('5. Pollutant Emissions - MB'!D140,'DEQ Pollutant List'!$A$7:$A$611,0))),"")</f>
        <v>1,3,5-Trimethylbenzene</v>
      </c>
      <c r="F140" s="21">
        <v>0.05</v>
      </c>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0.51791399999999999</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1.4189424657534246E-3</v>
      </c>
    </row>
    <row r="141" spans="1:13" x14ac:dyDescent="0.25">
      <c r="A141" s="12" t="s">
        <v>1425</v>
      </c>
      <c r="B141" s="14"/>
      <c r="C141" s="20" t="s">
        <v>1454</v>
      </c>
      <c r="D141" s="13" t="s">
        <v>105</v>
      </c>
      <c r="E141" s="8" t="str">
        <f>IFERROR(IF(D141="No CAS","",INDEX('DEQ Pollutant List'!$B$7:$B$611,MATCH('5. Pollutant Emissions - MB'!D141,'DEQ Pollutant List'!$A$7:$A$611,0))),"")</f>
        <v>Phenol</v>
      </c>
      <c r="F141" s="21">
        <v>0.02</v>
      </c>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4.8413699999999997E-2</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1.3264027397260275E-4</v>
      </c>
    </row>
    <row r="142" spans="1:13" x14ac:dyDescent="0.25">
      <c r="A142" s="12" t="s">
        <v>1425</v>
      </c>
      <c r="B142" s="14"/>
      <c r="C142" s="20" t="s">
        <v>1465</v>
      </c>
      <c r="D142" s="13" t="s">
        <v>105</v>
      </c>
      <c r="E142" s="8" t="str">
        <f>IFERROR(IF(D142="No CAS","",INDEX('DEQ Pollutant List'!$B$7:$B$611,MATCH('5. Pollutant Emissions - MB'!D142,'DEQ Pollutant List'!$A$7:$A$611,0))),"")</f>
        <v>Phenol</v>
      </c>
      <c r="F142" s="21">
        <v>0.1</v>
      </c>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5.5669500000000011E-2</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1.5251917808219181E-4</v>
      </c>
    </row>
    <row r="143" spans="1:13" x14ac:dyDescent="0.25">
      <c r="A143" s="12" t="s">
        <v>1425</v>
      </c>
      <c r="B143" s="14"/>
      <c r="C143" s="20" t="s">
        <v>1478</v>
      </c>
      <c r="D143" s="13" t="s">
        <v>717</v>
      </c>
      <c r="E143" s="8" t="str">
        <f>IFERROR(IF(D143="No CAS","",INDEX('DEQ Pollutant List'!$B$7:$B$611,MATCH('5. Pollutant Emissions - MB'!D143,'DEQ Pollutant List'!$A$7:$A$611,0))),"")</f>
        <v>Ethylene glycol monomethyl ether</v>
      </c>
      <c r="F143" s="21">
        <v>0.05</v>
      </c>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0.22303250407283179</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6.1104795636392271E-4</v>
      </c>
    </row>
    <row r="144" spans="1:13" x14ac:dyDescent="0.25">
      <c r="A144" s="12" t="s">
        <v>1425</v>
      </c>
      <c r="B144" s="14"/>
      <c r="C144" s="20" t="s">
        <v>1430</v>
      </c>
      <c r="D144" s="13" t="s">
        <v>580</v>
      </c>
      <c r="E144" s="8" t="str">
        <f>IFERROR(IF(D144="No CAS","",INDEX('DEQ Pollutant List'!$B$7:$B$611,MATCH('5. Pollutant Emissions - MB'!D144,'DEQ Pollutant List'!$A$7:$A$611,0))),"")</f>
        <v>Cyclohexane</v>
      </c>
      <c r="F144" s="21">
        <v>0.05</v>
      </c>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0.56764125000000021</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1.5551815068493157E-3</v>
      </c>
    </row>
    <row r="145" spans="1:13" x14ac:dyDescent="0.25">
      <c r="A145" s="12" t="s">
        <v>1425</v>
      </c>
      <c r="B145" s="14"/>
      <c r="C145" s="20" t="s">
        <v>1448</v>
      </c>
      <c r="D145" s="13" t="s">
        <v>580</v>
      </c>
      <c r="E145" s="8" t="str">
        <f>IFERROR(IF(D145="No CAS","",INDEX('DEQ Pollutant List'!$B$7:$B$611,MATCH('5. Pollutant Emissions - MB'!D145,'DEQ Pollutant List'!$A$7:$A$611,0))),"")</f>
        <v>Cyclohexane</v>
      </c>
      <c r="F145" s="21">
        <v>0.24</v>
      </c>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18.461047769999997</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5.0578213068493152E-2</v>
      </c>
    </row>
    <row r="146" spans="1:13" x14ac:dyDescent="0.25">
      <c r="A146" s="12" t="s">
        <v>1425</v>
      </c>
      <c r="B146" s="14"/>
      <c r="C146" s="20" t="s">
        <v>1454</v>
      </c>
      <c r="D146" s="13" t="s">
        <v>580</v>
      </c>
      <c r="E146" s="8" t="str">
        <f>IFERROR(IF(D146="No CAS","",INDEX('DEQ Pollutant List'!$B$7:$B$611,MATCH('5. Pollutant Emissions - MB'!D146,'DEQ Pollutant List'!$A$7:$A$611,0))),"")</f>
        <v>Cyclohexane</v>
      </c>
      <c r="F146" s="21">
        <v>9.9000000000000008E-3</v>
      </c>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2.3964781500000001E-2</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6.5656935616438365E-5</v>
      </c>
    </row>
    <row r="147" spans="1:13" x14ac:dyDescent="0.25">
      <c r="A147" s="12" t="s">
        <v>1425</v>
      </c>
      <c r="B147" s="14"/>
      <c r="C147" s="20" t="s">
        <v>1486</v>
      </c>
      <c r="D147" s="13" t="s">
        <v>580</v>
      </c>
      <c r="E147" s="8" t="str">
        <f>IFERROR(IF(D147="No CAS","",INDEX('DEQ Pollutant List'!$B$7:$B$611,MATCH('5. Pollutant Emissions - MB'!D147,'DEQ Pollutant List'!$A$7:$A$611,0))),"")</f>
        <v>Cyclohexane</v>
      </c>
      <c r="F147" s="21">
        <v>0.01</v>
      </c>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0.18577349999999995</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5.0896849315068484E-4</v>
      </c>
    </row>
    <row r="148" spans="1:13" x14ac:dyDescent="0.25">
      <c r="A148" s="12" t="s">
        <v>1425</v>
      </c>
      <c r="B148" s="14"/>
      <c r="C148" s="20" t="s">
        <v>1466</v>
      </c>
      <c r="D148" s="13" t="s">
        <v>655</v>
      </c>
      <c r="E148" s="8" t="str">
        <f>IFERROR(IF(D148="No CAS","",INDEX('DEQ Pollutant List'!$B$7:$B$611,MATCH('5. Pollutant Emissions - MB'!D148,'DEQ Pollutant List'!$A$7:$A$611,0))),"")</f>
        <v>Diethylene glycol monomethyl ether</v>
      </c>
      <c r="F148" s="21">
        <v>1.4999999999999999E-2</v>
      </c>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0.22588368749999999</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6.1885941780821915E-4</v>
      </c>
    </row>
    <row r="149" spans="1:13" x14ac:dyDescent="0.25">
      <c r="A149" s="12" t="s">
        <v>1425</v>
      </c>
      <c r="B149" s="14"/>
      <c r="C149" s="20" t="s">
        <v>1458</v>
      </c>
      <c r="D149" s="13" t="s">
        <v>651</v>
      </c>
      <c r="E149" s="8" t="str">
        <f>IFERROR(IF(D149="No CAS","",INDEX('DEQ Pollutant List'!$B$7:$B$611,MATCH('5. Pollutant Emissions - MB'!D149,'DEQ Pollutant List'!$A$7:$A$611,0))),"")</f>
        <v>Diethylene glycol monobutyl ether</v>
      </c>
      <c r="F149" s="21">
        <v>0.05</v>
      </c>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2.0816639999999995</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5.7031890410958897E-3</v>
      </c>
    </row>
    <row r="150" spans="1:13" x14ac:dyDescent="0.25">
      <c r="A150" s="12" t="s">
        <v>1425</v>
      </c>
      <c r="B150" s="14"/>
      <c r="C150" s="20" t="s">
        <v>1484</v>
      </c>
      <c r="D150" s="13" t="s">
        <v>1139</v>
      </c>
      <c r="E150" s="8" t="str">
        <f>IFERROR(IF(D150="No CAS","",INDEX('DEQ Pollutant List'!$B$7:$B$611,MATCH('5. Pollutant Emissions - MB'!D150,'DEQ Pollutant List'!$A$7:$A$611,0))),"")</f>
        <v>Silica, crystalline (respirable)</v>
      </c>
      <c r="F150" s="21">
        <v>1.17E-2</v>
      </c>
      <c r="G150" s="38"/>
      <c r="H150" s="48"/>
      <c r="I150" s="48"/>
      <c r="J150" s="39"/>
      <c r="K150" s="19" t="s">
        <v>1523</v>
      </c>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1.1418967871999999</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3.1284843484931501E-3</v>
      </c>
    </row>
    <row r="151" spans="1:13" x14ac:dyDescent="0.25">
      <c r="A151" s="12" t="s">
        <v>1425</v>
      </c>
      <c r="B151" s="14"/>
      <c r="C151" s="20" t="s">
        <v>1484</v>
      </c>
      <c r="D151" s="13" t="s">
        <v>401</v>
      </c>
      <c r="E151" s="8" t="str">
        <f>IFERROR(IF(D151="No CAS","",INDEX('DEQ Pollutant List'!$B$7:$B$611,MATCH('5. Pollutant Emissions - MB'!D151,'DEQ Pollutant List'!$A$7:$A$611,0))),"")</f>
        <v>Aluminum and compounds</v>
      </c>
      <c r="F151" s="21">
        <v>5.3E-3</v>
      </c>
      <c r="G151" s="38"/>
      <c r="H151" s="48"/>
      <c r="I151" s="48"/>
      <c r="J151" s="39"/>
      <c r="K151" s="19" t="s">
        <v>1525</v>
      </c>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0.5172694847999999</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1.4171766706849312E-3</v>
      </c>
    </row>
    <row r="152" spans="1:13" x14ac:dyDescent="0.25">
      <c r="A152" s="12" t="s">
        <v>1425</v>
      </c>
      <c r="B152" s="14"/>
      <c r="C152" s="20" t="s">
        <v>1452</v>
      </c>
      <c r="D152" s="13" t="s">
        <v>401</v>
      </c>
      <c r="E152" s="8" t="str">
        <f>IFERROR(IF(D152="No CAS","",INDEX('DEQ Pollutant List'!$B$7:$B$611,MATCH('5. Pollutant Emissions - MB'!D152,'DEQ Pollutant List'!$A$7:$A$611,0))),"")</f>
        <v>Aluminum and compounds</v>
      </c>
      <c r="F152" s="21">
        <v>0.25</v>
      </c>
      <c r="G152" s="38"/>
      <c r="H152" s="48">
        <v>1</v>
      </c>
      <c r="I152" s="48"/>
      <c r="J152" s="39"/>
      <c r="K152" s="19" t="s">
        <v>1657</v>
      </c>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25">
      <c r="A153" s="12" t="s">
        <v>1425</v>
      </c>
      <c r="B153" s="14"/>
      <c r="C153" s="20" t="s">
        <v>1452</v>
      </c>
      <c r="D153" s="13" t="s">
        <v>1139</v>
      </c>
      <c r="E153" s="8" t="str">
        <f>IFERROR(IF(D153="No CAS","",INDEX('DEQ Pollutant List'!$B$7:$B$611,MATCH('5. Pollutant Emissions - MB'!D153,'DEQ Pollutant List'!$A$7:$A$611,0))),"")</f>
        <v>Silica, crystalline (respirable)</v>
      </c>
      <c r="F153" s="21">
        <v>2.5000000000000001E-2</v>
      </c>
      <c r="G153" s="38"/>
      <c r="H153" s="48">
        <v>1</v>
      </c>
      <c r="I153" s="48"/>
      <c r="J153" s="39"/>
      <c r="K153" s="19" t="s">
        <v>1657</v>
      </c>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25">
      <c r="A154" s="12" t="s">
        <v>1425</v>
      </c>
      <c r="B154" s="14"/>
      <c r="C154" s="20" t="s">
        <v>1443</v>
      </c>
      <c r="D154" s="13" t="s">
        <v>63</v>
      </c>
      <c r="E154" s="8" t="str">
        <f>IFERROR(IF(D154="No CAS","",INDEX('DEQ Pollutant List'!$B$7:$B$611,MATCH('5. Pollutant Emissions - MB'!D154,'DEQ Pollutant List'!$A$7:$A$611,0))),"")</f>
        <v>Manganese and compounds</v>
      </c>
      <c r="F154" s="21">
        <v>0.25269999999999998</v>
      </c>
      <c r="G154" s="38"/>
      <c r="H154" s="48">
        <v>1</v>
      </c>
      <c r="I154" s="48"/>
      <c r="J154" s="39"/>
      <c r="K154" s="19" t="s">
        <v>1656</v>
      </c>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25">
      <c r="A155" s="12" t="s">
        <v>1425</v>
      </c>
      <c r="B155" s="14"/>
      <c r="C155" s="20" t="s">
        <v>1443</v>
      </c>
      <c r="D155" s="13" t="s">
        <v>1139</v>
      </c>
      <c r="E155" s="8" t="str">
        <f>IFERROR(IF(D155="No CAS","",INDEX('DEQ Pollutant List'!$B$7:$B$611,MATCH('5. Pollutant Emissions - MB'!D155,'DEQ Pollutant List'!$A$7:$A$611,0))),"")</f>
        <v>Silica, crystalline (respirable)</v>
      </c>
      <c r="F155" s="21">
        <v>1.8499999999999999E-2</v>
      </c>
      <c r="G155" s="38"/>
      <c r="H155" s="48">
        <v>1</v>
      </c>
      <c r="I155" s="48"/>
      <c r="J155" s="39"/>
      <c r="K155" s="19" t="s">
        <v>1656</v>
      </c>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25">
      <c r="A156" s="12" t="s">
        <v>1425</v>
      </c>
      <c r="B156" s="14"/>
      <c r="C156" s="20" t="s">
        <v>1443</v>
      </c>
      <c r="D156" s="13" t="s">
        <v>401</v>
      </c>
      <c r="E156" s="8" t="str">
        <f>IFERROR(IF(D156="No CAS","",INDEX('DEQ Pollutant List'!$B$7:$B$611,MATCH('5. Pollutant Emissions - MB'!D156,'DEQ Pollutant List'!$A$7:$A$611,0))),"")</f>
        <v>Aluminum and compounds</v>
      </c>
      <c r="F156" s="21">
        <v>8.3000000000000001E-3</v>
      </c>
      <c r="G156" s="38"/>
      <c r="H156" s="48">
        <v>1</v>
      </c>
      <c r="I156" s="48"/>
      <c r="J156" s="39"/>
      <c r="K156" s="19" t="s">
        <v>1656</v>
      </c>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25">
      <c r="A157" s="12" t="s">
        <v>1425</v>
      </c>
      <c r="B157" s="14"/>
      <c r="C157" s="20" t="s">
        <v>1435</v>
      </c>
      <c r="D157" s="13" t="s">
        <v>112</v>
      </c>
      <c r="E157" s="8" t="str">
        <f>IFERROR(IF(D157="No CAS","",INDEX('DEQ Pollutant List'!$B$7:$B$611,MATCH('5. Pollutant Emissions - MB'!D157,'DEQ Pollutant List'!$A$7:$A$611,0))),"")</f>
        <v>Antimony and compounds</v>
      </c>
      <c r="F157" s="21">
        <v>2.0899999999999998E-2</v>
      </c>
      <c r="G157" s="38"/>
      <c r="H157" s="48">
        <v>1</v>
      </c>
      <c r="I157" s="48"/>
      <c r="J157" s="39"/>
      <c r="K157" s="19" t="s">
        <v>1657</v>
      </c>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25">
      <c r="A158" s="12" t="s">
        <v>1425</v>
      </c>
      <c r="B158" s="14"/>
      <c r="C158" s="20" t="s">
        <v>1460</v>
      </c>
      <c r="D158" s="13" t="s">
        <v>112</v>
      </c>
      <c r="E158" s="8" t="str">
        <f>IFERROR(IF(D158="No CAS","",INDEX('DEQ Pollutant List'!$B$7:$B$611,MATCH('5. Pollutant Emissions - MB'!D158,'DEQ Pollutant List'!$A$7:$A$611,0))),"")</f>
        <v>Antimony and compounds</v>
      </c>
      <c r="F158" s="21">
        <v>2.0899999999999998E-2</v>
      </c>
      <c r="G158" s="38"/>
      <c r="H158" s="48"/>
      <c r="I158" s="48"/>
      <c r="J158" s="39"/>
      <c r="K158" s="19" t="s">
        <v>1524</v>
      </c>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3.5231600250000002E-2</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9.6524932191780825E-5</v>
      </c>
    </row>
    <row r="159" spans="1:13" x14ac:dyDescent="0.25">
      <c r="A159" s="12" t="s">
        <v>1425</v>
      </c>
      <c r="B159" s="14"/>
      <c r="C159" s="20" t="s">
        <v>1430</v>
      </c>
      <c r="D159" s="13" t="s">
        <v>71</v>
      </c>
      <c r="E159" s="8" t="str">
        <f>IFERROR(IF(D159="No CAS","",INDEX('DEQ Pollutant List'!$B$7:$B$611,MATCH('5. Pollutant Emissions - MB'!D159,'DEQ Pollutant List'!$A$7:$A$611,0))),"")</f>
        <v>Zinc and compounds</v>
      </c>
      <c r="F159" s="21">
        <v>8.0000000000000002E-3</v>
      </c>
      <c r="G159" s="38"/>
      <c r="H159" s="48"/>
      <c r="I159" s="48"/>
      <c r="J159" s="39"/>
      <c r="K159" s="19" t="s">
        <v>1526</v>
      </c>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9.0822600000000031E-2</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2.4882904109589047E-4</v>
      </c>
    </row>
    <row r="160" spans="1:13" x14ac:dyDescent="0.25">
      <c r="A160" s="12" t="s">
        <v>1425</v>
      </c>
      <c r="B160" s="14"/>
      <c r="C160" s="20" t="s">
        <v>1432</v>
      </c>
      <c r="D160" s="13" t="s">
        <v>71</v>
      </c>
      <c r="E160" s="8" t="str">
        <f>IFERROR(IF(D160="No CAS","",INDEX('DEQ Pollutant List'!$B$7:$B$611,MATCH('5. Pollutant Emissions - MB'!D160,'DEQ Pollutant List'!$A$7:$A$611,0))),"")</f>
        <v>Zinc and compounds</v>
      </c>
      <c r="F160" s="21">
        <v>1.61E-2</v>
      </c>
      <c r="G160" s="38"/>
      <c r="H160" s="48"/>
      <c r="I160" s="48"/>
      <c r="J160" s="39"/>
      <c r="K160" s="19" t="s">
        <v>1526</v>
      </c>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1.1455250625E-2</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3.1384248287671235E-5</v>
      </c>
    </row>
    <row r="161" spans="1:13" x14ac:dyDescent="0.25">
      <c r="A161" s="12" t="s">
        <v>1425</v>
      </c>
      <c r="B161" s="14"/>
      <c r="C161" s="20" t="s">
        <v>1454</v>
      </c>
      <c r="D161" s="13" t="s">
        <v>572</v>
      </c>
      <c r="E161" s="8" t="str">
        <f>IFERROR(IF(D161="No CAS","",INDEX('DEQ Pollutant List'!$B$7:$B$611,MATCH('5. Pollutant Emissions - MB'!D161,'DEQ Pollutant List'!$A$7:$A$611,0))),"")</f>
        <v>Cresols (mixture), including m-cresol, o-cresol, p-cresol</v>
      </c>
      <c r="F161" s="21">
        <v>1.4999999999999999E-2</v>
      </c>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3.6310274999999996E-2</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9.948020547945206E-5</v>
      </c>
    </row>
    <row r="162" spans="1:13" x14ac:dyDescent="0.25">
      <c r="A162" s="12" t="s">
        <v>1425</v>
      </c>
      <c r="B162" s="14"/>
      <c r="C162" s="20" t="s">
        <v>1434</v>
      </c>
      <c r="D162" s="13" t="s">
        <v>1139</v>
      </c>
      <c r="E162" s="8" t="str">
        <f>IFERROR(IF(D162="No CAS","",INDEX('DEQ Pollutant List'!$B$7:$B$611,MATCH('5. Pollutant Emissions - MB'!D162,'DEQ Pollutant List'!$A$7:$A$611,0))),"")</f>
        <v>Silica, crystalline (respirable)</v>
      </c>
      <c r="F162" s="21">
        <v>0.3</v>
      </c>
      <c r="G162" s="38"/>
      <c r="H162" s="48">
        <v>1</v>
      </c>
      <c r="I162" s="48"/>
      <c r="J162" s="39"/>
      <c r="K162" s="19" t="s">
        <v>1658</v>
      </c>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25">
      <c r="A163" s="12" t="s">
        <v>1425</v>
      </c>
      <c r="B163" s="14"/>
      <c r="C163" s="20" t="s">
        <v>1443</v>
      </c>
      <c r="D163" s="13" t="s">
        <v>57</v>
      </c>
      <c r="E163" s="8" t="str">
        <f>IFERROR(IF(D163="No CAS","",INDEX('DEQ Pollutant List'!$B$7:$B$611,MATCH('5. Pollutant Emissions - MB'!D163,'DEQ Pollutant List'!$A$7:$A$611,0))),"")</f>
        <v>Chromium VI, chromate and dichromate particulate</v>
      </c>
      <c r="F163" s="21">
        <v>0.1111</v>
      </c>
      <c r="G163" s="38"/>
      <c r="H163" s="48">
        <v>1</v>
      </c>
      <c r="I163" s="48"/>
      <c r="J163" s="39"/>
      <c r="K163" s="19" t="s">
        <v>1656</v>
      </c>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25">
      <c r="A164" s="12" t="s">
        <v>1425</v>
      </c>
      <c r="B164" s="14"/>
      <c r="C164" s="20" t="s">
        <v>1482</v>
      </c>
      <c r="D164" s="13" t="s">
        <v>1139</v>
      </c>
      <c r="E164" s="8" t="str">
        <f>IFERROR(IF(D164="No CAS","",INDEX('DEQ Pollutant List'!$B$7:$B$611,MATCH('5. Pollutant Emissions - MB'!D164,'DEQ Pollutant List'!$A$7:$A$611,0))),"")</f>
        <v>Silica, crystalline (respirable)</v>
      </c>
      <c r="F164" s="21">
        <v>5.5100000000000003E-2</v>
      </c>
      <c r="G164" s="38"/>
      <c r="H164" s="48"/>
      <c r="I164" s="48"/>
      <c r="J164" s="39"/>
      <c r="K164" s="19" t="s">
        <v>1527</v>
      </c>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0.75995435250000032</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2.082066719178083E-3</v>
      </c>
    </row>
    <row r="165" spans="1:13" x14ac:dyDescent="0.25">
      <c r="A165" s="12" t="s">
        <v>1425</v>
      </c>
      <c r="B165" s="14"/>
      <c r="C165" s="20" t="s">
        <v>1483</v>
      </c>
      <c r="D165" s="13" t="s">
        <v>1139</v>
      </c>
      <c r="E165" s="8" t="str">
        <f>IFERROR(IF(D165="No CAS","",INDEX('DEQ Pollutant List'!$B$7:$B$611,MATCH('5. Pollutant Emissions - MB'!D165,'DEQ Pollutant List'!$A$7:$A$611,0))),"")</f>
        <v>Silica, crystalline (respirable)</v>
      </c>
      <c r="F165" s="21">
        <v>2.3400000000000001E-2</v>
      </c>
      <c r="G165" s="38"/>
      <c r="H165" s="48"/>
      <c r="I165" s="48"/>
      <c r="J165" s="39"/>
      <c r="K165" s="19" t="s">
        <v>1527</v>
      </c>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0.27564565274999997</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7.5519356917808208E-4</v>
      </c>
    </row>
    <row r="166" spans="1:13" x14ac:dyDescent="0.25">
      <c r="A166" s="12" t="s">
        <v>1425</v>
      </c>
      <c r="B166" s="14"/>
      <c r="C166" s="20" t="s">
        <v>1477</v>
      </c>
      <c r="D166" s="13" t="s">
        <v>1139</v>
      </c>
      <c r="E166" s="8" t="str">
        <f>IFERROR(IF(D166="No CAS","",INDEX('DEQ Pollutant List'!$B$7:$B$611,MATCH('5. Pollutant Emissions - MB'!D166,'DEQ Pollutant List'!$A$7:$A$611,0))),"")</f>
        <v>Silica, crystalline (respirable)</v>
      </c>
      <c r="F166" s="21">
        <v>0.01</v>
      </c>
      <c r="G166" s="38">
        <v>0</v>
      </c>
      <c r="H166" s="48"/>
      <c r="I166" s="48"/>
      <c r="J166" s="39"/>
      <c r="K166" s="19" t="s">
        <v>1535</v>
      </c>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25">
      <c r="A167" s="12" t="s">
        <v>1425</v>
      </c>
      <c r="B167" s="14"/>
      <c r="C167" s="20" t="s">
        <v>1476</v>
      </c>
      <c r="D167" s="13" t="s">
        <v>1139</v>
      </c>
      <c r="E167" s="8" t="str">
        <f>IFERROR(IF(D167="No CAS","",INDEX('DEQ Pollutant List'!$B$7:$B$611,MATCH('5. Pollutant Emissions - MB'!D167,'DEQ Pollutant List'!$A$7:$A$611,0))),"")</f>
        <v>Silica, crystalline (respirable)</v>
      </c>
      <c r="F167" s="21">
        <v>0.01</v>
      </c>
      <c r="G167" s="38">
        <v>0</v>
      </c>
      <c r="H167" s="48"/>
      <c r="I167" s="48"/>
      <c r="J167" s="39"/>
      <c r="K167" s="19" t="s">
        <v>1535</v>
      </c>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25">
      <c r="A168" s="12" t="s">
        <v>1425</v>
      </c>
      <c r="B168" s="14"/>
      <c r="C168" s="20" t="s">
        <v>1452</v>
      </c>
      <c r="D168" s="13" t="s">
        <v>1139</v>
      </c>
      <c r="E168" s="8" t="str">
        <f>IFERROR(IF(D168="No CAS","",INDEX('DEQ Pollutant List'!$B$7:$B$611,MATCH('5. Pollutant Emissions - MB'!D168,'DEQ Pollutant List'!$A$7:$A$611,0))),"")</f>
        <v>Silica, crystalline (respirable)</v>
      </c>
      <c r="F168" s="21">
        <v>0.01</v>
      </c>
      <c r="G168" s="38"/>
      <c r="H168" s="48">
        <v>1</v>
      </c>
      <c r="I168" s="48"/>
      <c r="J168" s="39"/>
      <c r="K168" s="19" t="s">
        <v>1657</v>
      </c>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25">
      <c r="A169" s="12" t="s">
        <v>1425</v>
      </c>
      <c r="B169" s="14"/>
      <c r="C169" s="20" t="s">
        <v>1473</v>
      </c>
      <c r="D169" s="13" t="s">
        <v>721</v>
      </c>
      <c r="E169" s="8" t="str">
        <f>IFERROR(IF(D169="No CAS","",INDEX('DEQ Pollutant List'!$B$7:$B$611,MATCH('5. Pollutant Emissions - MB'!D169,'DEQ Pollutant List'!$A$7:$A$611,0))),"")</f>
        <v>Ethylene glycol monopropyl ether</v>
      </c>
      <c r="F169" s="21">
        <v>2.3599999999999999E-2</v>
      </c>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0.30291213599999994</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8.2989626301369849E-4</v>
      </c>
    </row>
    <row r="170" spans="1:13" x14ac:dyDescent="0.25">
      <c r="A170" s="12" t="s">
        <v>1425</v>
      </c>
      <c r="B170" s="14"/>
      <c r="C170" s="20" t="s">
        <v>1431</v>
      </c>
      <c r="D170" s="13" t="s">
        <v>99</v>
      </c>
      <c r="E170" s="8" t="str">
        <f>IFERROR(IF(D170="No CAS","",INDEX('DEQ Pollutant List'!$B$7:$B$611,MATCH('5. Pollutant Emissions - MB'!D170,'DEQ Pollutant List'!$A$7:$A$611,0))),"")</f>
        <v>Isopropyl alcohol</v>
      </c>
      <c r="F170" s="21">
        <v>0.05</v>
      </c>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4.5071528400000007</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1.2348363945205483E-2</v>
      </c>
    </row>
    <row r="171" spans="1:13" x14ac:dyDescent="0.25">
      <c r="A171" s="12" t="s">
        <v>1425</v>
      </c>
      <c r="B171" s="14"/>
      <c r="C171" s="20" t="s">
        <v>1447</v>
      </c>
      <c r="D171" s="13" t="s">
        <v>99</v>
      </c>
      <c r="E171" s="8" t="str">
        <f>IFERROR(IF(D171="No CAS","",INDEX('DEQ Pollutant List'!$B$7:$B$611,MATCH('5. Pollutant Emissions - MB'!D171,'DEQ Pollutant List'!$A$7:$A$611,0))),"")</f>
        <v>Isopropyl alcohol</v>
      </c>
      <c r="F171" s="21">
        <v>0.28000000000000003</v>
      </c>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0.26271</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7.1975342465753424E-4</v>
      </c>
    </row>
    <row r="172" spans="1:13" x14ac:dyDescent="0.25">
      <c r="A172" s="12" t="s">
        <v>1425</v>
      </c>
      <c r="B172" s="14"/>
      <c r="C172" s="20" t="s">
        <v>1465</v>
      </c>
      <c r="D172" s="13" t="s">
        <v>99</v>
      </c>
      <c r="E172" s="8" t="str">
        <f>IFERROR(IF(D172="No CAS","",INDEX('DEQ Pollutant List'!$B$7:$B$611,MATCH('5. Pollutant Emissions - MB'!D172,'DEQ Pollutant List'!$A$7:$A$611,0))),"")</f>
        <v>Isopropyl alcohol</v>
      </c>
      <c r="F172" s="21">
        <v>0.05</v>
      </c>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2.7834750000000005E-2</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7.6259589041095905E-5</v>
      </c>
    </row>
    <row r="173" spans="1:13" x14ac:dyDescent="0.25">
      <c r="A173" s="12" t="s">
        <v>1425</v>
      </c>
      <c r="B173" s="14"/>
      <c r="C173" s="20" t="s">
        <v>1475</v>
      </c>
      <c r="D173" s="13" t="s">
        <v>99</v>
      </c>
      <c r="E173" s="8" t="str">
        <f>IFERROR(IF(D173="No CAS","",INDEX('DEQ Pollutant List'!$B$7:$B$611,MATCH('5. Pollutant Emissions - MB'!D173,'DEQ Pollutant List'!$A$7:$A$611,0))),"")</f>
        <v>Isopropyl alcohol</v>
      </c>
      <c r="F173" s="21">
        <v>2.4899999999999999E-2</v>
      </c>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9.9407118374999992E-2</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2.7234826952054792E-4</v>
      </c>
    </row>
    <row r="174" spans="1:13" x14ac:dyDescent="0.25">
      <c r="A174" s="12" t="s">
        <v>1425</v>
      </c>
      <c r="B174" s="14"/>
      <c r="C174" s="20" t="s">
        <v>1432</v>
      </c>
      <c r="D174" s="13" t="s">
        <v>81</v>
      </c>
      <c r="E174" s="8" t="str">
        <f>IFERROR(IF(D174="No CAS","",INDEX('DEQ Pollutant List'!$B$7:$B$611,MATCH('5. Pollutant Emissions - MB'!D174,'DEQ Pollutant List'!$A$7:$A$611,0))),"")</f>
        <v>Acetone</v>
      </c>
      <c r="F174" s="21">
        <v>0.7</v>
      </c>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0.49805437499999999</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1.3645325342465753E-3</v>
      </c>
    </row>
    <row r="175" spans="1:13" x14ac:dyDescent="0.25">
      <c r="A175" s="12" t="s">
        <v>1425</v>
      </c>
      <c r="B175" s="14"/>
      <c r="C175" s="20" t="s">
        <v>1457</v>
      </c>
      <c r="D175" s="13" t="s">
        <v>81</v>
      </c>
      <c r="E175" s="8" t="str">
        <f>IFERROR(IF(D175="No CAS","",INDEX('DEQ Pollutant List'!$B$7:$B$611,MATCH('5. Pollutant Emissions - MB'!D175,'DEQ Pollutant List'!$A$7:$A$611,0))),"")</f>
        <v>Acetone</v>
      </c>
      <c r="F175" s="21">
        <v>0.4</v>
      </c>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0.10815000000000002</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2.963013698630137E-4</v>
      </c>
    </row>
    <row r="176" spans="1:13" x14ac:dyDescent="0.25">
      <c r="A176" s="12" t="s">
        <v>1425</v>
      </c>
      <c r="B176" s="14"/>
      <c r="C176" s="20" t="s">
        <v>1500</v>
      </c>
      <c r="D176" s="13" t="s">
        <v>81</v>
      </c>
      <c r="E176" s="8" t="str">
        <f>IFERROR(IF(D176="No CAS","",INDEX('DEQ Pollutant List'!$B$7:$B$611,MATCH('5. Pollutant Emissions - MB'!D176,'DEQ Pollutant List'!$A$7:$A$611,0))),"")</f>
        <v>Acetone</v>
      </c>
      <c r="F176" s="21">
        <v>0.03</v>
      </c>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0.13004144999999998</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3.5627794520547932E-4</v>
      </c>
    </row>
    <row r="177" spans="1:13" x14ac:dyDescent="0.25">
      <c r="A177" s="12" t="s">
        <v>1425</v>
      </c>
      <c r="B177" s="14"/>
      <c r="C177" s="20" t="s">
        <v>1459</v>
      </c>
      <c r="D177" s="13" t="s">
        <v>81</v>
      </c>
      <c r="E177" s="8" t="str">
        <f>IFERROR(IF(D177="No CAS","",INDEX('DEQ Pollutant List'!$B$7:$B$611,MATCH('5. Pollutant Emissions - MB'!D177,'DEQ Pollutant List'!$A$7:$A$611,0))),"")</f>
        <v>Acetone</v>
      </c>
      <c r="F177" s="21">
        <v>0.1</v>
      </c>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2.7030044249999996</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7.4054915753424631E-3</v>
      </c>
    </row>
    <row r="178" spans="1:13" x14ac:dyDescent="0.25">
      <c r="A178" s="12" t="s">
        <v>1425</v>
      </c>
      <c r="B178" s="14"/>
      <c r="C178" s="20" t="s">
        <v>1474</v>
      </c>
      <c r="D178" s="13" t="s">
        <v>81</v>
      </c>
      <c r="E178" s="8" t="str">
        <f>IFERROR(IF(D178="No CAS","",INDEX('DEQ Pollutant List'!$B$7:$B$611,MATCH('5. Pollutant Emissions - MB'!D178,'DEQ Pollutant List'!$A$7:$A$611,0))),"")</f>
        <v>Acetone</v>
      </c>
      <c r="F178" s="21">
        <v>0.11</v>
      </c>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7.2767479950000018</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1.9936295876712334E-2</v>
      </c>
    </row>
    <row r="179" spans="1:13" x14ac:dyDescent="0.25">
      <c r="A179" s="12" t="s">
        <v>1425</v>
      </c>
      <c r="B179" s="14"/>
      <c r="C179" s="20" t="s">
        <v>1486</v>
      </c>
      <c r="D179" s="13" t="s">
        <v>81</v>
      </c>
      <c r="E179" s="8" t="str">
        <f>IFERROR(IF(D179="No CAS","",INDEX('DEQ Pollutant List'!$B$7:$B$611,MATCH('5. Pollutant Emissions - MB'!D179,'DEQ Pollutant List'!$A$7:$A$611,0))),"")</f>
        <v>Acetone</v>
      </c>
      <c r="F179" s="21">
        <v>0.5</v>
      </c>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9.2886749999999978</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2.544842465753424E-2</v>
      </c>
    </row>
    <row r="180" spans="1:13" x14ac:dyDescent="0.25">
      <c r="A180" s="12" t="s">
        <v>1425</v>
      </c>
      <c r="B180" s="14"/>
      <c r="C180" s="20" t="s">
        <v>1471</v>
      </c>
      <c r="D180" s="13" t="s">
        <v>81</v>
      </c>
      <c r="E180" s="8" t="str">
        <f>IFERROR(IF(D180="No CAS","",INDEX('DEQ Pollutant List'!$B$7:$B$611,MATCH('5. Pollutant Emissions - MB'!D180,'DEQ Pollutant List'!$A$7:$A$611,0))),"")</f>
        <v>Acetone</v>
      </c>
      <c r="F180" s="21">
        <v>0.5</v>
      </c>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14.425593749999999</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3.9522174657534243E-2</v>
      </c>
    </row>
    <row r="181" spans="1:13" x14ac:dyDescent="0.25">
      <c r="A181" s="12" t="s">
        <v>1425</v>
      </c>
      <c r="B181" s="14"/>
      <c r="C181" s="20" t="s">
        <v>1475</v>
      </c>
      <c r="D181" s="13" t="s">
        <v>81</v>
      </c>
      <c r="E181" s="8" t="str">
        <f>IFERROR(IF(D181="No CAS","",INDEX('DEQ Pollutant List'!$B$7:$B$611,MATCH('5. Pollutant Emissions - MB'!D181,'DEQ Pollutant List'!$A$7:$A$611,0))),"")</f>
        <v>Acetone</v>
      </c>
      <c r="F181" s="21">
        <v>0.27329999999999999</v>
      </c>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1.0910829498749999</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2.9892683558219173E-3</v>
      </c>
    </row>
    <row r="182" spans="1:13" x14ac:dyDescent="0.25">
      <c r="A182" s="12" t="s">
        <v>1425</v>
      </c>
      <c r="B182" s="14"/>
      <c r="C182" s="20" t="s">
        <v>1456</v>
      </c>
      <c r="D182" s="13" t="s">
        <v>81</v>
      </c>
      <c r="E182" s="8" t="str">
        <f>IFERROR(IF(D182="No CAS","",INDEX('DEQ Pollutant List'!$B$7:$B$611,MATCH('5. Pollutant Emissions - MB'!D182,'DEQ Pollutant List'!$A$7:$A$611,0))),"")</f>
        <v>Acetone</v>
      </c>
      <c r="F182" s="21">
        <v>0.3</v>
      </c>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2.7359370000000003</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7.4957178082191789E-3</v>
      </c>
    </row>
    <row r="183" spans="1:13" x14ac:dyDescent="0.25">
      <c r="A183" s="12" t="s">
        <v>1425</v>
      </c>
      <c r="B183" s="14"/>
      <c r="C183" s="20" t="s">
        <v>1503</v>
      </c>
      <c r="D183" s="13" t="s">
        <v>81</v>
      </c>
      <c r="E183" s="8" t="str">
        <f>IFERROR(IF(D183="No CAS","",INDEX('DEQ Pollutant List'!$B$7:$B$611,MATCH('5. Pollutant Emissions - MB'!D183,'DEQ Pollutant List'!$A$7:$A$611,0))),"")</f>
        <v>Acetone</v>
      </c>
      <c r="F183" s="21">
        <v>0.26</v>
      </c>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3.6591750000000003</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1.0025136986301371E-2</v>
      </c>
    </row>
    <row r="184" spans="1:13" x14ac:dyDescent="0.25">
      <c r="A184" s="12" t="s">
        <v>1425</v>
      </c>
      <c r="B184" s="14"/>
      <c r="C184" s="20" t="s">
        <v>1479</v>
      </c>
      <c r="D184" s="13" t="s">
        <v>81</v>
      </c>
      <c r="E184" s="8" t="str">
        <f>IFERROR(IF(D184="No CAS","",INDEX('DEQ Pollutant List'!$B$7:$B$611,MATCH('5. Pollutant Emissions - MB'!D184,'DEQ Pollutant List'!$A$7:$A$611,0))),"")</f>
        <v>Acetone</v>
      </c>
      <c r="F184" s="21">
        <v>0.5</v>
      </c>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2.7936393750000006</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7.6538065068493168E-3</v>
      </c>
    </row>
    <row r="185" spans="1:13" x14ac:dyDescent="0.25">
      <c r="A185" s="12" t="s">
        <v>1425</v>
      </c>
      <c r="B185" s="14"/>
      <c r="C185" s="20" t="s">
        <v>1482</v>
      </c>
      <c r="D185" s="13" t="s">
        <v>81</v>
      </c>
      <c r="E185" s="8" t="str">
        <f>IFERROR(IF(D185="No CAS","",INDEX('DEQ Pollutant List'!$B$7:$B$611,MATCH('5. Pollutant Emissions - MB'!D185,'DEQ Pollutant List'!$A$7:$A$611,0))),"")</f>
        <v>Acetone</v>
      </c>
      <c r="F185" s="21">
        <v>7.2999999999999995E-2</v>
      </c>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1.0068360750000003</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2.7584550000000008E-3</v>
      </c>
    </row>
    <row r="186" spans="1:13" x14ac:dyDescent="0.25">
      <c r="A186" s="12" t="s">
        <v>1425</v>
      </c>
      <c r="B186" s="14"/>
      <c r="C186" s="20" t="s">
        <v>1469</v>
      </c>
      <c r="D186" s="13" t="s">
        <v>81</v>
      </c>
      <c r="E186" s="8" t="str">
        <f>IFERROR(IF(D186="No CAS","",INDEX('DEQ Pollutant List'!$B$7:$B$611,MATCH('5. Pollutant Emissions - MB'!D186,'DEQ Pollutant List'!$A$7:$A$611,0))),"")</f>
        <v>Acetone</v>
      </c>
      <c r="F186" s="21">
        <v>0.5</v>
      </c>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4.2221249999999992</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1.1567465753424655E-2</v>
      </c>
    </row>
    <row r="187" spans="1:13" x14ac:dyDescent="0.25">
      <c r="A187" s="12" t="s">
        <v>1425</v>
      </c>
      <c r="B187" s="14"/>
      <c r="C187" s="20" t="s">
        <v>1470</v>
      </c>
      <c r="D187" s="13" t="s">
        <v>81</v>
      </c>
      <c r="E187" s="8" t="str">
        <f>IFERROR(IF(D187="No CAS","",INDEX('DEQ Pollutant List'!$B$7:$B$611,MATCH('5. Pollutant Emissions - MB'!D187,'DEQ Pollutant List'!$A$7:$A$611,0))),"")</f>
        <v>Acetone</v>
      </c>
      <c r="F187" s="21">
        <v>0.5</v>
      </c>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4.3347149999999992</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1.1875931506849312E-2</v>
      </c>
    </row>
    <row r="188" spans="1:13" x14ac:dyDescent="0.25">
      <c r="A188" s="12" t="s">
        <v>1425</v>
      </c>
      <c r="B188" s="14"/>
      <c r="C188" s="20" t="s">
        <v>1483</v>
      </c>
      <c r="D188" s="13" t="s">
        <v>81</v>
      </c>
      <c r="E188" s="8" t="str">
        <f>IFERROR(IF(D188="No CAS","",INDEX('DEQ Pollutant List'!$B$7:$B$611,MATCH('5. Pollutant Emissions - MB'!D188,'DEQ Pollutant List'!$A$7:$A$611,0))),"")</f>
        <v>Acetone</v>
      </c>
      <c r="F188" s="21">
        <v>0.28000000000000003</v>
      </c>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3.2983240499999997</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9.0365042465753425E-3</v>
      </c>
    </row>
    <row r="189" spans="1:13" x14ac:dyDescent="0.25">
      <c r="A189" s="12" t="s">
        <v>1425</v>
      </c>
      <c r="B189" s="14"/>
      <c r="C189" s="20" t="s">
        <v>1504</v>
      </c>
      <c r="D189" s="13" t="s">
        <v>81</v>
      </c>
      <c r="E189" s="8" t="str">
        <f>IFERROR(IF(D189="No CAS","",INDEX('DEQ Pollutant List'!$B$7:$B$611,MATCH('5. Pollutant Emissions - MB'!D189,'DEQ Pollutant List'!$A$7:$A$611,0))),"")</f>
        <v>Acetone</v>
      </c>
      <c r="F189" s="21">
        <v>0.3</v>
      </c>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13.392580500000001</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3.6692001369863017E-2</v>
      </c>
    </row>
    <row r="190" spans="1:13" x14ac:dyDescent="0.25">
      <c r="A190" s="12" t="s">
        <v>1425</v>
      </c>
      <c r="B190" s="14"/>
      <c r="C190" s="20" t="s">
        <v>1505</v>
      </c>
      <c r="D190" s="13" t="s">
        <v>81</v>
      </c>
      <c r="E190" s="8" t="str">
        <f>IFERROR(IF(D190="No CAS","",INDEX('DEQ Pollutant List'!$B$7:$B$611,MATCH('5. Pollutant Emissions - MB'!D190,'DEQ Pollutant List'!$A$7:$A$611,0))),"")</f>
        <v>Acetone</v>
      </c>
      <c r="F190" s="21">
        <v>0.3</v>
      </c>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1.7120716874999999</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4.6906073630136992E-3</v>
      </c>
    </row>
    <row r="191" spans="1:13" x14ac:dyDescent="0.25">
      <c r="A191" s="12" t="s">
        <v>1425</v>
      </c>
      <c r="B191" s="14"/>
      <c r="C191" s="20" t="s">
        <v>1472</v>
      </c>
      <c r="D191" s="13" t="s">
        <v>81</v>
      </c>
      <c r="E191" s="8" t="str">
        <f>IFERROR(IF(D191="No CAS","",INDEX('DEQ Pollutant List'!$B$7:$B$611,MATCH('5. Pollutant Emissions - MB'!D191,'DEQ Pollutant List'!$A$7:$A$611,0))),"")</f>
        <v>Acetone</v>
      </c>
      <c r="F191" s="21">
        <v>0.32</v>
      </c>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9.5836607999999988</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2.6256604931506843E-2</v>
      </c>
    </row>
    <row r="192" spans="1:13" x14ac:dyDescent="0.25">
      <c r="A192" s="12" t="s">
        <v>1425</v>
      </c>
      <c r="B192" s="14"/>
      <c r="C192" s="20" t="s">
        <v>1439</v>
      </c>
      <c r="D192" s="13" t="s">
        <v>71</v>
      </c>
      <c r="E192" s="8" t="str">
        <f>IFERROR(IF(D192="No CAS","",INDEX('DEQ Pollutant List'!$B$7:$B$611,MATCH('5. Pollutant Emissions - MB'!D192,'DEQ Pollutant List'!$A$7:$A$611,0))),"")</f>
        <v>Zinc and compounds</v>
      </c>
      <c r="F192" s="21">
        <v>4.8999999999999998E-3</v>
      </c>
      <c r="G192" s="38"/>
      <c r="H192" s="48">
        <v>1</v>
      </c>
      <c r="I192" s="48"/>
      <c r="J192" s="39"/>
      <c r="K192" s="19" t="s">
        <v>1656</v>
      </c>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25">
      <c r="A193" s="12" t="s">
        <v>1425</v>
      </c>
      <c r="B193" s="14"/>
      <c r="C193" s="20" t="s">
        <v>1461</v>
      </c>
      <c r="D193" s="13" t="s">
        <v>71</v>
      </c>
      <c r="E193" s="8" t="str">
        <f>IFERROR(IF(D193="No CAS","",INDEX('DEQ Pollutant List'!$B$7:$B$611,MATCH('5. Pollutant Emissions - MB'!D193,'DEQ Pollutant List'!$A$7:$A$611,0))),"")</f>
        <v>Zinc and compounds</v>
      </c>
      <c r="F193" s="21">
        <v>1.1999999999999999E-3</v>
      </c>
      <c r="G193" s="38"/>
      <c r="H193" s="48">
        <v>1</v>
      </c>
      <c r="I193" s="48"/>
      <c r="J193" s="39"/>
      <c r="K193" s="19" t="s">
        <v>1656</v>
      </c>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25">
      <c r="A194" s="12" t="s">
        <v>1425</v>
      </c>
      <c r="B194" s="14"/>
      <c r="C194" s="20" t="s">
        <v>1461</v>
      </c>
      <c r="D194" s="13">
        <v>504</v>
      </c>
      <c r="E194" s="8" t="str">
        <f>IFERROR(IF(D194="No CAS","",INDEX('DEQ Pollutant List'!$B$7:$B$611,MATCH('5. Pollutant Emissions - MB'!D194,'DEQ Pollutant List'!$A$7:$A$611,0))),"")</f>
        <v>Phosphorus and compounds</v>
      </c>
      <c r="F194" s="21">
        <v>5.9999999999999995E-4</v>
      </c>
      <c r="G194" s="38"/>
      <c r="H194" s="48"/>
      <c r="I194" s="48"/>
      <c r="J194" s="39"/>
      <c r="K194" s="19" t="s">
        <v>1528</v>
      </c>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1.6889263171383527E-2</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4.6271953894201439E-5</v>
      </c>
    </row>
    <row r="195" spans="1:13" x14ac:dyDescent="0.25">
      <c r="A195" s="12" t="s">
        <v>1425</v>
      </c>
      <c r="B195" s="14"/>
      <c r="C195" s="20" t="s">
        <v>1461</v>
      </c>
      <c r="D195" s="13" t="s">
        <v>401</v>
      </c>
      <c r="E195" s="8" t="str">
        <f>IFERROR(IF(D195="No CAS","",INDEX('DEQ Pollutant List'!$B$7:$B$611,MATCH('5. Pollutant Emissions - MB'!D195,'DEQ Pollutant List'!$A$7:$A$611,0))),"")</f>
        <v>Aluminum and compounds</v>
      </c>
      <c r="F195" s="21">
        <v>2.5000000000000001E-2</v>
      </c>
      <c r="G195" s="38"/>
      <c r="H195" s="48">
        <v>1</v>
      </c>
      <c r="I195" s="48"/>
      <c r="J195" s="39"/>
      <c r="K195" s="19" t="s">
        <v>1656</v>
      </c>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25">
      <c r="A196" s="12" t="s">
        <v>1425</v>
      </c>
      <c r="B196" s="14"/>
      <c r="C196" s="20" t="s">
        <v>1461</v>
      </c>
      <c r="D196" s="13" t="s">
        <v>57</v>
      </c>
      <c r="E196" s="8" t="str">
        <f>IFERROR(IF(D196="No CAS","",INDEX('DEQ Pollutant List'!$B$7:$B$611,MATCH('5. Pollutant Emissions - MB'!D196,'DEQ Pollutant List'!$A$7:$A$611,0))),"")</f>
        <v>Chromium VI, chromate and dichromate particulate</v>
      </c>
      <c r="F196" s="21">
        <v>0.01</v>
      </c>
      <c r="G196" s="38"/>
      <c r="H196" s="48">
        <v>1</v>
      </c>
      <c r="I196" s="48"/>
      <c r="J196" s="39"/>
      <c r="K196" s="19" t="s">
        <v>1656</v>
      </c>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25">
      <c r="A197" s="12" t="s">
        <v>1425</v>
      </c>
      <c r="B197" s="14"/>
      <c r="C197" s="20" t="s">
        <v>1457</v>
      </c>
      <c r="D197" s="13" t="s">
        <v>853</v>
      </c>
      <c r="E197" s="8" t="str">
        <f>IFERROR(IF(D197="No CAS","",INDEX('DEQ Pollutant List'!$B$7:$B$611,MATCH('5. Pollutant Emissions - MB'!D197,'DEQ Pollutant List'!$A$7:$A$611,0))),"")</f>
        <v>n-Butyl alcohol</v>
      </c>
      <c r="F197" s="21">
        <v>0.05</v>
      </c>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1.3518750000000003E-2</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3.7037671232876713E-5</v>
      </c>
    </row>
    <row r="198" spans="1:13" x14ac:dyDescent="0.25">
      <c r="A198" s="12" t="s">
        <v>1425</v>
      </c>
      <c r="B198" s="14"/>
      <c r="C198" s="20" t="s">
        <v>1478</v>
      </c>
      <c r="D198" s="13" t="s">
        <v>853</v>
      </c>
      <c r="E198" s="8" t="str">
        <f>IFERROR(IF(D198="No CAS","",INDEX('DEQ Pollutant List'!$B$7:$B$611,MATCH('5. Pollutant Emissions - MB'!D198,'DEQ Pollutant List'!$A$7:$A$611,0))),"")</f>
        <v>n-Butyl alcohol</v>
      </c>
      <c r="F198" s="21">
        <v>0.05</v>
      </c>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0.22303250407283179</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6.1104795636392271E-4</v>
      </c>
    </row>
    <row r="199" spans="1:13" x14ac:dyDescent="0.25">
      <c r="A199" s="12" t="s">
        <v>1425</v>
      </c>
      <c r="B199" s="14"/>
      <c r="C199" s="20" t="s">
        <v>1463</v>
      </c>
      <c r="D199" s="13" t="s">
        <v>72</v>
      </c>
      <c r="E199" s="8" t="str">
        <f>IFERROR(IF(D199="No CAS","",INDEX('DEQ Pollutant List'!$B$7:$B$611,MATCH('5. Pollutant Emissions - MB'!D199,'DEQ Pollutant List'!$A$7:$A$611,0))),"")</f>
        <v>1,1,1-Trichloroethane (methyl chloroform)</v>
      </c>
      <c r="F199" s="21">
        <v>0.8</v>
      </c>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63.230544000000002</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0.17323436712328766</v>
      </c>
    </row>
    <row r="200" spans="1:13" x14ac:dyDescent="0.25">
      <c r="A200" s="12" t="s">
        <v>1425</v>
      </c>
      <c r="B200" s="14"/>
      <c r="C200" s="20" t="s">
        <v>1455</v>
      </c>
      <c r="D200" s="13" t="s">
        <v>192</v>
      </c>
      <c r="E200" s="8" t="str">
        <f>IFERROR(IF(D200="No CAS","",INDEX('DEQ Pollutant List'!$B$7:$B$611,MATCH('5. Pollutant Emissions - MB'!D200,'DEQ Pollutant List'!$A$7:$A$611,0))),"")</f>
        <v>1,1-Difluoroethane</v>
      </c>
      <c r="F200" s="21">
        <v>0.4</v>
      </c>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10.658519999999999</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2.9201424657534242E-2</v>
      </c>
    </row>
    <row r="201" spans="1:13" x14ac:dyDescent="0.25">
      <c r="A201" s="12" t="s">
        <v>1425</v>
      </c>
      <c r="B201" s="14"/>
      <c r="C201" s="20" t="s">
        <v>1474</v>
      </c>
      <c r="D201" s="13" t="s">
        <v>71</v>
      </c>
      <c r="E201" s="8" t="str">
        <f>IFERROR(IF(D201="No CAS","",INDEX('DEQ Pollutant List'!$B$7:$B$611,MATCH('5. Pollutant Emissions - MB'!D201,'DEQ Pollutant List'!$A$7:$A$611,0))),"")</f>
        <v>Zinc and compounds</v>
      </c>
      <c r="F201" s="21">
        <v>1.9E-3</v>
      </c>
      <c r="G201" s="38"/>
      <c r="H201" s="48"/>
      <c r="I201" s="48"/>
      <c r="J201" s="39"/>
      <c r="K201" s="19" t="s">
        <v>1529</v>
      </c>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0.12568928355000003</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3.443542015068494E-4</v>
      </c>
    </row>
    <row r="202" spans="1:13" x14ac:dyDescent="0.25">
      <c r="A202" s="12" t="s">
        <v>1425</v>
      </c>
      <c r="B202" s="14"/>
      <c r="C202" s="20" t="s">
        <v>1474</v>
      </c>
      <c r="D202" s="13">
        <v>504</v>
      </c>
      <c r="E202" s="8" t="str">
        <f>IFERROR(IF(D202="No CAS","",INDEX('DEQ Pollutant List'!$B$7:$B$611,MATCH('5. Pollutant Emissions - MB'!D202,'DEQ Pollutant List'!$A$7:$A$611,0))),"")</f>
        <v>Phosphorus and compounds</v>
      </c>
      <c r="F202" s="21">
        <v>8.9999999999999998E-4</v>
      </c>
      <c r="G202" s="38"/>
      <c r="H202" s="48"/>
      <c r="I202" s="48"/>
      <c r="J202" s="39"/>
      <c r="K202" s="19" t="s">
        <v>1530</v>
      </c>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5.9537029050000009E-2</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1.631151480821918E-4</v>
      </c>
    </row>
    <row r="203" spans="1:13" x14ac:dyDescent="0.25">
      <c r="A203" s="12" t="s">
        <v>1425</v>
      </c>
      <c r="B203" s="14"/>
      <c r="C203" s="20" t="s">
        <v>1451</v>
      </c>
      <c r="D203" s="13" t="s">
        <v>1165</v>
      </c>
      <c r="E203" s="8" t="str">
        <f>IFERROR(IF(D203="No CAS","",INDEX('DEQ Pollutant List'!$B$7:$B$611,MATCH('5. Pollutant Emissions - MB'!D203,'DEQ Pollutant List'!$A$7:$A$611,0))),"")</f>
        <v>tert-Butyl alcohol</v>
      </c>
      <c r="F203" s="21">
        <v>0.03</v>
      </c>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34.270199793522075</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9.3890958338416639E-2</v>
      </c>
    </row>
    <row r="204" spans="1:13" x14ac:dyDescent="0.25">
      <c r="A204" s="12" t="s">
        <v>1425</v>
      </c>
      <c r="B204" s="14"/>
      <c r="C204" s="20" t="s">
        <v>1435</v>
      </c>
      <c r="D204" s="13" t="s">
        <v>1212</v>
      </c>
      <c r="E204" s="8" t="str">
        <f>IFERROR(IF(D204="No CAS","",INDEX('DEQ Pollutant List'!$B$7:$B$611,MATCH('5. Pollutant Emissions - MB'!D204,'DEQ Pollutant List'!$A$7:$A$611,0))),"")</f>
        <v>Triethyl phosphate</v>
      </c>
      <c r="F204" s="21">
        <v>0.05</v>
      </c>
      <c r="G204" s="38"/>
      <c r="H204" s="48">
        <v>1</v>
      </c>
      <c r="I204" s="48"/>
      <c r="J204" s="39"/>
      <c r="K204" s="19" t="s">
        <v>1657</v>
      </c>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25">
      <c r="A205" s="12" t="s">
        <v>1425</v>
      </c>
      <c r="B205" s="14"/>
      <c r="C205" s="20" t="s">
        <v>1463</v>
      </c>
      <c r="D205" s="13" t="s">
        <v>1132</v>
      </c>
      <c r="E205" s="8" t="str">
        <f>IFERROR(IF(D205="No CAS","",INDEX('DEQ Pollutant List'!$B$7:$B$611,MATCH('5. Pollutant Emissions - MB'!D205,'DEQ Pollutant List'!$A$7:$A$611,0))),"")</f>
        <v>sec-Butyl alcohol</v>
      </c>
      <c r="F205" s="21">
        <v>1.4999999999999999E-2</v>
      </c>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1.1855726999999998</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3.2481443835616435E-3</v>
      </c>
    </row>
    <row r="206" spans="1:13" x14ac:dyDescent="0.25">
      <c r="A206" s="12" t="s">
        <v>1425</v>
      </c>
      <c r="B206" s="14"/>
      <c r="C206" s="20" t="s">
        <v>1433</v>
      </c>
      <c r="D206" s="13" t="s">
        <v>77</v>
      </c>
      <c r="E206" s="8" t="str">
        <f>IFERROR(IF(D206="No CAS","",INDEX('DEQ Pollutant List'!$B$7:$B$611,MATCH('5. Pollutant Emissions - MB'!D206,'DEQ Pollutant List'!$A$7:$A$611,0))),"")</f>
        <v>2-Butanone (methyl ethyl ketone)</v>
      </c>
      <c r="F206" s="21">
        <v>0.9</v>
      </c>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217.862471287755</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0.5968834829801507</v>
      </c>
    </row>
    <row r="207" spans="1:13" x14ac:dyDescent="0.25">
      <c r="A207" s="12" t="s">
        <v>1425</v>
      </c>
      <c r="B207" s="14"/>
      <c r="C207" s="20" t="s">
        <v>1453</v>
      </c>
      <c r="D207" s="13" t="s">
        <v>77</v>
      </c>
      <c r="E207" s="8" t="str">
        <f>IFERROR(IF(D207="No CAS","",INDEX('DEQ Pollutant List'!$B$7:$B$611,MATCH('5. Pollutant Emissions - MB'!D207,'DEQ Pollutant List'!$A$7:$A$611,0))),"")</f>
        <v>2-Butanone (methyl ethyl ketone)</v>
      </c>
      <c r="F207" s="21">
        <v>0.49</v>
      </c>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6.804189</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1.8641613698630138E-2</v>
      </c>
    </row>
    <row r="208" spans="1:13" x14ac:dyDescent="0.25">
      <c r="A208" s="12" t="s">
        <v>1425</v>
      </c>
      <c r="B208" s="14"/>
      <c r="C208" s="20" t="s">
        <v>1454</v>
      </c>
      <c r="D208" s="13" t="s">
        <v>77</v>
      </c>
      <c r="E208" s="8" t="str">
        <f>IFERROR(IF(D208="No CAS","",INDEX('DEQ Pollutant List'!$B$7:$B$611,MATCH('5. Pollutant Emissions - MB'!D208,'DEQ Pollutant List'!$A$7:$A$611,0))),"")</f>
        <v>2-Butanone (methyl ethyl ketone)</v>
      </c>
      <c r="F208" s="21">
        <v>1.4999999999999999E-2</v>
      </c>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3.6310274999999996E-2</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9.948020547945206E-5</v>
      </c>
    </row>
    <row r="209" spans="1:13" x14ac:dyDescent="0.25">
      <c r="A209" s="12" t="s">
        <v>1425</v>
      </c>
      <c r="B209" s="14"/>
      <c r="C209" s="20" t="s">
        <v>1457</v>
      </c>
      <c r="D209" s="13" t="s">
        <v>77</v>
      </c>
      <c r="E209" s="8" t="str">
        <f>IFERROR(IF(D209="No CAS","",INDEX('DEQ Pollutant List'!$B$7:$B$611,MATCH('5. Pollutant Emissions - MB'!D209,'DEQ Pollutant List'!$A$7:$A$611,0))),"")</f>
        <v>2-Butanone (methyl ethyl ketone)</v>
      </c>
      <c r="F209" s="21">
        <v>0.1</v>
      </c>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2.7037500000000006E-2</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7.4075342465753426E-5</v>
      </c>
    </row>
    <row r="210" spans="1:13" x14ac:dyDescent="0.25">
      <c r="A210" s="12" t="s">
        <v>1425</v>
      </c>
      <c r="B210" s="14"/>
      <c r="C210" s="20" t="s">
        <v>1500</v>
      </c>
      <c r="D210" s="13" t="s">
        <v>77</v>
      </c>
      <c r="E210" s="8" t="str">
        <f>IFERROR(IF(D210="No CAS","",INDEX('DEQ Pollutant List'!$B$7:$B$611,MATCH('5. Pollutant Emissions - MB'!D210,'DEQ Pollutant List'!$A$7:$A$611,0))),"")</f>
        <v>2-Butanone (methyl ethyl ketone)</v>
      </c>
      <c r="F210" s="21">
        <v>0.25</v>
      </c>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1.0836787499999998</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2.968982876712328E-3</v>
      </c>
    </row>
    <row r="211" spans="1:13" x14ac:dyDescent="0.25">
      <c r="A211" s="12" t="s">
        <v>1425</v>
      </c>
      <c r="B211" s="14"/>
      <c r="C211" s="20" t="s">
        <v>1460</v>
      </c>
      <c r="D211" s="13" t="s">
        <v>77</v>
      </c>
      <c r="E211" s="8" t="str">
        <f>IFERROR(IF(D211="No CAS","",INDEX('DEQ Pollutant List'!$B$7:$B$611,MATCH('5. Pollutant Emissions - MB'!D211,'DEQ Pollutant List'!$A$7:$A$611,0))),"")</f>
        <v>2-Butanone (methyl ethyl ketone)</v>
      </c>
      <c r="F211" s="21">
        <v>0.25</v>
      </c>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0.42143062500000006</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1.1546044520547947E-3</v>
      </c>
    </row>
    <row r="212" spans="1:13" x14ac:dyDescent="0.25">
      <c r="A212" s="12" t="s">
        <v>1425</v>
      </c>
      <c r="B212" s="14"/>
      <c r="C212" s="20" t="s">
        <v>1462</v>
      </c>
      <c r="D212" s="13" t="s">
        <v>77</v>
      </c>
      <c r="E212" s="8" t="str">
        <f>IFERROR(IF(D212="No CAS","",INDEX('DEQ Pollutant List'!$B$7:$B$611,MATCH('5. Pollutant Emissions - MB'!D212,'DEQ Pollutant List'!$A$7:$A$611,0))),"")</f>
        <v>2-Butanone (methyl ethyl ketone)</v>
      </c>
      <c r="F212" s="21">
        <v>0.2</v>
      </c>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12.890304</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3.5315901369863012E-2</v>
      </c>
    </row>
    <row r="213" spans="1:13" x14ac:dyDescent="0.25">
      <c r="A213" s="12" t="s">
        <v>1425</v>
      </c>
      <c r="B213" s="14"/>
      <c r="C213" s="20" t="s">
        <v>1437</v>
      </c>
      <c r="D213" s="13" t="s">
        <v>77</v>
      </c>
      <c r="E213" s="8" t="str">
        <f>IFERROR(IF(D213="No CAS","",INDEX('DEQ Pollutant List'!$B$7:$B$611,MATCH('5. Pollutant Emissions - MB'!D213,'DEQ Pollutant List'!$A$7:$A$611,0))),"")</f>
        <v>2-Butanone (methyl ethyl ketone)</v>
      </c>
      <c r="F213" s="21">
        <v>0.1</v>
      </c>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4.1775581250000009</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1.1445364726027399E-2</v>
      </c>
    </row>
    <row r="214" spans="1:13" x14ac:dyDescent="0.25">
      <c r="A214" s="12" t="s">
        <v>1425</v>
      </c>
      <c r="B214" s="14"/>
      <c r="C214" s="20" t="s">
        <v>1471</v>
      </c>
      <c r="D214" s="13" t="s">
        <v>77</v>
      </c>
      <c r="E214" s="8" t="str">
        <f>IFERROR(IF(D214="No CAS","",INDEX('DEQ Pollutant List'!$B$7:$B$611,MATCH('5. Pollutant Emissions - MB'!D214,'DEQ Pollutant List'!$A$7:$A$611,0))),"")</f>
        <v>2-Butanone (methyl ethyl ketone)</v>
      </c>
      <c r="F214" s="21">
        <v>0.25</v>
      </c>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7.2127968749999996</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1.9761087328767121E-2</v>
      </c>
    </row>
    <row r="215" spans="1:13" x14ac:dyDescent="0.25">
      <c r="A215" s="12" t="s">
        <v>1425</v>
      </c>
      <c r="B215" s="14"/>
      <c r="C215" s="20" t="s">
        <v>1465</v>
      </c>
      <c r="D215" s="13" t="s">
        <v>311</v>
      </c>
      <c r="E215" s="8" t="str">
        <f>IFERROR(IF(D215="No CAS","",INDEX('DEQ Pollutant List'!$B$7:$B$611,MATCH('5. Pollutant Emissions - MB'!D215,'DEQ Pollutant List'!$A$7:$A$611,0))),"")</f>
        <v>2-Nitropropane</v>
      </c>
      <c r="F215" s="21">
        <v>0.1</v>
      </c>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5.5669500000000011E-2</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1.5251917808219181E-4</v>
      </c>
    </row>
    <row r="216" spans="1:13" x14ac:dyDescent="0.25">
      <c r="A216" s="12" t="s">
        <v>1425</v>
      </c>
      <c r="B216" s="14"/>
      <c r="C216" s="20" t="s">
        <v>1490</v>
      </c>
      <c r="D216" s="13" t="s">
        <v>575</v>
      </c>
      <c r="E216" s="8" t="str">
        <f>IFERROR(IF(D216="No CAS","",INDEX('DEQ Pollutant List'!$B$7:$B$611,MATCH('5. Pollutant Emissions - MB'!D216,'DEQ Pollutant List'!$A$7:$A$611,0))),"")</f>
        <v>Cumene hydroperoxide</v>
      </c>
      <c r="F216" s="21">
        <v>0.05</v>
      </c>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0.15261809062500001</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4.1813175513698633E-4</v>
      </c>
    </row>
    <row r="217" spans="1:13" x14ac:dyDescent="0.25">
      <c r="A217" s="12" t="s">
        <v>1425</v>
      </c>
      <c r="B217" s="14"/>
      <c r="C217" s="20" t="s">
        <v>1440</v>
      </c>
      <c r="D217" s="13" t="s">
        <v>575</v>
      </c>
      <c r="E217" s="8" t="str">
        <f>IFERROR(IF(D217="No CAS","",INDEX('DEQ Pollutant List'!$B$7:$B$611,MATCH('5. Pollutant Emissions - MB'!D217,'DEQ Pollutant List'!$A$7:$A$611,0))),"")</f>
        <v>Cumene hydroperoxide</v>
      </c>
      <c r="F217" s="21">
        <v>0.05</v>
      </c>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0.23256090000000001</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6.3715315068493155E-4</v>
      </c>
    </row>
    <row r="218" spans="1:13" x14ac:dyDescent="0.25">
      <c r="A218" s="12" t="s">
        <v>1425</v>
      </c>
      <c r="B218" s="14"/>
      <c r="C218" s="20" t="s">
        <v>1487</v>
      </c>
      <c r="D218" s="13" t="s">
        <v>575</v>
      </c>
      <c r="E218" s="8" t="str">
        <f>IFERROR(IF(D218="No CAS","",INDEX('DEQ Pollutant List'!$B$7:$B$611,MATCH('5. Pollutant Emissions - MB'!D218,'DEQ Pollutant List'!$A$7:$A$611,0))),"")</f>
        <v>Cumene hydroperoxide</v>
      </c>
      <c r="F218" s="21">
        <v>0.05</v>
      </c>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0.16656152239125005</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4.5633293805821926E-4</v>
      </c>
    </row>
    <row r="219" spans="1:13" x14ac:dyDescent="0.25">
      <c r="A219" s="12" t="s">
        <v>1425</v>
      </c>
      <c r="B219" s="14"/>
      <c r="C219" s="20" t="s">
        <v>1493</v>
      </c>
      <c r="D219" s="13" t="s">
        <v>575</v>
      </c>
      <c r="E219" s="8" t="str">
        <f>IFERROR(IF(D219="No CAS","",INDEX('DEQ Pollutant List'!$B$7:$B$611,MATCH('5. Pollutant Emissions - MB'!D219,'DEQ Pollutant List'!$A$7:$A$611,0))),"")</f>
        <v>Cumene hydroperoxide</v>
      </c>
      <c r="F219" s="21">
        <v>0.05</v>
      </c>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0.14535056249999997</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3.9822071917808223E-4</v>
      </c>
    </row>
    <row r="220" spans="1:13" x14ac:dyDescent="0.25">
      <c r="A220" s="12" t="s">
        <v>1425</v>
      </c>
      <c r="B220" s="14"/>
      <c r="C220" s="20" t="s">
        <v>1494</v>
      </c>
      <c r="D220" s="13" t="s">
        <v>575</v>
      </c>
      <c r="E220" s="8" t="str">
        <f>IFERROR(IF(D220="No CAS","",INDEX('DEQ Pollutant List'!$B$7:$B$611,MATCH('5. Pollutant Emissions - MB'!D220,'DEQ Pollutant List'!$A$7:$A$611,0))),"")</f>
        <v>Cumene hydroperoxide</v>
      </c>
      <c r="F220" s="21">
        <v>0.05</v>
      </c>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6.7389806249999989E-2</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1.8462960616438351E-4</v>
      </c>
    </row>
    <row r="221" spans="1:13" x14ac:dyDescent="0.25">
      <c r="A221" s="12" t="s">
        <v>1425</v>
      </c>
      <c r="B221" s="14"/>
      <c r="C221" s="20" t="s">
        <v>1496</v>
      </c>
      <c r="D221" s="13" t="s">
        <v>575</v>
      </c>
      <c r="E221" s="8" t="str">
        <f>IFERROR(IF(D221="No CAS","",INDEX('DEQ Pollutant List'!$B$7:$B$611,MATCH('5. Pollutant Emissions - MB'!D221,'DEQ Pollutant List'!$A$7:$A$611,0))),"")</f>
        <v>Cumene hydroperoxide</v>
      </c>
      <c r="F221" s="21">
        <v>0.05</v>
      </c>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0.1923651811228379</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5.2702789348722714E-4</v>
      </c>
    </row>
    <row r="222" spans="1:13" x14ac:dyDescent="0.25">
      <c r="A222" s="12" t="s">
        <v>1425</v>
      </c>
      <c r="B222" s="14"/>
      <c r="C222" s="20" t="s">
        <v>1498</v>
      </c>
      <c r="D222" s="13" t="s">
        <v>575</v>
      </c>
      <c r="E222" s="8" t="str">
        <f>IFERROR(IF(D222="No CAS","",INDEX('DEQ Pollutant List'!$B$7:$B$611,MATCH('5. Pollutant Emissions - MB'!D222,'DEQ Pollutant List'!$A$7:$A$611,0))),"")</f>
        <v>Cumene hydroperoxide</v>
      </c>
      <c r="F222" s="21">
        <v>0.01</v>
      </c>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2.3265736461000001E-2</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6.3741743728767115E-5</v>
      </c>
    </row>
    <row r="223" spans="1:13" x14ac:dyDescent="0.25">
      <c r="A223" s="12" t="s">
        <v>1425</v>
      </c>
      <c r="B223" s="14"/>
      <c r="C223" s="20" t="s">
        <v>1495</v>
      </c>
      <c r="D223" s="13" t="s">
        <v>575</v>
      </c>
      <c r="E223" s="8" t="str">
        <f>IFERROR(IF(D223="No CAS","",INDEX('DEQ Pollutant List'!$B$7:$B$611,MATCH('5. Pollutant Emissions - MB'!D223,'DEQ Pollutant List'!$A$7:$A$611,0))),"")</f>
        <v>Cumene hydroperoxide</v>
      </c>
      <c r="F223" s="21">
        <v>0.05</v>
      </c>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9.3632039797674829E-2</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2.5652613643198586E-4</v>
      </c>
    </row>
    <row r="224" spans="1:13" x14ac:dyDescent="0.25">
      <c r="A224" s="12" t="s">
        <v>1425</v>
      </c>
      <c r="B224" s="14"/>
      <c r="C224" s="20" t="s">
        <v>1497</v>
      </c>
      <c r="D224" s="13" t="s">
        <v>575</v>
      </c>
      <c r="E224" s="8" t="str">
        <f>IFERROR(IF(D224="No CAS","",INDEX('DEQ Pollutant List'!$B$7:$B$611,MATCH('5. Pollutant Emissions - MB'!D224,'DEQ Pollutant List'!$A$7:$A$611,0))),"")</f>
        <v>Cumene hydroperoxide</v>
      </c>
      <c r="F224" s="21">
        <v>0.05</v>
      </c>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1.4541085288125E-2</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3.9838589830479455E-5</v>
      </c>
    </row>
    <row r="225" spans="1:13" x14ac:dyDescent="0.25">
      <c r="A225" s="12" t="s">
        <v>1425</v>
      </c>
      <c r="B225" s="14"/>
      <c r="C225" s="20" t="s">
        <v>1496</v>
      </c>
      <c r="D225" s="13" t="s">
        <v>821</v>
      </c>
      <c r="E225" s="8" t="str">
        <f>IFERROR(IF(D225="No CAS","",INDEX('DEQ Pollutant List'!$B$7:$B$611,MATCH('5. Pollutant Emissions - MB'!D225,'DEQ Pollutant List'!$A$7:$A$611,0))),"")</f>
        <v>Methyl methacrylate</v>
      </c>
      <c r="F225" s="21">
        <v>0.01</v>
      </c>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3.8473036224567582E-2</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1.0540557869744543E-4</v>
      </c>
    </row>
    <row r="226" spans="1:13" x14ac:dyDescent="0.25">
      <c r="A226" s="12" t="s">
        <v>1425</v>
      </c>
      <c r="B226" s="14"/>
      <c r="C226" s="20" t="s">
        <v>1434</v>
      </c>
      <c r="D226" s="13" t="s">
        <v>93</v>
      </c>
      <c r="E226" s="8" t="str">
        <f>IFERROR(IF(D226="No CAS","",INDEX('DEQ Pollutant List'!$B$7:$B$611,MATCH('5. Pollutant Emissions - MB'!D226,'DEQ Pollutant List'!$A$7:$A$611,0))),"")</f>
        <v>Dibutyl phthalate</v>
      </c>
      <c r="F226" s="21">
        <v>0.05</v>
      </c>
      <c r="G226" s="38"/>
      <c r="H226" s="48">
        <v>1</v>
      </c>
      <c r="I226" s="48"/>
      <c r="J226" s="39"/>
      <c r="K226" s="19" t="s">
        <v>1657</v>
      </c>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25">
      <c r="A227" s="12" t="s">
        <v>1425</v>
      </c>
      <c r="B227" s="14"/>
      <c r="C227" s="20" t="s">
        <v>1491</v>
      </c>
      <c r="D227" s="13" t="s">
        <v>1080</v>
      </c>
      <c r="E227" s="8" t="str">
        <f>IFERROR(IF(D227="No CAS","",INDEX('DEQ Pollutant List'!$B$7:$B$611,MATCH('5. Pollutant Emissions - MB'!D227,'DEQ Pollutant List'!$A$7:$A$611,0))),"")</f>
        <v>Phthalic anhydride</v>
      </c>
      <c r="F227" s="21">
        <v>0.01</v>
      </c>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1.7201249999999998E-2</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4.7126712328767121E-5</v>
      </c>
    </row>
    <row r="228" spans="1:13" x14ac:dyDescent="0.25">
      <c r="A228" s="12" t="s">
        <v>1425</v>
      </c>
      <c r="B228" s="14"/>
      <c r="C228" s="20" t="s">
        <v>1438</v>
      </c>
      <c r="D228" s="13" t="s">
        <v>71</v>
      </c>
      <c r="E228" s="8" t="str">
        <f>IFERROR(IF(D228="No CAS","",INDEX('DEQ Pollutant List'!$B$7:$B$611,MATCH('5. Pollutant Emissions - MB'!D228,'DEQ Pollutant List'!$A$7:$A$611,0))),"")</f>
        <v>Zinc and compounds</v>
      </c>
      <c r="F228" s="21">
        <v>9.7999999999999997E-3</v>
      </c>
      <c r="G228" s="38"/>
      <c r="H228" s="48"/>
      <c r="I228" s="48"/>
      <c r="J228" s="39"/>
      <c r="K228" s="19" t="s">
        <v>1531</v>
      </c>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4.6587239999999986E-3</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1.276362739726027E-5</v>
      </c>
    </row>
    <row r="229" spans="1:13" x14ac:dyDescent="0.25">
      <c r="A229" s="12" t="s">
        <v>1425</v>
      </c>
      <c r="B229" s="14"/>
      <c r="C229" s="20" t="s">
        <v>1479</v>
      </c>
      <c r="D229" s="13" t="s">
        <v>482</v>
      </c>
      <c r="E229" s="8" t="str">
        <f>IFERROR(IF(D229="No CAS","",INDEX('DEQ Pollutant List'!$B$7:$B$611,MATCH('5. Pollutant Emissions - MB'!D229,'DEQ Pollutant List'!$A$7:$A$611,0))),"")</f>
        <v>Bromine and compounds</v>
      </c>
      <c r="F229" s="21">
        <v>1.7899999999999999E-2</v>
      </c>
      <c r="G229" s="38"/>
      <c r="H229" s="48"/>
      <c r="I229" s="48"/>
      <c r="J229" s="39"/>
      <c r="K229" s="19" t="s">
        <v>1532</v>
      </c>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0.10001228962500001</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2.7400627294520553E-4</v>
      </c>
    </row>
    <row r="230" spans="1:13" x14ac:dyDescent="0.25">
      <c r="A230" s="12" t="s">
        <v>1425</v>
      </c>
      <c r="B230" s="14"/>
      <c r="C230" s="20" t="s">
        <v>1482</v>
      </c>
      <c r="D230" s="13" t="s">
        <v>482</v>
      </c>
      <c r="E230" s="8" t="str">
        <f>IFERROR(IF(D230="No CAS","",INDEX('DEQ Pollutant List'!$B$7:$B$611,MATCH('5. Pollutant Emissions - MB'!D230,'DEQ Pollutant List'!$A$7:$A$611,0))),"")</f>
        <v>Bromine and compounds</v>
      </c>
      <c r="F230" s="21">
        <v>6.9999999999999999E-4</v>
      </c>
      <c r="G230" s="38"/>
      <c r="H230" s="48"/>
      <c r="I230" s="48"/>
      <c r="J230" s="39"/>
      <c r="K230" s="19" t="s">
        <v>1532</v>
      </c>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9.6545925000000032E-3</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2.6450938356164393E-5</v>
      </c>
    </row>
    <row r="231" spans="1:13" x14ac:dyDescent="0.25">
      <c r="A231" s="12" t="s">
        <v>1425</v>
      </c>
      <c r="B231" s="14"/>
      <c r="C231" s="20" t="s">
        <v>1475</v>
      </c>
      <c r="D231" s="13" t="s">
        <v>54</v>
      </c>
      <c r="E231" s="8" t="str">
        <f>IFERROR(IF(D231="No CAS","",INDEX('DEQ Pollutant List'!$B$7:$B$611,MATCH('5. Pollutant Emissions - MB'!D231,'DEQ Pollutant List'!$A$7:$A$611,0))),"")</f>
        <v>Barium and compounds</v>
      </c>
      <c r="F231" s="21">
        <v>7.7000000000000002E-3</v>
      </c>
      <c r="G231" s="38"/>
      <c r="H231" s="48"/>
      <c r="I231" s="48"/>
      <c r="J231" s="39"/>
      <c r="K231" s="19" t="s">
        <v>1533</v>
      </c>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3.0740353874999998E-2</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8.4220147602739713E-5</v>
      </c>
    </row>
    <row r="232" spans="1:13" x14ac:dyDescent="0.25">
      <c r="A232" s="12" t="s">
        <v>1425</v>
      </c>
      <c r="B232" s="14"/>
      <c r="C232" s="20" t="s">
        <v>1503</v>
      </c>
      <c r="D232" s="13" t="s">
        <v>54</v>
      </c>
      <c r="E232" s="8" t="str">
        <f>IFERROR(IF(D232="No CAS","",INDEX('DEQ Pollutant List'!$B$7:$B$611,MATCH('5. Pollutant Emissions - MB'!D232,'DEQ Pollutant List'!$A$7:$A$611,0))),"")</f>
        <v>Barium and compounds</v>
      </c>
      <c r="F232" s="21">
        <v>1.12E-2</v>
      </c>
      <c r="G232" s="38"/>
      <c r="H232" s="48"/>
      <c r="I232" s="48"/>
      <c r="J232" s="39"/>
      <c r="K232" s="19" t="s">
        <v>1533</v>
      </c>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0.15762600000000002</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4.3185205479452058E-4</v>
      </c>
    </row>
    <row r="233" spans="1:13" x14ac:dyDescent="0.25">
      <c r="A233" s="12" t="s">
        <v>1425</v>
      </c>
      <c r="B233" s="14"/>
      <c r="C233" s="20" t="s">
        <v>1504</v>
      </c>
      <c r="D233" s="13" t="s">
        <v>54</v>
      </c>
      <c r="E233" s="8" t="str">
        <f>IFERROR(IF(D233="No CAS","",INDEX('DEQ Pollutant List'!$B$7:$B$611,MATCH('5. Pollutant Emissions - MB'!D233,'DEQ Pollutant List'!$A$7:$A$611,0))),"")</f>
        <v>Barium and compounds</v>
      </c>
      <c r="F233" s="21">
        <v>4.1200000000000001E-2</v>
      </c>
      <c r="G233" s="38"/>
      <c r="H233" s="48"/>
      <c r="I233" s="48"/>
      <c r="J233" s="39"/>
      <c r="K233" s="19" t="s">
        <v>1533</v>
      </c>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1.8392477220000001</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5.0390348547945212E-3</v>
      </c>
    </row>
    <row r="234" spans="1:13" x14ac:dyDescent="0.25">
      <c r="A234" s="12" t="s">
        <v>1425</v>
      </c>
      <c r="B234" s="14"/>
      <c r="C234" s="20" t="s">
        <v>1505</v>
      </c>
      <c r="D234" s="13" t="s">
        <v>54</v>
      </c>
      <c r="E234" s="8" t="str">
        <f>IFERROR(IF(D234="No CAS","",INDEX('DEQ Pollutant List'!$B$7:$B$611,MATCH('5. Pollutant Emissions - MB'!D234,'DEQ Pollutant List'!$A$7:$A$611,0))),"")</f>
        <v>Barium and compounds</v>
      </c>
      <c r="F234" s="21">
        <v>2.9399999999999999E-2</v>
      </c>
      <c r="G234" s="38"/>
      <c r="H234" s="48"/>
      <c r="I234" s="48"/>
      <c r="J234" s="39"/>
      <c r="K234" s="19" t="s">
        <v>1533</v>
      </c>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0.16778302537500001</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4.5967952157534249E-4</v>
      </c>
    </row>
    <row r="235" spans="1:13" x14ac:dyDescent="0.25">
      <c r="A235" s="12" t="s">
        <v>1425</v>
      </c>
      <c r="B235" s="14"/>
      <c r="C235" s="20" t="s">
        <v>1474</v>
      </c>
      <c r="D235" s="13" t="s">
        <v>172</v>
      </c>
      <c r="E235" s="8" t="str">
        <f>IFERROR(IF(D235="No CAS","",INDEX('DEQ Pollutant List'!$B$7:$B$611,MATCH('5. Pollutant Emissions - MB'!D235,'DEQ Pollutant List'!$A$7:$A$611,0))),"")</f>
        <v>1,2,4-Trimethylbenzene</v>
      </c>
      <c r="F235" s="21">
        <v>1.2999999999999999E-2</v>
      </c>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0.85997930850000015</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2.3561076945205484E-3</v>
      </c>
    </row>
    <row r="236" spans="1:13" x14ac:dyDescent="0.25">
      <c r="A236" s="12" t="s">
        <v>1425</v>
      </c>
      <c r="B236" s="14"/>
      <c r="C236" s="20" t="s">
        <v>1450</v>
      </c>
      <c r="D236" s="13" t="s">
        <v>172</v>
      </c>
      <c r="E236" s="8" t="str">
        <f>IFERROR(IF(D236="No CAS","",INDEX('DEQ Pollutant List'!$B$7:$B$611,MATCH('5. Pollutant Emissions - MB'!D236,'DEQ Pollutant List'!$A$7:$A$611,0))),"")</f>
        <v>1,2,4-Trimethylbenzene</v>
      </c>
      <c r="F236" s="21">
        <v>0.05</v>
      </c>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0.51791399999999999</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1.4189424657534246E-3</v>
      </c>
    </row>
    <row r="237" spans="1:13" x14ac:dyDescent="0.25">
      <c r="A237" s="12" t="s">
        <v>1425</v>
      </c>
      <c r="B237" s="14"/>
      <c r="C237" s="20" t="s">
        <v>1472</v>
      </c>
      <c r="D237" s="13" t="s">
        <v>85</v>
      </c>
      <c r="E237" s="8" t="str">
        <f>IFERROR(IF(D237="No CAS","",INDEX('DEQ Pollutant List'!$B$7:$B$611,MATCH('5. Pollutant Emissions - MB'!D237,'DEQ Pollutant List'!$A$7:$A$611,0))),"")</f>
        <v>Butyl benzyl phthalate</v>
      </c>
      <c r="F237" s="21">
        <v>4.4999999999999997E-3</v>
      </c>
      <c r="G237" s="38"/>
      <c r="H237" s="48"/>
      <c r="I237" s="48"/>
      <c r="J237" s="39"/>
      <c r="K237" s="175"/>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0.13477022999999996</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3.6923350684931491E-4</v>
      </c>
    </row>
    <row r="238" spans="1:13" x14ac:dyDescent="0.25">
      <c r="A238" s="12" t="s">
        <v>1425</v>
      </c>
      <c r="B238" s="14"/>
      <c r="C238" s="20" t="s">
        <v>1460</v>
      </c>
      <c r="D238" s="13">
        <v>504</v>
      </c>
      <c r="E238" s="8" t="str">
        <f>IFERROR(IF(D238="No CAS","",INDEX('DEQ Pollutant List'!$B$7:$B$611,MATCH('5. Pollutant Emissions - MB'!D238,'DEQ Pollutant List'!$A$7:$A$611,0))),"")</f>
        <v>Phosphorus and compounds</v>
      </c>
      <c r="F238" s="21">
        <v>2.0999999999999999E-3</v>
      </c>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3.5400172500000002E-3</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9.6986773972602746E-6</v>
      </c>
    </row>
    <row r="239" spans="1:13" x14ac:dyDescent="0.25">
      <c r="A239" s="12" t="s">
        <v>1425</v>
      </c>
      <c r="B239" s="14"/>
      <c r="C239" s="20" t="s">
        <v>1434</v>
      </c>
      <c r="D239" s="13" t="s">
        <v>1139</v>
      </c>
      <c r="E239" s="8" t="str">
        <f>IFERROR(IF(D239="No CAS","",INDEX('DEQ Pollutant List'!$B$7:$B$611,MATCH('5. Pollutant Emissions - MB'!D239,'DEQ Pollutant List'!$A$7:$A$611,0))),"")</f>
        <v>Silica, crystalline (respirable)</v>
      </c>
      <c r="F239" s="21">
        <v>6.3399999999999998E-2</v>
      </c>
      <c r="G239" s="38"/>
      <c r="H239" s="48">
        <v>1</v>
      </c>
      <c r="I239" s="48"/>
      <c r="J239" s="39"/>
      <c r="K239" s="19" t="s">
        <v>1659</v>
      </c>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25">
      <c r="A240" s="12" t="s">
        <v>1425</v>
      </c>
      <c r="B240" s="14"/>
      <c r="C240" s="20" t="s">
        <v>1434</v>
      </c>
      <c r="D240" s="13" t="s">
        <v>1139</v>
      </c>
      <c r="E240" s="8" t="str">
        <f>IFERROR(IF(D240="No CAS","",INDEX('DEQ Pollutant List'!$B$7:$B$611,MATCH('5. Pollutant Emissions - MB'!D240,'DEQ Pollutant List'!$A$7:$A$611,0))),"")</f>
        <v>Silica, crystalline (respirable)</v>
      </c>
      <c r="F240" s="21">
        <v>0.05</v>
      </c>
      <c r="G240" s="38"/>
      <c r="H240" s="48">
        <v>1</v>
      </c>
      <c r="I240" s="48"/>
      <c r="J240" s="39"/>
      <c r="K240" s="19" t="s">
        <v>1660</v>
      </c>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25">
      <c r="A241" s="12" t="s">
        <v>1425</v>
      </c>
      <c r="B241" s="14"/>
      <c r="C241" s="20" t="s">
        <v>1430</v>
      </c>
      <c r="D241" s="13" t="s">
        <v>77</v>
      </c>
      <c r="E241" s="8" t="str">
        <f>IFERROR(IF(D241="No CAS","",INDEX('DEQ Pollutant List'!$B$7:$B$611,MATCH('5. Pollutant Emissions - MB'!D241,'DEQ Pollutant List'!$A$7:$A$611,0))),"")</f>
        <v>2-Butanone (methyl ethyl ketone)</v>
      </c>
      <c r="F241" s="21">
        <v>0.3</v>
      </c>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3.4058475000000006</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9.3310890410958931E-3</v>
      </c>
    </row>
    <row r="242" spans="1:13" x14ac:dyDescent="0.25">
      <c r="A242" s="12" t="s">
        <v>1425</v>
      </c>
      <c r="B242" s="14"/>
      <c r="C242" s="20" t="s">
        <v>1502</v>
      </c>
      <c r="D242" s="13" t="s">
        <v>575</v>
      </c>
      <c r="E242" s="8" t="str">
        <f>IFERROR(IF(D242="No CAS","",INDEX('DEQ Pollutant List'!$B$7:$B$611,MATCH('5. Pollutant Emissions - MB'!D242,'DEQ Pollutant List'!$A$7:$A$611,0))),"")</f>
        <v>Cumene hydroperoxide</v>
      </c>
      <c r="F242" s="21">
        <v>0.05</v>
      </c>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8.8003158750000005E-2</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2.4110454452054794E-4</v>
      </c>
    </row>
    <row r="243" spans="1:13" x14ac:dyDescent="0.25">
      <c r="A243" s="12" t="s">
        <v>1425</v>
      </c>
      <c r="B243" s="14"/>
      <c r="C243" s="20" t="s">
        <v>1436</v>
      </c>
      <c r="D243" s="13" t="s">
        <v>112</v>
      </c>
      <c r="E243" s="8" t="str">
        <f>IFERROR(IF(D243="No CAS","",INDEX('DEQ Pollutant List'!$B$7:$B$611,MATCH('5. Pollutant Emissions - MB'!D243,'DEQ Pollutant List'!$A$7:$A$611,0))),"")</f>
        <v>Antimony and compounds</v>
      </c>
      <c r="F243" s="21">
        <v>2.0899999999999998E-2</v>
      </c>
      <c r="G243" s="38"/>
      <c r="H243" s="48">
        <v>1</v>
      </c>
      <c r="I243" s="48"/>
      <c r="J243" s="39"/>
      <c r="K243" s="19" t="s">
        <v>1657</v>
      </c>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25">
      <c r="A244" s="12" t="s">
        <v>1425</v>
      </c>
      <c r="B244" s="14"/>
      <c r="C244" s="20" t="s">
        <v>1436</v>
      </c>
      <c r="D244" s="13" t="s">
        <v>1212</v>
      </c>
      <c r="E244" s="8" t="str">
        <f>IFERROR(IF(D244="No CAS","",INDEX('DEQ Pollutant List'!$B$7:$B$611,MATCH('5. Pollutant Emissions - MB'!D244,'DEQ Pollutant List'!$A$7:$A$611,0))),"")</f>
        <v>Triethyl phosphate</v>
      </c>
      <c r="F244" s="21">
        <v>0.05</v>
      </c>
      <c r="G244" s="38"/>
      <c r="H244" s="48">
        <v>1</v>
      </c>
      <c r="I244" s="48"/>
      <c r="J244" s="39"/>
      <c r="K244" s="19" t="s">
        <v>1657</v>
      </c>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25">
      <c r="A245" s="12" t="s">
        <v>1425</v>
      </c>
      <c r="B245" s="14"/>
      <c r="C245" s="20" t="s">
        <v>1488</v>
      </c>
      <c r="D245" s="13" t="s">
        <v>575</v>
      </c>
      <c r="E245" s="8" t="str">
        <f>IFERROR(IF(D245="No CAS","",INDEX('DEQ Pollutant List'!$B$7:$B$611,MATCH('5. Pollutant Emissions - MB'!D245,'DEQ Pollutant List'!$A$7:$A$611,0))),"")</f>
        <v>Cumene hydroperoxide</v>
      </c>
      <c r="F245" s="21">
        <v>0.05</v>
      </c>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0.17350158582421879</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4.7534681047731175E-4</v>
      </c>
    </row>
    <row r="246" spans="1:13" x14ac:dyDescent="0.25">
      <c r="A246" s="12" t="s">
        <v>1425</v>
      </c>
      <c r="B246" s="14"/>
      <c r="C246" s="20" t="s">
        <v>1485</v>
      </c>
      <c r="D246" s="13" t="s">
        <v>844</v>
      </c>
      <c r="E246" s="8" t="str">
        <f>IFERROR(IF(D246="No CAS","",INDEX('DEQ Pollutant List'!$B$7:$B$611,MATCH('5. Pollutant Emissions - MB'!D246,'DEQ Pollutant List'!$A$7:$A$611,0))),"")</f>
        <v>m-Xylene</v>
      </c>
      <c r="F246" s="21">
        <v>0.04</v>
      </c>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0.62347838399999977</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1.7081599561643828E-3</v>
      </c>
    </row>
    <row r="247" spans="1:13" x14ac:dyDescent="0.25">
      <c r="A247" s="12" t="s">
        <v>1425</v>
      </c>
      <c r="B247" s="14"/>
      <c r="C247" s="20" t="s">
        <v>1485</v>
      </c>
      <c r="D247" s="13" t="s">
        <v>77</v>
      </c>
      <c r="E247" s="8" t="str">
        <f>IFERROR(IF(D247="No CAS","",INDEX('DEQ Pollutant List'!$B$7:$B$611,MATCH('5. Pollutant Emissions - MB'!D247,'DEQ Pollutant List'!$A$7:$A$611,0))),"")</f>
        <v>2-Butanone (methyl ethyl ketone)</v>
      </c>
      <c r="F247" s="21">
        <v>0.49</v>
      </c>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7.6376102039999969</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2.092495946301369E-2</v>
      </c>
    </row>
    <row r="248" spans="1:13" x14ac:dyDescent="0.25">
      <c r="A248" s="12" t="s">
        <v>1425</v>
      </c>
      <c r="B248" s="14"/>
      <c r="C248" s="20" t="s">
        <v>1501</v>
      </c>
      <c r="D248" s="13" t="s">
        <v>81</v>
      </c>
      <c r="E248" s="8" t="str">
        <f>IFERROR(IF(D248="No CAS","",INDEX('DEQ Pollutant List'!$B$7:$B$611,MATCH('5. Pollutant Emissions - MB'!D248,'DEQ Pollutant List'!$A$7:$A$611,0))),"")</f>
        <v>Acetone</v>
      </c>
      <c r="F248" s="21">
        <v>0.5</v>
      </c>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8.4442499999999985</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2.313493150684931E-2</v>
      </c>
    </row>
    <row r="249" spans="1:13" x14ac:dyDescent="0.25">
      <c r="A249" s="12" t="s">
        <v>1425</v>
      </c>
      <c r="B249" s="14"/>
      <c r="C249" s="20" t="s">
        <v>1430</v>
      </c>
      <c r="D249" s="13" t="s">
        <v>70</v>
      </c>
      <c r="E249" s="8" t="str">
        <f>IFERROR(IF(D249="No CAS","",INDEX('DEQ Pollutant List'!$B$7:$B$611,MATCH('5. Pollutant Emissions - MB'!D249,'DEQ Pollutant List'!$A$7:$A$611,0))),"")</f>
        <v>Xylene (mixture), including m-xylene, o-xylene, p-xylene</v>
      </c>
      <c r="F249" s="21">
        <v>0.01</v>
      </c>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0.11352825000000002</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3.1103630136986314E-4</v>
      </c>
    </row>
    <row r="250" spans="1:13" x14ac:dyDescent="0.25">
      <c r="A250" s="12" t="s">
        <v>1425</v>
      </c>
      <c r="B250" s="14"/>
      <c r="C250" s="20" t="s">
        <v>1431</v>
      </c>
      <c r="D250" s="13" t="s">
        <v>102</v>
      </c>
      <c r="E250" s="8" t="str">
        <f>IFERROR(IF(D250="No CAS","",INDEX('DEQ Pollutant List'!$B$7:$B$611,MATCH('5. Pollutant Emissions - MB'!D250,'DEQ Pollutant List'!$A$7:$A$611,0))),"")</f>
        <v>Methyl isobutyl ketone (MIBK, hexone)</v>
      </c>
      <c r="F250" s="21">
        <v>0.05</v>
      </c>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4.5071528400000007</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1.2348363945205483E-2</v>
      </c>
    </row>
    <row r="251" spans="1:13" x14ac:dyDescent="0.25">
      <c r="A251" s="12" t="s">
        <v>1425</v>
      </c>
      <c r="B251" s="14"/>
      <c r="C251" s="20" t="s">
        <v>1438</v>
      </c>
      <c r="D251" s="13" t="s">
        <v>101</v>
      </c>
      <c r="E251" s="8" t="str">
        <f>IFERROR(IF(D251="No CAS","",INDEX('DEQ Pollutant List'!$B$7:$B$611,MATCH('5. Pollutant Emissions - MB'!D251,'DEQ Pollutant List'!$A$7:$A$611,0))),"")</f>
        <v>Methanol</v>
      </c>
      <c r="F251" s="21">
        <v>1E-3</v>
      </c>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4.7537999999999991E-4</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1.3024109589041094E-6</v>
      </c>
    </row>
    <row r="252" spans="1:13" x14ac:dyDescent="0.25">
      <c r="A252" s="12" t="s">
        <v>1425</v>
      </c>
      <c r="B252" s="14"/>
      <c r="C252" s="20" t="s">
        <v>1439</v>
      </c>
      <c r="D252" s="13" t="s">
        <v>61</v>
      </c>
      <c r="E252" s="8" t="str">
        <f>IFERROR(IF(D252="No CAS","",INDEX('DEQ Pollutant List'!$B$7:$B$611,MATCH('5. Pollutant Emissions - MB'!D252,'DEQ Pollutant List'!$A$7:$A$611,0))),"")</f>
        <v>Hexane</v>
      </c>
      <c r="F252" s="21">
        <v>0.5</v>
      </c>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7.6545562499999997</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2.0971386986301369E-2</v>
      </c>
    </row>
    <row r="253" spans="1:13" x14ac:dyDescent="0.25">
      <c r="A253" s="12" t="s">
        <v>1425</v>
      </c>
      <c r="B253" s="14"/>
      <c r="C253" s="20" t="s">
        <v>1448</v>
      </c>
      <c r="D253" s="13" t="s">
        <v>68</v>
      </c>
      <c r="E253" s="8" t="str">
        <f>IFERROR(IF(D253="No CAS","",INDEX('DEQ Pollutant List'!$B$7:$B$611,MATCH('5. Pollutant Emissions - MB'!D253,'DEQ Pollutant List'!$A$7:$A$611,0))),"")</f>
        <v>Toluene</v>
      </c>
      <c r="F253" s="21">
        <v>3.0000000000000001E-3</v>
      </c>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0.23076309712499998</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6.3222766335616445E-4</v>
      </c>
    </row>
    <row r="254" spans="1:13" x14ac:dyDescent="0.25">
      <c r="A254" s="12" t="s">
        <v>1425</v>
      </c>
      <c r="B254" s="14"/>
      <c r="C254" s="20" t="s">
        <v>1500</v>
      </c>
      <c r="D254" s="13" t="s">
        <v>60</v>
      </c>
      <c r="E254" s="8" t="str">
        <f>IFERROR(IF(D254="No CAS","",INDEX('DEQ Pollutant List'!$B$7:$B$611,MATCH('5. Pollutant Emissions - MB'!D254,'DEQ Pollutant List'!$A$7:$A$611,0))),"")</f>
        <v>Ethyl benzene</v>
      </c>
      <c r="F254" s="21">
        <v>0.01</v>
      </c>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4.3347149999999994E-2</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1.1875931506849312E-4</v>
      </c>
    </row>
    <row r="255" spans="1:13" x14ac:dyDescent="0.25">
      <c r="A255" s="12" t="s">
        <v>1425</v>
      </c>
      <c r="B255" s="14"/>
      <c r="C255" s="20" t="s">
        <v>1465</v>
      </c>
      <c r="D255" s="13" t="s">
        <v>101</v>
      </c>
      <c r="E255" s="8" t="str">
        <f>IFERROR(IF(D255="No CAS","",INDEX('DEQ Pollutant List'!$B$7:$B$611,MATCH('5. Pollutant Emissions - MB'!D255,'DEQ Pollutant List'!$A$7:$A$611,0))),"")</f>
        <v>Methanol</v>
      </c>
      <c r="F255" s="21">
        <v>2.5000000000000001E-2</v>
      </c>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1.3917375000000003E-2</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3.8129794520547952E-5</v>
      </c>
    </row>
    <row r="256" spans="1:13" x14ac:dyDescent="0.25">
      <c r="A256" s="12" t="s">
        <v>1425</v>
      </c>
      <c r="B256" s="14"/>
      <c r="C256" s="20" t="s">
        <v>1465</v>
      </c>
      <c r="D256" s="13" t="s">
        <v>102</v>
      </c>
      <c r="E256" s="8" t="str">
        <f>IFERROR(IF(D256="No CAS","",INDEX('DEQ Pollutant List'!$B$7:$B$611,MATCH('5. Pollutant Emissions - MB'!D256,'DEQ Pollutant List'!$A$7:$A$611,0))),"")</f>
        <v>Methyl isobutyl ketone (MIBK, hexone)</v>
      </c>
      <c r="F256" s="21">
        <v>0.01</v>
      </c>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5.5669500000000002E-3</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1.5251917808219179E-5</v>
      </c>
    </row>
    <row r="257" spans="1:13" x14ac:dyDescent="0.25">
      <c r="A257" s="12" t="s">
        <v>1425</v>
      </c>
      <c r="B257" s="14"/>
      <c r="C257" s="20" t="s">
        <v>1454</v>
      </c>
      <c r="D257" s="13" t="s">
        <v>68</v>
      </c>
      <c r="E257" s="8" t="str">
        <f>IFERROR(IF(D257="No CAS","",INDEX('DEQ Pollutant List'!$B$7:$B$611,MATCH('5. Pollutant Emissions - MB'!D257,'DEQ Pollutant List'!$A$7:$A$611,0))),"")</f>
        <v>Toluene</v>
      </c>
      <c r="F257" s="21">
        <v>0.02</v>
      </c>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4.8413699999999997E-2</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1.3264027397260275E-4</v>
      </c>
    </row>
    <row r="258" spans="1:13" x14ac:dyDescent="0.25">
      <c r="A258" s="12" t="s">
        <v>1425</v>
      </c>
      <c r="B258" s="14"/>
      <c r="C258" s="20" t="s">
        <v>1456</v>
      </c>
      <c r="D258" s="13" t="s">
        <v>61</v>
      </c>
      <c r="E258" s="8" t="str">
        <f>IFERROR(IF(D258="No CAS","",INDEX('DEQ Pollutant List'!$B$7:$B$611,MATCH('5. Pollutant Emissions - MB'!D258,'DEQ Pollutant List'!$A$7:$A$611,0))),"")</f>
        <v>Hexane</v>
      </c>
      <c r="F258" s="21">
        <v>0.3</v>
      </c>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2.7359370000000003</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7.4957178082191789E-3</v>
      </c>
    </row>
    <row r="259" spans="1:13" x14ac:dyDescent="0.25">
      <c r="A259" s="12" t="s">
        <v>1425</v>
      </c>
      <c r="B259" s="14"/>
      <c r="C259" s="20" t="s">
        <v>1470</v>
      </c>
      <c r="D259" s="13" t="s">
        <v>70</v>
      </c>
      <c r="E259" s="8" t="str">
        <f>IFERROR(IF(D259="No CAS","",INDEX('DEQ Pollutant List'!$B$7:$B$611,MATCH('5. Pollutant Emissions - MB'!D259,'DEQ Pollutant List'!$A$7:$A$611,0))),"")</f>
        <v>Xylene (mixture), including m-xylene, o-xylene, p-xylene</v>
      </c>
      <c r="F259" s="21">
        <v>0.01</v>
      </c>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8.6694299999999988E-2</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2.3751863013698625E-4</v>
      </c>
    </row>
    <row r="260" spans="1:13" x14ac:dyDescent="0.25">
      <c r="A260" s="12" t="s">
        <v>1425</v>
      </c>
      <c r="B260" s="14"/>
      <c r="C260" s="20" t="s">
        <v>1470</v>
      </c>
      <c r="D260" s="13" t="s">
        <v>60</v>
      </c>
      <c r="E260" s="8" t="str">
        <f>IFERROR(IF(D260="No CAS","",INDEX('DEQ Pollutant List'!$B$7:$B$611,MATCH('5. Pollutant Emissions - MB'!D260,'DEQ Pollutant List'!$A$7:$A$611,0))),"")</f>
        <v>Ethyl benzene</v>
      </c>
      <c r="F260" s="21">
        <v>3.0000000000000001E-3</v>
      </c>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2.6008289999999996E-2</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7.1255589041095869E-5</v>
      </c>
    </row>
    <row r="261" spans="1:13" x14ac:dyDescent="0.25">
      <c r="A261" s="12" t="s">
        <v>1425</v>
      </c>
      <c r="B261" s="14"/>
      <c r="C261" s="20" t="s">
        <v>1464</v>
      </c>
      <c r="D261" s="13" t="s">
        <v>81</v>
      </c>
      <c r="E261" s="8" t="str">
        <f>IFERROR(IF(D261="No CAS","",INDEX('DEQ Pollutant List'!$B$7:$B$611,MATCH('5. Pollutant Emissions - MB'!D261,'DEQ Pollutant List'!$A$7:$A$611,0))),"")</f>
        <v>Acetone</v>
      </c>
      <c r="F261" s="21">
        <v>0.5</v>
      </c>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153.68535</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0.42105575342465751</v>
      </c>
    </row>
    <row r="262" spans="1:13" x14ac:dyDescent="0.25">
      <c r="A262" s="12" t="s">
        <v>1425</v>
      </c>
      <c r="B262" s="14"/>
      <c r="C262" s="20" t="s">
        <v>1461</v>
      </c>
      <c r="D262" s="13" t="s">
        <v>61</v>
      </c>
      <c r="E262" s="8" t="str">
        <f>IFERROR(IF(D262="No CAS","",INDEX('DEQ Pollutant List'!$B$7:$B$611,MATCH('5. Pollutant Emissions - MB'!D262,'DEQ Pollutant List'!$A$7:$A$611,0))),"")</f>
        <v>Hexane</v>
      </c>
      <c r="F262" s="21">
        <v>0.01</v>
      </c>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0.28148771952305879</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7.7119923157002409E-4</v>
      </c>
    </row>
    <row r="263" spans="1:13" x14ac:dyDescent="0.25">
      <c r="A263" s="12" t="s">
        <v>1425</v>
      </c>
      <c r="B263" s="14"/>
      <c r="C263" s="20" t="s">
        <v>1461</v>
      </c>
      <c r="D263" s="13" t="s">
        <v>580</v>
      </c>
      <c r="E263" s="8" t="str">
        <f>IFERROR(IF(D263="No CAS","",INDEX('DEQ Pollutant List'!$B$7:$B$611,MATCH('5. Pollutant Emissions - MB'!D263,'DEQ Pollutant List'!$A$7:$A$611,0))),"")</f>
        <v>Cyclohexane</v>
      </c>
      <c r="F263" s="21">
        <v>0.01</v>
      </c>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0.28148771952305879</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7.7119923157002409E-4</v>
      </c>
    </row>
    <row r="264" spans="1:13" x14ac:dyDescent="0.25">
      <c r="A264" s="12" t="s">
        <v>1425</v>
      </c>
      <c r="B264" s="14"/>
      <c r="C264" s="20" t="s">
        <v>1443</v>
      </c>
      <c r="D264" s="13" t="s">
        <v>68</v>
      </c>
      <c r="E264" s="8" t="str">
        <f>IFERROR(IF(D264="No CAS","",INDEX('DEQ Pollutant List'!$B$7:$B$611,MATCH('5. Pollutant Emissions - MB'!D264,'DEQ Pollutant List'!$A$7:$A$611,0))),"")</f>
        <v>Toluene</v>
      </c>
      <c r="F264" s="21">
        <v>0.1</v>
      </c>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523.12832437500003</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1.4332282859589043</v>
      </c>
    </row>
    <row r="265" spans="1:13" x14ac:dyDescent="0.25">
      <c r="A265" s="12" t="s">
        <v>1425</v>
      </c>
      <c r="B265" s="14"/>
      <c r="C265" s="20" t="s">
        <v>1444</v>
      </c>
      <c r="D265" s="13" t="s">
        <v>68</v>
      </c>
      <c r="E265" s="8" t="str">
        <f>IFERROR(IF(D265="No CAS","",INDEX('DEQ Pollutant List'!$B$7:$B$611,MATCH('5. Pollutant Emissions - MB'!D265,'DEQ Pollutant List'!$A$7:$A$611,0))),"")</f>
        <v>Toluene</v>
      </c>
      <c r="F265" s="21">
        <v>0.1</v>
      </c>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108.77812481249998</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0.29802225976027391</v>
      </c>
    </row>
    <row r="266" spans="1:13" x14ac:dyDescent="0.25">
      <c r="A266" s="12" t="s">
        <v>1425</v>
      </c>
      <c r="B266" s="14"/>
      <c r="C266" s="20" t="s">
        <v>1444</v>
      </c>
      <c r="D266" s="13" t="s">
        <v>63</v>
      </c>
      <c r="E266" s="8" t="s">
        <v>803</v>
      </c>
      <c r="F266" s="21">
        <v>0.25269999999999998</v>
      </c>
      <c r="G266" s="38"/>
      <c r="H266" s="48">
        <v>1</v>
      </c>
      <c r="I266" s="48"/>
      <c r="J266" s="39"/>
      <c r="K266" s="19" t="s">
        <v>1656</v>
      </c>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25">
      <c r="A267" s="12" t="s">
        <v>1425</v>
      </c>
      <c r="B267" s="14"/>
      <c r="C267" s="20" t="s">
        <v>1444</v>
      </c>
      <c r="D267" s="13" t="s">
        <v>1139</v>
      </c>
      <c r="E267" s="8" t="s">
        <v>1140</v>
      </c>
      <c r="F267" s="21">
        <v>1.8499999999999999E-2</v>
      </c>
      <c r="G267" s="38"/>
      <c r="H267" s="48">
        <v>1</v>
      </c>
      <c r="I267" s="48"/>
      <c r="J267" s="39"/>
      <c r="K267" s="19" t="s">
        <v>1656</v>
      </c>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25">
      <c r="A268" s="12" t="s">
        <v>1425</v>
      </c>
      <c r="B268" s="14"/>
      <c r="C268" s="20" t="s">
        <v>1444</v>
      </c>
      <c r="D268" s="13" t="s">
        <v>401</v>
      </c>
      <c r="E268" s="8" t="s">
        <v>402</v>
      </c>
      <c r="F268" s="21">
        <v>8.3000000000000001E-3</v>
      </c>
      <c r="G268" s="38"/>
      <c r="H268" s="48">
        <v>1</v>
      </c>
      <c r="I268" s="48"/>
      <c r="J268" s="39"/>
      <c r="K268" s="19" t="s">
        <v>1656</v>
      </c>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25">
      <c r="A269" s="12" t="s">
        <v>1425</v>
      </c>
      <c r="B269" s="14"/>
      <c r="C269" s="20" t="s">
        <v>1444</v>
      </c>
      <c r="D269" s="13" t="s">
        <v>57</v>
      </c>
      <c r="E269" s="8" t="s">
        <v>564</v>
      </c>
      <c r="F269" s="21">
        <v>0.1111</v>
      </c>
      <c r="G269" s="38"/>
      <c r="H269" s="48">
        <v>1</v>
      </c>
      <c r="I269" s="48"/>
      <c r="J269" s="39"/>
      <c r="K269" s="19" t="s">
        <v>1656</v>
      </c>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25">
      <c r="A270" s="12" t="s">
        <v>1425</v>
      </c>
      <c r="B270" s="14"/>
      <c r="C270" s="20" t="s">
        <v>1445</v>
      </c>
      <c r="D270" s="13" t="s">
        <v>68</v>
      </c>
      <c r="E270" s="8" t="str">
        <f>IFERROR(IF(D270="No CAS","",INDEX('DEQ Pollutant List'!$B$7:$B$611,MATCH('5. Pollutant Emissions - MB'!D270,'DEQ Pollutant List'!$A$7:$A$611,0))),"")</f>
        <v>Toluene</v>
      </c>
      <c r="F270" s="21">
        <v>0.1</v>
      </c>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51.003270000000015</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0.13973498630136991</v>
      </c>
    </row>
    <row r="271" spans="1:13" x14ac:dyDescent="0.25">
      <c r="A271" s="12" t="s">
        <v>1425</v>
      </c>
      <c r="B271" s="14"/>
      <c r="C271" s="20" t="s">
        <v>1445</v>
      </c>
      <c r="D271" s="13" t="s">
        <v>63</v>
      </c>
      <c r="E271" s="8" t="s">
        <v>803</v>
      </c>
      <c r="F271" s="21">
        <v>0.25269999999999998</v>
      </c>
      <c r="G271" s="38"/>
      <c r="H271" s="48">
        <v>1</v>
      </c>
      <c r="I271" s="48"/>
      <c r="J271" s="39"/>
      <c r="K271" s="19" t="s">
        <v>1656</v>
      </c>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25">
      <c r="A272" s="12" t="s">
        <v>1425</v>
      </c>
      <c r="B272" s="14"/>
      <c r="C272" s="20" t="s">
        <v>1445</v>
      </c>
      <c r="D272" s="13" t="s">
        <v>1139</v>
      </c>
      <c r="E272" s="8" t="s">
        <v>1140</v>
      </c>
      <c r="F272" s="21">
        <v>1.8499999999999999E-2</v>
      </c>
      <c r="G272" s="38"/>
      <c r="H272" s="48">
        <v>1</v>
      </c>
      <c r="I272" s="48"/>
      <c r="J272" s="39"/>
      <c r="K272" s="19" t="s">
        <v>1656</v>
      </c>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25">
      <c r="A273" s="12" t="s">
        <v>1425</v>
      </c>
      <c r="B273" s="14"/>
      <c r="C273" s="20" t="s">
        <v>1445</v>
      </c>
      <c r="D273" s="13" t="s">
        <v>401</v>
      </c>
      <c r="E273" s="8" t="s">
        <v>402</v>
      </c>
      <c r="F273" s="21">
        <v>8.3000000000000001E-3</v>
      </c>
      <c r="G273" s="38"/>
      <c r="H273" s="48">
        <v>1</v>
      </c>
      <c r="I273" s="48"/>
      <c r="J273" s="39"/>
      <c r="K273" s="19" t="s">
        <v>1656</v>
      </c>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25">
      <c r="A274" s="12" t="s">
        <v>1425</v>
      </c>
      <c r="B274" s="14"/>
      <c r="C274" s="20" t="s">
        <v>1445</v>
      </c>
      <c r="D274" s="13" t="s">
        <v>57</v>
      </c>
      <c r="E274" s="8" t="s">
        <v>564</v>
      </c>
      <c r="F274" s="21">
        <v>0.1111</v>
      </c>
      <c r="G274" s="38"/>
      <c r="H274" s="48">
        <v>1</v>
      </c>
      <c r="I274" s="48"/>
      <c r="J274" s="39"/>
      <c r="K274" s="19" t="s">
        <v>1656</v>
      </c>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25">
      <c r="A275" s="12" t="s">
        <v>1425</v>
      </c>
      <c r="B275" s="14"/>
      <c r="C275" s="20" t="s">
        <v>1486</v>
      </c>
      <c r="D275" s="13" t="s">
        <v>1139</v>
      </c>
      <c r="E275" s="8" t="str">
        <f>IFERROR(IF(D275="No CAS","",INDEX('DEQ Pollutant List'!$B$7:$B$611,MATCH('5. Pollutant Emissions - MB'!D275,'DEQ Pollutant List'!$A$7:$A$611,0))),"")</f>
        <v>Silica, crystalline (respirable)</v>
      </c>
      <c r="F275" s="21">
        <v>0.03</v>
      </c>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0.55732049999999989</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1.5269054794520543E-3</v>
      </c>
    </row>
    <row r="276" spans="1:13" x14ac:dyDescent="0.25">
      <c r="A276" s="12" t="s">
        <v>1425</v>
      </c>
      <c r="B276" s="14"/>
      <c r="C276" s="20" t="s">
        <v>1467</v>
      </c>
      <c r="D276" s="13" t="s">
        <v>101</v>
      </c>
      <c r="E276" s="8" t="str">
        <f>IFERROR(IF(D276="No CAS","",INDEX('DEQ Pollutant List'!$B$7:$B$611,MATCH('5. Pollutant Emissions - MB'!D276,'DEQ Pollutant List'!$A$7:$A$611,0))),"")</f>
        <v>Methanol</v>
      </c>
      <c r="F276" s="21">
        <v>0.995</v>
      </c>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80.65947599999997</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0.22098486575342458</v>
      </c>
    </row>
    <row r="277" spans="1:13" x14ac:dyDescent="0.25">
      <c r="A277" s="12" t="s">
        <v>1425</v>
      </c>
      <c r="B277" s="14"/>
      <c r="C277" s="20" t="s">
        <v>1468</v>
      </c>
      <c r="D277" s="13" t="s">
        <v>101</v>
      </c>
      <c r="E277" s="8" t="str">
        <f>IFERROR(IF(D277="No CAS","",INDEX('DEQ Pollutant List'!$B$7:$B$611,MATCH('5. Pollutant Emissions - MB'!D277,'DEQ Pollutant List'!$A$7:$A$611,0))),"")</f>
        <v>Methanol</v>
      </c>
      <c r="F277" s="21">
        <v>0.995</v>
      </c>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80.65947599999997</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0.22098486575342458</v>
      </c>
    </row>
    <row r="278" spans="1:13" x14ac:dyDescent="0.25">
      <c r="A278" s="12" t="s">
        <v>1425</v>
      </c>
      <c r="B278" s="14"/>
      <c r="C278" s="20" t="s">
        <v>1501</v>
      </c>
      <c r="D278" s="13" t="s">
        <v>68</v>
      </c>
      <c r="E278" s="8" t="str">
        <f>IFERROR(IF(D278="No CAS","",INDEX('DEQ Pollutant List'!$B$7:$B$611,MATCH('5. Pollutant Emissions - MB'!D278,'DEQ Pollutant List'!$A$7:$A$611,0))),"")</f>
        <v>Toluene</v>
      </c>
      <c r="F278" s="21">
        <v>0.25</v>
      </c>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4.2221249999999992</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1.1567465753424655E-2</v>
      </c>
    </row>
    <row r="279" spans="1:13" x14ac:dyDescent="0.25">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25">
      <c r="A280" s="12" t="s">
        <v>1510</v>
      </c>
      <c r="B280" s="14"/>
      <c r="C280" s="20" t="s">
        <v>1506</v>
      </c>
      <c r="D280" s="13" t="s">
        <v>108</v>
      </c>
      <c r="E280" s="8" t="str">
        <f>IFERROR(IF(D280="No CAS","",INDEX('DEQ Pollutant List'!$B$7:$B$611,MATCH('5. Pollutant Emissions - MB'!D280,'DEQ Pollutant List'!$A$7:$A$611,0))),"")</f>
        <v>Tetrachloroethene (perchloroethylene)</v>
      </c>
      <c r="F280" s="21">
        <v>1</v>
      </c>
      <c r="G280" s="38"/>
      <c r="H280" s="48"/>
      <c r="I280" s="48"/>
      <c r="J280" s="39"/>
      <c r="K280" s="19" t="s">
        <v>1509</v>
      </c>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10583</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28.994520547945204</v>
      </c>
    </row>
    <row r="281" spans="1:13" x14ac:dyDescent="0.25">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25">
      <c r="A282" s="12" t="s">
        <v>1516</v>
      </c>
      <c r="B282" s="14"/>
      <c r="C282" s="20" t="s">
        <v>1518</v>
      </c>
      <c r="D282" s="13" t="s">
        <v>403</v>
      </c>
      <c r="E282" s="8" t="str">
        <f>IFERROR(IF(D282="No CAS","",INDEX('DEQ Pollutant List'!$B$7:$B$611,MATCH('5. Pollutant Emissions - MB'!D282,'DEQ Pollutant List'!$A$7:$A$611,0))),"")</f>
        <v>Aluminum oxide (fibrous forms)</v>
      </c>
      <c r="F282" s="21">
        <v>0.05</v>
      </c>
      <c r="G282" s="38"/>
      <c r="H282" s="48"/>
      <c r="I282" s="48"/>
      <c r="J282" s="39">
        <v>0.85</v>
      </c>
      <c r="K282" s="19" t="s">
        <v>1519</v>
      </c>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0.71100000000000019</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7.5000000000000011E-2</v>
      </c>
    </row>
    <row r="283" spans="1:13" x14ac:dyDescent="0.25">
      <c r="A283" s="12"/>
      <c r="B283" s="14"/>
      <c r="C283" s="20"/>
      <c r="D283" s="13"/>
      <c r="E283" s="8"/>
      <c r="F283" s="21"/>
      <c r="G283" s="38"/>
      <c r="H283" s="48"/>
      <c r="I283" s="48"/>
      <c r="J283" s="39"/>
      <c r="K283" s="19"/>
      <c r="L283" s="12"/>
      <c r="M283" s="17"/>
    </row>
    <row r="284" spans="1:13" x14ac:dyDescent="0.25">
      <c r="A284" s="12"/>
      <c r="B284" s="14"/>
      <c r="C284" s="20"/>
      <c r="D284" s="13"/>
      <c r="E284" s="8"/>
      <c r="F284" s="21"/>
      <c r="G284" s="38"/>
      <c r="H284" s="48"/>
      <c r="I284" s="48"/>
      <c r="J284" s="39"/>
      <c r="K284" s="19"/>
      <c r="L284" s="12"/>
      <c r="M284" s="17"/>
    </row>
    <row r="285" spans="1:13" x14ac:dyDescent="0.25">
      <c r="A285" s="12"/>
      <c r="B285" s="14"/>
      <c r="C285" s="20"/>
      <c r="D285" s="13"/>
      <c r="E285" s="8"/>
      <c r="F285" s="21"/>
      <c r="G285" s="38"/>
      <c r="H285" s="48"/>
      <c r="I285" s="48"/>
      <c r="J285" s="39"/>
      <c r="K285" s="19"/>
      <c r="L285" s="12"/>
      <c r="M285" s="17"/>
    </row>
    <row r="286" spans="1:13" x14ac:dyDescent="0.25">
      <c r="A286" s="12"/>
      <c r="B286" s="14"/>
      <c r="C286" s="20"/>
      <c r="D286" s="13"/>
      <c r="E286" s="8"/>
      <c r="F286" s="21"/>
      <c r="G286" s="38"/>
      <c r="H286" s="48"/>
      <c r="I286" s="48"/>
      <c r="J286" s="39"/>
      <c r="K286" s="19"/>
      <c r="L286" s="12"/>
      <c r="M286" s="17"/>
    </row>
    <row r="287" spans="1:13" x14ac:dyDescent="0.25">
      <c r="A287" s="12"/>
      <c r="B287" s="14"/>
      <c r="C287" s="20"/>
      <c r="D287" s="13"/>
      <c r="E287" s="8"/>
      <c r="F287" s="21"/>
      <c r="G287" s="38"/>
      <c r="H287" s="48"/>
      <c r="I287" s="48"/>
      <c r="J287" s="39"/>
      <c r="K287" s="19"/>
      <c r="L287" s="12"/>
      <c r="M287" s="17"/>
    </row>
    <row r="288" spans="1:13" x14ac:dyDescent="0.25">
      <c r="A288" s="12"/>
      <c r="B288" s="14"/>
      <c r="C288" s="20"/>
      <c r="D288" s="13"/>
      <c r="E288" s="8"/>
      <c r="F288" s="21"/>
      <c r="G288" s="38"/>
      <c r="H288" s="48"/>
      <c r="I288" s="48"/>
      <c r="J288" s="39"/>
      <c r="K288" s="19"/>
      <c r="L288" s="12"/>
      <c r="M288" s="17"/>
    </row>
    <row r="289" spans="1:13" x14ac:dyDescent="0.25">
      <c r="A289" s="12"/>
      <c r="B289" s="14"/>
      <c r="C289" s="20"/>
      <c r="D289" s="13"/>
      <c r="E289" s="8"/>
      <c r="F289" s="21"/>
      <c r="G289" s="38"/>
      <c r="H289" s="48"/>
      <c r="I289" s="48"/>
      <c r="J289" s="39"/>
      <c r="K289" s="19"/>
      <c r="L289" s="12"/>
      <c r="M289" s="17"/>
    </row>
    <row r="290" spans="1:13" x14ac:dyDescent="0.25">
      <c r="A290" s="12"/>
      <c r="B290" s="14"/>
      <c r="C290" s="20"/>
      <c r="D290" s="13"/>
      <c r="E290" s="8"/>
      <c r="F290" s="21"/>
      <c r="G290" s="38"/>
      <c r="H290" s="48"/>
      <c r="I290" s="48"/>
      <c r="J290" s="39"/>
      <c r="K290" s="19"/>
      <c r="L290" s="12"/>
      <c r="M290" s="17"/>
    </row>
    <row r="291" spans="1:13" x14ac:dyDescent="0.25">
      <c r="A291" s="12"/>
      <c r="B291" s="14"/>
      <c r="C291" s="20"/>
      <c r="D291" s="13"/>
      <c r="E291" s="8"/>
      <c r="F291" s="21"/>
      <c r="G291" s="38"/>
      <c r="H291" s="48"/>
      <c r="I291" s="48"/>
      <c r="J291" s="39"/>
      <c r="K291" s="19"/>
      <c r="L291" s="12"/>
      <c r="M291" s="17"/>
    </row>
    <row r="292" spans="1:13" x14ac:dyDescent="0.25">
      <c r="A292" s="12"/>
      <c r="B292" s="14"/>
      <c r="C292" s="20"/>
      <c r="D292" s="13"/>
      <c r="E292" s="8"/>
      <c r="F292" s="21"/>
      <c r="G292" s="38"/>
      <c r="H292" s="48"/>
      <c r="I292" s="48"/>
      <c r="J292" s="39"/>
      <c r="K292" s="19"/>
      <c r="L292" s="12"/>
      <c r="M292" s="17"/>
    </row>
    <row r="293" spans="1:13" x14ac:dyDescent="0.25">
      <c r="A293" s="12"/>
      <c r="B293" s="14"/>
      <c r="C293" s="20"/>
      <c r="D293" s="13"/>
      <c r="E293" s="8"/>
      <c r="F293" s="21"/>
      <c r="G293" s="38"/>
      <c r="H293" s="48"/>
      <c r="I293" s="48"/>
      <c r="J293" s="39"/>
      <c r="K293" s="19"/>
      <c r="L293" s="12"/>
      <c r="M293" s="17"/>
    </row>
    <row r="294" spans="1:13" x14ac:dyDescent="0.25">
      <c r="A294" s="12"/>
      <c r="B294" s="14"/>
      <c r="C294" s="20"/>
      <c r="D294" s="13"/>
      <c r="E294" s="8"/>
      <c r="F294" s="21"/>
      <c r="G294" s="38"/>
      <c r="H294" s="48"/>
      <c r="I294" s="48"/>
      <c r="J294" s="39"/>
      <c r="K294" s="19"/>
      <c r="L294" s="12"/>
      <c r="M294" s="17"/>
    </row>
    <row r="295" spans="1:13" x14ac:dyDescent="0.25">
      <c r="A295" s="12"/>
      <c r="B295" s="14"/>
      <c r="C295" s="20"/>
      <c r="D295" s="13"/>
      <c r="E295" s="8"/>
      <c r="F295" s="21"/>
      <c r="G295" s="38"/>
      <c r="H295" s="48"/>
      <c r="I295" s="48"/>
      <c r="J295" s="39"/>
      <c r="K295" s="19"/>
      <c r="L295" s="12"/>
      <c r="M295" s="17"/>
    </row>
    <row r="296" spans="1:13" x14ac:dyDescent="0.25">
      <c r="A296" s="12"/>
      <c r="B296" s="14"/>
      <c r="C296" s="20"/>
      <c r="D296" s="13"/>
      <c r="E296" s="8"/>
      <c r="F296" s="21"/>
      <c r="G296" s="38"/>
      <c r="H296" s="48"/>
      <c r="I296" s="48"/>
      <c r="J296" s="39"/>
      <c r="K296" s="19"/>
      <c r="L296" s="12"/>
      <c r="M296" s="17"/>
    </row>
    <row r="297" spans="1:13" x14ac:dyDescent="0.25">
      <c r="A297" s="12"/>
      <c r="B297" s="14"/>
      <c r="C297" s="20"/>
      <c r="D297" s="13"/>
      <c r="E297" s="8"/>
      <c r="F297" s="21"/>
      <c r="G297" s="38"/>
      <c r="H297" s="48"/>
      <c r="I297" s="48"/>
      <c r="J297" s="39"/>
      <c r="K297" s="19"/>
      <c r="L297" s="12"/>
      <c r="M297" s="17"/>
    </row>
    <row r="298" spans="1:13" x14ac:dyDescent="0.25">
      <c r="A298" s="12"/>
      <c r="B298" s="14"/>
      <c r="C298" s="20"/>
      <c r="D298" s="13"/>
      <c r="E298" s="8"/>
      <c r="F298" s="21"/>
      <c r="G298" s="38"/>
      <c r="H298" s="48"/>
      <c r="I298" s="48"/>
      <c r="J298" s="39"/>
      <c r="K298" s="19"/>
      <c r="L298" s="12"/>
      <c r="M298" s="17"/>
    </row>
    <row r="299" spans="1:13" x14ac:dyDescent="0.25">
      <c r="A299" s="12"/>
      <c r="B299" s="14"/>
      <c r="C299" s="20"/>
      <c r="D299" s="13"/>
      <c r="E299" s="8"/>
      <c r="F299" s="21"/>
      <c r="G299" s="38"/>
      <c r="H299" s="48"/>
      <c r="I299" s="48"/>
      <c r="J299" s="39"/>
      <c r="K299" s="19"/>
      <c r="L299" s="12"/>
      <c r="M299" s="17"/>
    </row>
    <row r="300" spans="1:13" x14ac:dyDescent="0.25">
      <c r="A300" s="12"/>
      <c r="B300" s="14"/>
      <c r="C300" s="20"/>
      <c r="D300" s="13"/>
      <c r="E300" s="8"/>
      <c r="F300" s="21"/>
      <c r="G300" s="38"/>
      <c r="H300" s="48"/>
      <c r="I300" s="48"/>
      <c r="J300" s="39"/>
      <c r="K300" s="19"/>
      <c r="L300" s="12"/>
      <c r="M300" s="17"/>
    </row>
    <row r="301" spans="1:13" x14ac:dyDescent="0.25">
      <c r="A301" s="12"/>
      <c r="B301" s="14"/>
      <c r="C301" s="20"/>
      <c r="D301" s="13"/>
      <c r="E301" s="8"/>
      <c r="F301" s="21"/>
      <c r="G301" s="38"/>
      <c r="H301" s="48"/>
      <c r="I301" s="48"/>
      <c r="J301" s="39"/>
      <c r="K301" s="19"/>
      <c r="L301" s="12"/>
      <c r="M301" s="17"/>
    </row>
    <row r="302" spans="1:13" x14ac:dyDescent="0.25">
      <c r="A302" s="12"/>
      <c r="B302" s="14"/>
      <c r="C302" s="20"/>
      <c r="D302" s="13"/>
      <c r="E302" s="8"/>
      <c r="F302" s="21"/>
      <c r="G302" s="38"/>
      <c r="H302" s="48"/>
      <c r="I302" s="48"/>
      <c r="J302" s="39"/>
      <c r="K302" s="19"/>
      <c r="L302" s="12"/>
      <c r="M302" s="17"/>
    </row>
    <row r="303" spans="1:13" x14ac:dyDescent="0.25">
      <c r="A303" s="12"/>
      <c r="B303" s="14"/>
      <c r="C303" s="20"/>
      <c r="D303" s="13"/>
      <c r="E303" s="8"/>
      <c r="F303" s="21"/>
      <c r="G303" s="38"/>
      <c r="H303" s="48"/>
      <c r="I303" s="48"/>
      <c r="J303" s="39"/>
      <c r="K303" s="19"/>
      <c r="L303" s="12"/>
      <c r="M303" s="17"/>
    </row>
    <row r="304" spans="1:13" x14ac:dyDescent="0.25">
      <c r="A304" s="12"/>
      <c r="B304" s="14"/>
      <c r="C304" s="20"/>
      <c r="D304" s="13"/>
      <c r="E304" s="8"/>
      <c r="F304" s="21"/>
      <c r="G304" s="38"/>
      <c r="H304" s="48"/>
      <c r="I304" s="48"/>
      <c r="J304" s="39"/>
      <c r="K304" s="19"/>
      <c r="L304" s="12"/>
      <c r="M304" s="17"/>
    </row>
    <row r="305" spans="1:13" x14ac:dyDescent="0.25">
      <c r="A305" s="12"/>
      <c r="B305" s="14"/>
      <c r="C305" s="20"/>
      <c r="D305" s="13"/>
      <c r="E305" s="8"/>
      <c r="F305" s="21"/>
      <c r="G305" s="38"/>
      <c r="H305" s="48"/>
      <c r="I305" s="48"/>
      <c r="J305" s="39"/>
      <c r="K305" s="19"/>
      <c r="L305" s="12"/>
      <c r="M305" s="17"/>
    </row>
    <row r="306" spans="1:13" x14ac:dyDescent="0.25">
      <c r="A306" s="12"/>
      <c r="B306" s="14"/>
      <c r="C306" s="20"/>
      <c r="D306" s="13"/>
      <c r="E306" s="8"/>
      <c r="F306" s="21"/>
      <c r="G306" s="38"/>
      <c r="H306" s="48"/>
      <c r="I306" s="48"/>
      <c r="J306" s="39"/>
      <c r="K306" s="19"/>
      <c r="L306" s="12"/>
      <c r="M306" s="17"/>
    </row>
    <row r="307" spans="1:13" x14ac:dyDescent="0.25">
      <c r="A307" s="12"/>
      <c r="B307" s="14"/>
      <c r="C307" s="20"/>
      <c r="D307" s="13"/>
      <c r="E307" s="8"/>
      <c r="F307" s="21"/>
      <c r="G307" s="38"/>
      <c r="H307" s="48"/>
      <c r="I307" s="48"/>
      <c r="J307" s="39"/>
      <c r="K307" s="19"/>
      <c r="L307" s="12"/>
      <c r="M307" s="17"/>
    </row>
    <row r="308" spans="1:13" x14ac:dyDescent="0.25">
      <c r="A308" s="12"/>
      <c r="B308" s="14"/>
      <c r="C308" s="20"/>
      <c r="D308" s="13"/>
      <c r="E308" s="8"/>
      <c r="F308" s="21"/>
      <c r="G308" s="38"/>
      <c r="H308" s="48"/>
      <c r="I308" s="48"/>
      <c r="J308" s="39"/>
      <c r="K308" s="19"/>
      <c r="L308" s="12"/>
      <c r="M308" s="17"/>
    </row>
    <row r="309" spans="1:13" x14ac:dyDescent="0.25">
      <c r="A309" s="12"/>
      <c r="B309" s="14"/>
      <c r="C309" s="20"/>
      <c r="D309" s="13"/>
      <c r="E309" s="8"/>
      <c r="F309" s="21"/>
      <c r="G309" s="38"/>
      <c r="H309" s="48"/>
      <c r="I309" s="48"/>
      <c r="J309" s="39"/>
      <c r="K309" s="19"/>
      <c r="L309" s="12"/>
      <c r="M309" s="17"/>
    </row>
    <row r="310" spans="1:13" x14ac:dyDescent="0.25">
      <c r="A310" s="12"/>
      <c r="B310" s="14"/>
      <c r="C310" s="20"/>
      <c r="D310" s="13"/>
      <c r="E310" s="8"/>
      <c r="F310" s="21"/>
      <c r="G310" s="38"/>
      <c r="H310" s="48"/>
      <c r="I310" s="48"/>
      <c r="J310" s="39"/>
      <c r="K310" s="19"/>
      <c r="L310" s="12"/>
      <c r="M310" s="17"/>
    </row>
    <row r="311" spans="1:13" x14ac:dyDescent="0.25">
      <c r="A311" s="12"/>
      <c r="B311" s="14"/>
      <c r="C311" s="20"/>
      <c r="D311" s="13"/>
      <c r="E311" s="8"/>
      <c r="F311" s="21"/>
      <c r="G311" s="38"/>
      <c r="H311" s="48"/>
      <c r="I311" s="48"/>
      <c r="J311" s="39"/>
      <c r="K311" s="19"/>
      <c r="L311" s="12"/>
      <c r="M311" s="17"/>
    </row>
    <row r="312" spans="1:13" x14ac:dyDescent="0.25">
      <c r="A312" s="12"/>
      <c r="B312" s="14"/>
      <c r="C312" s="20"/>
      <c r="D312" s="13"/>
      <c r="E312" s="8"/>
      <c r="F312" s="21"/>
      <c r="G312" s="38"/>
      <c r="H312" s="48"/>
      <c r="I312" s="48"/>
      <c r="J312" s="39"/>
      <c r="K312" s="19"/>
      <c r="L312" s="12"/>
      <c r="M312" s="17"/>
    </row>
    <row r="313" spans="1:13" x14ac:dyDescent="0.25">
      <c r="A313" s="12"/>
      <c r="B313" s="14"/>
      <c r="C313" s="20"/>
      <c r="D313" s="13"/>
      <c r="E313" s="8"/>
      <c r="F313" s="21"/>
      <c r="G313" s="38"/>
      <c r="H313" s="48"/>
      <c r="I313" s="48"/>
      <c r="J313" s="39"/>
      <c r="K313" s="19"/>
      <c r="L313" s="12"/>
      <c r="M313" s="17"/>
    </row>
    <row r="314" spans="1:13" x14ac:dyDescent="0.25">
      <c r="A314" s="12"/>
      <c r="B314" s="14"/>
      <c r="C314" s="20"/>
      <c r="D314" s="13"/>
      <c r="E314" s="8"/>
      <c r="F314" s="21"/>
      <c r="G314" s="38"/>
      <c r="H314" s="48"/>
      <c r="I314" s="48"/>
      <c r="J314" s="39"/>
      <c r="K314" s="19"/>
      <c r="L314" s="12"/>
      <c r="M314" s="17"/>
    </row>
    <row r="315" spans="1:13" x14ac:dyDescent="0.25">
      <c r="A315" s="12"/>
      <c r="B315" s="14"/>
      <c r="C315" s="20"/>
      <c r="D315" s="13"/>
      <c r="E315" s="8"/>
      <c r="F315" s="21"/>
      <c r="G315" s="38"/>
      <c r="H315" s="48"/>
      <c r="I315" s="48"/>
      <c r="J315" s="39"/>
      <c r="K315" s="19"/>
      <c r="L315" s="12"/>
      <c r="M315" s="17"/>
    </row>
    <row r="316" spans="1:13" x14ac:dyDescent="0.25">
      <c r="A316" s="12"/>
      <c r="B316" s="14"/>
      <c r="C316" s="20"/>
      <c r="D316" s="13"/>
      <c r="E316" s="8"/>
      <c r="F316" s="21"/>
      <c r="G316" s="38"/>
      <c r="H316" s="48"/>
      <c r="I316" s="48"/>
      <c r="J316" s="39"/>
      <c r="K316" s="19"/>
      <c r="L316" s="12"/>
      <c r="M316" s="17"/>
    </row>
    <row r="317" spans="1:13" x14ac:dyDescent="0.25">
      <c r="A317" s="12"/>
      <c r="B317" s="14"/>
      <c r="C317" s="20"/>
      <c r="D317" s="13"/>
      <c r="E317" s="8"/>
      <c r="F317" s="21"/>
      <c r="G317" s="38"/>
      <c r="H317" s="48"/>
      <c r="I317" s="48"/>
      <c r="J317" s="39"/>
      <c r="K317" s="19"/>
      <c r="L317" s="12"/>
      <c r="M317" s="17"/>
    </row>
    <row r="318" spans="1:13" x14ac:dyDescent="0.25">
      <c r="A318" s="12"/>
      <c r="B318" s="14"/>
      <c r="C318" s="20"/>
      <c r="D318" s="13"/>
      <c r="E318" s="8"/>
      <c r="F318" s="21"/>
      <c r="G318" s="38"/>
      <c r="H318" s="48"/>
      <c r="I318" s="48"/>
      <c r="J318" s="39"/>
      <c r="K318" s="19"/>
      <c r="L318" s="12"/>
      <c r="M318" s="17"/>
    </row>
    <row r="319" spans="1:13" x14ac:dyDescent="0.25">
      <c r="A319" s="12"/>
      <c r="B319" s="14"/>
      <c r="C319" s="20"/>
      <c r="D319" s="13"/>
      <c r="E319" s="8"/>
      <c r="F319" s="21"/>
      <c r="G319" s="38"/>
      <c r="H319" s="48"/>
      <c r="I319" s="48"/>
      <c r="J319" s="39"/>
      <c r="K319" s="19"/>
      <c r="L319" s="12"/>
      <c r="M319" s="17"/>
    </row>
    <row r="320" spans="1:13" x14ac:dyDescent="0.25">
      <c r="A320" s="12"/>
      <c r="B320" s="14"/>
      <c r="C320" s="20"/>
      <c r="D320" s="13"/>
      <c r="E320" s="8"/>
      <c r="F320" s="21"/>
      <c r="G320" s="38"/>
      <c r="H320" s="48"/>
      <c r="I320" s="48"/>
      <c r="J320" s="39"/>
      <c r="K320" s="19"/>
      <c r="L320" s="12"/>
      <c r="M320" s="17"/>
    </row>
    <row r="321" spans="1:13" x14ac:dyDescent="0.25">
      <c r="A321" s="12"/>
      <c r="B321" s="14"/>
      <c r="C321" s="20"/>
      <c r="D321" s="13"/>
      <c r="E321" s="8"/>
      <c r="F321" s="21"/>
      <c r="G321" s="38"/>
      <c r="H321" s="48"/>
      <c r="I321" s="48"/>
      <c r="J321" s="39"/>
      <c r="K321" s="19"/>
      <c r="L321" s="12"/>
      <c r="M321" s="17"/>
    </row>
    <row r="322" spans="1:13" x14ac:dyDescent="0.25">
      <c r="A322" s="12"/>
      <c r="B322" s="14"/>
      <c r="C322" s="20"/>
      <c r="D322" s="13"/>
      <c r="E322" s="8"/>
      <c r="F322" s="21"/>
      <c r="G322" s="38"/>
      <c r="H322" s="48"/>
      <c r="I322" s="48"/>
      <c r="J322" s="39"/>
      <c r="K322" s="19"/>
      <c r="L322" s="12"/>
      <c r="M322" s="17"/>
    </row>
    <row r="323" spans="1:13" x14ac:dyDescent="0.25">
      <c r="A323" s="12"/>
      <c r="B323" s="14"/>
      <c r="C323" s="20"/>
      <c r="D323" s="13"/>
      <c r="E323" s="8"/>
      <c r="F323" s="21"/>
      <c r="G323" s="38"/>
      <c r="H323" s="48"/>
      <c r="I323" s="48"/>
      <c r="J323" s="39"/>
      <c r="K323" s="19"/>
      <c r="L323" s="12"/>
      <c r="M323" s="17"/>
    </row>
    <row r="324" spans="1:13" x14ac:dyDescent="0.25">
      <c r="A324" s="12"/>
      <c r="B324" s="14"/>
      <c r="C324" s="20"/>
      <c r="D324" s="13"/>
      <c r="E324" s="8"/>
      <c r="F324" s="21"/>
      <c r="G324" s="38"/>
      <c r="H324" s="48"/>
      <c r="I324" s="48"/>
      <c r="J324" s="39"/>
      <c r="K324" s="19"/>
      <c r="L324" s="12"/>
      <c r="M324" s="17"/>
    </row>
    <row r="325" spans="1:13" x14ac:dyDescent="0.25">
      <c r="A325" s="12"/>
      <c r="B325" s="14"/>
      <c r="C325" s="20"/>
      <c r="D325" s="13"/>
      <c r="E325" s="8"/>
      <c r="F325" s="21"/>
      <c r="G325" s="38"/>
      <c r="H325" s="48"/>
      <c r="I325" s="48"/>
      <c r="J325" s="39"/>
      <c r="K325" s="19"/>
      <c r="L325" s="12"/>
      <c r="M325" s="17"/>
    </row>
    <row r="326" spans="1:13" x14ac:dyDescent="0.25">
      <c r="A326" s="12"/>
      <c r="B326" s="14"/>
      <c r="C326" s="20"/>
      <c r="D326" s="13"/>
      <c r="E326" s="8"/>
      <c r="F326" s="21"/>
      <c r="G326" s="38"/>
      <c r="H326" s="48"/>
      <c r="I326" s="48"/>
      <c r="J326" s="39"/>
      <c r="K326" s="19"/>
      <c r="L326" s="12"/>
      <c r="M326" s="17"/>
    </row>
    <row r="327" spans="1:13" x14ac:dyDescent="0.25">
      <c r="A327" s="12"/>
      <c r="B327" s="14"/>
      <c r="C327" s="20"/>
      <c r="D327" s="13"/>
      <c r="E327" s="8"/>
      <c r="F327" s="21"/>
      <c r="G327" s="38"/>
      <c r="H327" s="48"/>
      <c r="I327" s="48"/>
      <c r="J327" s="39"/>
      <c r="K327" s="19"/>
      <c r="L327" s="12"/>
      <c r="M327" s="17"/>
    </row>
    <row r="328" spans="1:13" x14ac:dyDescent="0.25">
      <c r="A328" s="12"/>
      <c r="B328" s="14"/>
      <c r="C328" s="20"/>
      <c r="D328" s="13"/>
      <c r="E328" s="8"/>
      <c r="F328" s="21"/>
      <c r="G328" s="38"/>
      <c r="H328" s="48"/>
      <c r="I328" s="48"/>
      <c r="J328" s="39"/>
      <c r="K328" s="19"/>
      <c r="L328" s="12"/>
      <c r="M328" s="17"/>
    </row>
    <row r="329" spans="1:13" x14ac:dyDescent="0.25">
      <c r="A329" s="12"/>
      <c r="B329" s="14"/>
      <c r="C329" s="20"/>
      <c r="D329" s="13"/>
      <c r="E329" s="8"/>
      <c r="F329" s="21"/>
      <c r="G329" s="38"/>
      <c r="H329" s="48"/>
      <c r="I329" s="48"/>
      <c r="J329" s="39"/>
      <c r="K329" s="19"/>
      <c r="L329" s="12"/>
      <c r="M329" s="17"/>
    </row>
    <row r="330" spans="1:13" x14ac:dyDescent="0.25">
      <c r="A330" s="12"/>
      <c r="B330" s="14"/>
      <c r="C330" s="20"/>
      <c r="D330" s="13"/>
      <c r="E330" s="8"/>
      <c r="F330" s="21"/>
      <c r="G330" s="38"/>
      <c r="H330" s="48"/>
      <c r="I330" s="48"/>
      <c r="J330" s="39"/>
      <c r="K330" s="19"/>
      <c r="L330" s="12"/>
      <c r="M330" s="17"/>
    </row>
    <row r="331" spans="1:13" x14ac:dyDescent="0.25">
      <c r="A331" s="12"/>
      <c r="B331" s="14"/>
      <c r="C331" s="20"/>
      <c r="D331" s="13"/>
      <c r="E331" s="8"/>
      <c r="F331" s="21"/>
      <c r="G331" s="38"/>
      <c r="H331" s="48"/>
      <c r="I331" s="48"/>
      <c r="J331" s="39"/>
      <c r="K331" s="19"/>
      <c r="L331" s="12"/>
      <c r="M331" s="17"/>
    </row>
    <row r="332" spans="1:13" x14ac:dyDescent="0.25">
      <c r="A332" s="12"/>
      <c r="B332" s="14"/>
      <c r="C332" s="20"/>
      <c r="D332" s="13"/>
      <c r="E332" s="8"/>
      <c r="F332" s="21"/>
      <c r="G332" s="38"/>
      <c r="H332" s="48"/>
      <c r="I332" s="48"/>
      <c r="J332" s="39"/>
      <c r="K332" s="19"/>
      <c r="L332" s="12"/>
      <c r="M332" s="17"/>
    </row>
    <row r="333" spans="1:13" x14ac:dyDescent="0.25">
      <c r="A333" s="12"/>
      <c r="B333" s="14"/>
      <c r="C333" s="20"/>
      <c r="D333" s="13"/>
      <c r="E333" s="8"/>
      <c r="F333" s="21"/>
      <c r="G333" s="38"/>
      <c r="H333" s="48"/>
      <c r="I333" s="48"/>
      <c r="J333" s="39"/>
      <c r="K333" s="19"/>
      <c r="L333" s="12"/>
      <c r="M333" s="17"/>
    </row>
    <row r="334" spans="1:13" x14ac:dyDescent="0.25">
      <c r="A334" s="12"/>
      <c r="B334" s="14"/>
      <c r="C334" s="20"/>
      <c r="D334" s="13"/>
      <c r="E334" s="8"/>
      <c r="F334" s="21"/>
      <c r="G334" s="38"/>
      <c r="H334" s="48"/>
      <c r="I334" s="48"/>
      <c r="J334" s="39"/>
      <c r="K334" s="19"/>
      <c r="L334" s="12"/>
      <c r="M334" s="17"/>
    </row>
    <row r="335" spans="1:13" x14ac:dyDescent="0.25">
      <c r="A335" s="12"/>
      <c r="B335" s="14"/>
      <c r="C335" s="20"/>
      <c r="D335" s="13"/>
      <c r="E335" s="8"/>
      <c r="F335" s="21"/>
      <c r="G335" s="38"/>
      <c r="H335" s="48"/>
      <c r="I335" s="48"/>
      <c r="J335" s="39"/>
      <c r="K335" s="19"/>
      <c r="L335" s="12"/>
      <c r="M335" s="17"/>
    </row>
    <row r="336" spans="1:13" x14ac:dyDescent="0.25">
      <c r="A336" s="12"/>
      <c r="B336" s="14"/>
      <c r="C336" s="20"/>
      <c r="D336" s="13"/>
      <c r="E336" s="8"/>
      <c r="F336" s="21"/>
      <c r="G336" s="38"/>
      <c r="H336" s="48"/>
      <c r="I336" s="48"/>
      <c r="J336" s="39"/>
      <c r="K336" s="19"/>
      <c r="L336" s="12"/>
      <c r="M336" s="17"/>
    </row>
    <row r="337" spans="1:13" x14ac:dyDescent="0.25">
      <c r="A337" s="12"/>
      <c r="B337" s="14"/>
      <c r="C337" s="20"/>
      <c r="D337" s="13"/>
      <c r="E337" s="8"/>
      <c r="F337" s="21"/>
      <c r="G337" s="38"/>
      <c r="H337" s="48"/>
      <c r="I337" s="48"/>
      <c r="J337" s="39"/>
      <c r="K337" s="19"/>
      <c r="L337" s="12"/>
      <c r="M337" s="17"/>
    </row>
    <row r="338" spans="1:13" x14ac:dyDescent="0.25">
      <c r="A338" s="12"/>
      <c r="B338" s="14"/>
      <c r="C338" s="20"/>
      <c r="D338" s="13"/>
      <c r="E338" s="8"/>
      <c r="F338" s="21"/>
      <c r="G338" s="38"/>
      <c r="H338" s="48"/>
      <c r="I338" s="48"/>
      <c r="J338" s="39"/>
      <c r="K338" s="19"/>
      <c r="L338" s="12"/>
      <c r="M338" s="17"/>
    </row>
    <row r="339" spans="1:13" x14ac:dyDescent="0.25">
      <c r="A339" s="12"/>
      <c r="B339" s="14"/>
      <c r="C339" s="20"/>
      <c r="D339" s="13"/>
      <c r="E339" s="8"/>
      <c r="F339" s="21"/>
      <c r="G339" s="38"/>
      <c r="H339" s="48"/>
      <c r="I339" s="48"/>
      <c r="J339" s="39"/>
      <c r="K339" s="19"/>
      <c r="L339" s="12"/>
      <c r="M339" s="17"/>
    </row>
    <row r="340" spans="1:13" x14ac:dyDescent="0.25">
      <c r="A340" s="12"/>
      <c r="B340" s="14"/>
      <c r="C340" s="20"/>
      <c r="D340" s="13"/>
      <c r="E340" s="8"/>
      <c r="F340" s="21"/>
      <c r="G340" s="38"/>
      <c r="H340" s="48"/>
      <c r="I340" s="48"/>
      <c r="J340" s="39"/>
      <c r="K340" s="19"/>
      <c r="L340" s="12"/>
      <c r="M340" s="17"/>
    </row>
    <row r="341" spans="1:13" x14ac:dyDescent="0.25">
      <c r="A341" s="12"/>
      <c r="B341" s="14"/>
      <c r="C341" s="20"/>
      <c r="D341" s="13"/>
      <c r="E341" s="8"/>
      <c r="F341" s="21"/>
      <c r="G341" s="38"/>
      <c r="H341" s="48"/>
      <c r="I341" s="48"/>
      <c r="J341" s="39"/>
      <c r="K341" s="19"/>
      <c r="L341" s="12"/>
      <c r="M341" s="17"/>
    </row>
    <row r="342" spans="1:13" x14ac:dyDescent="0.25">
      <c r="A342" s="12"/>
      <c r="B342" s="14"/>
      <c r="C342" s="20"/>
      <c r="D342" s="13"/>
      <c r="E342" s="8"/>
      <c r="F342" s="21"/>
      <c r="G342" s="38"/>
      <c r="H342" s="48"/>
      <c r="I342" s="48"/>
      <c r="J342" s="39"/>
      <c r="K342" s="19"/>
      <c r="L342" s="12"/>
      <c r="M342" s="17"/>
    </row>
    <row r="343" spans="1:13" x14ac:dyDescent="0.25">
      <c r="A343" s="12"/>
      <c r="B343" s="14"/>
      <c r="C343" s="20"/>
      <c r="D343" s="13"/>
      <c r="E343" s="8"/>
      <c r="F343" s="21"/>
      <c r="G343" s="38"/>
      <c r="H343" s="48"/>
      <c r="I343" s="48"/>
      <c r="J343" s="39"/>
      <c r="K343" s="19"/>
      <c r="L343" s="12"/>
      <c r="M343" s="17"/>
    </row>
    <row r="344" spans="1:13" x14ac:dyDescent="0.25">
      <c r="A344" s="12"/>
      <c r="B344" s="14"/>
      <c r="C344" s="20"/>
      <c r="D344" s="13"/>
      <c r="E344" s="8"/>
      <c r="F344" s="21"/>
      <c r="G344" s="38"/>
      <c r="H344" s="48"/>
      <c r="I344" s="48"/>
      <c r="J344" s="39"/>
      <c r="K344" s="19"/>
      <c r="L344" s="12"/>
      <c r="M344" s="17"/>
    </row>
    <row r="345" spans="1:13" x14ac:dyDescent="0.25">
      <c r="A345" s="12"/>
      <c r="B345" s="14"/>
      <c r="C345" s="20"/>
      <c r="D345" s="13"/>
      <c r="E345" s="8"/>
      <c r="F345" s="21"/>
      <c r="G345" s="38"/>
      <c r="H345" s="48"/>
      <c r="I345" s="48"/>
      <c r="J345" s="39"/>
      <c r="K345" s="19"/>
      <c r="L345" s="12"/>
      <c r="M345" s="17"/>
    </row>
    <row r="346" spans="1:13" x14ac:dyDescent="0.25">
      <c r="A346" s="12"/>
      <c r="B346" s="14"/>
      <c r="C346" s="20"/>
      <c r="D346" s="13"/>
      <c r="E346" s="8"/>
      <c r="F346" s="21"/>
      <c r="G346" s="38"/>
      <c r="H346" s="48"/>
      <c r="I346" s="48"/>
      <c r="J346" s="39"/>
      <c r="K346" s="19"/>
      <c r="L346" s="12"/>
      <c r="M346" s="17"/>
    </row>
    <row r="347" spans="1:13" x14ac:dyDescent="0.25">
      <c r="A347" s="12"/>
      <c r="B347" s="14"/>
      <c r="C347" s="20"/>
      <c r="D347" s="13"/>
      <c r="E347" s="8"/>
      <c r="F347" s="21"/>
      <c r="G347" s="38"/>
      <c r="H347" s="48"/>
      <c r="I347" s="48"/>
      <c r="J347" s="39"/>
      <c r="K347" s="19"/>
      <c r="L347" s="12"/>
      <c r="M347" s="17"/>
    </row>
    <row r="348" spans="1:13" x14ac:dyDescent="0.25">
      <c r="A348" s="12"/>
      <c r="B348" s="14"/>
      <c r="C348" s="20"/>
      <c r="D348" s="13"/>
      <c r="E348" s="8"/>
      <c r="F348" s="21"/>
      <c r="G348" s="38"/>
      <c r="H348" s="48"/>
      <c r="I348" s="48"/>
      <c r="J348" s="39"/>
      <c r="K348" s="19"/>
      <c r="L348" s="12"/>
      <c r="M348" s="17"/>
    </row>
    <row r="349" spans="1:13" x14ac:dyDescent="0.25">
      <c r="A349" s="12"/>
      <c r="B349" s="14"/>
      <c r="C349" s="20"/>
      <c r="D349" s="13"/>
      <c r="E349" s="8"/>
      <c r="F349" s="21"/>
      <c r="G349" s="38"/>
      <c r="H349" s="48"/>
      <c r="I349" s="48"/>
      <c r="J349" s="39"/>
      <c r="K349" s="19"/>
      <c r="L349" s="12"/>
      <c r="M349" s="17"/>
    </row>
    <row r="350" spans="1:13" x14ac:dyDescent="0.25">
      <c r="A350" s="12"/>
      <c r="B350" s="14"/>
      <c r="C350" s="20"/>
      <c r="D350" s="13"/>
      <c r="E350" s="8"/>
      <c r="F350" s="21"/>
      <c r="G350" s="38"/>
      <c r="H350" s="48"/>
      <c r="I350" s="48"/>
      <c r="J350" s="39"/>
      <c r="K350" s="19"/>
      <c r="L350" s="12"/>
      <c r="M350" s="17"/>
    </row>
    <row r="351" spans="1:13" x14ac:dyDescent="0.25">
      <c r="A351" s="12"/>
      <c r="B351" s="14"/>
      <c r="C351" s="20"/>
      <c r="D351" s="13"/>
      <c r="E351" s="8"/>
      <c r="F351" s="21"/>
      <c r="G351" s="38"/>
      <c r="H351" s="48"/>
      <c r="I351" s="48"/>
      <c r="J351" s="39"/>
      <c r="K351" s="19"/>
      <c r="L351" s="12"/>
      <c r="M351" s="17"/>
    </row>
    <row r="352" spans="1:13" x14ac:dyDescent="0.25">
      <c r="A352" s="12"/>
      <c r="B352" s="14"/>
      <c r="C352" s="20"/>
      <c r="D352" s="13"/>
      <c r="E352" s="8"/>
      <c r="F352" s="21"/>
      <c r="G352" s="38"/>
      <c r="H352" s="48"/>
      <c r="I352" s="48"/>
      <c r="J352" s="39"/>
      <c r="K352" s="19"/>
      <c r="L352" s="12"/>
      <c r="M352" s="17"/>
    </row>
    <row r="353" spans="1:13" x14ac:dyDescent="0.25">
      <c r="A353" s="12"/>
      <c r="B353" s="14"/>
      <c r="C353" s="20"/>
      <c r="D353" s="13"/>
      <c r="E353" s="8"/>
      <c r="F353" s="21"/>
      <c r="G353" s="38"/>
      <c r="H353" s="48"/>
      <c r="I353" s="48"/>
      <c r="J353" s="39"/>
      <c r="K353" s="19"/>
      <c r="L353" s="12"/>
      <c r="M353" s="17"/>
    </row>
    <row r="354" spans="1:13" x14ac:dyDescent="0.25">
      <c r="A354" s="12"/>
      <c r="B354" s="14"/>
      <c r="C354" s="20"/>
      <c r="D354" s="13"/>
      <c r="E354" s="8"/>
      <c r="F354" s="21"/>
      <c r="G354" s="38"/>
      <c r="H354" s="48"/>
      <c r="I354" s="48"/>
      <c r="J354" s="39"/>
      <c r="K354" s="19"/>
      <c r="L354" s="12"/>
      <c r="M354" s="17"/>
    </row>
    <row r="355" spans="1:13" x14ac:dyDescent="0.25">
      <c r="A355" s="12"/>
      <c r="B355" s="14"/>
      <c r="C355" s="20"/>
      <c r="D355" s="13"/>
      <c r="E355" s="8"/>
      <c r="F355" s="21"/>
      <c r="G355" s="38"/>
      <c r="H355" s="48"/>
      <c r="I355" s="48"/>
      <c r="J355" s="39"/>
      <c r="K355" s="19"/>
      <c r="L355" s="12"/>
      <c r="M355" s="17"/>
    </row>
    <row r="356" spans="1:13" x14ac:dyDescent="0.25">
      <c r="A356" s="12"/>
      <c r="B356" s="14"/>
      <c r="C356" s="20"/>
      <c r="D356" s="13"/>
      <c r="E356" s="8"/>
      <c r="F356" s="21"/>
      <c r="G356" s="38"/>
      <c r="H356" s="48"/>
      <c r="I356" s="48"/>
      <c r="J356" s="39"/>
      <c r="K356" s="19"/>
      <c r="L356" s="12"/>
      <c r="M356" s="17"/>
    </row>
    <row r="357" spans="1:13" x14ac:dyDescent="0.25">
      <c r="A357" s="12"/>
      <c r="B357" s="14"/>
      <c r="C357" s="20"/>
      <c r="D357" s="13"/>
      <c r="E357" s="8"/>
      <c r="F357" s="21"/>
      <c r="G357" s="38"/>
      <c r="H357" s="48"/>
      <c r="I357" s="48"/>
      <c r="J357" s="39"/>
      <c r="K357" s="19"/>
      <c r="L357" s="12"/>
      <c r="M357" s="17"/>
    </row>
    <row r="358" spans="1:13" x14ac:dyDescent="0.25">
      <c r="A358" s="12"/>
      <c r="B358" s="14"/>
      <c r="C358" s="20"/>
      <c r="D358" s="13"/>
      <c r="E358" s="8"/>
      <c r="F358" s="21"/>
      <c r="G358" s="38"/>
      <c r="H358" s="48"/>
      <c r="I358" s="48"/>
      <c r="J358" s="39"/>
      <c r="K358" s="19"/>
      <c r="L358" s="12"/>
      <c r="M358" s="17"/>
    </row>
    <row r="359" spans="1:13" x14ac:dyDescent="0.25">
      <c r="A359" s="12"/>
      <c r="B359" s="14"/>
      <c r="C359" s="20"/>
      <c r="D359" s="13"/>
      <c r="E359" s="8"/>
      <c r="F359" s="21"/>
      <c r="G359" s="38"/>
      <c r="H359" s="48"/>
      <c r="I359" s="48"/>
      <c r="J359" s="39"/>
      <c r="K359" s="19"/>
      <c r="L359" s="12"/>
      <c r="M359" s="17"/>
    </row>
    <row r="360" spans="1:13" x14ac:dyDescent="0.25">
      <c r="A360" s="12"/>
      <c r="B360" s="14"/>
      <c r="C360" s="20"/>
      <c r="D360" s="13"/>
      <c r="E360" s="8"/>
      <c r="F360" s="21"/>
      <c r="G360" s="38"/>
      <c r="H360" s="48"/>
      <c r="I360" s="48"/>
      <c r="J360" s="39"/>
      <c r="K360" s="19"/>
      <c r="L360" s="12"/>
      <c r="M360" s="17"/>
    </row>
    <row r="361" spans="1:13" x14ac:dyDescent="0.25">
      <c r="A361" s="12"/>
      <c r="B361" s="14"/>
      <c r="C361" s="20"/>
      <c r="D361" s="13"/>
      <c r="E361" s="8"/>
      <c r="F361" s="21"/>
      <c r="G361" s="38"/>
      <c r="H361" s="48"/>
      <c r="I361" s="48"/>
      <c r="J361" s="39"/>
      <c r="K361" s="19"/>
      <c r="L361" s="12"/>
      <c r="M361" s="17"/>
    </row>
    <row r="362" spans="1:13" x14ac:dyDescent="0.25">
      <c r="A362" s="12"/>
      <c r="B362" s="14"/>
      <c r="C362" s="20"/>
      <c r="D362" s="13"/>
      <c r="E362" s="8"/>
      <c r="F362" s="21"/>
      <c r="G362" s="38"/>
      <c r="H362" s="48"/>
      <c r="I362" s="48"/>
      <c r="J362" s="39"/>
      <c r="K362" s="19"/>
      <c r="L362" s="12"/>
      <c r="M362" s="17"/>
    </row>
    <row r="363" spans="1:13" x14ac:dyDescent="0.25">
      <c r="A363" s="12"/>
      <c r="B363" s="14"/>
      <c r="C363" s="20"/>
      <c r="D363" s="13"/>
      <c r="E363" s="8"/>
      <c r="F363" s="21"/>
      <c r="G363" s="38"/>
      <c r="H363" s="48"/>
      <c r="I363" s="48"/>
      <c r="J363" s="39"/>
      <c r="K363" s="19"/>
      <c r="L363" s="12"/>
      <c r="M363" s="17"/>
    </row>
    <row r="364" spans="1:13" x14ac:dyDescent="0.25">
      <c r="A364" s="12"/>
      <c r="B364" s="14"/>
      <c r="C364" s="20"/>
      <c r="D364" s="13"/>
      <c r="E364" s="8"/>
      <c r="F364" s="21"/>
      <c r="G364" s="38"/>
      <c r="H364" s="48"/>
      <c r="I364" s="48"/>
      <c r="J364" s="39"/>
      <c r="K364" s="19"/>
      <c r="L364" s="12"/>
      <c r="M364" s="17"/>
    </row>
    <row r="365" spans="1:13" x14ac:dyDescent="0.25">
      <c r="A365" s="12"/>
      <c r="B365" s="14"/>
      <c r="C365" s="20"/>
      <c r="D365" s="13"/>
      <c r="E365" s="8"/>
      <c r="F365" s="21"/>
      <c r="G365" s="38"/>
      <c r="H365" s="48"/>
      <c r="I365" s="48"/>
      <c r="J365" s="39"/>
      <c r="K365" s="19"/>
      <c r="L365" s="12"/>
      <c r="M365" s="17"/>
    </row>
    <row r="366" spans="1:13" x14ac:dyDescent="0.25">
      <c r="A366" s="12"/>
      <c r="B366" s="14"/>
      <c r="C366" s="20"/>
      <c r="D366" s="13"/>
      <c r="E366" s="8"/>
      <c r="F366" s="21"/>
      <c r="G366" s="38"/>
      <c r="H366" s="48"/>
      <c r="I366" s="48"/>
      <c r="J366" s="39"/>
      <c r="K366" s="19"/>
      <c r="L366" s="12"/>
      <c r="M366" s="17"/>
    </row>
    <row r="367" spans="1:13" x14ac:dyDescent="0.25">
      <c r="A367" s="12"/>
      <c r="B367" s="14"/>
      <c r="C367" s="20"/>
      <c r="D367" s="13"/>
      <c r="E367" s="8"/>
      <c r="F367" s="21"/>
      <c r="G367" s="38"/>
      <c r="H367" s="48"/>
      <c r="I367" s="48"/>
      <c r="J367" s="39"/>
      <c r="K367" s="19"/>
      <c r="L367" s="12"/>
      <c r="M367" s="17"/>
    </row>
    <row r="368" spans="1:13" x14ac:dyDescent="0.25">
      <c r="A368" s="12"/>
      <c r="B368" s="14"/>
      <c r="C368" s="20"/>
      <c r="D368" s="13"/>
      <c r="E368" s="8"/>
      <c r="F368" s="21"/>
      <c r="G368" s="38"/>
      <c r="H368" s="48"/>
      <c r="I368" s="48"/>
      <c r="J368" s="39"/>
      <c r="K368" s="19"/>
      <c r="L368" s="12"/>
      <c r="M368" s="17"/>
    </row>
    <row r="369" spans="1:13" x14ac:dyDescent="0.25">
      <c r="A369" s="12"/>
      <c r="B369" s="14"/>
      <c r="C369" s="20"/>
      <c r="D369" s="13"/>
      <c r="E369" s="8"/>
      <c r="F369" s="21"/>
      <c r="G369" s="38"/>
      <c r="H369" s="48"/>
      <c r="I369" s="48"/>
      <c r="J369" s="39"/>
      <c r="K369" s="19"/>
      <c r="L369" s="12"/>
      <c r="M369" s="17"/>
    </row>
    <row r="370" spans="1:13" x14ac:dyDescent="0.25">
      <c r="A370" s="12"/>
      <c r="B370" s="14"/>
      <c r="C370" s="20"/>
      <c r="D370" s="13"/>
      <c r="E370" s="8"/>
      <c r="F370" s="21"/>
      <c r="G370" s="38"/>
      <c r="H370" s="48"/>
      <c r="I370" s="48"/>
      <c r="J370" s="39"/>
      <c r="K370" s="19"/>
      <c r="L370" s="12"/>
      <c r="M370" s="17"/>
    </row>
    <row r="371" spans="1:13" x14ac:dyDescent="0.25">
      <c r="A371" s="12"/>
      <c r="B371" s="14"/>
      <c r="C371" s="20"/>
      <c r="D371" s="13"/>
      <c r="E371" s="8"/>
      <c r="F371" s="21"/>
      <c r="G371" s="38"/>
      <c r="H371" s="48"/>
      <c r="I371" s="48"/>
      <c r="J371" s="39"/>
      <c r="K371" s="19"/>
      <c r="L371" s="12"/>
      <c r="M371" s="17"/>
    </row>
    <row r="372" spans="1:13" x14ac:dyDescent="0.25">
      <c r="A372" s="12"/>
      <c r="B372" s="14"/>
      <c r="C372" s="20"/>
      <c r="D372" s="13"/>
      <c r="E372" s="8"/>
      <c r="F372" s="21"/>
      <c r="G372" s="38"/>
      <c r="H372" s="48"/>
      <c r="I372" s="48"/>
      <c r="J372" s="39"/>
      <c r="K372" s="19"/>
      <c r="L372" s="12"/>
      <c r="M372" s="17"/>
    </row>
    <row r="373" spans="1:13" x14ac:dyDescent="0.25">
      <c r="A373" s="12"/>
      <c r="B373" s="14"/>
      <c r="C373" s="20"/>
      <c r="D373" s="13"/>
      <c r="E373" s="8"/>
      <c r="F373" s="21"/>
      <c r="G373" s="38"/>
      <c r="H373" s="48"/>
      <c r="I373" s="48"/>
      <c r="J373" s="39"/>
      <c r="K373" s="19"/>
      <c r="L373" s="12"/>
      <c r="M373" s="17"/>
    </row>
    <row r="374" spans="1:13" x14ac:dyDescent="0.25">
      <c r="A374" s="12"/>
      <c r="B374" s="14"/>
      <c r="C374" s="20"/>
      <c r="D374" s="13"/>
      <c r="E374" s="8"/>
      <c r="F374" s="21"/>
      <c r="G374" s="38"/>
      <c r="H374" s="48"/>
      <c r="I374" s="48"/>
      <c r="J374" s="39"/>
      <c r="K374" s="19"/>
      <c r="L374" s="12"/>
      <c r="M374" s="17"/>
    </row>
    <row r="375" spans="1:13" x14ac:dyDescent="0.25">
      <c r="A375" s="12"/>
      <c r="B375" s="14"/>
      <c r="C375" s="20"/>
      <c r="D375" s="13"/>
      <c r="E375" s="8"/>
      <c r="F375" s="21"/>
      <c r="G375" s="38"/>
      <c r="H375" s="48"/>
      <c r="I375" s="48"/>
      <c r="J375" s="39"/>
      <c r="K375" s="19"/>
      <c r="L375" s="12"/>
      <c r="M375" s="17"/>
    </row>
    <row r="376" spans="1:13" x14ac:dyDescent="0.25">
      <c r="A376" s="12"/>
      <c r="B376" s="14"/>
      <c r="C376" s="20"/>
      <c r="D376" s="13"/>
      <c r="E376" s="8"/>
      <c r="F376" s="21"/>
      <c r="G376" s="38"/>
      <c r="H376" s="48"/>
      <c r="I376" s="48"/>
      <c r="J376" s="39"/>
      <c r="K376" s="19"/>
      <c r="L376" s="12"/>
      <c r="M376" s="17"/>
    </row>
    <row r="377" spans="1:13" x14ac:dyDescent="0.25">
      <c r="A377" s="12"/>
      <c r="B377" s="14"/>
      <c r="C377" s="20"/>
      <c r="D377" s="13"/>
      <c r="E377" s="8"/>
      <c r="F377" s="21"/>
      <c r="G377" s="38"/>
      <c r="H377" s="48"/>
      <c r="I377" s="48"/>
      <c r="J377" s="39"/>
      <c r="K377" s="19"/>
      <c r="L377" s="12"/>
      <c r="M377" s="17"/>
    </row>
    <row r="378" spans="1:13" x14ac:dyDescent="0.25">
      <c r="A378" s="12"/>
      <c r="B378" s="14"/>
      <c r="C378" s="20"/>
      <c r="D378" s="13"/>
      <c r="E378" s="8"/>
      <c r="F378" s="21"/>
      <c r="G378" s="38"/>
      <c r="H378" s="48"/>
      <c r="I378" s="48"/>
      <c r="J378" s="39"/>
      <c r="K378" s="19"/>
      <c r="L378" s="12"/>
      <c r="M378" s="17"/>
    </row>
    <row r="379" spans="1:13" x14ac:dyDescent="0.25">
      <c r="A379" s="12"/>
      <c r="B379" s="14"/>
      <c r="C379" s="20"/>
      <c r="D379" s="13"/>
      <c r="E379" s="8"/>
      <c r="F379" s="21"/>
      <c r="G379" s="38"/>
      <c r="H379" s="48"/>
      <c r="I379" s="48"/>
      <c r="J379" s="39"/>
      <c r="K379" s="19"/>
      <c r="L379" s="12"/>
      <c r="M379" s="17"/>
    </row>
    <row r="380" spans="1:13" x14ac:dyDescent="0.25">
      <c r="A380" s="12"/>
      <c r="B380" s="14"/>
      <c r="C380" s="20"/>
      <c r="D380" s="13"/>
      <c r="E380" s="8"/>
      <c r="F380" s="21"/>
      <c r="G380" s="38"/>
      <c r="H380" s="48"/>
      <c r="I380" s="48"/>
      <c r="J380" s="39"/>
      <c r="K380" s="19"/>
      <c r="L380" s="12"/>
      <c r="M380" s="17"/>
    </row>
    <row r="381" spans="1:13" x14ac:dyDescent="0.25">
      <c r="A381" s="12"/>
      <c r="B381" s="14"/>
      <c r="C381" s="20"/>
      <c r="D381" s="13"/>
      <c r="E381" s="8"/>
      <c r="F381" s="21"/>
      <c r="G381" s="38"/>
      <c r="H381" s="48"/>
      <c r="I381" s="48"/>
      <c r="J381" s="39"/>
      <c r="K381" s="19"/>
      <c r="L381" s="12"/>
      <c r="M381" s="17"/>
    </row>
    <row r="382" spans="1:13" x14ac:dyDescent="0.25">
      <c r="A382" s="12"/>
      <c r="B382" s="14"/>
      <c r="C382" s="20"/>
      <c r="D382" s="13"/>
      <c r="E382" s="8"/>
      <c r="F382" s="21"/>
      <c r="G382" s="38"/>
      <c r="H382" s="48"/>
      <c r="I382" s="48"/>
      <c r="J382" s="39"/>
      <c r="K382" s="19"/>
      <c r="L382" s="12"/>
      <c r="M382" s="17"/>
    </row>
    <row r="383" spans="1:13" x14ac:dyDescent="0.25">
      <c r="A383" s="12"/>
      <c r="B383" s="14"/>
      <c r="C383" s="20"/>
      <c r="D383" s="13"/>
      <c r="E383" s="8"/>
      <c r="F383" s="21"/>
      <c r="G383" s="38"/>
      <c r="H383" s="48"/>
      <c r="I383" s="48"/>
      <c r="J383" s="39"/>
      <c r="K383" s="19"/>
      <c r="L383" s="12"/>
      <c r="M383" s="17"/>
    </row>
    <row r="384" spans="1:13" x14ac:dyDescent="0.25">
      <c r="A384" s="12"/>
      <c r="B384" s="14"/>
      <c r="C384" s="20"/>
      <c r="D384" s="13"/>
      <c r="E384" s="8"/>
      <c r="F384" s="21"/>
      <c r="G384" s="38"/>
      <c r="H384" s="48"/>
      <c r="I384" s="48"/>
      <c r="J384" s="39"/>
      <c r="K384" s="19"/>
      <c r="L384" s="12"/>
      <c r="M384" s="17"/>
    </row>
    <row r="385" spans="1:13" x14ac:dyDescent="0.25">
      <c r="A385" s="12"/>
      <c r="B385" s="14"/>
      <c r="C385" s="20"/>
      <c r="D385" s="13"/>
      <c r="E385" s="8"/>
      <c r="F385" s="21"/>
      <c r="G385" s="38"/>
      <c r="H385" s="48"/>
      <c r="I385" s="48"/>
      <c r="J385" s="39"/>
      <c r="K385" s="19"/>
      <c r="L385" s="12"/>
      <c r="M385" s="17"/>
    </row>
    <row r="386" spans="1:13" x14ac:dyDescent="0.25">
      <c r="A386" s="12"/>
      <c r="B386" s="14"/>
      <c r="C386" s="20"/>
      <c r="D386" s="13"/>
      <c r="E386" s="8"/>
      <c r="F386" s="21"/>
      <c r="G386" s="38"/>
      <c r="H386" s="48"/>
      <c r="I386" s="48"/>
      <c r="J386" s="39"/>
      <c r="K386" s="19"/>
      <c r="L386" s="12"/>
      <c r="M386" s="17"/>
    </row>
    <row r="387" spans="1:13" x14ac:dyDescent="0.25">
      <c r="A387" s="12"/>
      <c r="B387" s="14"/>
      <c r="C387" s="20"/>
      <c r="D387" s="13"/>
      <c r="E387" s="8"/>
      <c r="F387" s="21"/>
      <c r="G387" s="38"/>
      <c r="H387" s="48"/>
      <c r="I387" s="48"/>
      <c r="J387" s="39"/>
      <c r="K387" s="19"/>
      <c r="L387" s="12"/>
      <c r="M387" s="17"/>
    </row>
    <row r="388" spans="1:13" x14ac:dyDescent="0.25">
      <c r="A388" s="12"/>
      <c r="B388" s="14"/>
      <c r="C388" s="20"/>
      <c r="D388" s="13"/>
      <c r="E388" s="8"/>
      <c r="F388" s="21"/>
      <c r="G388" s="38"/>
      <c r="H388" s="48"/>
      <c r="I388" s="48"/>
      <c r="J388" s="39"/>
      <c r="K388" s="19"/>
      <c r="L388" s="12"/>
      <c r="M388" s="17"/>
    </row>
    <row r="389" spans="1:13" x14ac:dyDescent="0.25">
      <c r="A389" s="12"/>
      <c r="B389" s="14"/>
      <c r="C389" s="20"/>
      <c r="D389" s="13"/>
      <c r="E389" s="8"/>
      <c r="F389" s="21"/>
      <c r="G389" s="38"/>
      <c r="H389" s="48"/>
      <c r="I389" s="48"/>
      <c r="J389" s="39"/>
      <c r="K389" s="19"/>
      <c r="L389" s="12"/>
      <c r="M389" s="17"/>
    </row>
    <row r="390" spans="1:13" x14ac:dyDescent="0.25">
      <c r="A390" s="12"/>
      <c r="B390" s="14"/>
      <c r="C390" s="20"/>
      <c r="D390" s="13"/>
      <c r="E390" s="8"/>
      <c r="F390" s="21"/>
      <c r="G390" s="38"/>
      <c r="H390" s="48"/>
      <c r="I390" s="48"/>
      <c r="J390" s="39"/>
      <c r="K390" s="19"/>
      <c r="L390" s="12"/>
      <c r="M390" s="17"/>
    </row>
    <row r="391" spans="1:13" x14ac:dyDescent="0.25">
      <c r="A391" s="12"/>
      <c r="B391" s="14"/>
      <c r="C391" s="20"/>
      <c r="D391" s="13"/>
      <c r="E391" s="8"/>
      <c r="F391" s="21"/>
      <c r="G391" s="38"/>
      <c r="H391" s="48"/>
      <c r="I391" s="48"/>
      <c r="J391" s="39"/>
      <c r="K391" s="19"/>
      <c r="L391" s="12"/>
      <c r="M391" s="17"/>
    </row>
    <row r="392" spans="1:13" x14ac:dyDescent="0.25">
      <c r="A392" s="12"/>
      <c r="B392" s="14"/>
      <c r="C392" s="20"/>
      <c r="D392" s="13"/>
      <c r="E392" s="8"/>
      <c r="F392" s="21"/>
      <c r="G392" s="38"/>
      <c r="H392" s="48"/>
      <c r="I392" s="48"/>
      <c r="J392" s="39"/>
      <c r="K392" s="19"/>
      <c r="L392" s="12"/>
      <c r="M392" s="17"/>
    </row>
    <row r="393" spans="1:13" x14ac:dyDescent="0.25">
      <c r="A393" s="12"/>
      <c r="B393" s="14"/>
      <c r="C393" s="20"/>
      <c r="D393" s="13"/>
      <c r="E393" s="8"/>
      <c r="F393" s="21"/>
      <c r="G393" s="38"/>
      <c r="H393" s="48"/>
      <c r="I393" s="48"/>
      <c r="J393" s="39"/>
      <c r="K393" s="19"/>
      <c r="L393" s="12"/>
      <c r="M393" s="17"/>
    </row>
    <row r="394" spans="1:13" x14ac:dyDescent="0.25">
      <c r="A394" s="12"/>
      <c r="B394" s="14"/>
      <c r="C394" s="20"/>
      <c r="D394" s="13"/>
      <c r="E394" s="8"/>
      <c r="F394" s="21"/>
      <c r="G394" s="38"/>
      <c r="H394" s="48"/>
      <c r="I394" s="48"/>
      <c r="J394" s="39"/>
      <c r="K394" s="19"/>
      <c r="L394" s="12"/>
      <c r="M394" s="17"/>
    </row>
    <row r="395" spans="1:13" x14ac:dyDescent="0.25">
      <c r="A395" s="12"/>
      <c r="B395" s="14"/>
      <c r="C395" s="20"/>
      <c r="D395" s="13"/>
      <c r="E395" s="8"/>
      <c r="F395" s="21"/>
      <c r="G395" s="38"/>
      <c r="H395" s="48"/>
      <c r="I395" s="48"/>
      <c r="J395" s="39"/>
      <c r="K395" s="19"/>
      <c r="L395" s="12"/>
      <c r="M395" s="17"/>
    </row>
    <row r="396" spans="1:13" x14ac:dyDescent="0.25">
      <c r="A396" s="12"/>
      <c r="B396" s="14"/>
      <c r="C396" s="20"/>
      <c r="D396" s="13"/>
      <c r="E396" s="8"/>
      <c r="F396" s="21"/>
      <c r="G396" s="38"/>
      <c r="H396" s="48"/>
      <c r="I396" s="48"/>
      <c r="J396" s="39"/>
      <c r="K396" s="19"/>
      <c r="L396" s="12"/>
      <c r="M396" s="17"/>
    </row>
    <row r="397" spans="1:13" x14ac:dyDescent="0.25">
      <c r="A397" s="12"/>
      <c r="B397" s="14"/>
      <c r="C397" s="20"/>
      <c r="D397" s="13"/>
      <c r="E397" s="8"/>
      <c r="F397" s="21"/>
      <c r="G397" s="38"/>
      <c r="H397" s="48"/>
      <c r="I397" s="48"/>
      <c r="J397" s="39"/>
      <c r="K397" s="19"/>
      <c r="L397" s="12"/>
      <c r="M397" s="17"/>
    </row>
    <row r="398" spans="1:13" x14ac:dyDescent="0.25">
      <c r="A398" s="12"/>
      <c r="B398" s="14"/>
      <c r="C398" s="20"/>
      <c r="D398" s="13"/>
      <c r="E398" s="8"/>
      <c r="F398" s="21"/>
      <c r="G398" s="38"/>
      <c r="H398" s="48"/>
      <c r="I398" s="48"/>
      <c r="J398" s="39"/>
      <c r="K398" s="19"/>
      <c r="L398" s="12"/>
      <c r="M398" s="17"/>
    </row>
    <row r="399" spans="1:13" x14ac:dyDescent="0.25">
      <c r="A399" s="12"/>
      <c r="B399" s="14"/>
      <c r="C399" s="20"/>
      <c r="D399" s="13"/>
      <c r="E399" s="8"/>
      <c r="F399" s="21"/>
      <c r="G399" s="38"/>
      <c r="H399" s="48"/>
      <c r="I399" s="48"/>
      <c r="J399" s="39"/>
      <c r="K399" s="19"/>
      <c r="L399" s="12"/>
      <c r="M399" s="17"/>
    </row>
    <row r="400" spans="1:13" x14ac:dyDescent="0.25">
      <c r="A400" s="12"/>
      <c r="B400" s="14"/>
      <c r="C400" s="20"/>
      <c r="D400" s="13"/>
      <c r="E400" s="8"/>
      <c r="F400" s="21"/>
      <c r="G400" s="38"/>
      <c r="H400" s="48"/>
      <c r="I400" s="48"/>
      <c r="J400" s="39"/>
      <c r="K400" s="19"/>
      <c r="L400" s="12"/>
      <c r="M400" s="17"/>
    </row>
    <row r="401" spans="1:13" x14ac:dyDescent="0.25">
      <c r="A401" s="12"/>
      <c r="B401" s="14"/>
      <c r="C401" s="20"/>
      <c r="D401" s="13"/>
      <c r="E401" s="8"/>
      <c r="F401" s="21"/>
      <c r="G401" s="38"/>
      <c r="H401" s="48"/>
      <c r="I401" s="48"/>
      <c r="J401" s="39"/>
      <c r="K401" s="19"/>
      <c r="L401" s="12"/>
      <c r="M401" s="17"/>
    </row>
    <row r="402" spans="1:13" x14ac:dyDescent="0.25">
      <c r="A402" s="12"/>
      <c r="B402" s="14"/>
      <c r="C402" s="20"/>
      <c r="D402" s="13"/>
      <c r="E402" s="8"/>
      <c r="F402" s="21"/>
      <c r="G402" s="38"/>
      <c r="H402" s="48"/>
      <c r="I402" s="48"/>
      <c r="J402" s="39"/>
      <c r="K402" s="19"/>
      <c r="L402" s="12"/>
      <c r="M402" s="17"/>
    </row>
    <row r="403" spans="1:13" x14ac:dyDescent="0.25">
      <c r="A403" s="12"/>
      <c r="B403" s="14"/>
      <c r="C403" s="20"/>
      <c r="D403" s="13"/>
      <c r="E403" s="8"/>
      <c r="F403" s="21"/>
      <c r="G403" s="38"/>
      <c r="H403" s="48"/>
      <c r="I403" s="48"/>
      <c r="J403" s="39"/>
      <c r="K403" s="19"/>
      <c r="L403" s="12"/>
      <c r="M403" s="17"/>
    </row>
    <row r="404" spans="1:13" x14ac:dyDescent="0.25">
      <c r="A404" s="12"/>
      <c r="B404" s="14"/>
      <c r="C404" s="20"/>
      <c r="D404" s="13"/>
      <c r="E404" s="8"/>
      <c r="F404" s="21"/>
      <c r="G404" s="38"/>
      <c r="H404" s="48"/>
      <c r="I404" s="48"/>
      <c r="J404" s="39"/>
      <c r="K404" s="19"/>
      <c r="L404" s="12"/>
      <c r="M404" s="17"/>
    </row>
    <row r="405" spans="1:13" x14ac:dyDescent="0.25">
      <c r="A405" s="12"/>
      <c r="B405" s="14"/>
      <c r="C405" s="20"/>
      <c r="D405" s="13"/>
      <c r="E405" s="8"/>
      <c r="F405" s="21"/>
      <c r="G405" s="38"/>
      <c r="H405" s="48"/>
      <c r="I405" s="48"/>
      <c r="J405" s="39"/>
      <c r="K405" s="19"/>
      <c r="L405" s="12"/>
      <c r="M405" s="17"/>
    </row>
    <row r="406" spans="1:13" x14ac:dyDescent="0.25">
      <c r="A406" s="12"/>
      <c r="B406" s="14"/>
      <c r="C406" s="20"/>
      <c r="D406" s="13"/>
      <c r="E406" s="8"/>
      <c r="F406" s="21"/>
      <c r="G406" s="38"/>
      <c r="H406" s="48"/>
      <c r="I406" s="48"/>
      <c r="J406" s="39"/>
      <c r="K406" s="19"/>
      <c r="L406" s="12"/>
      <c r="M406" s="17"/>
    </row>
    <row r="407" spans="1:13" x14ac:dyDescent="0.25">
      <c r="A407" s="12"/>
      <c r="B407" s="14"/>
      <c r="C407" s="20"/>
      <c r="D407" s="13"/>
      <c r="E407" s="8"/>
      <c r="F407" s="21"/>
      <c r="G407" s="38"/>
      <c r="H407" s="48"/>
      <c r="I407" s="48"/>
      <c r="J407" s="39"/>
      <c r="K407" s="19"/>
      <c r="L407" s="12"/>
      <c r="M407" s="17"/>
    </row>
    <row r="408" spans="1:13" x14ac:dyDescent="0.25">
      <c r="A408" s="12"/>
      <c r="B408" s="14"/>
      <c r="C408" s="20"/>
      <c r="D408" s="13"/>
      <c r="E408" s="8"/>
      <c r="F408" s="21"/>
      <c r="G408" s="38"/>
      <c r="H408" s="48"/>
      <c r="I408" s="48"/>
      <c r="J408" s="39"/>
      <c r="K408" s="19"/>
      <c r="L408" s="12"/>
      <c r="M408" s="17"/>
    </row>
    <row r="409" spans="1:13" x14ac:dyDescent="0.25">
      <c r="A409" s="12"/>
      <c r="B409" s="14"/>
      <c r="C409" s="20"/>
      <c r="D409" s="13"/>
      <c r="E409" s="8"/>
      <c r="F409" s="21"/>
      <c r="G409" s="38"/>
      <c r="H409" s="48"/>
      <c r="I409" s="48"/>
      <c r="J409" s="39"/>
      <c r="K409" s="19"/>
      <c r="L409" s="12"/>
      <c r="M409" s="17"/>
    </row>
    <row r="410" spans="1:13" x14ac:dyDescent="0.25">
      <c r="A410" s="12"/>
      <c r="B410" s="14"/>
      <c r="C410" s="20"/>
      <c r="D410" s="13"/>
      <c r="E410" s="8"/>
      <c r="F410" s="21"/>
      <c r="G410" s="38"/>
      <c r="H410" s="48"/>
      <c r="I410" s="48"/>
      <c r="J410" s="39"/>
      <c r="K410" s="19"/>
      <c r="L410" s="12"/>
      <c r="M410" s="17"/>
    </row>
    <row r="411" spans="1:13" x14ac:dyDescent="0.25">
      <c r="A411" s="12"/>
      <c r="B411" s="14"/>
      <c r="C411" s="20"/>
      <c r="D411" s="13"/>
      <c r="E411" s="8"/>
      <c r="F411" s="21"/>
      <c r="G411" s="38"/>
      <c r="H411" s="48"/>
      <c r="I411" s="48"/>
      <c r="J411" s="39"/>
      <c r="K411" s="19"/>
      <c r="L411" s="12"/>
      <c r="M411" s="17"/>
    </row>
    <row r="412" spans="1:13" x14ac:dyDescent="0.25">
      <c r="A412" s="12"/>
      <c r="B412" s="14"/>
      <c r="C412" s="20"/>
      <c r="D412" s="13"/>
      <c r="E412" s="8"/>
      <c r="F412" s="21"/>
      <c r="G412" s="38"/>
      <c r="H412" s="48"/>
      <c r="I412" s="48"/>
      <c r="J412" s="39"/>
      <c r="K412" s="19"/>
      <c r="L412" s="12"/>
      <c r="M412" s="17"/>
    </row>
    <row r="413" spans="1:13" x14ac:dyDescent="0.25">
      <c r="A413" s="12"/>
      <c r="B413" s="14"/>
      <c r="C413" s="20"/>
      <c r="D413" s="13"/>
      <c r="E413" s="8"/>
      <c r="F413" s="21"/>
      <c r="G413" s="38"/>
      <c r="H413" s="48"/>
      <c r="I413" s="48"/>
      <c r="J413" s="39"/>
      <c r="K413" s="19"/>
      <c r="L413" s="12"/>
      <c r="M413" s="17"/>
    </row>
    <row r="414" spans="1:13" x14ac:dyDescent="0.25">
      <c r="A414" s="12"/>
      <c r="B414" s="14"/>
      <c r="C414" s="20"/>
      <c r="D414" s="13"/>
      <c r="E414" s="8"/>
      <c r="F414" s="21"/>
      <c r="G414" s="38"/>
      <c r="H414" s="48"/>
      <c r="I414" s="48"/>
      <c r="J414" s="39"/>
      <c r="K414" s="19"/>
      <c r="L414" s="12"/>
      <c r="M414" s="17"/>
    </row>
    <row r="415" spans="1:13" x14ac:dyDescent="0.25">
      <c r="A415" s="12"/>
      <c r="B415" s="14"/>
      <c r="C415" s="20"/>
      <c r="D415" s="13"/>
      <c r="E415" s="8"/>
      <c r="F415" s="21"/>
      <c r="G415" s="38"/>
      <c r="H415" s="48"/>
      <c r="I415" s="48"/>
      <c r="J415" s="39"/>
      <c r="K415" s="19"/>
      <c r="L415" s="12"/>
      <c r="M415" s="17"/>
    </row>
    <row r="416" spans="1:13" x14ac:dyDescent="0.25">
      <c r="A416" s="12"/>
      <c r="B416" s="14"/>
      <c r="C416" s="20"/>
      <c r="D416" s="13"/>
      <c r="E416" s="8"/>
      <c r="F416" s="21"/>
      <c r="G416" s="38"/>
      <c r="H416" s="48"/>
      <c r="I416" s="48"/>
      <c r="J416" s="39"/>
      <c r="K416" s="19"/>
      <c r="L416" s="12"/>
      <c r="M416" s="17"/>
    </row>
    <row r="417" spans="1:13" x14ac:dyDescent="0.25">
      <c r="A417" s="12"/>
      <c r="B417" s="14"/>
      <c r="C417" s="20"/>
      <c r="D417" s="13"/>
      <c r="E417" s="8"/>
      <c r="F417" s="21"/>
      <c r="G417" s="38"/>
      <c r="H417" s="48"/>
      <c r="I417" s="48"/>
      <c r="J417" s="39"/>
      <c r="K417" s="19"/>
      <c r="L417" s="12"/>
      <c r="M417" s="17"/>
    </row>
    <row r="418" spans="1:13" x14ac:dyDescent="0.25">
      <c r="A418" s="12"/>
      <c r="B418" s="14"/>
      <c r="C418" s="20"/>
      <c r="D418" s="13"/>
      <c r="E418" s="8"/>
      <c r="F418" s="21"/>
      <c r="G418" s="38"/>
      <c r="H418" s="48"/>
      <c r="I418" s="48"/>
      <c r="J418" s="39"/>
      <c r="K418" s="19"/>
      <c r="L418" s="12"/>
      <c r="M418" s="17"/>
    </row>
    <row r="419" spans="1:13" x14ac:dyDescent="0.25">
      <c r="A419" s="12"/>
      <c r="B419" s="14"/>
      <c r="C419" s="20"/>
      <c r="D419" s="13"/>
      <c r="E419" s="8"/>
      <c r="F419" s="21"/>
      <c r="G419" s="38"/>
      <c r="H419" s="48"/>
      <c r="I419" s="48"/>
      <c r="J419" s="39"/>
      <c r="K419" s="19"/>
      <c r="L419" s="12"/>
      <c r="M419" s="17"/>
    </row>
    <row r="420" spans="1:13" x14ac:dyDescent="0.25">
      <c r="A420" s="12"/>
      <c r="B420" s="14"/>
      <c r="C420" s="20"/>
      <c r="D420" s="13"/>
      <c r="E420" s="8"/>
      <c r="F420" s="21"/>
      <c r="G420" s="38"/>
      <c r="H420" s="48"/>
      <c r="I420" s="48"/>
      <c r="J420" s="39"/>
      <c r="K420" s="19"/>
      <c r="L420" s="12"/>
      <c r="M420" s="17"/>
    </row>
    <row r="421" spans="1:13" x14ac:dyDescent="0.25">
      <c r="A421" s="12"/>
      <c r="B421" s="14"/>
      <c r="C421" s="20"/>
      <c r="D421" s="13"/>
      <c r="E421" s="8"/>
      <c r="F421" s="21"/>
      <c r="G421" s="38"/>
      <c r="H421" s="48"/>
      <c r="I421" s="48"/>
      <c r="J421" s="39"/>
      <c r="K421" s="19"/>
      <c r="L421" s="12"/>
      <c r="M421" s="17"/>
    </row>
    <row r="422" spans="1:13" x14ac:dyDescent="0.25">
      <c r="A422" s="12"/>
      <c r="B422" s="14"/>
      <c r="C422" s="20"/>
      <c r="D422" s="13"/>
      <c r="E422" s="8"/>
      <c r="F422" s="21"/>
      <c r="G422" s="38"/>
      <c r="H422" s="48"/>
      <c r="I422" s="48"/>
      <c r="J422" s="39"/>
      <c r="K422" s="19"/>
      <c r="L422" s="12"/>
      <c r="M422" s="17"/>
    </row>
    <row r="423" spans="1:13" x14ac:dyDescent="0.25">
      <c r="A423" s="12"/>
      <c r="B423" s="14"/>
      <c r="C423" s="20"/>
      <c r="D423" s="13"/>
      <c r="E423" s="8"/>
      <c r="F423" s="21"/>
      <c r="G423" s="38"/>
      <c r="H423" s="48"/>
      <c r="I423" s="48"/>
      <c r="J423" s="39"/>
      <c r="K423" s="19"/>
      <c r="L423" s="12"/>
      <c r="M423" s="17"/>
    </row>
    <row r="424" spans="1:13" x14ac:dyDescent="0.25">
      <c r="A424" s="12"/>
      <c r="B424" s="14"/>
      <c r="C424" s="20"/>
      <c r="D424" s="13"/>
      <c r="E424" s="8"/>
      <c r="F424" s="21"/>
      <c r="G424" s="38"/>
      <c r="H424" s="48"/>
      <c r="I424" s="48"/>
      <c r="J424" s="39"/>
      <c r="K424" s="19"/>
      <c r="L424" s="12"/>
      <c r="M424" s="17"/>
    </row>
    <row r="425" spans="1:13" x14ac:dyDescent="0.25">
      <c r="A425" s="12"/>
      <c r="B425" s="14"/>
      <c r="C425" s="20"/>
      <c r="D425" s="13"/>
      <c r="E425" s="8"/>
      <c r="F425" s="21"/>
      <c r="G425" s="38"/>
      <c r="H425" s="48"/>
      <c r="I425" s="48"/>
      <c r="J425" s="39"/>
      <c r="K425" s="19"/>
      <c r="L425" s="12"/>
      <c r="M425" s="17"/>
    </row>
    <row r="426" spans="1:13" x14ac:dyDescent="0.25">
      <c r="A426" s="12"/>
      <c r="B426" s="14"/>
      <c r="C426" s="20"/>
      <c r="D426" s="13"/>
      <c r="E426" s="8"/>
      <c r="F426" s="21"/>
      <c r="G426" s="38"/>
      <c r="H426" s="48"/>
      <c r="I426" s="48"/>
      <c r="J426" s="39"/>
      <c r="K426" s="19"/>
      <c r="L426" s="12"/>
      <c r="M426" s="17"/>
    </row>
    <row r="427" spans="1:13" x14ac:dyDescent="0.25">
      <c r="A427" s="12"/>
      <c r="B427" s="14"/>
      <c r="C427" s="20"/>
      <c r="D427" s="13"/>
      <c r="E427" s="8"/>
      <c r="F427" s="21"/>
      <c r="G427" s="38"/>
      <c r="H427" s="48"/>
      <c r="I427" s="48"/>
      <c r="J427" s="39"/>
      <c r="K427" s="19"/>
      <c r="L427" s="12"/>
      <c r="M427" s="17"/>
    </row>
    <row r="428" spans="1:13" x14ac:dyDescent="0.25">
      <c r="A428" s="12"/>
      <c r="B428" s="14"/>
      <c r="C428" s="20"/>
      <c r="D428" s="13"/>
      <c r="E428" s="8"/>
      <c r="F428" s="21"/>
      <c r="G428" s="38"/>
      <c r="H428" s="48"/>
      <c r="I428" s="48"/>
      <c r="J428" s="39"/>
      <c r="K428" s="19"/>
      <c r="L428" s="12"/>
      <c r="M428" s="17"/>
    </row>
    <row r="429" spans="1:13" x14ac:dyDescent="0.25">
      <c r="A429" s="12"/>
      <c r="B429" s="14"/>
      <c r="C429" s="20"/>
      <c r="D429" s="13"/>
      <c r="E429" s="8"/>
      <c r="F429" s="21"/>
      <c r="G429" s="38"/>
      <c r="H429" s="48"/>
      <c r="I429" s="48"/>
      <c r="J429" s="39"/>
      <c r="K429" s="19"/>
      <c r="L429" s="12"/>
      <c r="M429" s="17"/>
    </row>
    <row r="430" spans="1:13" x14ac:dyDescent="0.25">
      <c r="A430" s="12"/>
      <c r="B430" s="14"/>
      <c r="C430" s="20"/>
      <c r="D430" s="13"/>
      <c r="E430" s="8"/>
      <c r="F430" s="21"/>
      <c r="G430" s="38"/>
      <c r="H430" s="48"/>
      <c r="I430" s="48"/>
      <c r="J430" s="39"/>
      <c r="K430" s="19"/>
      <c r="L430" s="12"/>
      <c r="M430" s="17"/>
    </row>
    <row r="431" spans="1:13" x14ac:dyDescent="0.25">
      <c r="A431" s="12"/>
      <c r="B431" s="14"/>
      <c r="C431" s="20"/>
      <c r="D431" s="13"/>
      <c r="E431" s="8"/>
      <c r="F431" s="21"/>
      <c r="G431" s="38"/>
      <c r="H431" s="48"/>
      <c r="I431" s="48"/>
      <c r="J431" s="39"/>
      <c r="K431" s="19"/>
      <c r="L431" s="12"/>
      <c r="M431" s="17"/>
    </row>
    <row r="432" spans="1:13" x14ac:dyDescent="0.25">
      <c r="A432" s="12"/>
      <c r="B432" s="14"/>
      <c r="C432" s="20"/>
      <c r="D432" s="13"/>
      <c r="E432" s="8"/>
      <c r="F432" s="21"/>
      <c r="G432" s="38"/>
      <c r="H432" s="48"/>
      <c r="I432" s="48"/>
      <c r="J432" s="39"/>
      <c r="K432" s="19"/>
      <c r="L432" s="12"/>
      <c r="M432" s="17"/>
    </row>
    <row r="433" spans="1:13" x14ac:dyDescent="0.25">
      <c r="A433" s="12"/>
      <c r="B433" s="14"/>
      <c r="C433" s="20"/>
      <c r="D433" s="13"/>
      <c r="E433" s="8"/>
      <c r="F433" s="21"/>
      <c r="G433" s="38"/>
      <c r="H433" s="48"/>
      <c r="I433" s="48"/>
      <c r="J433" s="39"/>
      <c r="K433" s="19"/>
      <c r="L433" s="12"/>
      <c r="M433" s="17"/>
    </row>
    <row r="434" spans="1:13" x14ac:dyDescent="0.25">
      <c r="A434" s="12"/>
      <c r="B434" s="14"/>
      <c r="C434" s="20"/>
      <c r="D434" s="13"/>
      <c r="E434" s="8"/>
      <c r="F434" s="21"/>
      <c r="G434" s="38"/>
      <c r="H434" s="48"/>
      <c r="I434" s="48"/>
      <c r="J434" s="39"/>
      <c r="K434" s="19"/>
      <c r="L434" s="12"/>
      <c r="M434" s="17"/>
    </row>
    <row r="435" spans="1:13" x14ac:dyDescent="0.25">
      <c r="A435" s="12"/>
      <c r="B435" s="14"/>
      <c r="C435" s="20"/>
      <c r="D435" s="13"/>
      <c r="E435" s="8"/>
      <c r="F435" s="21"/>
      <c r="G435" s="38"/>
      <c r="H435" s="48"/>
      <c r="I435" s="48"/>
      <c r="J435" s="39"/>
      <c r="K435" s="19"/>
      <c r="L435" s="12"/>
      <c r="M435" s="17"/>
    </row>
    <row r="436" spans="1:13" x14ac:dyDescent="0.25">
      <c r="A436" s="12"/>
      <c r="B436" s="14"/>
      <c r="C436" s="20"/>
      <c r="D436" s="13"/>
      <c r="E436" s="8"/>
      <c r="F436" s="21"/>
      <c r="G436" s="38"/>
      <c r="H436" s="48"/>
      <c r="I436" s="48"/>
      <c r="J436" s="39"/>
      <c r="K436" s="19"/>
      <c r="L436" s="12"/>
      <c r="M436" s="17"/>
    </row>
    <row r="437" spans="1:13" x14ac:dyDescent="0.25">
      <c r="A437" s="12"/>
      <c r="B437" s="14"/>
      <c r="C437" s="20"/>
      <c r="D437" s="13"/>
      <c r="E437" s="8"/>
      <c r="F437" s="21"/>
      <c r="G437" s="38"/>
      <c r="H437" s="48"/>
      <c r="I437" s="48"/>
      <c r="J437" s="39"/>
      <c r="K437" s="19"/>
      <c r="L437" s="12"/>
      <c r="M437" s="17"/>
    </row>
    <row r="438" spans="1:13" x14ac:dyDescent="0.25">
      <c r="A438" s="12"/>
      <c r="B438" s="14"/>
      <c r="C438" s="20"/>
      <c r="D438" s="13"/>
      <c r="E438" s="8"/>
      <c r="F438" s="21"/>
      <c r="G438" s="38"/>
      <c r="H438" s="48"/>
      <c r="I438" s="48"/>
      <c r="J438" s="39"/>
      <c r="K438" s="19"/>
      <c r="L438" s="12"/>
      <c r="M438" s="17"/>
    </row>
    <row r="439" spans="1:13" x14ac:dyDescent="0.25">
      <c r="A439" s="12"/>
      <c r="B439" s="14"/>
      <c r="C439" s="20"/>
      <c r="D439" s="13"/>
      <c r="E439" s="8"/>
      <c r="F439" s="21"/>
      <c r="G439" s="38"/>
      <c r="H439" s="48"/>
      <c r="I439" s="48"/>
      <c r="J439" s="39"/>
      <c r="K439" s="19"/>
      <c r="L439" s="12"/>
      <c r="M439" s="17"/>
    </row>
    <row r="440" spans="1:13" x14ac:dyDescent="0.25">
      <c r="A440" s="12"/>
      <c r="B440" s="14"/>
      <c r="C440" s="20"/>
      <c r="D440" s="13"/>
      <c r="E440" s="8"/>
      <c r="F440" s="21"/>
      <c r="G440" s="38"/>
      <c r="H440" s="48"/>
      <c r="I440" s="48"/>
      <c r="J440" s="39"/>
      <c r="K440" s="19"/>
      <c r="L440" s="12"/>
      <c r="M440" s="17"/>
    </row>
    <row r="441" spans="1:13" x14ac:dyDescent="0.25">
      <c r="A441" s="12"/>
      <c r="B441" s="14"/>
      <c r="C441" s="20"/>
      <c r="D441" s="13"/>
      <c r="E441" s="8"/>
      <c r="F441" s="21"/>
      <c r="G441" s="38"/>
      <c r="H441" s="48"/>
      <c r="I441" s="48"/>
      <c r="J441" s="39"/>
      <c r="K441" s="19"/>
      <c r="L441" s="12"/>
      <c r="M441" s="17"/>
    </row>
    <row r="442" spans="1:13" x14ac:dyDescent="0.25">
      <c r="A442" s="12"/>
      <c r="B442" s="14"/>
      <c r="C442" s="20"/>
      <c r="D442" s="13"/>
      <c r="E442" s="8"/>
      <c r="F442" s="21"/>
      <c r="G442" s="38"/>
      <c r="H442" s="48"/>
      <c r="I442" s="48"/>
      <c r="J442" s="39"/>
      <c r="K442" s="19"/>
      <c r="L442" s="12"/>
      <c r="M442" s="17"/>
    </row>
    <row r="443" spans="1:13" x14ac:dyDescent="0.25">
      <c r="A443" s="12"/>
      <c r="B443" s="14"/>
      <c r="C443" s="20"/>
      <c r="D443" s="13"/>
      <c r="E443" s="8"/>
      <c r="F443" s="21"/>
      <c r="G443" s="38"/>
      <c r="H443" s="48"/>
      <c r="I443" s="48"/>
      <c r="J443" s="39"/>
      <c r="K443" s="19"/>
      <c r="L443" s="12"/>
      <c r="M443" s="17"/>
    </row>
    <row r="444" spans="1:13" x14ac:dyDescent="0.25">
      <c r="A444" s="12"/>
      <c r="B444" s="14"/>
      <c r="C444" s="20"/>
      <c r="D444" s="13"/>
      <c r="E444" s="8"/>
      <c r="F444" s="21"/>
      <c r="G444" s="38"/>
      <c r="H444" s="48"/>
      <c r="I444" s="48"/>
      <c r="J444" s="39"/>
      <c r="K444" s="19"/>
      <c r="L444" s="12"/>
      <c r="M444" s="17"/>
    </row>
    <row r="445" spans="1:13" x14ac:dyDescent="0.25">
      <c r="A445" s="12"/>
      <c r="B445" s="14"/>
      <c r="C445" s="20"/>
      <c r="D445" s="13"/>
      <c r="E445" s="8"/>
      <c r="F445" s="21"/>
      <c r="G445" s="38"/>
      <c r="H445" s="48"/>
      <c r="I445" s="48"/>
      <c r="J445" s="39"/>
      <c r="K445" s="19"/>
      <c r="L445" s="12"/>
      <c r="M445" s="17"/>
    </row>
    <row r="446" spans="1:13" x14ac:dyDescent="0.25">
      <c r="A446" s="12"/>
      <c r="B446" s="14"/>
      <c r="C446" s="20"/>
      <c r="D446" s="13"/>
      <c r="E446" s="8"/>
      <c r="F446" s="21"/>
      <c r="G446" s="38"/>
      <c r="H446" s="48"/>
      <c r="I446" s="48"/>
      <c r="J446" s="39"/>
      <c r="K446" s="19"/>
      <c r="L446" s="12"/>
      <c r="M446" s="17"/>
    </row>
    <row r="447" spans="1:13" x14ac:dyDescent="0.25">
      <c r="A447" s="12"/>
      <c r="B447" s="14"/>
      <c r="C447" s="20"/>
      <c r="D447" s="13"/>
      <c r="E447" s="8"/>
      <c r="F447" s="21"/>
      <c r="G447" s="38"/>
      <c r="H447" s="48"/>
      <c r="I447" s="48"/>
      <c r="J447" s="39"/>
      <c r="K447" s="19"/>
      <c r="L447" s="12"/>
      <c r="M447" s="17"/>
    </row>
    <row r="448" spans="1:13" x14ac:dyDescent="0.25">
      <c r="A448" s="12"/>
      <c r="B448" s="14"/>
      <c r="C448" s="20"/>
      <c r="D448" s="13"/>
      <c r="E448" s="8"/>
      <c r="F448" s="21"/>
      <c r="G448" s="38"/>
      <c r="H448" s="48"/>
      <c r="I448" s="48"/>
      <c r="J448" s="39"/>
      <c r="K448" s="19"/>
      <c r="L448" s="12"/>
      <c r="M448" s="17"/>
    </row>
    <row r="449" spans="1:13" x14ac:dyDescent="0.25">
      <c r="A449" s="12"/>
      <c r="B449" s="14"/>
      <c r="C449" s="20"/>
      <c r="D449" s="13"/>
      <c r="E449" s="8"/>
      <c r="F449" s="21"/>
      <c r="G449" s="38"/>
      <c r="H449" s="48"/>
      <c r="I449" s="48"/>
      <c r="J449" s="39"/>
      <c r="K449" s="19"/>
      <c r="L449" s="12"/>
      <c r="M449" s="17"/>
    </row>
    <row r="450" spans="1:13" x14ac:dyDescent="0.25">
      <c r="A450" s="12"/>
      <c r="B450" s="14"/>
      <c r="C450" s="20"/>
      <c r="D450" s="13"/>
      <c r="E450" s="8"/>
      <c r="F450" s="21"/>
      <c r="G450" s="38"/>
      <c r="H450" s="48"/>
      <c r="I450" s="48"/>
      <c r="J450" s="39"/>
      <c r="K450" s="19"/>
      <c r="L450" s="12"/>
      <c r="M450" s="17"/>
    </row>
    <row r="451" spans="1:13" x14ac:dyDescent="0.25">
      <c r="A451" s="12"/>
      <c r="B451" s="14"/>
      <c r="C451" s="20"/>
      <c r="D451" s="13"/>
      <c r="E451" s="8"/>
      <c r="F451" s="21"/>
      <c r="G451" s="38"/>
      <c r="H451" s="48"/>
      <c r="I451" s="48"/>
      <c r="J451" s="39"/>
      <c r="K451" s="19"/>
      <c r="L451" s="12"/>
      <c r="M451" s="17"/>
    </row>
    <row r="452" spans="1:13" x14ac:dyDescent="0.25">
      <c r="A452" s="12"/>
      <c r="B452" s="14"/>
      <c r="C452" s="20"/>
      <c r="D452" s="13"/>
      <c r="E452" s="8"/>
      <c r="F452" s="21"/>
      <c r="G452" s="38"/>
      <c r="H452" s="48"/>
      <c r="I452" s="48"/>
      <c r="J452" s="39"/>
      <c r="K452" s="19"/>
      <c r="L452" s="12"/>
      <c r="M452" s="17"/>
    </row>
    <row r="453" spans="1:13" x14ac:dyDescent="0.25">
      <c r="A453" s="12"/>
      <c r="B453" s="14"/>
      <c r="C453" s="20"/>
      <c r="D453" s="13"/>
      <c r="E453" s="8"/>
      <c r="F453" s="21"/>
      <c r="G453" s="38"/>
      <c r="H453" s="48"/>
      <c r="I453" s="48"/>
      <c r="J453" s="39"/>
      <c r="K453" s="19"/>
      <c r="L453" s="12"/>
      <c r="M453" s="17"/>
    </row>
    <row r="454" spans="1:13" x14ac:dyDescent="0.25">
      <c r="A454" s="12"/>
      <c r="B454" s="14"/>
      <c r="C454" s="20"/>
      <c r="D454" s="13"/>
      <c r="E454" s="8"/>
      <c r="F454" s="21"/>
      <c r="G454" s="38"/>
      <c r="H454" s="48"/>
      <c r="I454" s="48"/>
      <c r="J454" s="39"/>
      <c r="K454" s="19"/>
      <c r="L454" s="12"/>
      <c r="M454" s="17"/>
    </row>
    <row r="455" spans="1:13" x14ac:dyDescent="0.25">
      <c r="A455" s="12"/>
      <c r="B455" s="14"/>
      <c r="C455" s="20"/>
      <c r="D455" s="13"/>
      <c r="E455" s="8"/>
      <c r="F455" s="21"/>
      <c r="G455" s="38"/>
      <c r="H455" s="48"/>
      <c r="I455" s="48"/>
      <c r="J455" s="39"/>
      <c r="K455" s="19"/>
      <c r="L455" s="12"/>
      <c r="M455" s="17"/>
    </row>
    <row r="456" spans="1:13" x14ac:dyDescent="0.25">
      <c r="A456" s="12"/>
      <c r="B456" s="14"/>
      <c r="C456" s="20"/>
      <c r="D456" s="13"/>
      <c r="E456" s="8"/>
      <c r="F456" s="21"/>
      <c r="G456" s="38"/>
      <c r="H456" s="48"/>
      <c r="I456" s="48"/>
      <c r="J456" s="39"/>
      <c r="K456" s="19"/>
      <c r="L456" s="12"/>
      <c r="M456" s="17"/>
    </row>
    <row r="457" spans="1:13" x14ac:dyDescent="0.25">
      <c r="A457" s="12"/>
      <c r="B457" s="14"/>
      <c r="C457" s="20"/>
      <c r="D457" s="13"/>
      <c r="E457" s="8"/>
      <c r="F457" s="21"/>
      <c r="G457" s="38"/>
      <c r="H457" s="48"/>
      <c r="I457" s="48"/>
      <c r="J457" s="39"/>
      <c r="K457" s="19"/>
      <c r="L457" s="12"/>
      <c r="M457" s="17"/>
    </row>
    <row r="458" spans="1:13" x14ac:dyDescent="0.25">
      <c r="A458" s="12"/>
      <c r="B458" s="14"/>
      <c r="C458" s="20"/>
      <c r="D458" s="13"/>
      <c r="E458" s="8"/>
      <c r="F458" s="21"/>
      <c r="G458" s="38"/>
      <c r="H458" s="48"/>
      <c r="I458" s="48"/>
      <c r="J458" s="39"/>
      <c r="K458" s="19"/>
      <c r="L458" s="12"/>
      <c r="M458" s="17"/>
    </row>
    <row r="459" spans="1:13" x14ac:dyDescent="0.25">
      <c r="A459" s="12"/>
      <c r="B459" s="14"/>
      <c r="C459" s="20"/>
      <c r="D459" s="13"/>
      <c r="E459" s="8"/>
      <c r="F459" s="21"/>
      <c r="G459" s="38"/>
      <c r="H459" s="48"/>
      <c r="I459" s="48"/>
      <c r="J459" s="39"/>
      <c r="K459" s="19"/>
      <c r="L459" s="12"/>
      <c r="M459" s="17"/>
    </row>
    <row r="460" spans="1:13" x14ac:dyDescent="0.25">
      <c r="A460" s="12"/>
      <c r="B460" s="14"/>
      <c r="C460" s="20"/>
      <c r="D460" s="13"/>
      <c r="E460" s="8"/>
      <c r="F460" s="21"/>
      <c r="G460" s="38"/>
      <c r="H460" s="48"/>
      <c r="I460" s="48"/>
      <c r="J460" s="39"/>
      <c r="K460" s="19"/>
      <c r="L460" s="12"/>
      <c r="M460" s="17"/>
    </row>
    <row r="461" spans="1:13" x14ac:dyDescent="0.25">
      <c r="A461" s="12"/>
      <c r="B461" s="14"/>
      <c r="C461" s="20"/>
      <c r="D461" s="13"/>
      <c r="E461" s="8"/>
      <c r="F461" s="21"/>
      <c r="G461" s="38"/>
      <c r="H461" s="48"/>
      <c r="I461" s="48"/>
      <c r="J461" s="39"/>
      <c r="K461" s="19"/>
      <c r="L461" s="12"/>
      <c r="M461" s="17"/>
    </row>
    <row r="462" spans="1:13" x14ac:dyDescent="0.25">
      <c r="A462" s="12"/>
      <c r="B462" s="14"/>
      <c r="C462" s="20"/>
      <c r="D462" s="13"/>
      <c r="E462" s="8"/>
      <c r="F462" s="21"/>
      <c r="G462" s="38"/>
      <c r="H462" s="48"/>
      <c r="I462" s="48"/>
      <c r="J462" s="39"/>
      <c r="K462" s="19"/>
      <c r="L462" s="12"/>
      <c r="M462" s="17"/>
    </row>
    <row r="463" spans="1:13" x14ac:dyDescent="0.25">
      <c r="A463" s="12"/>
      <c r="B463" s="14"/>
      <c r="C463" s="20"/>
      <c r="D463" s="13"/>
      <c r="E463" s="8"/>
      <c r="F463" s="21"/>
      <c r="G463" s="38"/>
      <c r="H463" s="48"/>
      <c r="I463" s="48"/>
      <c r="J463" s="39"/>
      <c r="K463" s="19"/>
      <c r="L463" s="12"/>
      <c r="M463" s="17"/>
    </row>
    <row r="464" spans="1:13" x14ac:dyDescent="0.25">
      <c r="A464" s="12"/>
      <c r="B464" s="14"/>
      <c r="C464" s="20"/>
      <c r="D464" s="13"/>
      <c r="E464" s="8"/>
      <c r="F464" s="21"/>
      <c r="G464" s="38"/>
      <c r="H464" s="48"/>
      <c r="I464" s="48"/>
      <c r="J464" s="39"/>
      <c r="K464" s="19"/>
      <c r="L464" s="12"/>
      <c r="M464" s="17"/>
    </row>
    <row r="465" spans="1:13" x14ac:dyDescent="0.25">
      <c r="A465" s="12"/>
      <c r="B465" s="14"/>
      <c r="C465" s="20"/>
      <c r="D465" s="13"/>
      <c r="E465" s="8"/>
      <c r="F465" s="21"/>
      <c r="G465" s="38"/>
      <c r="H465" s="48"/>
      <c r="I465" s="48"/>
      <c r="J465" s="39"/>
      <c r="K465" s="19"/>
      <c r="L465" s="12"/>
      <c r="M465" s="17"/>
    </row>
    <row r="466" spans="1:13" x14ac:dyDescent="0.25">
      <c r="A466" s="12"/>
      <c r="B466" s="14"/>
      <c r="C466" s="20"/>
      <c r="D466" s="13"/>
      <c r="E466" s="8"/>
      <c r="F466" s="21"/>
      <c r="G466" s="38"/>
      <c r="H466" s="48"/>
      <c r="I466" s="48"/>
      <c r="J466" s="39"/>
      <c r="K466" s="19"/>
      <c r="L466" s="12"/>
      <c r="M466" s="17"/>
    </row>
    <row r="467" spans="1:13" x14ac:dyDescent="0.25">
      <c r="A467" s="12"/>
      <c r="B467" s="14"/>
      <c r="C467" s="20"/>
      <c r="D467" s="13"/>
      <c r="E467" s="8"/>
      <c r="F467" s="21"/>
      <c r="G467" s="38"/>
      <c r="H467" s="48"/>
      <c r="I467" s="48"/>
      <c r="J467" s="39"/>
      <c r="K467" s="19"/>
      <c r="L467" s="12"/>
      <c r="M467" s="17"/>
    </row>
    <row r="468" spans="1:13" x14ac:dyDescent="0.25">
      <c r="A468" s="12"/>
      <c r="B468" s="14"/>
      <c r="C468" s="20"/>
      <c r="D468" s="13"/>
      <c r="E468" s="8"/>
      <c r="F468" s="21"/>
      <c r="G468" s="38"/>
      <c r="H468" s="48"/>
      <c r="I468" s="48"/>
      <c r="J468" s="39"/>
      <c r="K468" s="19"/>
      <c r="L468" s="12"/>
      <c r="M468" s="17"/>
    </row>
    <row r="469" spans="1:13" x14ac:dyDescent="0.25">
      <c r="A469" s="12"/>
      <c r="B469" s="14"/>
      <c r="C469" s="20"/>
      <c r="D469" s="13"/>
      <c r="E469" s="8"/>
      <c r="F469" s="21"/>
      <c r="G469" s="38"/>
      <c r="H469" s="48"/>
      <c r="I469" s="48"/>
      <c r="J469" s="39"/>
      <c r="K469" s="19"/>
      <c r="L469" s="12"/>
      <c r="M469" s="17"/>
    </row>
    <row r="470" spans="1:13" x14ac:dyDescent="0.25">
      <c r="A470" s="12"/>
      <c r="B470" s="14"/>
      <c r="C470" s="20"/>
      <c r="D470" s="13"/>
      <c r="E470" s="8"/>
      <c r="F470" s="21"/>
      <c r="G470" s="38"/>
      <c r="H470" s="48"/>
      <c r="I470" s="48"/>
      <c r="J470" s="39"/>
      <c r="K470" s="19"/>
      <c r="L470" s="12"/>
      <c r="M470" s="17"/>
    </row>
    <row r="471" spans="1:13" x14ac:dyDescent="0.25">
      <c r="A471" s="12"/>
      <c r="B471" s="14"/>
      <c r="C471" s="20"/>
      <c r="D471" s="13"/>
      <c r="E471" s="8"/>
      <c r="F471" s="21"/>
      <c r="G471" s="38"/>
      <c r="H471" s="48"/>
      <c r="I471" s="48"/>
      <c r="J471" s="39"/>
      <c r="K471" s="19"/>
      <c r="L471" s="12"/>
      <c r="M471" s="17"/>
    </row>
    <row r="472" spans="1:13" x14ac:dyDescent="0.25">
      <c r="A472" s="12"/>
      <c r="B472" s="14"/>
      <c r="C472" s="20"/>
      <c r="D472" s="13"/>
      <c r="E472" s="8"/>
      <c r="F472" s="21"/>
      <c r="G472" s="38"/>
      <c r="H472" s="48"/>
      <c r="I472" s="48"/>
      <c r="J472" s="39"/>
      <c r="K472" s="19"/>
      <c r="L472" s="12"/>
      <c r="M472" s="17"/>
    </row>
    <row r="473" spans="1:13" x14ac:dyDescent="0.25">
      <c r="A473" s="12"/>
      <c r="B473" s="14"/>
      <c r="C473" s="20"/>
      <c r="D473" s="13"/>
      <c r="E473" s="8"/>
      <c r="F473" s="21"/>
      <c r="G473" s="38"/>
      <c r="H473" s="48"/>
      <c r="I473" s="48"/>
      <c r="J473" s="39"/>
      <c r="K473" s="19"/>
      <c r="L473" s="12"/>
      <c r="M473" s="17"/>
    </row>
    <row r="474" spans="1:13" x14ac:dyDescent="0.25">
      <c r="A474" s="12"/>
      <c r="B474" s="14"/>
      <c r="C474" s="20"/>
      <c r="D474" s="13"/>
      <c r="E474" s="8"/>
      <c r="F474" s="21"/>
      <c r="G474" s="38"/>
      <c r="H474" s="48"/>
      <c r="I474" s="48"/>
      <c r="J474" s="39"/>
      <c r="K474" s="19"/>
      <c r="L474" s="12"/>
      <c r="M474" s="17"/>
    </row>
    <row r="475" spans="1:13" x14ac:dyDescent="0.25">
      <c r="A475" s="12"/>
      <c r="B475" s="14"/>
      <c r="C475" s="20"/>
      <c r="D475" s="13"/>
      <c r="E475" s="8"/>
      <c r="F475" s="21"/>
      <c r="G475" s="38"/>
      <c r="H475" s="48"/>
      <c r="I475" s="48"/>
      <c r="J475" s="39"/>
      <c r="K475" s="19"/>
      <c r="L475" s="12"/>
      <c r="M475" s="17"/>
    </row>
    <row r="476" spans="1:13" x14ac:dyDescent="0.25">
      <c r="A476" s="12"/>
      <c r="B476" s="14"/>
      <c r="C476" s="20"/>
      <c r="D476" s="13"/>
      <c r="E476" s="8"/>
      <c r="F476" s="21"/>
      <c r="G476" s="38"/>
      <c r="H476" s="48"/>
      <c r="I476" s="48"/>
      <c r="J476" s="39"/>
      <c r="K476" s="19"/>
      <c r="L476" s="12"/>
      <c r="M476" s="17"/>
    </row>
    <row r="477" spans="1:13" x14ac:dyDescent="0.25">
      <c r="A477" s="12"/>
      <c r="B477" s="14"/>
      <c r="C477" s="20"/>
      <c r="D477" s="13"/>
      <c r="E477" s="8"/>
      <c r="F477" s="21"/>
      <c r="G477" s="38"/>
      <c r="H477" s="48"/>
      <c r="I477" s="48"/>
      <c r="J477" s="39"/>
      <c r="K477" s="19"/>
      <c r="L477" s="12"/>
      <c r="M477" s="17"/>
    </row>
    <row r="478" spans="1:13" x14ac:dyDescent="0.25">
      <c r="A478" s="12"/>
      <c r="B478" s="14"/>
      <c r="C478" s="20"/>
      <c r="D478" s="13"/>
      <c r="E478" s="8"/>
      <c r="F478" s="21"/>
      <c r="G478" s="38"/>
      <c r="H478" s="48"/>
      <c r="I478" s="48"/>
      <c r="J478" s="39"/>
      <c r="K478" s="19"/>
      <c r="L478" s="12"/>
      <c r="M478" s="17"/>
    </row>
    <row r="479" spans="1:13" x14ac:dyDescent="0.25">
      <c r="A479" s="12"/>
      <c r="B479" s="14"/>
      <c r="C479" s="20"/>
      <c r="D479" s="13"/>
      <c r="E479" s="8"/>
      <c r="F479" s="21"/>
      <c r="G479" s="38"/>
      <c r="H479" s="48"/>
      <c r="I479" s="48"/>
      <c r="J479" s="39"/>
      <c r="K479" s="19"/>
      <c r="L479" s="12"/>
      <c r="M479" s="17"/>
    </row>
    <row r="480" spans="1:13" x14ac:dyDescent="0.25">
      <c r="A480" s="12"/>
      <c r="B480" s="14"/>
      <c r="C480" s="20"/>
      <c r="D480" s="13"/>
      <c r="E480" s="8"/>
      <c r="F480" s="21"/>
      <c r="G480" s="38"/>
      <c r="H480" s="48"/>
      <c r="I480" s="48"/>
      <c r="J480" s="39"/>
      <c r="K480" s="19"/>
      <c r="L480" s="12"/>
      <c r="M480" s="17"/>
    </row>
    <row r="481" spans="1:13" x14ac:dyDescent="0.25">
      <c r="A481" s="12"/>
      <c r="B481" s="14"/>
      <c r="C481" s="20"/>
      <c r="D481" s="13"/>
      <c r="E481" s="8"/>
      <c r="F481" s="21"/>
      <c r="G481" s="38"/>
      <c r="H481" s="48"/>
      <c r="I481" s="48"/>
      <c r="J481" s="39"/>
      <c r="K481" s="19"/>
      <c r="L481" s="12"/>
      <c r="M481" s="17"/>
    </row>
    <row r="482" spans="1:13" x14ac:dyDescent="0.25">
      <c r="A482" s="12"/>
      <c r="B482" s="14"/>
      <c r="C482" s="20"/>
      <c r="D482" s="13"/>
      <c r="E482" s="8"/>
      <c r="F482" s="21"/>
      <c r="G482" s="38"/>
      <c r="H482" s="48"/>
      <c r="I482" s="48"/>
      <c r="J482" s="39"/>
      <c r="K482" s="19"/>
      <c r="L482" s="12"/>
      <c r="M482" s="17"/>
    </row>
    <row r="483" spans="1:13" x14ac:dyDescent="0.25">
      <c r="A483" s="12"/>
      <c r="B483" s="14"/>
      <c r="C483" s="20"/>
      <c r="D483" s="13"/>
      <c r="E483" s="8"/>
      <c r="F483" s="21"/>
      <c r="G483" s="38"/>
      <c r="H483" s="48"/>
      <c r="I483" s="48"/>
      <c r="J483" s="39"/>
      <c r="K483" s="19"/>
      <c r="L483" s="12"/>
      <c r="M483" s="17"/>
    </row>
    <row r="484" spans="1:13" x14ac:dyDescent="0.25">
      <c r="A484" s="12"/>
      <c r="B484" s="14"/>
      <c r="C484" s="20"/>
      <c r="D484" s="13"/>
      <c r="E484" s="8"/>
      <c r="F484" s="21"/>
      <c r="G484" s="38"/>
      <c r="H484" s="48"/>
      <c r="I484" s="48"/>
      <c r="J484" s="39"/>
      <c r="K484" s="19"/>
      <c r="L484" s="12"/>
      <c r="M484" s="17"/>
    </row>
    <row r="485" spans="1:13" x14ac:dyDescent="0.25">
      <c r="A485" s="12"/>
      <c r="B485" s="14"/>
      <c r="C485" s="20"/>
      <c r="D485" s="13"/>
      <c r="E485" s="8"/>
      <c r="F485" s="21"/>
      <c r="G485" s="38"/>
      <c r="H485" s="48"/>
      <c r="I485" s="48"/>
      <c r="J485" s="39"/>
      <c r="K485" s="19"/>
      <c r="L485" s="12"/>
      <c r="M485" s="17"/>
    </row>
    <row r="486" spans="1:13" x14ac:dyDescent="0.25">
      <c r="A486" s="12"/>
      <c r="B486" s="14"/>
      <c r="C486" s="20"/>
      <c r="D486" s="13"/>
      <c r="E486" s="8"/>
      <c r="F486" s="21"/>
      <c r="G486" s="38"/>
      <c r="H486" s="48"/>
      <c r="I486" s="48"/>
      <c r="J486" s="39"/>
      <c r="K486" s="19"/>
      <c r="L486" s="12"/>
      <c r="M486" s="17"/>
    </row>
    <row r="487" spans="1:13" x14ac:dyDescent="0.25">
      <c r="A487" s="12"/>
      <c r="B487" s="14"/>
      <c r="C487" s="20"/>
      <c r="D487" s="13"/>
      <c r="E487" s="8"/>
      <c r="F487" s="21"/>
      <c r="G487" s="38"/>
      <c r="H487" s="48"/>
      <c r="I487" s="48"/>
      <c r="J487" s="39"/>
      <c r="K487" s="19"/>
      <c r="L487" s="12"/>
      <c r="M487" s="17"/>
    </row>
    <row r="488" spans="1:13" x14ac:dyDescent="0.25">
      <c r="A488" s="12"/>
      <c r="B488" s="14"/>
      <c r="C488" s="20"/>
      <c r="D488" s="13"/>
      <c r="E488" s="8"/>
      <c r="F488" s="21"/>
      <c r="G488" s="38"/>
      <c r="H488" s="48"/>
      <c r="I488" s="48"/>
      <c r="J488" s="39"/>
      <c r="K488" s="19"/>
      <c r="L488" s="12"/>
      <c r="M488" s="17"/>
    </row>
    <row r="489" spans="1:13" x14ac:dyDescent="0.25">
      <c r="A489" s="12"/>
      <c r="B489" s="14"/>
      <c r="C489" s="20"/>
      <c r="D489" s="13"/>
      <c r="E489" s="8"/>
      <c r="F489" s="21"/>
      <c r="G489" s="38"/>
      <c r="H489" s="48"/>
      <c r="I489" s="48"/>
      <c r="J489" s="39"/>
      <c r="K489" s="19"/>
      <c r="L489" s="12"/>
      <c r="M489" s="17"/>
    </row>
    <row r="490" spans="1:13" x14ac:dyDescent="0.25">
      <c r="A490" s="12"/>
      <c r="B490" s="14"/>
      <c r="C490" s="20"/>
      <c r="D490" s="13"/>
      <c r="E490" s="8"/>
      <c r="F490" s="21"/>
      <c r="G490" s="38"/>
      <c r="H490" s="48"/>
      <c r="I490" s="48"/>
      <c r="J490" s="39"/>
      <c r="K490" s="19"/>
      <c r="L490" s="12"/>
      <c r="M490" s="17"/>
    </row>
    <row r="491" spans="1:13" x14ac:dyDescent="0.25">
      <c r="A491" s="12"/>
      <c r="B491" s="14"/>
      <c r="C491" s="20"/>
      <c r="D491" s="13"/>
      <c r="E491" s="8"/>
      <c r="F491" s="21"/>
      <c r="G491" s="38"/>
      <c r="H491" s="48"/>
      <c r="I491" s="48"/>
      <c r="J491" s="39"/>
      <c r="K491" s="19"/>
      <c r="L491" s="12"/>
      <c r="M491" s="17"/>
    </row>
    <row r="492" spans="1:13" x14ac:dyDescent="0.25">
      <c r="A492" s="12"/>
      <c r="B492" s="14"/>
      <c r="C492" s="20"/>
      <c r="D492" s="13"/>
      <c r="E492" s="8"/>
      <c r="F492" s="21"/>
      <c r="G492" s="38"/>
      <c r="H492" s="48"/>
      <c r="I492" s="48"/>
      <c r="J492" s="39"/>
      <c r="K492" s="19"/>
      <c r="L492" s="12"/>
      <c r="M492" s="17"/>
    </row>
    <row r="493" spans="1:13" x14ac:dyDescent="0.25">
      <c r="A493" s="12"/>
      <c r="B493" s="14"/>
      <c r="C493" s="20"/>
      <c r="D493" s="13"/>
      <c r="E493" s="8"/>
      <c r="F493" s="21"/>
      <c r="G493" s="38"/>
      <c r="H493" s="48"/>
      <c r="I493" s="48"/>
      <c r="J493" s="39"/>
      <c r="K493" s="19"/>
      <c r="L493" s="12"/>
      <c r="M493" s="17"/>
    </row>
    <row r="494" spans="1:13" x14ac:dyDescent="0.25">
      <c r="A494" s="12"/>
      <c r="B494" s="14"/>
      <c r="C494" s="20"/>
      <c r="D494" s="13"/>
      <c r="E494" s="8"/>
      <c r="F494" s="21"/>
      <c r="G494" s="38"/>
      <c r="H494" s="48"/>
      <c r="I494" s="48"/>
      <c r="J494" s="39"/>
      <c r="K494" s="19"/>
      <c r="L494" s="12"/>
      <c r="M494" s="17"/>
    </row>
    <row r="495" spans="1:13" x14ac:dyDescent="0.25">
      <c r="A495" s="12"/>
      <c r="B495" s="14"/>
      <c r="C495" s="20"/>
      <c r="D495" s="13"/>
      <c r="E495" s="8"/>
      <c r="F495" s="21"/>
      <c r="G495" s="38"/>
      <c r="H495" s="48"/>
      <c r="I495" s="48"/>
      <c r="J495" s="39"/>
      <c r="K495" s="19"/>
      <c r="L495" s="12"/>
      <c r="M495" s="17"/>
    </row>
    <row r="496" spans="1:13" x14ac:dyDescent="0.25">
      <c r="A496" s="12"/>
      <c r="B496" s="14"/>
      <c r="C496" s="20"/>
      <c r="D496" s="13"/>
      <c r="E496" s="8"/>
      <c r="F496" s="21"/>
      <c r="G496" s="38"/>
      <c r="H496" s="48"/>
      <c r="I496" s="48"/>
      <c r="J496" s="39"/>
      <c r="K496" s="19"/>
      <c r="L496" s="12"/>
      <c r="M496" s="17"/>
    </row>
    <row r="497" spans="1:13" x14ac:dyDescent="0.25">
      <c r="A497" s="12"/>
      <c r="B497" s="14"/>
      <c r="C497" s="20"/>
      <c r="D497" s="13"/>
      <c r="E497" s="8"/>
      <c r="F497" s="21"/>
      <c r="G497" s="38"/>
      <c r="H497" s="48"/>
      <c r="I497" s="48"/>
      <c r="J497" s="39"/>
      <c r="K497" s="19"/>
      <c r="L497" s="12"/>
      <c r="M497" s="17"/>
    </row>
    <row r="498" spans="1:13" x14ac:dyDescent="0.25">
      <c r="A498" s="12"/>
      <c r="B498" s="14"/>
      <c r="C498" s="20"/>
      <c r="D498" s="13"/>
      <c r="E498" s="8"/>
      <c r="F498" s="21"/>
      <c r="G498" s="38"/>
      <c r="H498" s="48"/>
      <c r="I498" s="48"/>
      <c r="J498" s="39"/>
      <c r="K498" s="19"/>
      <c r="L498" s="12"/>
      <c r="M498" s="17"/>
    </row>
    <row r="499" spans="1:13" x14ac:dyDescent="0.25">
      <c r="A499" s="12"/>
      <c r="B499" s="14"/>
      <c r="C499" s="20"/>
      <c r="D499" s="13"/>
      <c r="E499" s="8"/>
      <c r="F499" s="21"/>
      <c r="G499" s="38"/>
      <c r="H499" s="48"/>
      <c r="I499" s="48"/>
      <c r="J499" s="39"/>
      <c r="K499" s="19"/>
      <c r="L499" s="12"/>
      <c r="M499" s="17"/>
    </row>
    <row r="500" spans="1:13" x14ac:dyDescent="0.25">
      <c r="A500" s="12"/>
      <c r="B500" s="14"/>
      <c r="C500" s="20"/>
      <c r="D500" s="13"/>
      <c r="E500" s="8"/>
      <c r="F500" s="21"/>
      <c r="G500" s="38"/>
      <c r="H500" s="48"/>
      <c r="I500" s="48"/>
      <c r="J500" s="39"/>
      <c r="K500" s="19"/>
      <c r="L500" s="12"/>
      <c r="M500" s="17"/>
    </row>
    <row r="501" spans="1:13" x14ac:dyDescent="0.25">
      <c r="A501" s="12"/>
      <c r="B501" s="14"/>
      <c r="C501" s="20"/>
      <c r="D501" s="13"/>
      <c r="E501" s="8"/>
      <c r="F501" s="21"/>
      <c r="G501" s="38"/>
      <c r="H501" s="48"/>
      <c r="I501" s="48"/>
      <c r="J501" s="39"/>
      <c r="K501" s="19"/>
      <c r="L501" s="12"/>
      <c r="M501" s="17"/>
    </row>
    <row r="502" spans="1:13" x14ac:dyDescent="0.25">
      <c r="A502" s="12"/>
      <c r="B502" s="14"/>
      <c r="C502" s="20"/>
      <c r="D502" s="13"/>
      <c r="E502" s="8"/>
      <c r="F502" s="21"/>
      <c r="G502" s="38"/>
      <c r="H502" s="48"/>
      <c r="I502" s="48"/>
      <c r="J502" s="39"/>
      <c r="K502" s="19"/>
      <c r="L502" s="12"/>
      <c r="M502" s="17"/>
    </row>
    <row r="503" spans="1:13" x14ac:dyDescent="0.25">
      <c r="A503" s="12"/>
      <c r="B503" s="14"/>
      <c r="C503" s="20"/>
      <c r="D503" s="13"/>
      <c r="E503" s="8"/>
      <c r="F503" s="21"/>
      <c r="G503" s="38"/>
      <c r="H503" s="48"/>
      <c r="I503" s="48"/>
      <c r="J503" s="39"/>
      <c r="K503" s="19"/>
      <c r="L503" s="12"/>
      <c r="M503" s="17"/>
    </row>
    <row r="504" spans="1:13" x14ac:dyDescent="0.25">
      <c r="A504" s="12"/>
      <c r="B504" s="14"/>
      <c r="C504" s="20"/>
      <c r="D504" s="13"/>
      <c r="E504" s="8"/>
      <c r="F504" s="21"/>
      <c r="G504" s="38"/>
      <c r="H504" s="48"/>
      <c r="I504" s="48"/>
      <c r="J504" s="39"/>
      <c r="K504" s="19"/>
      <c r="L504" s="12"/>
      <c r="M504" s="17"/>
    </row>
    <row r="505" spans="1:13" x14ac:dyDescent="0.25">
      <c r="A505" s="12"/>
      <c r="B505" s="14"/>
      <c r="C505" s="20"/>
      <c r="D505" s="13"/>
      <c r="E505" s="8"/>
      <c r="F505" s="21"/>
      <c r="G505" s="38"/>
      <c r="H505" s="48"/>
      <c r="I505" s="48"/>
      <c r="J505" s="39"/>
      <c r="K505" s="19"/>
      <c r="L505" s="12"/>
      <c r="M505" s="17"/>
    </row>
    <row r="506" spans="1:13" x14ac:dyDescent="0.25">
      <c r="A506" s="12"/>
      <c r="B506" s="14"/>
      <c r="C506" s="20"/>
      <c r="D506" s="13"/>
      <c r="E506" s="8"/>
      <c r="F506" s="21"/>
      <c r="G506" s="38"/>
      <c r="H506" s="48"/>
      <c r="I506" s="48"/>
      <c r="J506" s="39"/>
      <c r="K506" s="19"/>
      <c r="L506" s="12"/>
      <c r="M506" s="17"/>
    </row>
    <row r="507" spans="1:13" x14ac:dyDescent="0.25">
      <c r="A507" s="12"/>
      <c r="B507" s="14"/>
      <c r="C507" s="20"/>
      <c r="D507" s="13"/>
      <c r="E507" s="8"/>
      <c r="F507" s="21"/>
      <c r="G507" s="38"/>
      <c r="H507" s="48"/>
      <c r="I507" s="48"/>
      <c r="J507" s="39"/>
      <c r="K507" s="19"/>
      <c r="L507" s="12"/>
      <c r="M507" s="17"/>
    </row>
    <row r="508" spans="1:13" x14ac:dyDescent="0.25">
      <c r="A508" s="12"/>
      <c r="B508" s="14"/>
      <c r="C508" s="20"/>
      <c r="D508" s="13"/>
      <c r="E508" s="8"/>
      <c r="F508" s="21"/>
      <c r="G508" s="38"/>
      <c r="H508" s="48"/>
      <c r="I508" s="48"/>
      <c r="J508" s="39"/>
      <c r="K508" s="19"/>
      <c r="L508" s="12"/>
      <c r="M508" s="17"/>
    </row>
    <row r="509" spans="1:13" x14ac:dyDescent="0.25">
      <c r="A509" s="12"/>
      <c r="B509" s="14"/>
      <c r="C509" s="20"/>
      <c r="D509" s="13"/>
      <c r="E509" s="8"/>
      <c r="F509" s="21"/>
      <c r="G509" s="38"/>
      <c r="H509" s="48"/>
      <c r="I509" s="48"/>
      <c r="J509" s="39"/>
      <c r="K509" s="19"/>
      <c r="L509" s="12"/>
      <c r="M509" s="17"/>
    </row>
    <row r="510" spans="1:13" x14ac:dyDescent="0.25">
      <c r="A510" s="12"/>
      <c r="B510" s="14"/>
      <c r="C510" s="20"/>
      <c r="D510" s="13"/>
      <c r="E510" s="8"/>
      <c r="F510" s="21"/>
      <c r="G510" s="38"/>
      <c r="H510" s="48"/>
      <c r="I510" s="48"/>
      <c r="J510" s="39"/>
      <c r="K510" s="19"/>
      <c r="L510" s="12"/>
      <c r="M510" s="17"/>
    </row>
    <row r="511" spans="1:13" x14ac:dyDescent="0.25">
      <c r="A511" s="12"/>
      <c r="B511" s="14"/>
      <c r="C511" s="20"/>
      <c r="D511" s="13"/>
      <c r="E511" s="8"/>
      <c r="F511" s="21"/>
      <c r="G511" s="38"/>
      <c r="H511" s="48"/>
      <c r="I511" s="48"/>
      <c r="J511" s="39"/>
      <c r="K511" s="19"/>
      <c r="L511" s="12"/>
      <c r="M511" s="17"/>
    </row>
    <row r="512" spans="1:13" x14ac:dyDescent="0.25">
      <c r="A512" s="12"/>
      <c r="B512" s="14"/>
      <c r="C512" s="20"/>
      <c r="D512" s="13"/>
      <c r="E512" s="8"/>
      <c r="F512" s="21"/>
      <c r="G512" s="38"/>
      <c r="H512" s="48"/>
      <c r="I512" s="48"/>
      <c r="J512" s="39"/>
      <c r="K512" s="19"/>
      <c r="L512" s="12"/>
      <c r="M512" s="17"/>
    </row>
    <row r="513" spans="1:13" x14ac:dyDescent="0.25">
      <c r="A513" s="12"/>
      <c r="B513" s="14"/>
      <c r="C513" s="20"/>
      <c r="D513" s="13"/>
      <c r="E513" s="8"/>
      <c r="F513" s="21"/>
      <c r="G513" s="38"/>
      <c r="H513" s="48"/>
      <c r="I513" s="48"/>
      <c r="J513" s="39"/>
      <c r="K513" s="19"/>
      <c r="L513" s="12"/>
      <c r="M513" s="17"/>
    </row>
    <row r="514" spans="1:13" x14ac:dyDescent="0.25">
      <c r="A514" s="12"/>
      <c r="B514" s="14"/>
      <c r="C514" s="20"/>
      <c r="D514" s="13"/>
      <c r="E514" s="8"/>
      <c r="F514" s="21"/>
      <c r="G514" s="38"/>
      <c r="H514" s="48"/>
      <c r="I514" s="48"/>
      <c r="J514" s="39"/>
      <c r="K514" s="19"/>
      <c r="L514" s="12"/>
      <c r="M514" s="17"/>
    </row>
    <row r="515" spans="1:13" x14ac:dyDescent="0.25">
      <c r="A515" s="12"/>
      <c r="B515" s="14"/>
      <c r="C515" s="20"/>
      <c r="D515" s="13"/>
      <c r="E515" s="8"/>
      <c r="F515" s="21"/>
      <c r="G515" s="38"/>
      <c r="H515" s="48"/>
      <c r="I515" s="48"/>
      <c r="J515" s="39"/>
      <c r="K515" s="19"/>
      <c r="L515" s="12"/>
      <c r="M515" s="17"/>
    </row>
    <row r="516" spans="1:13" x14ac:dyDescent="0.25">
      <c r="A516" s="12"/>
      <c r="B516" s="14"/>
      <c r="C516" s="20"/>
      <c r="D516" s="13"/>
      <c r="E516" s="8"/>
      <c r="F516" s="21"/>
      <c r="G516" s="38"/>
      <c r="H516" s="48"/>
      <c r="I516" s="48"/>
      <c r="J516" s="39"/>
      <c r="K516" s="19"/>
      <c r="L516" s="12"/>
      <c r="M516" s="17"/>
    </row>
    <row r="517" spans="1:13" x14ac:dyDescent="0.25">
      <c r="A517" s="12"/>
      <c r="B517" s="14"/>
      <c r="C517" s="20"/>
      <c r="D517" s="13"/>
      <c r="E517" s="8"/>
      <c r="F517" s="21"/>
      <c r="G517" s="38"/>
      <c r="H517" s="48"/>
      <c r="I517" s="48"/>
      <c r="J517" s="39"/>
      <c r="K517" s="19"/>
      <c r="L517" s="12"/>
      <c r="M517" s="17"/>
    </row>
    <row r="518" spans="1:13" x14ac:dyDescent="0.25">
      <c r="A518" s="12"/>
      <c r="B518" s="14"/>
      <c r="C518" s="20"/>
      <c r="D518" s="13"/>
      <c r="E518" s="8"/>
      <c r="F518" s="21"/>
      <c r="G518" s="38"/>
      <c r="H518" s="48"/>
      <c r="I518" s="48"/>
      <c r="J518" s="39"/>
      <c r="K518" s="19"/>
      <c r="L518" s="12"/>
      <c r="M518" s="17"/>
    </row>
    <row r="519" spans="1:13" x14ac:dyDescent="0.25">
      <c r="A519" s="12"/>
      <c r="B519" s="14"/>
      <c r="C519" s="20"/>
      <c r="D519" s="13"/>
      <c r="E519" s="8"/>
      <c r="F519" s="21"/>
      <c r="G519" s="38"/>
      <c r="H519" s="48"/>
      <c r="I519" s="48"/>
      <c r="J519" s="39"/>
      <c r="K519" s="19"/>
      <c r="L519" s="12"/>
      <c r="M519" s="17"/>
    </row>
    <row r="520" spans="1:13" x14ac:dyDescent="0.25">
      <c r="A520" s="12"/>
      <c r="B520" s="14"/>
      <c r="C520" s="20"/>
      <c r="D520" s="13"/>
      <c r="E520" s="8"/>
      <c r="F520" s="21"/>
      <c r="G520" s="38"/>
      <c r="H520" s="48"/>
      <c r="I520" s="48"/>
      <c r="J520" s="39"/>
      <c r="K520" s="19"/>
      <c r="L520" s="12"/>
      <c r="M520" s="17"/>
    </row>
    <row r="521" spans="1:13" x14ac:dyDescent="0.25">
      <c r="A521" s="12"/>
      <c r="B521" s="14"/>
      <c r="C521" s="20"/>
      <c r="D521" s="13"/>
      <c r="E521" s="8"/>
      <c r="F521" s="21"/>
      <c r="G521" s="38"/>
      <c r="H521" s="48"/>
      <c r="I521" s="48"/>
      <c r="J521" s="39"/>
      <c r="K521" s="19"/>
      <c r="L521" s="12"/>
      <c r="M521" s="17"/>
    </row>
    <row r="522" spans="1:13" x14ac:dyDescent="0.25">
      <c r="A522" s="12"/>
      <c r="B522" s="14"/>
      <c r="C522" s="20"/>
      <c r="D522" s="13"/>
      <c r="E522" s="8"/>
      <c r="F522" s="21"/>
      <c r="G522" s="38"/>
      <c r="H522" s="48"/>
      <c r="I522" s="48"/>
      <c r="J522" s="39"/>
      <c r="K522" s="19"/>
      <c r="L522" s="12"/>
      <c r="M522" s="17"/>
    </row>
    <row r="523" spans="1:13" x14ac:dyDescent="0.25">
      <c r="A523" s="12"/>
      <c r="B523" s="14"/>
      <c r="C523" s="20"/>
      <c r="D523" s="13"/>
      <c r="E523" s="8"/>
      <c r="F523" s="21"/>
      <c r="G523" s="38"/>
      <c r="H523" s="48"/>
      <c r="I523" s="48"/>
      <c r="J523" s="39"/>
      <c r="K523" s="19"/>
      <c r="L523" s="12"/>
      <c r="M523" s="17"/>
    </row>
    <row r="524" spans="1:13" x14ac:dyDescent="0.25">
      <c r="A524" s="12"/>
      <c r="B524" s="14"/>
      <c r="C524" s="20"/>
      <c r="D524" s="13"/>
      <c r="E524" s="8"/>
      <c r="F524" s="21"/>
      <c r="G524" s="38"/>
      <c r="H524" s="48"/>
      <c r="I524" s="48"/>
      <c r="J524" s="39"/>
      <c r="K524" s="19"/>
      <c r="L524" s="12"/>
      <c r="M524" s="17"/>
    </row>
    <row r="525" spans="1:13" x14ac:dyDescent="0.25">
      <c r="A525" s="12"/>
      <c r="B525" s="14"/>
      <c r="C525" s="20"/>
      <c r="D525" s="13"/>
      <c r="E525" s="8"/>
      <c r="F525" s="21"/>
      <c r="G525" s="38"/>
      <c r="H525" s="48"/>
      <c r="I525" s="48"/>
      <c r="J525" s="39"/>
      <c r="K525" s="19"/>
      <c r="L525" s="12"/>
      <c r="M525" s="17"/>
    </row>
    <row r="526" spans="1:13" x14ac:dyDescent="0.25">
      <c r="A526" s="12"/>
      <c r="B526" s="14"/>
      <c r="C526" s="20"/>
      <c r="D526" s="13"/>
      <c r="E526" s="8"/>
      <c r="F526" s="21"/>
      <c r="G526" s="38"/>
      <c r="H526" s="48"/>
      <c r="I526" s="48"/>
      <c r="J526" s="39"/>
      <c r="K526" s="19"/>
      <c r="L526" s="12"/>
      <c r="M526" s="17"/>
    </row>
    <row r="527" spans="1:13" x14ac:dyDescent="0.25">
      <c r="A527" s="12"/>
      <c r="B527" s="14"/>
      <c r="C527" s="20"/>
      <c r="D527" s="13"/>
      <c r="E527" s="8"/>
      <c r="F527" s="21"/>
      <c r="G527" s="38"/>
      <c r="H527" s="48"/>
      <c r="I527" s="48"/>
      <c r="J527" s="39"/>
      <c r="K527" s="19"/>
      <c r="L527" s="12"/>
      <c r="M527" s="17"/>
    </row>
    <row r="528" spans="1:13" x14ac:dyDescent="0.25">
      <c r="A528" s="12"/>
      <c r="B528" s="14"/>
      <c r="C528" s="20"/>
      <c r="D528" s="13"/>
      <c r="E528" s="8"/>
      <c r="F528" s="21"/>
      <c r="G528" s="38"/>
      <c r="H528" s="48"/>
      <c r="I528" s="48"/>
      <c r="J528" s="39"/>
      <c r="K528" s="19"/>
      <c r="L528" s="12"/>
      <c r="M528" s="17"/>
    </row>
    <row r="529" spans="1:13" x14ac:dyDescent="0.25">
      <c r="A529" s="12"/>
      <c r="B529" s="14"/>
      <c r="C529" s="20"/>
      <c r="D529" s="13"/>
      <c r="E529" s="8"/>
      <c r="F529" s="21"/>
      <c r="G529" s="38"/>
      <c r="H529" s="48"/>
      <c r="I529" s="48"/>
      <c r="J529" s="39"/>
      <c r="K529" s="19"/>
      <c r="L529" s="12"/>
      <c r="M529" s="17"/>
    </row>
    <row r="530" spans="1:13" x14ac:dyDescent="0.25">
      <c r="A530" s="12"/>
      <c r="B530" s="14"/>
      <c r="C530" s="20"/>
      <c r="D530" s="13"/>
      <c r="E530" s="8"/>
      <c r="F530" s="21"/>
      <c r="G530" s="38"/>
      <c r="H530" s="48"/>
      <c r="I530" s="48"/>
      <c r="J530" s="39"/>
      <c r="K530" s="19"/>
      <c r="L530" s="12"/>
      <c r="M530" s="17"/>
    </row>
    <row r="531" spans="1:13" x14ac:dyDescent="0.25">
      <c r="A531" s="12"/>
      <c r="B531" s="14"/>
      <c r="C531" s="20"/>
      <c r="D531" s="13"/>
      <c r="E531" s="8"/>
      <c r="F531" s="21"/>
      <c r="G531" s="38"/>
      <c r="H531" s="48"/>
      <c r="I531" s="48"/>
      <c r="J531" s="39"/>
      <c r="K531" s="19"/>
      <c r="L531" s="12"/>
      <c r="M531" s="17"/>
    </row>
    <row r="532" spans="1:13" x14ac:dyDescent="0.25">
      <c r="A532" s="12"/>
      <c r="B532" s="14"/>
      <c r="C532" s="20"/>
      <c r="D532" s="13"/>
      <c r="E532" s="8"/>
      <c r="F532" s="21"/>
      <c r="G532" s="38"/>
      <c r="H532" s="48"/>
      <c r="I532" s="48"/>
      <c r="J532" s="39"/>
      <c r="K532" s="19"/>
      <c r="L532" s="12"/>
      <c r="M532" s="17"/>
    </row>
    <row r="533" spans="1:13" x14ac:dyDescent="0.25">
      <c r="A533" s="12"/>
      <c r="B533" s="14"/>
      <c r="C533" s="20"/>
      <c r="D533" s="13"/>
      <c r="E533" s="8"/>
      <c r="F533" s="21"/>
      <c r="G533" s="38"/>
      <c r="H533" s="48"/>
      <c r="I533" s="48"/>
      <c r="J533" s="39"/>
      <c r="K533" s="19"/>
      <c r="L533" s="12"/>
      <c r="M533" s="17"/>
    </row>
    <row r="534" spans="1:13" x14ac:dyDescent="0.25">
      <c r="A534" s="12"/>
      <c r="B534" s="14"/>
      <c r="C534" s="20"/>
      <c r="D534" s="13"/>
      <c r="E534" s="8"/>
      <c r="F534" s="21"/>
      <c r="G534" s="38"/>
      <c r="H534" s="48"/>
      <c r="I534" s="48"/>
      <c r="J534" s="39"/>
      <c r="K534" s="19"/>
      <c r="L534" s="12"/>
      <c r="M534" s="17"/>
    </row>
    <row r="535" spans="1:13" x14ac:dyDescent="0.25">
      <c r="A535" s="12"/>
      <c r="B535" s="14"/>
      <c r="C535" s="20"/>
      <c r="D535" s="13"/>
      <c r="E535" s="8"/>
      <c r="F535" s="21"/>
      <c r="G535" s="38"/>
      <c r="H535" s="48"/>
      <c r="I535" s="48"/>
      <c r="J535" s="39"/>
      <c r="K535" s="19"/>
      <c r="L535" s="12"/>
      <c r="M535" s="17"/>
    </row>
    <row r="536" spans="1:13" x14ac:dyDescent="0.25">
      <c r="A536" s="12"/>
      <c r="B536" s="14"/>
      <c r="C536" s="20"/>
      <c r="D536" s="13"/>
      <c r="E536" s="8"/>
      <c r="F536" s="21"/>
      <c r="G536" s="38"/>
      <c r="H536" s="48"/>
      <c r="I536" s="48"/>
      <c r="J536" s="39"/>
      <c r="K536" s="19"/>
      <c r="L536" s="12"/>
      <c r="M536" s="17"/>
    </row>
    <row r="537" spans="1:13" x14ac:dyDescent="0.25">
      <c r="A537" s="12"/>
      <c r="B537" s="14"/>
      <c r="C537" s="20"/>
      <c r="D537" s="13"/>
      <c r="E537" s="8"/>
      <c r="F537" s="21"/>
      <c r="G537" s="38"/>
      <c r="H537" s="48"/>
      <c r="I537" s="48"/>
      <c r="J537" s="39"/>
      <c r="K537" s="19"/>
      <c r="L537" s="12"/>
      <c r="M537" s="17"/>
    </row>
    <row r="538" spans="1:13" x14ac:dyDescent="0.25">
      <c r="A538" s="12"/>
      <c r="B538" s="14"/>
      <c r="C538" s="20"/>
      <c r="D538" s="13"/>
      <c r="E538" s="8"/>
      <c r="F538" s="21"/>
      <c r="G538" s="38"/>
      <c r="H538" s="48"/>
      <c r="I538" s="48"/>
      <c r="J538" s="39"/>
      <c r="K538" s="19"/>
      <c r="L538" s="12"/>
      <c r="M538" s="17"/>
    </row>
    <row r="539" spans="1:13" x14ac:dyDescent="0.25">
      <c r="A539" s="12"/>
      <c r="B539" s="14"/>
      <c r="C539" s="20"/>
      <c r="D539" s="13"/>
      <c r="E539" s="8"/>
      <c r="F539" s="21"/>
      <c r="G539" s="38"/>
      <c r="H539" s="48"/>
      <c r="I539" s="48"/>
      <c r="J539" s="39"/>
      <c r="K539" s="19"/>
      <c r="L539" s="12"/>
      <c r="M539" s="17"/>
    </row>
    <row r="540" spans="1:13" x14ac:dyDescent="0.25">
      <c r="A540" s="12"/>
      <c r="B540" s="14"/>
      <c r="C540" s="20"/>
      <c r="D540" s="13"/>
      <c r="E540" s="8"/>
      <c r="F540" s="21"/>
      <c r="G540" s="38"/>
      <c r="H540" s="48"/>
      <c r="I540" s="48"/>
      <c r="J540" s="39"/>
      <c r="K540" s="19"/>
      <c r="L540" s="12"/>
      <c r="M540" s="17"/>
    </row>
    <row r="541" spans="1:13" x14ac:dyDescent="0.25">
      <c r="A541" s="12"/>
      <c r="B541" s="14"/>
      <c r="C541" s="20"/>
      <c r="D541" s="13"/>
      <c r="E541" s="8"/>
      <c r="F541" s="21"/>
      <c r="G541" s="38"/>
      <c r="H541" s="48"/>
      <c r="I541" s="48"/>
      <c r="J541" s="39"/>
      <c r="K541" s="19"/>
      <c r="L541" s="12"/>
      <c r="M541" s="17"/>
    </row>
    <row r="542" spans="1:13" x14ac:dyDescent="0.25">
      <c r="A542" s="12"/>
      <c r="B542" s="14"/>
      <c r="C542" s="20"/>
      <c r="D542" s="13"/>
      <c r="E542" s="8"/>
      <c r="F542" s="21"/>
      <c r="G542" s="38"/>
      <c r="H542" s="48"/>
      <c r="I542" s="48"/>
      <c r="J542" s="39"/>
      <c r="K542" s="19"/>
      <c r="L542" s="12"/>
      <c r="M542" s="17"/>
    </row>
    <row r="543" spans="1:13" x14ac:dyDescent="0.25">
      <c r="A543" s="12"/>
      <c r="B543" s="14"/>
      <c r="C543" s="20"/>
      <c r="D543" s="13"/>
      <c r="E543" s="8"/>
      <c r="F543" s="21"/>
      <c r="G543" s="38"/>
      <c r="H543" s="48"/>
      <c r="I543" s="48"/>
      <c r="J543" s="39"/>
      <c r="K543" s="19"/>
      <c r="L543" s="12"/>
      <c r="M543" s="17"/>
    </row>
    <row r="544" spans="1:13" x14ac:dyDescent="0.25">
      <c r="A544" s="12"/>
      <c r="B544" s="14"/>
      <c r="C544" s="20"/>
      <c r="D544" s="13"/>
      <c r="E544" s="8"/>
      <c r="F544" s="21"/>
      <c r="G544" s="38"/>
      <c r="H544" s="48"/>
      <c r="I544" s="48"/>
      <c r="J544" s="39"/>
      <c r="K544" s="19"/>
      <c r="L544" s="12"/>
      <c r="M544" s="17"/>
    </row>
    <row r="545" spans="1:13" x14ac:dyDescent="0.25">
      <c r="A545" s="12"/>
      <c r="B545" s="14"/>
      <c r="C545" s="20"/>
      <c r="D545" s="13"/>
      <c r="E545" s="8"/>
      <c r="F545" s="21"/>
      <c r="G545" s="38"/>
      <c r="H545" s="48"/>
      <c r="I545" s="48"/>
      <c r="J545" s="39"/>
      <c r="K545" s="19"/>
      <c r="L545" s="12"/>
      <c r="M545" s="17"/>
    </row>
    <row r="546" spans="1:13" x14ac:dyDescent="0.25">
      <c r="A546" s="12"/>
      <c r="B546" s="14"/>
      <c r="C546" s="20"/>
      <c r="D546" s="13"/>
      <c r="E546" s="8"/>
      <c r="F546" s="21"/>
      <c r="G546" s="38"/>
      <c r="H546" s="48"/>
      <c r="I546" s="48"/>
      <c r="J546" s="39"/>
      <c r="K546" s="19"/>
      <c r="L546" s="12"/>
      <c r="M546" s="17"/>
    </row>
    <row r="547" spans="1:13" x14ac:dyDescent="0.25">
      <c r="A547" s="12"/>
      <c r="B547" s="14"/>
      <c r="C547" s="20"/>
      <c r="D547" s="13"/>
      <c r="E547" s="8"/>
      <c r="F547" s="21"/>
      <c r="G547" s="38"/>
      <c r="H547" s="48"/>
      <c r="I547" s="48"/>
      <c r="J547" s="39"/>
      <c r="K547" s="19"/>
      <c r="L547" s="12"/>
      <c r="M547" s="17"/>
    </row>
    <row r="548" spans="1:13" x14ac:dyDescent="0.25">
      <c r="A548" s="12"/>
      <c r="B548" s="14"/>
      <c r="C548" s="20"/>
      <c r="D548" s="13"/>
      <c r="E548" s="8"/>
      <c r="F548" s="21"/>
      <c r="G548" s="38"/>
      <c r="H548" s="48"/>
      <c r="I548" s="48"/>
      <c r="J548" s="39"/>
      <c r="K548" s="19"/>
      <c r="L548" s="12"/>
      <c r="M548" s="17"/>
    </row>
    <row r="549" spans="1:13" x14ac:dyDescent="0.25">
      <c r="A549" s="12"/>
      <c r="B549" s="14"/>
      <c r="C549" s="20"/>
      <c r="D549" s="13"/>
      <c r="E549" s="8"/>
      <c r="F549" s="21"/>
      <c r="G549" s="38"/>
      <c r="H549" s="48"/>
      <c r="I549" s="48"/>
      <c r="J549" s="39"/>
      <c r="K549" s="19"/>
      <c r="L549" s="12"/>
      <c r="M549" s="17"/>
    </row>
    <row r="550" spans="1:13" x14ac:dyDescent="0.25">
      <c r="A550" s="12"/>
      <c r="B550" s="14"/>
      <c r="C550" s="20"/>
      <c r="D550" s="13"/>
      <c r="E550" s="8"/>
      <c r="F550" s="21"/>
      <c r="G550" s="38"/>
      <c r="H550" s="48"/>
      <c r="I550" s="48"/>
      <c r="J550" s="39"/>
      <c r="K550" s="19"/>
      <c r="L550" s="12"/>
      <c r="M550" s="17"/>
    </row>
    <row r="551" spans="1:13" x14ac:dyDescent="0.25">
      <c r="A551" s="12"/>
      <c r="B551" s="14"/>
      <c r="C551" s="20"/>
      <c r="D551" s="13"/>
      <c r="E551" s="8"/>
      <c r="F551" s="21"/>
      <c r="G551" s="38"/>
      <c r="H551" s="48"/>
      <c r="I551" s="48"/>
      <c r="J551" s="39"/>
      <c r="K551" s="19"/>
      <c r="L551" s="12"/>
      <c r="M551" s="17"/>
    </row>
    <row r="552" spans="1:13" x14ac:dyDescent="0.25">
      <c r="A552" s="12"/>
      <c r="B552" s="14"/>
      <c r="C552" s="20"/>
      <c r="D552" s="13"/>
      <c r="E552" s="8"/>
      <c r="F552" s="21"/>
      <c r="G552" s="38"/>
      <c r="H552" s="48"/>
      <c r="I552" s="48"/>
      <c r="J552" s="39"/>
      <c r="K552" s="19"/>
      <c r="L552" s="12"/>
      <c r="M552" s="17"/>
    </row>
    <row r="553" spans="1:13" x14ac:dyDescent="0.25">
      <c r="A553" s="12"/>
      <c r="B553" s="14"/>
      <c r="C553" s="20"/>
      <c r="D553" s="13"/>
      <c r="E553" s="8"/>
      <c r="F553" s="21"/>
      <c r="G553" s="38"/>
      <c r="H553" s="48"/>
      <c r="I553" s="48"/>
      <c r="J553" s="39"/>
      <c r="K553" s="19"/>
      <c r="L553" s="12"/>
      <c r="M553" s="17"/>
    </row>
    <row r="554" spans="1:13" x14ac:dyDescent="0.25">
      <c r="A554" s="12"/>
      <c r="B554" s="14"/>
      <c r="C554" s="20"/>
      <c r="D554" s="13"/>
      <c r="E554" s="8"/>
      <c r="F554" s="21"/>
      <c r="G554" s="38"/>
      <c r="H554" s="48"/>
      <c r="I554" s="48"/>
      <c r="J554" s="39"/>
      <c r="K554" s="19"/>
      <c r="L554" s="12"/>
      <c r="M554" s="17"/>
    </row>
    <row r="555" spans="1:13" x14ac:dyDescent="0.25">
      <c r="A555" s="12"/>
      <c r="B555" s="14"/>
      <c r="C555" s="20"/>
      <c r="D555" s="13"/>
      <c r="E555" s="8"/>
      <c r="F555" s="21"/>
      <c r="G555" s="38"/>
      <c r="H555" s="48"/>
      <c r="I555" s="48"/>
      <c r="J555" s="39"/>
      <c r="K555" s="19"/>
      <c r="L555" s="12"/>
      <c r="M555" s="17"/>
    </row>
    <row r="556" spans="1:13" x14ac:dyDescent="0.25">
      <c r="A556" s="12"/>
      <c r="B556" s="14"/>
      <c r="C556" s="20"/>
      <c r="D556" s="13"/>
      <c r="E556" s="8"/>
      <c r="F556" s="21"/>
      <c r="G556" s="38"/>
      <c r="H556" s="48"/>
      <c r="I556" s="48"/>
      <c r="J556" s="39"/>
      <c r="K556" s="19"/>
      <c r="L556" s="12"/>
      <c r="M556" s="17"/>
    </row>
    <row r="557" spans="1:13" x14ac:dyDescent="0.25">
      <c r="A557" s="12"/>
      <c r="B557" s="14"/>
      <c r="C557" s="20"/>
      <c r="D557" s="13"/>
      <c r="E557" s="8"/>
      <c r="F557" s="21"/>
      <c r="G557" s="38"/>
      <c r="H557" s="48"/>
      <c r="I557" s="48"/>
      <c r="J557" s="39"/>
      <c r="K557" s="19"/>
      <c r="L557" s="12"/>
      <c r="M557" s="17"/>
    </row>
    <row r="558" spans="1:13" x14ac:dyDescent="0.25">
      <c r="A558" s="12"/>
      <c r="B558" s="14"/>
      <c r="C558" s="20"/>
      <c r="D558" s="13"/>
      <c r="E558" s="8"/>
      <c r="F558" s="21"/>
      <c r="G558" s="38"/>
      <c r="H558" s="48"/>
      <c r="I558" s="48"/>
      <c r="J558" s="39"/>
      <c r="K558" s="19"/>
      <c r="L558" s="12"/>
      <c r="M558" s="17"/>
    </row>
    <row r="559" spans="1:13" x14ac:dyDescent="0.25">
      <c r="A559" s="12"/>
      <c r="B559" s="14"/>
      <c r="C559" s="20"/>
      <c r="D559" s="13"/>
      <c r="E559" s="8"/>
      <c r="F559" s="21"/>
      <c r="G559" s="38"/>
      <c r="H559" s="48"/>
      <c r="I559" s="48"/>
      <c r="J559" s="39"/>
      <c r="K559" s="19"/>
      <c r="L559" s="12"/>
      <c r="M559" s="17"/>
    </row>
    <row r="560" spans="1:13" x14ac:dyDescent="0.25">
      <c r="A560" s="12"/>
      <c r="B560" s="14"/>
      <c r="C560" s="20"/>
      <c r="D560" s="13"/>
      <c r="E560" s="8"/>
      <c r="F560" s="21"/>
      <c r="G560" s="38"/>
      <c r="H560" s="48"/>
      <c r="I560" s="48"/>
      <c r="J560" s="39"/>
      <c r="K560" s="19"/>
      <c r="L560" s="12"/>
      <c r="M560" s="17"/>
    </row>
    <row r="561" spans="1:13" x14ac:dyDescent="0.25">
      <c r="A561" s="12"/>
      <c r="B561" s="14"/>
      <c r="C561" s="20"/>
      <c r="D561" s="13"/>
      <c r="E561" s="8"/>
      <c r="F561" s="21"/>
      <c r="G561" s="38"/>
      <c r="H561" s="48"/>
      <c r="I561" s="48"/>
      <c r="J561" s="39"/>
      <c r="K561" s="19"/>
      <c r="L561" s="12"/>
      <c r="M561" s="17"/>
    </row>
    <row r="562" spans="1:13" x14ac:dyDescent="0.25">
      <c r="A562" s="12"/>
      <c r="B562" s="14"/>
      <c r="C562" s="20"/>
      <c r="D562" s="13"/>
      <c r="E562" s="8"/>
      <c r="F562" s="21"/>
      <c r="G562" s="38"/>
      <c r="H562" s="48"/>
      <c r="I562" s="48"/>
      <c r="J562" s="39"/>
      <c r="K562" s="19"/>
      <c r="L562" s="12"/>
      <c r="M562" s="17"/>
    </row>
    <row r="563" spans="1:13" x14ac:dyDescent="0.25">
      <c r="A563" s="12"/>
      <c r="B563" s="14"/>
      <c r="C563" s="20"/>
      <c r="D563" s="13"/>
      <c r="E563" s="8"/>
      <c r="F563" s="21"/>
      <c r="G563" s="38"/>
      <c r="H563" s="48"/>
      <c r="I563" s="48"/>
      <c r="J563" s="39"/>
      <c r="K563" s="19"/>
      <c r="L563" s="12"/>
      <c r="M563" s="17"/>
    </row>
    <row r="564" spans="1:13" x14ac:dyDescent="0.25">
      <c r="A564" s="12"/>
      <c r="B564" s="14"/>
      <c r="C564" s="20"/>
      <c r="D564" s="13"/>
      <c r="E564" s="8"/>
      <c r="F564" s="21"/>
      <c r="G564" s="38"/>
      <c r="H564" s="48"/>
      <c r="I564" s="48"/>
      <c r="J564" s="39"/>
      <c r="K564" s="19"/>
      <c r="L564" s="12"/>
      <c r="M564" s="17"/>
    </row>
    <row r="565" spans="1:13" x14ac:dyDescent="0.25">
      <c r="A565" s="12"/>
      <c r="B565" s="14"/>
      <c r="C565" s="20"/>
      <c r="D565" s="13"/>
      <c r="E565" s="8"/>
      <c r="F565" s="21"/>
      <c r="G565" s="38"/>
      <c r="H565" s="48"/>
      <c r="I565" s="48"/>
      <c r="J565" s="39"/>
      <c r="K565" s="19"/>
      <c r="L565" s="12"/>
      <c r="M565" s="17"/>
    </row>
    <row r="566" spans="1:13" x14ac:dyDescent="0.25">
      <c r="A566" s="12"/>
      <c r="B566" s="14"/>
      <c r="C566" s="20"/>
      <c r="D566" s="13"/>
      <c r="E566" s="8"/>
      <c r="F566" s="21"/>
      <c r="G566" s="38"/>
      <c r="H566" s="48"/>
      <c r="I566" s="48"/>
      <c r="J566" s="39"/>
      <c r="K566" s="19"/>
      <c r="L566" s="12"/>
      <c r="M566" s="17"/>
    </row>
    <row r="567" spans="1:13" x14ac:dyDescent="0.25">
      <c r="A567" s="12"/>
      <c r="B567" s="14"/>
      <c r="C567" s="20"/>
      <c r="D567" s="13"/>
      <c r="E567" s="8"/>
      <c r="F567" s="21"/>
      <c r="G567" s="38"/>
      <c r="H567" s="48"/>
      <c r="I567" s="48"/>
      <c r="J567" s="39"/>
      <c r="K567" s="19"/>
      <c r="L567" s="12"/>
      <c r="M567" s="17"/>
    </row>
    <row r="568" spans="1:13" x14ac:dyDescent="0.25">
      <c r="A568" s="12"/>
      <c r="B568" s="14"/>
      <c r="C568" s="20"/>
      <c r="D568" s="13"/>
      <c r="E568" s="8"/>
      <c r="F568" s="21"/>
      <c r="G568" s="38"/>
      <c r="H568" s="48"/>
      <c r="I568" s="48"/>
      <c r="J568" s="39"/>
      <c r="K568" s="19"/>
      <c r="L568" s="12"/>
      <c r="M568" s="17"/>
    </row>
    <row r="569" spans="1:13" x14ac:dyDescent="0.25">
      <c r="A569" s="12"/>
      <c r="B569" s="14"/>
      <c r="C569" s="20"/>
      <c r="D569" s="13"/>
      <c r="E569" s="8"/>
      <c r="F569" s="21"/>
      <c r="G569" s="38"/>
      <c r="H569" s="48"/>
      <c r="I569" s="48"/>
      <c r="J569" s="39"/>
      <c r="K569" s="19"/>
      <c r="L569" s="12"/>
      <c r="M569" s="17"/>
    </row>
    <row r="570" spans="1:13" x14ac:dyDescent="0.25">
      <c r="A570" s="12"/>
      <c r="B570" s="14"/>
      <c r="C570" s="20"/>
      <c r="D570" s="13"/>
      <c r="E570" s="8"/>
      <c r="F570" s="21"/>
      <c r="G570" s="38"/>
      <c r="H570" s="48"/>
      <c r="I570" s="48"/>
      <c r="J570" s="39"/>
      <c r="K570" s="19"/>
      <c r="L570" s="12"/>
      <c r="M570" s="17"/>
    </row>
    <row r="571" spans="1:13" x14ac:dyDescent="0.25">
      <c r="A571" s="12"/>
      <c r="B571" s="14"/>
      <c r="C571" s="20"/>
      <c r="D571" s="13"/>
      <c r="E571" s="8"/>
      <c r="F571" s="21"/>
      <c r="G571" s="38"/>
      <c r="H571" s="48"/>
      <c r="I571" s="48"/>
      <c r="J571" s="39"/>
      <c r="K571" s="19"/>
      <c r="L571" s="12"/>
      <c r="M571" s="17"/>
    </row>
    <row r="572" spans="1:13" x14ac:dyDescent="0.25">
      <c r="A572" s="12"/>
      <c r="B572" s="14"/>
      <c r="C572" s="20"/>
      <c r="D572" s="13"/>
      <c r="E572" s="8"/>
      <c r="F572" s="21"/>
      <c r="G572" s="38"/>
      <c r="H572" s="48"/>
      <c r="I572" s="48"/>
      <c r="J572" s="39"/>
      <c r="K572" s="19"/>
      <c r="L572" s="12"/>
      <c r="M572" s="17"/>
    </row>
    <row r="573" spans="1:13" x14ac:dyDescent="0.25">
      <c r="A573" s="12"/>
      <c r="B573" s="14"/>
      <c r="C573" s="20"/>
      <c r="D573" s="13"/>
      <c r="E573" s="8"/>
      <c r="F573" s="21"/>
      <c r="G573" s="38"/>
      <c r="H573" s="48"/>
      <c r="I573" s="48"/>
      <c r="J573" s="39"/>
      <c r="K573" s="19"/>
      <c r="L573" s="12"/>
      <c r="M573" s="17"/>
    </row>
    <row r="574" spans="1:13" x14ac:dyDescent="0.25">
      <c r="A574" s="12"/>
      <c r="B574" s="14"/>
      <c r="C574" s="20"/>
      <c r="D574" s="13"/>
      <c r="E574" s="8"/>
      <c r="F574" s="21"/>
      <c r="G574" s="38"/>
      <c r="H574" s="48"/>
      <c r="I574" s="48"/>
      <c r="J574" s="39"/>
      <c r="K574" s="19"/>
      <c r="L574" s="12"/>
      <c r="M574" s="17"/>
    </row>
    <row r="575" spans="1:13" x14ac:dyDescent="0.25">
      <c r="A575" s="12"/>
      <c r="B575" s="14"/>
      <c r="C575" s="20"/>
      <c r="D575" s="13"/>
      <c r="E575" s="8"/>
      <c r="F575" s="21"/>
      <c r="G575" s="38"/>
      <c r="H575" s="48"/>
      <c r="I575" s="48"/>
      <c r="J575" s="39"/>
      <c r="K575" s="19"/>
      <c r="L575" s="12"/>
      <c r="M575" s="17"/>
    </row>
    <row r="576" spans="1:13" x14ac:dyDescent="0.25">
      <c r="A576" s="12"/>
      <c r="B576" s="14"/>
      <c r="C576" s="20"/>
      <c r="D576" s="13"/>
      <c r="E576" s="8"/>
      <c r="F576" s="21"/>
      <c r="G576" s="38"/>
      <c r="H576" s="48"/>
      <c r="I576" s="48"/>
      <c r="J576" s="39"/>
      <c r="K576" s="19"/>
      <c r="L576" s="12"/>
      <c r="M576" s="17"/>
    </row>
    <row r="577" spans="1:13" x14ac:dyDescent="0.25">
      <c r="A577" s="12"/>
      <c r="B577" s="14"/>
      <c r="C577" s="20"/>
      <c r="D577" s="13"/>
      <c r="E577" s="8"/>
      <c r="F577" s="21"/>
      <c r="G577" s="38"/>
      <c r="H577" s="48"/>
      <c r="I577" s="48"/>
      <c r="J577" s="39"/>
      <c r="K577" s="19"/>
      <c r="L577" s="12"/>
      <c r="M577" s="17"/>
    </row>
    <row r="578" spans="1:13" x14ac:dyDescent="0.25">
      <c r="A578" s="12"/>
      <c r="B578" s="14"/>
      <c r="C578" s="20"/>
      <c r="D578" s="13"/>
      <c r="E578" s="8"/>
      <c r="F578" s="21"/>
      <c r="G578" s="38"/>
      <c r="H578" s="48"/>
      <c r="I578" s="48"/>
      <c r="J578" s="39"/>
      <c r="K578" s="19"/>
      <c r="L578" s="12"/>
      <c r="M578" s="17"/>
    </row>
    <row r="579" spans="1:13" x14ac:dyDescent="0.25">
      <c r="A579" s="12"/>
      <c r="B579" s="14"/>
      <c r="C579" s="20"/>
      <c r="D579" s="13"/>
      <c r="E579" s="8"/>
      <c r="F579" s="21"/>
      <c r="G579" s="38"/>
      <c r="H579" s="48"/>
      <c r="I579" s="48"/>
      <c r="J579" s="39"/>
      <c r="K579" s="19"/>
      <c r="L579" s="12"/>
      <c r="M579" s="17"/>
    </row>
    <row r="580" spans="1:13" x14ac:dyDescent="0.25">
      <c r="A580" s="12"/>
      <c r="B580" s="14"/>
      <c r="C580" s="20"/>
      <c r="D580" s="13"/>
      <c r="E580" s="8"/>
      <c r="F580" s="21"/>
      <c r="G580" s="38"/>
      <c r="H580" s="48"/>
      <c r="I580" s="48"/>
      <c r="J580" s="39"/>
      <c r="K580" s="19"/>
      <c r="L580" s="12"/>
      <c r="M580" s="17"/>
    </row>
    <row r="581" spans="1:13" x14ac:dyDescent="0.25">
      <c r="A581" s="12"/>
      <c r="B581" s="14"/>
      <c r="C581" s="20"/>
      <c r="D581" s="13"/>
      <c r="E581" s="8"/>
      <c r="F581" s="21"/>
      <c r="G581" s="38"/>
      <c r="H581" s="48"/>
      <c r="I581" s="48"/>
      <c r="J581" s="39"/>
      <c r="K581" s="19"/>
      <c r="L581" s="12"/>
      <c r="M581" s="17"/>
    </row>
    <row r="582" spans="1:13" x14ac:dyDescent="0.25">
      <c r="A582" s="12"/>
      <c r="B582" s="14"/>
      <c r="C582" s="20"/>
      <c r="D582" s="13"/>
      <c r="E582" s="8"/>
      <c r="F582" s="21"/>
      <c r="G582" s="38"/>
      <c r="H582" s="48"/>
      <c r="I582" s="48"/>
      <c r="J582" s="39"/>
      <c r="K582" s="19"/>
      <c r="L582" s="12"/>
      <c r="M582" s="17"/>
    </row>
    <row r="583" spans="1:13" x14ac:dyDescent="0.25">
      <c r="A583" s="12"/>
      <c r="B583" s="14"/>
      <c r="C583" s="20"/>
      <c r="D583" s="13"/>
      <c r="E583" s="8"/>
      <c r="F583" s="21"/>
      <c r="G583" s="38"/>
      <c r="H583" s="48"/>
      <c r="I583" s="48"/>
      <c r="J583" s="39"/>
      <c r="K583" s="19"/>
      <c r="L583" s="12"/>
      <c r="M583" s="17"/>
    </row>
    <row r="584" spans="1:13" x14ac:dyDescent="0.25">
      <c r="A584" s="12"/>
      <c r="B584" s="14"/>
      <c r="C584" s="20"/>
      <c r="D584" s="13"/>
      <c r="E584" s="8"/>
      <c r="F584" s="21"/>
      <c r="G584" s="38"/>
      <c r="H584" s="48"/>
      <c r="I584" s="48"/>
      <c r="J584" s="39"/>
      <c r="K584" s="19"/>
      <c r="L584" s="12"/>
      <c r="M584" s="17"/>
    </row>
    <row r="585" spans="1:13" x14ac:dyDescent="0.25">
      <c r="A585" s="12"/>
      <c r="B585" s="14"/>
      <c r="C585" s="20"/>
      <c r="D585" s="13"/>
      <c r="E585" s="8"/>
      <c r="F585" s="21"/>
      <c r="G585" s="38"/>
      <c r="H585" s="48"/>
      <c r="I585" s="48"/>
      <c r="J585" s="39"/>
      <c r="K585" s="19"/>
      <c r="L585" s="12"/>
      <c r="M585" s="17"/>
    </row>
    <row r="586" spans="1:13" x14ac:dyDescent="0.25">
      <c r="A586" s="12"/>
      <c r="B586" s="14"/>
      <c r="C586" s="20"/>
      <c r="D586" s="13"/>
      <c r="E586" s="8"/>
      <c r="F586" s="21"/>
      <c r="G586" s="38"/>
      <c r="H586" s="48"/>
      <c r="I586" s="48"/>
      <c r="J586" s="39"/>
      <c r="K586" s="19"/>
      <c r="L586" s="12"/>
      <c r="M586" s="17"/>
    </row>
    <row r="587" spans="1:13" x14ac:dyDescent="0.25">
      <c r="A587" s="12"/>
      <c r="B587" s="14"/>
      <c r="C587" s="20"/>
      <c r="D587" s="13"/>
      <c r="E587" s="8"/>
      <c r="F587" s="21"/>
      <c r="G587" s="38"/>
      <c r="H587" s="48"/>
      <c r="I587" s="48"/>
      <c r="J587" s="39"/>
      <c r="K587" s="19"/>
      <c r="L587" s="12"/>
      <c r="M587" s="17"/>
    </row>
    <row r="588" spans="1:13" x14ac:dyDescent="0.25">
      <c r="A588" s="12"/>
      <c r="B588" s="14"/>
      <c r="C588" s="20"/>
      <c r="D588" s="13"/>
      <c r="E588" s="8"/>
      <c r="F588" s="21"/>
      <c r="G588" s="38"/>
      <c r="H588" s="48"/>
      <c r="I588" s="48"/>
      <c r="J588" s="39"/>
      <c r="K588" s="19"/>
      <c r="L588" s="12"/>
      <c r="M588" s="17"/>
    </row>
    <row r="589" spans="1:13" x14ac:dyDescent="0.25">
      <c r="A589" s="12"/>
      <c r="B589" s="14"/>
      <c r="C589" s="20"/>
      <c r="D589" s="13"/>
      <c r="E589" s="8"/>
      <c r="F589" s="21"/>
      <c r="G589" s="38"/>
      <c r="H589" s="48"/>
      <c r="I589" s="48"/>
      <c r="J589" s="39"/>
      <c r="K589" s="19"/>
      <c r="L589" s="12"/>
      <c r="M589" s="17"/>
    </row>
    <row r="590" spans="1:13" x14ac:dyDescent="0.25">
      <c r="A590" s="12"/>
      <c r="B590" s="14"/>
      <c r="C590" s="20"/>
      <c r="D590" s="13"/>
      <c r="E590" s="8"/>
      <c r="F590" s="21"/>
      <c r="G590" s="38"/>
      <c r="H590" s="48"/>
      <c r="I590" s="48"/>
      <c r="J590" s="39"/>
      <c r="K590" s="19"/>
      <c r="L590" s="12"/>
      <c r="M590" s="17"/>
    </row>
    <row r="591" spans="1:13" x14ac:dyDescent="0.25">
      <c r="A591" s="12"/>
      <c r="B591" s="14"/>
      <c r="C591" s="20"/>
      <c r="D591" s="13"/>
      <c r="E591" s="8"/>
      <c r="F591" s="21"/>
      <c r="G591" s="38"/>
      <c r="H591" s="48"/>
      <c r="I591" s="48"/>
      <c r="J591" s="39"/>
      <c r="K591" s="19"/>
      <c r="L591" s="12"/>
      <c r="M591" s="17"/>
    </row>
    <row r="592" spans="1:13" x14ac:dyDescent="0.25">
      <c r="A592" s="12"/>
      <c r="B592" s="14"/>
      <c r="C592" s="20"/>
      <c r="D592" s="13"/>
      <c r="E592" s="8"/>
      <c r="F592" s="21"/>
      <c r="G592" s="38"/>
      <c r="H592" s="48"/>
      <c r="I592" s="48"/>
      <c r="J592" s="39"/>
      <c r="K592" s="19"/>
      <c r="L592" s="12"/>
      <c r="M592" s="17"/>
    </row>
    <row r="593" spans="1:13" x14ac:dyDescent="0.25">
      <c r="A593" s="12"/>
      <c r="B593" s="14"/>
      <c r="C593" s="20"/>
      <c r="D593" s="13"/>
      <c r="E593" s="8"/>
      <c r="F593" s="21"/>
      <c r="G593" s="38"/>
      <c r="H593" s="48"/>
      <c r="I593" s="48"/>
      <c r="J593" s="39"/>
      <c r="K593" s="19"/>
      <c r="L593" s="12"/>
      <c r="M593" s="17"/>
    </row>
    <row r="594" spans="1:13" x14ac:dyDescent="0.25">
      <c r="A594" s="12"/>
      <c r="B594" s="14"/>
      <c r="C594" s="20"/>
      <c r="D594" s="13"/>
      <c r="E594" s="8"/>
      <c r="F594" s="21"/>
      <c r="G594" s="38"/>
      <c r="H594" s="48"/>
      <c r="I594" s="48"/>
      <c r="J594" s="39"/>
      <c r="K594" s="19"/>
      <c r="L594" s="12"/>
      <c r="M594" s="17"/>
    </row>
    <row r="595" spans="1:13" x14ac:dyDescent="0.25">
      <c r="A595" s="12"/>
      <c r="B595" s="14"/>
      <c r="C595" s="20"/>
      <c r="D595" s="13"/>
      <c r="E595" s="8"/>
      <c r="F595" s="21"/>
      <c r="G595" s="38"/>
      <c r="H595" s="48"/>
      <c r="I595" s="48"/>
      <c r="J595" s="39"/>
      <c r="K595" s="19"/>
      <c r="L595" s="12"/>
      <c r="M595" s="17"/>
    </row>
    <row r="596" spans="1:13" x14ac:dyDescent="0.25">
      <c r="A596" s="12"/>
      <c r="B596" s="14"/>
      <c r="C596" s="20"/>
      <c r="D596" s="13"/>
      <c r="E596" s="8"/>
      <c r="F596" s="21"/>
      <c r="G596" s="38"/>
      <c r="H596" s="48"/>
      <c r="I596" s="48"/>
      <c r="J596" s="39"/>
      <c r="K596" s="19"/>
      <c r="L596" s="12"/>
      <c r="M596" s="17"/>
    </row>
    <row r="597" spans="1:13" x14ac:dyDescent="0.25">
      <c r="A597" s="12"/>
      <c r="B597" s="14"/>
      <c r="C597" s="20"/>
      <c r="D597" s="13"/>
      <c r="E597" s="8"/>
      <c r="F597" s="21"/>
      <c r="G597" s="38"/>
      <c r="H597" s="48"/>
      <c r="I597" s="48"/>
      <c r="J597" s="39"/>
      <c r="K597" s="19"/>
      <c r="L597" s="12"/>
      <c r="M597" s="17"/>
    </row>
    <row r="598" spans="1:13" x14ac:dyDescent="0.25">
      <c r="A598" s="12"/>
      <c r="B598" s="14"/>
      <c r="C598" s="20"/>
      <c r="D598" s="13"/>
      <c r="E598" s="8"/>
      <c r="F598" s="21"/>
      <c r="G598" s="38"/>
      <c r="H598" s="48"/>
      <c r="I598" s="48"/>
      <c r="J598" s="39"/>
      <c r="K598" s="19"/>
      <c r="L598" s="12"/>
      <c r="M598" s="17"/>
    </row>
    <row r="599" spans="1:13" x14ac:dyDescent="0.25">
      <c r="A599" s="12"/>
      <c r="B599" s="14"/>
      <c r="C599" s="20"/>
      <c r="D599" s="13"/>
      <c r="E599" s="8"/>
      <c r="F599" s="21"/>
      <c r="G599" s="38"/>
      <c r="H599" s="48"/>
      <c r="I599" s="48"/>
      <c r="J599" s="39"/>
      <c r="K599" s="19"/>
      <c r="L599" s="12"/>
      <c r="M599" s="17"/>
    </row>
    <row r="600" spans="1:13" x14ac:dyDescent="0.25">
      <c r="A600" s="12"/>
      <c r="B600" s="14"/>
      <c r="C600" s="20"/>
      <c r="D600" s="13"/>
      <c r="E600" s="8"/>
      <c r="F600" s="21"/>
      <c r="G600" s="38"/>
      <c r="H600" s="48"/>
      <c r="I600" s="48"/>
      <c r="J600" s="39"/>
      <c r="K600" s="19"/>
      <c r="L600" s="12"/>
      <c r="M600" s="17"/>
    </row>
    <row r="601" spans="1:13" x14ac:dyDescent="0.25">
      <c r="A601" s="12"/>
      <c r="B601" s="14"/>
      <c r="C601" s="20"/>
      <c r="D601" s="13"/>
      <c r="E601" s="8"/>
      <c r="F601" s="21"/>
      <c r="G601" s="38"/>
      <c r="H601" s="48"/>
      <c r="I601" s="48"/>
      <c r="J601" s="39"/>
      <c r="K601" s="19"/>
      <c r="L601" s="12"/>
      <c r="M601" s="17"/>
    </row>
    <row r="602" spans="1:13" x14ac:dyDescent="0.25">
      <c r="A602" s="12"/>
      <c r="B602" s="14"/>
      <c r="C602" s="20"/>
      <c r="D602" s="13"/>
      <c r="E602" s="8"/>
      <c r="F602" s="21"/>
      <c r="G602" s="38"/>
      <c r="H602" s="48"/>
      <c r="I602" s="48"/>
      <c r="J602" s="39"/>
      <c r="K602" s="19"/>
      <c r="L602" s="12"/>
      <c r="M602" s="17"/>
    </row>
    <row r="603" spans="1:13" x14ac:dyDescent="0.25">
      <c r="A603" s="12"/>
      <c r="B603" s="14"/>
      <c r="C603" s="20"/>
      <c r="D603" s="13"/>
      <c r="E603" s="8"/>
      <c r="F603" s="21"/>
      <c r="G603" s="38"/>
      <c r="H603" s="48"/>
      <c r="I603" s="48"/>
      <c r="J603" s="39"/>
      <c r="K603" s="19"/>
      <c r="L603" s="12"/>
      <c r="M603" s="17"/>
    </row>
    <row r="604" spans="1:13" x14ac:dyDescent="0.25">
      <c r="A604" s="12"/>
      <c r="B604" s="14"/>
      <c r="C604" s="20"/>
      <c r="D604" s="13"/>
      <c r="E604" s="8"/>
      <c r="F604" s="21"/>
      <c r="G604" s="38"/>
      <c r="H604" s="48"/>
      <c r="I604" s="48"/>
      <c r="J604" s="39"/>
      <c r="K604" s="19"/>
      <c r="L604" s="12"/>
      <c r="M604" s="17"/>
    </row>
    <row r="605" spans="1:13" x14ac:dyDescent="0.25">
      <c r="A605" s="12"/>
      <c r="B605" s="14"/>
      <c r="C605" s="20"/>
      <c r="D605" s="13"/>
      <c r="E605" s="8"/>
      <c r="F605" s="21"/>
      <c r="G605" s="38"/>
      <c r="H605" s="48"/>
      <c r="I605" s="48"/>
      <c r="J605" s="39"/>
      <c r="K605" s="19"/>
      <c r="L605" s="12"/>
      <c r="M605" s="17"/>
    </row>
    <row r="606" spans="1:13" x14ac:dyDescent="0.25">
      <c r="A606" s="12"/>
      <c r="B606" s="14"/>
      <c r="C606" s="20"/>
      <c r="D606" s="13"/>
      <c r="E606" s="8"/>
      <c r="F606" s="21"/>
      <c r="G606" s="38"/>
      <c r="H606" s="48"/>
      <c r="I606" s="48"/>
      <c r="J606" s="39"/>
      <c r="K606" s="19"/>
      <c r="L606" s="12"/>
      <c r="M606" s="17"/>
    </row>
    <row r="607" spans="1:13" x14ac:dyDescent="0.25">
      <c r="A607" s="12"/>
      <c r="B607" s="14"/>
      <c r="C607" s="20"/>
      <c r="D607" s="13"/>
      <c r="E607" s="8"/>
      <c r="F607" s="21"/>
      <c r="G607" s="38"/>
      <c r="H607" s="48"/>
      <c r="I607" s="48"/>
      <c r="J607" s="39"/>
      <c r="K607" s="19"/>
      <c r="L607" s="12"/>
      <c r="M607" s="17"/>
    </row>
    <row r="608" spans="1:13" x14ac:dyDescent="0.25">
      <c r="A608" s="12"/>
      <c r="B608" s="14"/>
      <c r="C608" s="20"/>
      <c r="D608" s="13"/>
      <c r="E608" s="8"/>
      <c r="F608" s="21"/>
      <c r="G608" s="38"/>
      <c r="H608" s="48"/>
      <c r="I608" s="48"/>
      <c r="J608" s="39"/>
      <c r="K608" s="19"/>
      <c r="L608" s="12"/>
      <c r="M608" s="17"/>
    </row>
    <row r="609" spans="1:13" x14ac:dyDescent="0.25">
      <c r="A609" s="12"/>
      <c r="B609" s="14"/>
      <c r="C609" s="20"/>
      <c r="D609" s="13"/>
      <c r="E609" s="8"/>
      <c r="F609" s="21"/>
      <c r="G609" s="38"/>
      <c r="H609" s="48"/>
      <c r="I609" s="48"/>
      <c r="J609" s="39"/>
      <c r="K609" s="19"/>
      <c r="L609" s="12"/>
      <c r="M609" s="17"/>
    </row>
    <row r="610" spans="1:13" x14ac:dyDescent="0.25">
      <c r="A610" s="12"/>
      <c r="B610" s="14"/>
      <c r="C610" s="20"/>
      <c r="D610" s="13"/>
      <c r="E610" s="8"/>
      <c r="F610" s="21"/>
      <c r="G610" s="38"/>
      <c r="H610" s="48"/>
      <c r="I610" s="48"/>
      <c r="J610" s="39"/>
      <c r="K610" s="19"/>
      <c r="L610" s="12"/>
      <c r="M610" s="17"/>
    </row>
    <row r="611" spans="1:13" x14ac:dyDescent="0.25">
      <c r="A611" s="12"/>
      <c r="B611" s="14"/>
      <c r="C611" s="20"/>
      <c r="D611" s="13"/>
      <c r="E611" s="8"/>
      <c r="F611" s="21"/>
      <c r="G611" s="38"/>
      <c r="H611" s="48"/>
      <c r="I611" s="48"/>
      <c r="J611" s="39"/>
      <c r="K611" s="19"/>
      <c r="L611" s="12"/>
      <c r="M611" s="17"/>
    </row>
    <row r="612" spans="1:13" x14ac:dyDescent="0.25">
      <c r="A612" s="12"/>
      <c r="B612" s="14"/>
      <c r="C612" s="20"/>
      <c r="D612" s="13"/>
      <c r="E612" s="8"/>
      <c r="F612" s="21"/>
      <c r="G612" s="38"/>
      <c r="H612" s="48"/>
      <c r="I612" s="48"/>
      <c r="J612" s="39"/>
      <c r="K612" s="19"/>
      <c r="L612" s="12"/>
      <c r="M612" s="17"/>
    </row>
    <row r="613" spans="1:13" x14ac:dyDescent="0.25">
      <c r="A613" s="12"/>
      <c r="B613" s="14"/>
      <c r="C613" s="20"/>
      <c r="D613" s="13"/>
      <c r="E613" s="8"/>
      <c r="F613" s="21"/>
      <c r="G613" s="38"/>
      <c r="H613" s="48"/>
      <c r="I613" s="48"/>
      <c r="J613" s="39"/>
      <c r="K613" s="19"/>
      <c r="L613" s="12"/>
      <c r="M613" s="17"/>
    </row>
    <row r="614" spans="1:13" x14ac:dyDescent="0.25">
      <c r="A614" s="12"/>
      <c r="B614" s="14"/>
      <c r="C614" s="20"/>
      <c r="D614" s="13"/>
      <c r="E614" s="8"/>
      <c r="F614" s="21"/>
      <c r="G614" s="38"/>
      <c r="H614" s="48"/>
      <c r="I614" s="48"/>
      <c r="J614" s="39"/>
      <c r="K614" s="19"/>
      <c r="L614" s="12"/>
      <c r="M614" s="17"/>
    </row>
    <row r="615" spans="1:13" x14ac:dyDescent="0.25">
      <c r="A615" s="12"/>
      <c r="B615" s="14"/>
      <c r="C615" s="20"/>
      <c r="D615" s="13"/>
      <c r="E615" s="8"/>
      <c r="F615" s="21"/>
      <c r="G615" s="38"/>
      <c r="H615" s="48"/>
      <c r="I615" s="48"/>
      <c r="J615" s="39"/>
      <c r="K615" s="19"/>
      <c r="L615" s="12"/>
      <c r="M615" s="17"/>
    </row>
    <row r="616" spans="1:13" x14ac:dyDescent="0.25">
      <c r="A616" s="12"/>
      <c r="B616" s="14"/>
      <c r="C616" s="20"/>
      <c r="D616" s="13"/>
      <c r="E616" s="8"/>
      <c r="F616" s="21"/>
      <c r="G616" s="38"/>
      <c r="H616" s="48"/>
      <c r="I616" s="48"/>
      <c r="J616" s="39"/>
      <c r="K616" s="19"/>
      <c r="L616" s="12"/>
      <c r="M616" s="17"/>
    </row>
    <row r="617" spans="1:13" x14ac:dyDescent="0.25">
      <c r="A617" s="12"/>
      <c r="B617" s="14"/>
      <c r="C617" s="20"/>
      <c r="D617" s="13"/>
      <c r="E617" s="8"/>
      <c r="F617" s="21"/>
      <c r="G617" s="38"/>
      <c r="H617" s="48"/>
      <c r="I617" s="48"/>
      <c r="J617" s="39"/>
      <c r="K617" s="19"/>
      <c r="L617" s="12"/>
      <c r="M617" s="17"/>
    </row>
    <row r="618" spans="1:13" x14ac:dyDescent="0.25">
      <c r="A618" s="12"/>
      <c r="B618" s="14"/>
      <c r="C618" s="20"/>
      <c r="D618" s="13"/>
      <c r="E618" s="8"/>
      <c r="F618" s="21"/>
      <c r="G618" s="38"/>
      <c r="H618" s="48"/>
      <c r="I618" s="48"/>
      <c r="J618" s="39"/>
      <c r="K618" s="19"/>
      <c r="L618" s="12"/>
      <c r="M618" s="17"/>
    </row>
    <row r="619" spans="1:13" x14ac:dyDescent="0.25">
      <c r="A619" s="12"/>
      <c r="B619" s="14"/>
      <c r="C619" s="20"/>
      <c r="D619" s="13"/>
      <c r="E619" s="8"/>
      <c r="F619" s="21"/>
      <c r="G619" s="38"/>
      <c r="H619" s="48"/>
      <c r="I619" s="48"/>
      <c r="J619" s="39"/>
      <c r="K619" s="19"/>
      <c r="L619" s="12"/>
      <c r="M619" s="17"/>
    </row>
    <row r="620" spans="1:13" x14ac:dyDescent="0.25">
      <c r="A620" s="12"/>
      <c r="B620" s="14"/>
      <c r="C620" s="20"/>
      <c r="D620" s="13"/>
      <c r="E620" s="8"/>
      <c r="F620" s="21"/>
      <c r="G620" s="38"/>
      <c r="H620" s="48"/>
      <c r="I620" s="48"/>
      <c r="J620" s="39"/>
      <c r="K620" s="19"/>
      <c r="L620" s="12"/>
      <c r="M620" s="17"/>
    </row>
    <row r="621" spans="1:13" x14ac:dyDescent="0.25">
      <c r="A621" s="12"/>
      <c r="B621" s="14"/>
      <c r="C621" s="20"/>
      <c r="D621" s="13"/>
      <c r="E621" s="8"/>
      <c r="F621" s="21"/>
      <c r="G621" s="38"/>
      <c r="H621" s="48"/>
      <c r="I621" s="48"/>
      <c r="J621" s="39"/>
      <c r="K621" s="19"/>
      <c r="L621" s="12"/>
      <c r="M621" s="17"/>
    </row>
    <row r="622" spans="1:13" x14ac:dyDescent="0.25">
      <c r="A622" s="12"/>
      <c r="B622" s="14"/>
      <c r="C622" s="20"/>
      <c r="D622" s="13"/>
      <c r="E622" s="8"/>
      <c r="F622" s="21"/>
      <c r="G622" s="38"/>
      <c r="H622" s="48"/>
      <c r="I622" s="48"/>
      <c r="J622" s="39"/>
      <c r="K622" s="19"/>
      <c r="L622" s="12"/>
      <c r="M622" s="17"/>
    </row>
    <row r="623" spans="1:13" x14ac:dyDescent="0.25">
      <c r="A623" s="12"/>
      <c r="B623" s="14"/>
      <c r="C623" s="20"/>
      <c r="D623" s="13"/>
      <c r="E623" s="8"/>
      <c r="F623" s="21"/>
      <c r="G623" s="38"/>
      <c r="H623" s="48"/>
      <c r="I623" s="48"/>
      <c r="J623" s="39"/>
      <c r="K623" s="19"/>
      <c r="L623" s="12"/>
      <c r="M623" s="17"/>
    </row>
    <row r="624" spans="1:13" x14ac:dyDescent="0.25">
      <c r="A624" s="12"/>
      <c r="B624" s="14"/>
      <c r="C624" s="20"/>
      <c r="D624" s="13"/>
      <c r="E624" s="8"/>
      <c r="F624" s="21"/>
      <c r="G624" s="38"/>
      <c r="H624" s="48"/>
      <c r="I624" s="48"/>
      <c r="J624" s="39"/>
      <c r="K624" s="19"/>
      <c r="L624" s="12"/>
      <c r="M624" s="17"/>
    </row>
    <row r="625" spans="1:13" x14ac:dyDescent="0.25">
      <c r="A625" s="12"/>
      <c r="B625" s="14"/>
      <c r="C625" s="20"/>
      <c r="D625" s="13"/>
      <c r="E625" s="8"/>
      <c r="F625" s="21"/>
      <c r="G625" s="38"/>
      <c r="H625" s="48"/>
      <c r="I625" s="48"/>
      <c r="J625" s="39"/>
      <c r="K625" s="19"/>
      <c r="L625" s="12"/>
      <c r="M625" s="17"/>
    </row>
    <row r="626" spans="1:13" x14ac:dyDescent="0.25">
      <c r="A626" s="12"/>
      <c r="B626" s="14"/>
      <c r="C626" s="20"/>
      <c r="D626" s="13"/>
      <c r="E626" s="8"/>
      <c r="F626" s="21"/>
      <c r="G626" s="38"/>
      <c r="H626" s="48"/>
      <c r="I626" s="48"/>
      <c r="J626" s="39"/>
      <c r="K626" s="19"/>
      <c r="L626" s="12"/>
      <c r="M626" s="17"/>
    </row>
    <row r="627" spans="1:13" x14ac:dyDescent="0.25">
      <c r="A627" s="12"/>
      <c r="B627" s="14"/>
      <c r="C627" s="20"/>
      <c r="D627" s="13"/>
      <c r="E627" s="8"/>
      <c r="F627" s="21"/>
      <c r="G627" s="38"/>
      <c r="H627" s="48"/>
      <c r="I627" s="48"/>
      <c r="J627" s="39"/>
      <c r="K627" s="19"/>
      <c r="L627" s="12"/>
      <c r="M627" s="17"/>
    </row>
    <row r="628" spans="1:13" x14ac:dyDescent="0.25">
      <c r="A628" s="12"/>
      <c r="B628" s="14"/>
      <c r="C628" s="20"/>
      <c r="D628" s="13"/>
      <c r="E628" s="8"/>
      <c r="F628" s="21"/>
      <c r="G628" s="38"/>
      <c r="H628" s="48"/>
      <c r="I628" s="48"/>
      <c r="J628" s="39"/>
      <c r="K628" s="19"/>
      <c r="L628" s="12"/>
      <c r="M628" s="17"/>
    </row>
    <row r="629" spans="1:13" x14ac:dyDescent="0.25">
      <c r="A629" s="12"/>
      <c r="B629" s="14"/>
      <c r="C629" s="20"/>
      <c r="D629" s="13"/>
      <c r="E629" s="8"/>
      <c r="F629" s="21"/>
      <c r="G629" s="38"/>
      <c r="H629" s="48"/>
      <c r="I629" s="48"/>
      <c r="J629" s="39"/>
      <c r="K629" s="19"/>
      <c r="L629" s="12"/>
      <c r="M629" s="17"/>
    </row>
    <row r="630" spans="1:13" x14ac:dyDescent="0.25">
      <c r="A630" s="12"/>
      <c r="B630" s="14"/>
      <c r="C630" s="20"/>
      <c r="D630" s="13"/>
      <c r="E630" s="8"/>
      <c r="F630" s="21"/>
      <c r="G630" s="38"/>
      <c r="H630" s="48"/>
      <c r="I630" s="48"/>
      <c r="J630" s="39"/>
      <c r="K630" s="19"/>
      <c r="L630" s="12"/>
      <c r="M630" s="17"/>
    </row>
    <row r="631" spans="1:13" x14ac:dyDescent="0.25">
      <c r="A631" s="12"/>
      <c r="B631" s="14"/>
      <c r="C631" s="20"/>
      <c r="D631" s="13"/>
      <c r="E631" s="8"/>
      <c r="F631" s="21"/>
      <c r="G631" s="38"/>
      <c r="H631" s="48"/>
      <c r="I631" s="48"/>
      <c r="J631" s="39"/>
      <c r="K631" s="19"/>
      <c r="L631" s="12"/>
      <c r="M631" s="17"/>
    </row>
    <row r="632" spans="1:13" x14ac:dyDescent="0.25">
      <c r="A632" s="12"/>
      <c r="B632" s="14"/>
      <c r="C632" s="20"/>
      <c r="D632" s="13"/>
      <c r="E632" s="8"/>
      <c r="F632" s="21"/>
      <c r="G632" s="38"/>
      <c r="H632" s="48"/>
      <c r="I632" s="48"/>
      <c r="J632" s="39"/>
      <c r="K632" s="19"/>
      <c r="L632" s="12"/>
      <c r="M632" s="17"/>
    </row>
    <row r="633" spans="1:13" x14ac:dyDescent="0.25">
      <c r="A633" s="12"/>
      <c r="B633" s="14"/>
      <c r="C633" s="20"/>
      <c r="D633" s="13"/>
      <c r="E633" s="8"/>
      <c r="F633" s="21"/>
      <c r="G633" s="38"/>
      <c r="H633" s="48"/>
      <c r="I633" s="48"/>
      <c r="J633" s="39"/>
      <c r="K633" s="19"/>
      <c r="L633" s="12"/>
      <c r="M633" s="17"/>
    </row>
    <row r="634" spans="1:13" x14ac:dyDescent="0.25">
      <c r="A634" s="12"/>
      <c r="B634" s="14"/>
      <c r="C634" s="20"/>
      <c r="D634" s="13"/>
      <c r="E634" s="8"/>
      <c r="F634" s="21"/>
      <c r="G634" s="38"/>
      <c r="H634" s="48"/>
      <c r="I634" s="48"/>
      <c r="J634" s="39"/>
      <c r="K634" s="19"/>
      <c r="L634" s="12"/>
      <c r="M634" s="17"/>
    </row>
    <row r="635" spans="1:13" x14ac:dyDescent="0.25">
      <c r="A635" s="12"/>
      <c r="B635" s="14"/>
      <c r="C635" s="20"/>
      <c r="D635" s="13"/>
      <c r="E635" s="8"/>
      <c r="F635" s="21"/>
      <c r="G635" s="38"/>
      <c r="H635" s="48"/>
      <c r="I635" s="48"/>
      <c r="J635" s="39"/>
      <c r="K635" s="19"/>
      <c r="L635" s="12"/>
      <c r="M635" s="17"/>
    </row>
    <row r="636" spans="1:13" x14ac:dyDescent="0.25">
      <c r="A636" s="12"/>
      <c r="B636" s="14"/>
      <c r="C636" s="20"/>
      <c r="D636" s="13"/>
      <c r="E636" s="8"/>
      <c r="F636" s="21"/>
      <c r="G636" s="38"/>
      <c r="H636" s="48"/>
      <c r="I636" s="48"/>
      <c r="J636" s="39"/>
      <c r="K636" s="19"/>
      <c r="L636" s="12"/>
      <c r="M636" s="17"/>
    </row>
    <row r="637" spans="1:13" x14ac:dyDescent="0.25">
      <c r="A637" s="12"/>
      <c r="B637" s="14"/>
      <c r="C637" s="20"/>
      <c r="D637" s="13"/>
      <c r="E637" s="8"/>
      <c r="F637" s="21"/>
      <c r="G637" s="38"/>
      <c r="H637" s="48"/>
      <c r="I637" s="48"/>
      <c r="J637" s="39"/>
      <c r="K637" s="19"/>
      <c r="L637" s="12"/>
      <c r="M637" s="17"/>
    </row>
    <row r="638" spans="1:13" x14ac:dyDescent="0.25">
      <c r="A638" s="12"/>
      <c r="B638" s="14"/>
      <c r="C638" s="20"/>
      <c r="D638" s="13"/>
      <c r="E638" s="8"/>
      <c r="F638" s="21"/>
      <c r="G638" s="38"/>
      <c r="H638" s="48"/>
      <c r="I638" s="48"/>
      <c r="J638" s="39"/>
      <c r="K638" s="19"/>
      <c r="L638" s="12"/>
      <c r="M638" s="17"/>
    </row>
    <row r="639" spans="1:13" x14ac:dyDescent="0.25">
      <c r="A639" s="12"/>
      <c r="B639" s="14"/>
      <c r="C639" s="20"/>
      <c r="D639" s="13"/>
      <c r="E639" s="8"/>
      <c r="F639" s="21"/>
      <c r="G639" s="38"/>
      <c r="H639" s="48"/>
      <c r="I639" s="48"/>
      <c r="J639" s="39"/>
      <c r="K639" s="19"/>
      <c r="L639" s="12"/>
      <c r="M639" s="17"/>
    </row>
    <row r="640" spans="1:13" x14ac:dyDescent="0.25">
      <c r="A640" s="12"/>
      <c r="B640" s="14"/>
      <c r="C640" s="20"/>
      <c r="D640" s="13"/>
      <c r="E640" s="8"/>
      <c r="F640" s="21"/>
      <c r="G640" s="38"/>
      <c r="H640" s="48"/>
      <c r="I640" s="48"/>
      <c r="J640" s="39"/>
      <c r="K640" s="19"/>
      <c r="L640" s="12"/>
      <c r="M640" s="17"/>
    </row>
    <row r="641" spans="1:13" x14ac:dyDescent="0.25">
      <c r="A641" s="12"/>
      <c r="B641" s="14"/>
      <c r="C641" s="20"/>
      <c r="D641" s="13"/>
      <c r="E641" s="8"/>
      <c r="F641" s="21"/>
      <c r="G641" s="38"/>
      <c r="H641" s="48"/>
      <c r="I641" s="48"/>
      <c r="J641" s="39"/>
      <c r="K641" s="19"/>
      <c r="L641" s="12"/>
      <c r="M641" s="17"/>
    </row>
    <row r="642" spans="1:13" x14ac:dyDescent="0.25">
      <c r="A642" s="12"/>
      <c r="B642" s="14"/>
      <c r="C642" s="20"/>
      <c r="D642" s="13"/>
      <c r="E642" s="8"/>
      <c r="F642" s="21"/>
      <c r="G642" s="38"/>
      <c r="H642" s="48"/>
      <c r="I642" s="48"/>
      <c r="J642" s="39"/>
      <c r="K642" s="19"/>
      <c r="L642" s="12"/>
      <c r="M642" s="17"/>
    </row>
    <row r="643" spans="1:13" x14ac:dyDescent="0.25">
      <c r="A643" s="12"/>
      <c r="B643" s="14"/>
      <c r="C643" s="20"/>
      <c r="D643" s="13"/>
      <c r="E643" s="8"/>
      <c r="F643" s="21"/>
      <c r="G643" s="38"/>
      <c r="H643" s="48"/>
      <c r="I643" s="48"/>
      <c r="J643" s="39"/>
      <c r="K643" s="19"/>
      <c r="L643" s="12"/>
      <c r="M643" s="17"/>
    </row>
    <row r="644" spans="1:13" x14ac:dyDescent="0.25">
      <c r="A644" s="12"/>
      <c r="B644" s="14"/>
      <c r="C644" s="20"/>
      <c r="D644" s="13"/>
      <c r="E644" s="8"/>
      <c r="F644" s="21"/>
      <c r="G644" s="38"/>
      <c r="H644" s="48"/>
      <c r="I644" s="48"/>
      <c r="J644" s="39"/>
      <c r="K644" s="19"/>
      <c r="L644" s="12"/>
      <c r="M644" s="17"/>
    </row>
    <row r="645" spans="1:13" x14ac:dyDescent="0.25">
      <c r="A645" s="12"/>
      <c r="B645" s="14"/>
      <c r="C645" s="20"/>
      <c r="D645" s="13"/>
      <c r="E645" s="8"/>
      <c r="F645" s="21"/>
      <c r="G645" s="38"/>
      <c r="H645" s="48"/>
      <c r="I645" s="48"/>
      <c r="J645" s="39"/>
      <c r="K645" s="19"/>
      <c r="L645" s="12"/>
      <c r="M645" s="17"/>
    </row>
    <row r="646" spans="1:13" x14ac:dyDescent="0.25">
      <c r="A646" s="12"/>
      <c r="B646" s="14"/>
      <c r="C646" s="20"/>
      <c r="D646" s="13"/>
      <c r="E646" s="8"/>
      <c r="F646" s="21"/>
      <c r="G646" s="38"/>
      <c r="H646" s="48"/>
      <c r="I646" s="48"/>
      <c r="J646" s="39"/>
      <c r="K646" s="19"/>
      <c r="L646" s="12"/>
      <c r="M646" s="17"/>
    </row>
    <row r="647" spans="1:13" x14ac:dyDescent="0.25">
      <c r="A647" s="12"/>
      <c r="B647" s="14"/>
      <c r="C647" s="20"/>
      <c r="D647" s="13"/>
      <c r="E647" s="8"/>
      <c r="F647" s="21"/>
      <c r="G647" s="38"/>
      <c r="H647" s="48"/>
      <c r="I647" s="48"/>
      <c r="J647" s="39"/>
      <c r="K647" s="19"/>
      <c r="L647" s="12"/>
      <c r="M647" s="17"/>
    </row>
    <row r="648" spans="1:13" x14ac:dyDescent="0.25">
      <c r="A648" s="12"/>
      <c r="B648" s="14"/>
      <c r="C648" s="20"/>
      <c r="D648" s="13"/>
      <c r="E648" s="8"/>
      <c r="F648" s="21"/>
      <c r="G648" s="38"/>
      <c r="H648" s="48"/>
      <c r="I648" s="48"/>
      <c r="J648" s="39"/>
      <c r="K648" s="19"/>
      <c r="L648" s="12"/>
      <c r="M648" s="17"/>
    </row>
    <row r="649" spans="1:13" x14ac:dyDescent="0.25">
      <c r="A649" s="12"/>
      <c r="B649" s="14"/>
      <c r="C649" s="20"/>
      <c r="D649" s="13"/>
      <c r="E649" s="8"/>
      <c r="F649" s="21"/>
      <c r="G649" s="38"/>
      <c r="H649" s="48"/>
      <c r="I649" s="48"/>
      <c r="J649" s="39"/>
      <c r="K649" s="19"/>
      <c r="L649" s="12"/>
      <c r="M649" s="17"/>
    </row>
    <row r="650" spans="1:13" x14ac:dyDescent="0.25">
      <c r="A650" s="12"/>
      <c r="B650" s="14"/>
      <c r="C650" s="20"/>
      <c r="D650" s="13"/>
      <c r="E650" s="8"/>
      <c r="F650" s="21"/>
      <c r="G650" s="38"/>
      <c r="H650" s="48"/>
      <c r="I650" s="48"/>
      <c r="J650" s="39"/>
      <c r="K650" s="19"/>
      <c r="L650" s="12"/>
      <c r="M650" s="17"/>
    </row>
    <row r="651" spans="1:13" x14ac:dyDescent="0.25">
      <c r="A651" s="12"/>
      <c r="B651" s="14"/>
      <c r="C651" s="20"/>
      <c r="D651" s="13"/>
      <c r="E651" s="8"/>
      <c r="F651" s="21"/>
      <c r="G651" s="38"/>
      <c r="H651" s="48"/>
      <c r="I651" s="48"/>
      <c r="J651" s="39"/>
      <c r="K651" s="19"/>
      <c r="L651" s="12"/>
      <c r="M651" s="17"/>
    </row>
    <row r="652" spans="1:13" x14ac:dyDescent="0.25">
      <c r="A652" s="12"/>
      <c r="B652" s="14"/>
      <c r="C652" s="20"/>
      <c r="D652" s="13"/>
      <c r="E652" s="8"/>
      <c r="F652" s="21"/>
      <c r="G652" s="38"/>
      <c r="H652" s="48"/>
      <c r="I652" s="48"/>
      <c r="J652" s="39"/>
      <c r="K652" s="19"/>
      <c r="L652" s="12"/>
      <c r="M652" s="17"/>
    </row>
    <row r="653" spans="1:13" x14ac:dyDescent="0.25">
      <c r="A653" s="12"/>
      <c r="B653" s="14"/>
      <c r="C653" s="20"/>
      <c r="D653" s="13"/>
      <c r="E653" s="8"/>
      <c r="F653" s="21"/>
      <c r="G653" s="38"/>
      <c r="H653" s="48"/>
      <c r="I653" s="48"/>
      <c r="J653" s="39"/>
      <c r="K653" s="19"/>
      <c r="L653" s="12"/>
      <c r="M653" s="17"/>
    </row>
    <row r="654" spans="1:13" x14ac:dyDescent="0.25">
      <c r="A654" s="12"/>
      <c r="B654" s="14"/>
      <c r="C654" s="20"/>
      <c r="D654" s="13"/>
      <c r="E654" s="8"/>
      <c r="F654" s="21"/>
      <c r="G654" s="38"/>
      <c r="H654" s="48"/>
      <c r="I654" s="48"/>
      <c r="J654" s="39"/>
      <c r="K654" s="19"/>
      <c r="L654" s="12"/>
      <c r="M654" s="17"/>
    </row>
    <row r="655" spans="1:13" x14ac:dyDescent="0.25">
      <c r="A655" s="12"/>
      <c r="B655" s="14"/>
      <c r="C655" s="20"/>
      <c r="D655" s="13"/>
      <c r="E655" s="8"/>
      <c r="F655" s="21"/>
      <c r="G655" s="38"/>
      <c r="H655" s="48"/>
      <c r="I655" s="48"/>
      <c r="J655" s="39"/>
      <c r="K655" s="19"/>
      <c r="L655" s="12"/>
      <c r="M655" s="17"/>
    </row>
    <row r="656" spans="1:13" x14ac:dyDescent="0.25">
      <c r="A656" s="12"/>
      <c r="B656" s="14"/>
      <c r="C656" s="20"/>
      <c r="D656" s="13"/>
      <c r="E656" s="8"/>
      <c r="F656" s="21"/>
      <c r="G656" s="38"/>
      <c r="H656" s="48"/>
      <c r="I656" s="48"/>
      <c r="J656" s="39"/>
      <c r="K656" s="19"/>
      <c r="L656" s="12"/>
      <c r="M656" s="17"/>
    </row>
    <row r="657" spans="1:13" x14ac:dyDescent="0.25">
      <c r="A657" s="12"/>
      <c r="B657" s="14"/>
      <c r="C657" s="20"/>
      <c r="D657" s="13"/>
      <c r="E657" s="8"/>
      <c r="F657" s="21"/>
      <c r="G657" s="38"/>
      <c r="H657" s="48"/>
      <c r="I657" s="48"/>
      <c r="J657" s="39"/>
      <c r="K657" s="19"/>
      <c r="L657" s="12"/>
      <c r="M657" s="17"/>
    </row>
    <row r="658" spans="1:13" x14ac:dyDescent="0.25">
      <c r="A658" s="12"/>
      <c r="B658" s="14"/>
      <c r="C658" s="20"/>
      <c r="D658" s="13"/>
      <c r="E658" s="8"/>
      <c r="F658" s="21"/>
      <c r="G658" s="38"/>
      <c r="H658" s="48"/>
      <c r="I658" s="48"/>
      <c r="J658" s="39"/>
      <c r="K658" s="19"/>
      <c r="L658" s="12"/>
      <c r="M658" s="17"/>
    </row>
    <row r="659" spans="1:13" x14ac:dyDescent="0.25">
      <c r="A659" s="12"/>
      <c r="B659" s="14"/>
      <c r="C659" s="20"/>
      <c r="D659" s="13"/>
      <c r="E659" s="8"/>
      <c r="F659" s="21"/>
      <c r="G659" s="38"/>
      <c r="H659" s="48"/>
      <c r="I659" s="48"/>
      <c r="J659" s="39"/>
      <c r="K659" s="19"/>
      <c r="L659" s="12"/>
      <c r="M659" s="17"/>
    </row>
    <row r="660" spans="1:13" x14ac:dyDescent="0.25">
      <c r="A660" s="12"/>
      <c r="B660" s="14"/>
      <c r="C660" s="20"/>
      <c r="D660" s="13"/>
      <c r="E660" s="8"/>
      <c r="F660" s="21"/>
      <c r="G660" s="38"/>
      <c r="H660" s="48"/>
      <c r="I660" s="48"/>
      <c r="J660" s="39"/>
      <c r="K660" s="19"/>
      <c r="L660" s="12"/>
      <c r="M660" s="17"/>
    </row>
    <row r="661" spans="1:13" x14ac:dyDescent="0.25">
      <c r="A661" s="12"/>
      <c r="B661" s="14"/>
      <c r="C661" s="20"/>
      <c r="D661" s="13"/>
      <c r="E661" s="8"/>
      <c r="F661" s="21"/>
      <c r="G661" s="38"/>
      <c r="H661" s="48"/>
      <c r="I661" s="48"/>
      <c r="J661" s="39"/>
      <c r="K661" s="19"/>
      <c r="L661" s="12"/>
      <c r="M661" s="17"/>
    </row>
    <row r="662" spans="1:13" x14ac:dyDescent="0.25">
      <c r="A662" s="12"/>
      <c r="B662" s="14"/>
      <c r="C662" s="20"/>
      <c r="D662" s="13"/>
      <c r="E662" s="8"/>
      <c r="F662" s="21"/>
      <c r="G662" s="38"/>
      <c r="H662" s="48"/>
      <c r="I662" s="48"/>
      <c r="J662" s="39"/>
      <c r="K662" s="19"/>
      <c r="L662" s="12"/>
      <c r="M662" s="17"/>
    </row>
    <row r="663" spans="1:13" x14ac:dyDescent="0.25">
      <c r="A663" s="12"/>
      <c r="B663" s="14"/>
      <c r="C663" s="20"/>
      <c r="D663" s="13"/>
      <c r="E663" s="8"/>
      <c r="F663" s="21"/>
      <c r="G663" s="38"/>
      <c r="H663" s="48"/>
      <c r="I663" s="48"/>
      <c r="J663" s="39"/>
      <c r="K663" s="19"/>
      <c r="L663" s="12"/>
      <c r="M663" s="17"/>
    </row>
    <row r="664" spans="1:13" x14ac:dyDescent="0.25">
      <c r="A664" s="12"/>
      <c r="B664" s="14"/>
      <c r="C664" s="20"/>
      <c r="D664" s="13"/>
      <c r="E664" s="8"/>
      <c r="F664" s="21"/>
      <c r="G664" s="38"/>
      <c r="H664" s="48"/>
      <c r="I664" s="48"/>
      <c r="J664" s="39"/>
      <c r="K664" s="19"/>
      <c r="L664" s="12"/>
      <c r="M664" s="17"/>
    </row>
    <row r="665" spans="1:13" x14ac:dyDescent="0.25">
      <c r="A665" s="12"/>
      <c r="B665" s="14"/>
      <c r="C665" s="20"/>
      <c r="D665" s="13"/>
      <c r="E665" s="8"/>
      <c r="F665" s="21"/>
      <c r="G665" s="38"/>
      <c r="H665" s="48"/>
      <c r="I665" s="48"/>
      <c r="J665" s="39"/>
      <c r="K665" s="19"/>
      <c r="L665" s="12"/>
      <c r="M665" s="17"/>
    </row>
    <row r="666" spans="1:13" x14ac:dyDescent="0.25">
      <c r="A666" s="12"/>
      <c r="B666" s="14"/>
      <c r="C666" s="20"/>
      <c r="D666" s="13"/>
      <c r="E666" s="8"/>
      <c r="F666" s="21"/>
      <c r="G666" s="38"/>
      <c r="H666" s="48"/>
      <c r="I666" s="48"/>
      <c r="J666" s="39"/>
      <c r="K666" s="19"/>
      <c r="L666" s="12"/>
      <c r="M666" s="17"/>
    </row>
    <row r="667" spans="1:13" x14ac:dyDescent="0.25">
      <c r="A667" s="12"/>
      <c r="B667" s="14"/>
      <c r="C667" s="20"/>
      <c r="D667" s="13"/>
      <c r="E667" s="8"/>
      <c r="F667" s="21"/>
      <c r="G667" s="38"/>
      <c r="H667" s="48"/>
      <c r="I667" s="48"/>
      <c r="J667" s="39"/>
      <c r="K667" s="19"/>
      <c r="L667" s="12"/>
      <c r="M667" s="17"/>
    </row>
    <row r="668" spans="1:13" x14ac:dyDescent="0.25">
      <c r="A668" s="12"/>
      <c r="B668" s="14"/>
      <c r="C668" s="20"/>
      <c r="D668" s="13"/>
      <c r="E668" s="8"/>
      <c r="F668" s="21"/>
      <c r="G668" s="38"/>
      <c r="H668" s="48"/>
      <c r="I668" s="48"/>
      <c r="J668" s="39"/>
      <c r="K668" s="19"/>
      <c r="L668" s="12"/>
      <c r="M668" s="17"/>
    </row>
    <row r="669" spans="1:13" x14ac:dyDescent="0.25">
      <c r="A669" s="12"/>
      <c r="B669" s="14"/>
      <c r="C669" s="20"/>
      <c r="D669" s="13"/>
      <c r="E669" s="8"/>
      <c r="F669" s="21"/>
      <c r="G669" s="38"/>
      <c r="H669" s="48"/>
      <c r="I669" s="48"/>
      <c r="J669" s="39"/>
      <c r="K669" s="19"/>
      <c r="L669" s="12"/>
      <c r="M669" s="17"/>
    </row>
    <row r="670" spans="1:13" x14ac:dyDescent="0.25">
      <c r="A670" s="12"/>
      <c r="B670" s="14"/>
      <c r="C670" s="20"/>
      <c r="D670" s="13"/>
      <c r="E670" s="8"/>
      <c r="F670" s="21"/>
      <c r="G670" s="38"/>
      <c r="H670" s="48"/>
      <c r="I670" s="48"/>
      <c r="J670" s="39"/>
      <c r="K670" s="19"/>
      <c r="L670" s="12"/>
      <c r="M670" s="17"/>
    </row>
    <row r="671" spans="1:13" x14ac:dyDescent="0.25">
      <c r="A671" s="12"/>
      <c r="B671" s="14"/>
      <c r="C671" s="20"/>
      <c r="D671" s="13"/>
      <c r="E671" s="8"/>
      <c r="F671" s="21"/>
      <c r="G671" s="38"/>
      <c r="H671" s="48"/>
      <c r="I671" s="48"/>
      <c r="J671" s="39"/>
      <c r="K671" s="19"/>
      <c r="L671" s="12"/>
      <c r="M671" s="17"/>
    </row>
    <row r="672" spans="1:13" x14ac:dyDescent="0.25">
      <c r="A672" s="12"/>
      <c r="B672" s="14"/>
      <c r="C672" s="20"/>
      <c r="D672" s="13"/>
      <c r="E672" s="8"/>
      <c r="F672" s="21"/>
      <c r="G672" s="38"/>
      <c r="H672" s="48"/>
      <c r="I672" s="48"/>
      <c r="J672" s="39"/>
      <c r="K672" s="19"/>
      <c r="L672" s="12"/>
      <c r="M672" s="17"/>
    </row>
    <row r="673" spans="1:13" x14ac:dyDescent="0.25">
      <c r="A673" s="12"/>
      <c r="B673" s="14"/>
      <c r="C673" s="20"/>
      <c r="D673" s="13"/>
      <c r="E673" s="8"/>
      <c r="F673" s="21"/>
      <c r="G673" s="38"/>
      <c r="H673" s="48"/>
      <c r="I673" s="48"/>
      <c r="J673" s="39"/>
      <c r="K673" s="19"/>
      <c r="L673" s="12"/>
      <c r="M673" s="17"/>
    </row>
    <row r="674" spans="1:13" x14ac:dyDescent="0.25">
      <c r="A674" s="12"/>
      <c r="B674" s="14"/>
      <c r="C674" s="20"/>
      <c r="D674" s="13"/>
      <c r="E674" s="8"/>
      <c r="F674" s="21"/>
      <c r="G674" s="38"/>
      <c r="H674" s="48"/>
      <c r="I674" s="48"/>
      <c r="J674" s="39"/>
      <c r="K674" s="19"/>
      <c r="L674" s="12"/>
      <c r="M674" s="17"/>
    </row>
    <row r="675" spans="1:13" x14ac:dyDescent="0.25">
      <c r="A675" s="12"/>
      <c r="B675" s="14"/>
      <c r="C675" s="20"/>
      <c r="D675" s="13"/>
      <c r="E675" s="8"/>
      <c r="F675" s="21"/>
      <c r="G675" s="38"/>
      <c r="H675" s="48"/>
      <c r="I675" s="48"/>
      <c r="J675" s="39"/>
      <c r="K675" s="19"/>
      <c r="L675" s="12"/>
      <c r="M675" s="17"/>
    </row>
    <row r="676" spans="1:13" x14ac:dyDescent="0.25">
      <c r="A676" s="12"/>
      <c r="B676" s="14"/>
      <c r="C676" s="20"/>
      <c r="D676" s="13"/>
      <c r="E676" s="8"/>
      <c r="F676" s="21"/>
      <c r="G676" s="38"/>
      <c r="H676" s="48"/>
      <c r="I676" s="48"/>
      <c r="J676" s="39"/>
      <c r="K676" s="19"/>
      <c r="L676" s="12"/>
      <c r="M676" s="17"/>
    </row>
    <row r="677" spans="1:13" x14ac:dyDescent="0.25">
      <c r="A677" s="12"/>
      <c r="B677" s="14"/>
      <c r="C677" s="20"/>
      <c r="D677" s="13"/>
      <c r="E677" s="8"/>
      <c r="F677" s="21"/>
      <c r="G677" s="38"/>
      <c r="H677" s="48"/>
      <c r="I677" s="48"/>
      <c r="J677" s="39"/>
      <c r="K677" s="19"/>
      <c r="L677" s="12"/>
      <c r="M677" s="17"/>
    </row>
    <row r="678" spans="1:13" x14ac:dyDescent="0.25">
      <c r="A678" s="12"/>
      <c r="B678" s="14"/>
      <c r="C678" s="20"/>
      <c r="D678" s="13"/>
      <c r="E678" s="8"/>
      <c r="F678" s="21"/>
      <c r="G678" s="38"/>
      <c r="H678" s="48"/>
      <c r="I678" s="48"/>
      <c r="J678" s="39"/>
      <c r="K678" s="19"/>
      <c r="L678" s="12"/>
      <c r="M678" s="17"/>
    </row>
    <row r="679" spans="1:13" x14ac:dyDescent="0.25">
      <c r="A679" s="12"/>
      <c r="B679" s="14"/>
      <c r="C679" s="20"/>
      <c r="D679" s="13"/>
      <c r="E679" s="8"/>
      <c r="F679" s="21"/>
      <c r="G679" s="38"/>
      <c r="H679" s="48"/>
      <c r="I679" s="48"/>
      <c r="J679" s="39"/>
      <c r="K679" s="19"/>
      <c r="L679" s="12"/>
      <c r="M679" s="17"/>
    </row>
    <row r="680" spans="1:13" x14ac:dyDescent="0.25">
      <c r="A680" s="12"/>
      <c r="B680" s="14"/>
      <c r="C680" s="20"/>
      <c r="D680" s="13"/>
      <c r="E680" s="8"/>
      <c r="F680" s="21"/>
      <c r="G680" s="38"/>
      <c r="H680" s="48"/>
      <c r="I680" s="48"/>
      <c r="J680" s="39"/>
      <c r="K680" s="19"/>
      <c r="L680" s="12"/>
      <c r="M680" s="17"/>
    </row>
    <row r="681" spans="1:13" x14ac:dyDescent="0.25">
      <c r="A681" s="12"/>
      <c r="B681" s="14"/>
      <c r="C681" s="20"/>
      <c r="D681" s="13"/>
      <c r="E681" s="8"/>
      <c r="F681" s="21"/>
      <c r="G681" s="38"/>
      <c r="H681" s="48"/>
      <c r="I681" s="48"/>
      <c r="J681" s="39"/>
      <c r="K681" s="19"/>
      <c r="L681" s="12"/>
      <c r="M681" s="17"/>
    </row>
    <row r="682" spans="1:13" x14ac:dyDescent="0.25">
      <c r="A682" s="12"/>
      <c r="B682" s="14"/>
      <c r="C682" s="20"/>
      <c r="D682" s="13"/>
      <c r="E682" s="8"/>
      <c r="F682" s="21"/>
      <c r="G682" s="38"/>
      <c r="H682" s="48"/>
      <c r="I682" s="48"/>
      <c r="J682" s="39"/>
      <c r="K682" s="19"/>
      <c r="L682" s="12"/>
      <c r="M682" s="17"/>
    </row>
    <row r="683" spans="1:13" x14ac:dyDescent="0.25">
      <c r="A683" s="12"/>
      <c r="B683" s="14"/>
      <c r="C683" s="20"/>
      <c r="D683" s="13"/>
      <c r="E683" s="8"/>
      <c r="F683" s="21"/>
      <c r="G683" s="38"/>
      <c r="H683" s="48"/>
      <c r="I683" s="48"/>
      <c r="J683" s="39"/>
      <c r="K683" s="19"/>
      <c r="L683" s="12"/>
      <c r="M683" s="17"/>
    </row>
    <row r="684" spans="1:13" x14ac:dyDescent="0.25">
      <c r="A684" s="12"/>
      <c r="B684" s="14"/>
      <c r="C684" s="20"/>
      <c r="D684" s="13"/>
      <c r="E684" s="8"/>
      <c r="F684" s="21"/>
      <c r="G684" s="38"/>
      <c r="H684" s="48"/>
      <c r="I684" s="48"/>
      <c r="J684" s="39"/>
      <c r="K684" s="19"/>
      <c r="L684" s="12"/>
      <c r="M684" s="17"/>
    </row>
    <row r="685" spans="1:13" x14ac:dyDescent="0.25">
      <c r="A685" s="12"/>
      <c r="B685" s="14"/>
      <c r="C685" s="20"/>
      <c r="D685" s="13"/>
      <c r="E685" s="8"/>
      <c r="F685" s="21"/>
      <c r="G685" s="38"/>
      <c r="H685" s="48"/>
      <c r="I685" s="48"/>
      <c r="J685" s="39"/>
      <c r="K685" s="19"/>
      <c r="L685" s="12"/>
      <c r="M685" s="17"/>
    </row>
    <row r="686" spans="1:13" x14ac:dyDescent="0.25">
      <c r="A686" s="12"/>
      <c r="B686" s="14"/>
      <c r="C686" s="20"/>
      <c r="D686" s="13"/>
      <c r="E686" s="8"/>
      <c r="F686" s="21"/>
      <c r="G686" s="38"/>
      <c r="H686" s="48"/>
      <c r="I686" s="48"/>
      <c r="J686" s="39"/>
      <c r="K686" s="19"/>
      <c r="L686" s="12"/>
      <c r="M686" s="17"/>
    </row>
    <row r="687" spans="1:13" x14ac:dyDescent="0.25">
      <c r="A687" s="12"/>
      <c r="B687" s="14"/>
      <c r="C687" s="20"/>
      <c r="D687" s="13"/>
      <c r="E687" s="8"/>
      <c r="F687" s="21"/>
      <c r="G687" s="38"/>
      <c r="H687" s="48"/>
      <c r="I687" s="48"/>
      <c r="J687" s="39"/>
      <c r="K687" s="19"/>
      <c r="L687" s="12"/>
      <c r="M687" s="17"/>
    </row>
    <row r="688" spans="1:13" x14ac:dyDescent="0.25">
      <c r="A688" s="12"/>
      <c r="B688" s="14"/>
      <c r="C688" s="20"/>
      <c r="D688" s="13"/>
      <c r="E688" s="8"/>
      <c r="F688" s="21"/>
      <c r="G688" s="38"/>
      <c r="H688" s="48"/>
      <c r="I688" s="48"/>
      <c r="J688" s="39"/>
      <c r="K688" s="19"/>
      <c r="L688" s="12"/>
      <c r="M688" s="17"/>
    </row>
    <row r="689" spans="1:13" x14ac:dyDescent="0.25">
      <c r="A689" s="12"/>
      <c r="B689" s="14"/>
      <c r="C689" s="20"/>
      <c r="D689" s="13"/>
      <c r="E689" s="8"/>
      <c r="F689" s="21"/>
      <c r="G689" s="38"/>
      <c r="H689" s="48"/>
      <c r="I689" s="48"/>
      <c r="J689" s="39"/>
      <c r="K689" s="19"/>
      <c r="L689" s="12"/>
      <c r="M689" s="17"/>
    </row>
    <row r="690" spans="1:13" x14ac:dyDescent="0.25">
      <c r="A690" s="12"/>
      <c r="B690" s="14"/>
      <c r="C690" s="20"/>
      <c r="D690" s="13"/>
      <c r="E690" s="8"/>
      <c r="F690" s="21"/>
      <c r="G690" s="38"/>
      <c r="H690" s="48"/>
      <c r="I690" s="48"/>
      <c r="J690" s="39"/>
      <c r="K690" s="19"/>
      <c r="L690" s="12"/>
      <c r="M690" s="17"/>
    </row>
    <row r="691" spans="1:13" x14ac:dyDescent="0.25">
      <c r="A691" s="12"/>
      <c r="B691" s="14"/>
      <c r="C691" s="20"/>
      <c r="D691" s="13"/>
      <c r="E691" s="8"/>
      <c r="F691" s="21"/>
      <c r="G691" s="38"/>
      <c r="H691" s="48"/>
      <c r="I691" s="48"/>
      <c r="J691" s="39"/>
      <c r="K691" s="19"/>
      <c r="L691" s="12"/>
      <c r="M691" s="17"/>
    </row>
    <row r="692" spans="1:13" x14ac:dyDescent="0.25">
      <c r="A692" s="12"/>
      <c r="B692" s="14"/>
      <c r="C692" s="20"/>
      <c r="D692" s="13"/>
      <c r="E692" s="8"/>
      <c r="F692" s="21"/>
      <c r="G692" s="38"/>
      <c r="H692" s="48"/>
      <c r="I692" s="48"/>
      <c r="J692" s="39"/>
      <c r="K692" s="19"/>
      <c r="L692" s="12"/>
      <c r="M692" s="17"/>
    </row>
    <row r="693" spans="1:13" x14ac:dyDescent="0.25">
      <c r="A693" s="12"/>
      <c r="B693" s="14"/>
      <c r="C693" s="20"/>
      <c r="D693" s="13"/>
      <c r="E693" s="8"/>
      <c r="F693" s="21"/>
      <c r="G693" s="38"/>
      <c r="H693" s="48"/>
      <c r="I693" s="48"/>
      <c r="J693" s="39"/>
      <c r="K693" s="19"/>
      <c r="L693" s="12"/>
      <c r="M693" s="17"/>
    </row>
    <row r="694" spans="1:13" x14ac:dyDescent="0.25">
      <c r="A694" s="12"/>
      <c r="B694" s="14"/>
      <c r="C694" s="20"/>
      <c r="D694" s="13"/>
      <c r="E694" s="8"/>
      <c r="F694" s="21"/>
      <c r="G694" s="38"/>
      <c r="H694" s="48"/>
      <c r="I694" s="48"/>
      <c r="J694" s="39"/>
      <c r="K694" s="19"/>
      <c r="L694" s="12"/>
      <c r="M694" s="17"/>
    </row>
    <row r="695" spans="1:13" x14ac:dyDescent="0.25">
      <c r="A695" s="12"/>
      <c r="B695" s="14"/>
      <c r="C695" s="20"/>
      <c r="D695" s="13"/>
      <c r="E695" s="8"/>
      <c r="F695" s="21"/>
      <c r="G695" s="38"/>
      <c r="H695" s="48"/>
      <c r="I695" s="48"/>
      <c r="J695" s="39"/>
      <c r="K695" s="19"/>
      <c r="L695" s="12"/>
      <c r="M695" s="17"/>
    </row>
    <row r="696" spans="1:13" x14ac:dyDescent="0.25">
      <c r="A696" s="12"/>
      <c r="B696" s="14"/>
      <c r="C696" s="20"/>
      <c r="D696" s="13"/>
      <c r="E696" s="8"/>
      <c r="F696" s="21"/>
      <c r="G696" s="38"/>
      <c r="H696" s="48"/>
      <c r="I696" s="48"/>
      <c r="J696" s="39"/>
      <c r="K696" s="19"/>
      <c r="L696" s="12"/>
      <c r="M696" s="17"/>
    </row>
    <row r="697" spans="1:13" x14ac:dyDescent="0.25">
      <c r="A697" s="12"/>
      <c r="B697" s="14"/>
      <c r="C697" s="20"/>
      <c r="D697" s="13"/>
      <c r="E697" s="8"/>
      <c r="F697" s="21"/>
      <c r="G697" s="38"/>
      <c r="H697" s="48"/>
      <c r="I697" s="48"/>
      <c r="J697" s="39"/>
      <c r="K697" s="19"/>
      <c r="L697" s="12"/>
      <c r="M697" s="17"/>
    </row>
    <row r="698" spans="1:13" x14ac:dyDescent="0.25">
      <c r="A698" s="12"/>
      <c r="B698" s="14"/>
      <c r="C698" s="20"/>
      <c r="D698" s="13"/>
      <c r="E698" s="8"/>
      <c r="F698" s="21"/>
      <c r="G698" s="38"/>
      <c r="H698" s="48"/>
      <c r="I698" s="48"/>
      <c r="J698" s="39"/>
      <c r="K698" s="19"/>
      <c r="L698" s="12"/>
      <c r="M698" s="17"/>
    </row>
    <row r="699" spans="1:13" x14ac:dyDescent="0.25">
      <c r="A699" s="12"/>
      <c r="B699" s="14"/>
      <c r="C699" s="20"/>
      <c r="D699" s="13"/>
      <c r="E699" s="8"/>
      <c r="F699" s="21"/>
      <c r="G699" s="38"/>
      <c r="H699" s="48"/>
      <c r="I699" s="48"/>
      <c r="J699" s="39"/>
      <c r="K699" s="19"/>
      <c r="L699" s="12"/>
      <c r="M699" s="17"/>
    </row>
    <row r="700" spans="1:13" x14ac:dyDescent="0.25">
      <c r="A700" s="12"/>
      <c r="B700" s="14"/>
      <c r="C700" s="20"/>
      <c r="D700" s="13"/>
      <c r="E700" s="8"/>
      <c r="F700" s="21"/>
      <c r="G700" s="38"/>
      <c r="H700" s="48"/>
      <c r="I700" s="48"/>
      <c r="J700" s="39"/>
      <c r="K700" s="19"/>
      <c r="L700" s="12"/>
      <c r="M700" s="17"/>
    </row>
    <row r="701" spans="1:13" x14ac:dyDescent="0.25">
      <c r="A701" s="12"/>
      <c r="B701" s="14"/>
      <c r="C701" s="20"/>
      <c r="D701" s="13"/>
      <c r="E701" s="8"/>
      <c r="F701" s="21"/>
      <c r="G701" s="38"/>
      <c r="H701" s="48"/>
      <c r="I701" s="48"/>
      <c r="J701" s="39"/>
      <c r="K701" s="19"/>
      <c r="L701" s="12"/>
      <c r="M701" s="17"/>
    </row>
    <row r="702" spans="1:13" x14ac:dyDescent="0.25">
      <c r="A702" s="12"/>
      <c r="B702" s="14"/>
      <c r="C702" s="20"/>
      <c r="D702" s="13"/>
      <c r="E702" s="8"/>
      <c r="F702" s="21"/>
      <c r="G702" s="38"/>
      <c r="H702" s="48"/>
      <c r="I702" s="48"/>
      <c r="J702" s="39"/>
      <c r="K702" s="19"/>
      <c r="L702" s="12"/>
      <c r="M702" s="17"/>
    </row>
    <row r="703" spans="1:13" x14ac:dyDescent="0.25">
      <c r="A703" s="12"/>
      <c r="B703" s="14"/>
      <c r="C703" s="20"/>
      <c r="D703" s="13"/>
      <c r="E703" s="8"/>
      <c r="F703" s="21"/>
      <c r="G703" s="38"/>
      <c r="H703" s="48"/>
      <c r="I703" s="48"/>
      <c r="J703" s="39"/>
      <c r="K703" s="19"/>
      <c r="L703" s="12"/>
      <c r="M703" s="17"/>
    </row>
    <row r="704" spans="1:13" x14ac:dyDescent="0.25">
      <c r="A704" s="12"/>
      <c r="B704" s="14"/>
      <c r="C704" s="20"/>
      <c r="D704" s="13"/>
      <c r="E704" s="8"/>
      <c r="F704" s="21"/>
      <c r="G704" s="38"/>
      <c r="H704" s="48"/>
      <c r="I704" s="48"/>
      <c r="J704" s="39"/>
      <c r="K704" s="19"/>
      <c r="L704" s="12"/>
      <c r="M704" s="17"/>
    </row>
    <row r="705" spans="1:13" x14ac:dyDescent="0.25">
      <c r="A705" s="12"/>
      <c r="B705" s="14"/>
      <c r="C705" s="20"/>
      <c r="D705" s="13"/>
      <c r="E705" s="8"/>
      <c r="F705" s="21"/>
      <c r="G705" s="38"/>
      <c r="H705" s="48"/>
      <c r="I705" s="48"/>
      <c r="J705" s="39"/>
      <c r="K705" s="19"/>
      <c r="L705" s="12"/>
      <c r="M705" s="17"/>
    </row>
    <row r="706" spans="1:13" x14ac:dyDescent="0.25">
      <c r="A706" s="12"/>
      <c r="B706" s="14"/>
      <c r="C706" s="20"/>
      <c r="D706" s="13"/>
      <c r="E706" s="8"/>
      <c r="F706" s="21"/>
      <c r="G706" s="38"/>
      <c r="H706" s="48"/>
      <c r="I706" s="48"/>
      <c r="J706" s="39"/>
      <c r="K706" s="19"/>
      <c r="L706" s="12"/>
      <c r="M706" s="17"/>
    </row>
    <row r="707" spans="1:13" x14ac:dyDescent="0.25">
      <c r="A707" s="12"/>
      <c r="B707" s="14"/>
      <c r="C707" s="20"/>
      <c r="D707" s="13"/>
      <c r="E707" s="8"/>
      <c r="F707" s="21"/>
      <c r="G707" s="38"/>
      <c r="H707" s="48"/>
      <c r="I707" s="48"/>
      <c r="J707" s="39"/>
      <c r="K707" s="19"/>
      <c r="L707" s="12"/>
      <c r="M707" s="17"/>
    </row>
    <row r="708" spans="1:13" x14ac:dyDescent="0.25">
      <c r="A708" s="12"/>
      <c r="B708" s="14"/>
      <c r="C708" s="20"/>
      <c r="D708" s="13"/>
      <c r="E708" s="8"/>
      <c r="F708" s="21"/>
      <c r="G708" s="38"/>
      <c r="H708" s="48"/>
      <c r="I708" s="48"/>
      <c r="J708" s="39"/>
      <c r="K708" s="19"/>
      <c r="L708" s="12"/>
      <c r="M708" s="17"/>
    </row>
    <row r="709" spans="1:13" x14ac:dyDescent="0.25">
      <c r="A709" s="12"/>
      <c r="B709" s="14"/>
      <c r="C709" s="20"/>
      <c r="D709" s="13"/>
      <c r="E709" s="8"/>
      <c r="F709" s="21"/>
      <c r="G709" s="38"/>
      <c r="H709" s="48"/>
      <c r="I709" s="48"/>
      <c r="J709" s="39"/>
      <c r="K709" s="19"/>
      <c r="L709" s="12"/>
      <c r="M709" s="17"/>
    </row>
    <row r="710" spans="1:13" x14ac:dyDescent="0.25">
      <c r="A710" s="12"/>
      <c r="B710" s="14"/>
      <c r="C710" s="20"/>
      <c r="D710" s="13"/>
      <c r="E710" s="8"/>
      <c r="F710" s="21"/>
      <c r="G710" s="38"/>
      <c r="H710" s="48"/>
      <c r="I710" s="48"/>
      <c r="J710" s="39"/>
      <c r="K710" s="19"/>
      <c r="L710" s="12"/>
      <c r="M710" s="17"/>
    </row>
    <row r="711" spans="1:13" x14ac:dyDescent="0.25">
      <c r="A711" s="12"/>
      <c r="B711" s="14"/>
      <c r="C711" s="20"/>
      <c r="D711" s="13"/>
      <c r="E711" s="8"/>
      <c r="F711" s="21"/>
      <c r="G711" s="38"/>
      <c r="H711" s="48"/>
      <c r="I711" s="48"/>
      <c r="J711" s="39"/>
      <c r="K711" s="19"/>
      <c r="L711" s="12"/>
      <c r="M711" s="17"/>
    </row>
    <row r="712" spans="1:13" x14ac:dyDescent="0.25">
      <c r="A712" s="12"/>
      <c r="B712" s="14"/>
      <c r="C712" s="20"/>
      <c r="D712" s="13"/>
      <c r="E712" s="8"/>
      <c r="F712" s="21"/>
      <c r="G712" s="38"/>
      <c r="H712" s="48"/>
      <c r="I712" s="48"/>
      <c r="J712" s="39"/>
      <c r="K712" s="19"/>
      <c r="L712" s="12"/>
      <c r="M712" s="17"/>
    </row>
    <row r="713" spans="1:13" x14ac:dyDescent="0.25">
      <c r="A713" s="12"/>
      <c r="B713" s="14"/>
      <c r="C713" s="20"/>
      <c r="D713" s="13"/>
      <c r="E713" s="8"/>
      <c r="F713" s="21"/>
      <c r="G713" s="38"/>
      <c r="H713" s="48"/>
      <c r="I713" s="48"/>
      <c r="J713" s="39"/>
      <c r="K713" s="19"/>
      <c r="L713" s="12"/>
      <c r="M713" s="17"/>
    </row>
    <row r="714" spans="1:13" x14ac:dyDescent="0.25">
      <c r="A714" s="12"/>
      <c r="B714" s="14"/>
      <c r="C714" s="20"/>
      <c r="D714" s="13"/>
      <c r="E714" s="8"/>
      <c r="F714" s="21"/>
      <c r="G714" s="38"/>
      <c r="H714" s="48"/>
      <c r="I714" s="48"/>
      <c r="J714" s="39"/>
      <c r="K714" s="19"/>
      <c r="L714" s="12"/>
      <c r="M714" s="17"/>
    </row>
    <row r="715" spans="1:13" x14ac:dyDescent="0.25">
      <c r="A715" s="12"/>
      <c r="B715" s="14"/>
      <c r="C715" s="20"/>
      <c r="D715" s="13"/>
      <c r="E715" s="8"/>
      <c r="F715" s="21"/>
      <c r="G715" s="38"/>
      <c r="H715" s="48"/>
      <c r="I715" s="48"/>
      <c r="J715" s="39"/>
      <c r="K715" s="19"/>
      <c r="L715" s="12"/>
      <c r="M715" s="17"/>
    </row>
    <row r="716" spans="1:13" x14ac:dyDescent="0.25">
      <c r="A716" s="12"/>
      <c r="B716" s="14"/>
      <c r="C716" s="20"/>
      <c r="D716" s="13"/>
      <c r="E716" s="8"/>
      <c r="F716" s="21"/>
      <c r="G716" s="38"/>
      <c r="H716" s="48"/>
      <c r="I716" s="48"/>
      <c r="J716" s="39"/>
      <c r="K716" s="19"/>
      <c r="L716" s="12"/>
      <c r="M716" s="17"/>
    </row>
    <row r="717" spans="1:13" x14ac:dyDescent="0.25">
      <c r="A717" s="12"/>
      <c r="B717" s="14"/>
      <c r="C717" s="20"/>
      <c r="D717" s="13"/>
      <c r="E717" s="8"/>
      <c r="F717" s="21"/>
      <c r="G717" s="38"/>
      <c r="H717" s="48"/>
      <c r="I717" s="48"/>
      <c r="J717" s="39"/>
      <c r="K717" s="19"/>
      <c r="L717" s="12"/>
      <c r="M717" s="17"/>
    </row>
    <row r="718" spans="1:13" x14ac:dyDescent="0.25">
      <c r="A718" s="12"/>
      <c r="B718" s="14"/>
      <c r="C718" s="20"/>
      <c r="D718" s="13"/>
      <c r="E718" s="8"/>
      <c r="F718" s="21"/>
      <c r="G718" s="38"/>
      <c r="H718" s="48"/>
      <c r="I718" s="48"/>
      <c r="J718" s="39"/>
      <c r="K718" s="19"/>
      <c r="L718" s="12"/>
      <c r="M718" s="17"/>
    </row>
    <row r="719" spans="1:13" x14ac:dyDescent="0.25">
      <c r="A719" s="12"/>
      <c r="B719" s="14"/>
      <c r="C719" s="20"/>
      <c r="D719" s="13"/>
      <c r="E719" s="8"/>
      <c r="F719" s="21"/>
      <c r="G719" s="38"/>
      <c r="H719" s="48"/>
      <c r="I719" s="48"/>
      <c r="J719" s="39"/>
      <c r="K719" s="19"/>
      <c r="L719" s="12"/>
      <c r="M719" s="17"/>
    </row>
    <row r="720" spans="1:13" x14ac:dyDescent="0.25">
      <c r="A720" s="12"/>
      <c r="B720" s="14"/>
      <c r="C720" s="20"/>
      <c r="D720" s="13"/>
      <c r="E720" s="8"/>
      <c r="F720" s="21"/>
      <c r="G720" s="38"/>
      <c r="H720" s="48"/>
      <c r="I720" s="48"/>
      <c r="J720" s="39"/>
      <c r="K720" s="19"/>
      <c r="L720" s="12"/>
      <c r="M720" s="17"/>
    </row>
    <row r="721" spans="1:13" x14ac:dyDescent="0.25">
      <c r="A721" s="12"/>
      <c r="B721" s="14"/>
      <c r="C721" s="20"/>
      <c r="D721" s="13"/>
      <c r="E721" s="8"/>
      <c r="F721" s="21"/>
      <c r="G721" s="38"/>
      <c r="H721" s="48"/>
      <c r="I721" s="48"/>
      <c r="J721" s="39"/>
      <c r="K721" s="19"/>
      <c r="L721" s="12"/>
      <c r="M721" s="17"/>
    </row>
    <row r="722" spans="1:13" x14ac:dyDescent="0.25">
      <c r="A722" s="12"/>
      <c r="B722" s="14"/>
      <c r="C722" s="20"/>
      <c r="D722" s="13"/>
      <c r="E722" s="8"/>
      <c r="F722" s="21"/>
      <c r="G722" s="38"/>
      <c r="H722" s="48"/>
      <c r="I722" s="48"/>
      <c r="J722" s="39"/>
      <c r="K722" s="19"/>
      <c r="L722" s="12"/>
      <c r="M722" s="17"/>
    </row>
    <row r="723" spans="1:13" x14ac:dyDescent="0.25">
      <c r="A723" s="12"/>
      <c r="B723" s="14"/>
      <c r="C723" s="20"/>
      <c r="D723" s="13"/>
      <c r="E723" s="8"/>
      <c r="F723" s="21"/>
      <c r="G723" s="38"/>
      <c r="H723" s="48"/>
      <c r="I723" s="48"/>
      <c r="J723" s="39"/>
      <c r="K723" s="19"/>
      <c r="L723" s="12"/>
      <c r="M723" s="17"/>
    </row>
    <row r="724" spans="1:13" x14ac:dyDescent="0.25">
      <c r="A724" s="12"/>
      <c r="B724" s="14"/>
      <c r="C724" s="20"/>
      <c r="D724" s="13"/>
      <c r="E724" s="8"/>
      <c r="F724" s="21"/>
      <c r="G724" s="38"/>
      <c r="H724" s="48"/>
      <c r="I724" s="48"/>
      <c r="J724" s="39"/>
      <c r="K724" s="19"/>
      <c r="L724" s="12"/>
      <c r="M724" s="17"/>
    </row>
    <row r="725" spans="1:13" x14ac:dyDescent="0.25">
      <c r="A725" s="12"/>
      <c r="B725" s="14"/>
      <c r="C725" s="20"/>
      <c r="D725" s="13"/>
      <c r="E725" s="8"/>
      <c r="F725" s="21"/>
      <c r="G725" s="38"/>
      <c r="H725" s="48"/>
      <c r="I725" s="48"/>
      <c r="J725" s="39"/>
      <c r="K725" s="19"/>
      <c r="L725" s="12"/>
      <c r="M725" s="17"/>
    </row>
    <row r="726" spans="1:13" x14ac:dyDescent="0.25">
      <c r="A726" s="12"/>
      <c r="B726" s="14"/>
      <c r="C726" s="20"/>
      <c r="D726" s="13"/>
      <c r="E726" s="8"/>
      <c r="F726" s="21"/>
      <c r="G726" s="38"/>
      <c r="H726" s="48"/>
      <c r="I726" s="48"/>
      <c r="J726" s="39"/>
      <c r="K726" s="19"/>
      <c r="L726" s="12"/>
      <c r="M726" s="17"/>
    </row>
    <row r="727" spans="1:13" x14ac:dyDescent="0.25">
      <c r="A727" s="12"/>
      <c r="B727" s="14"/>
      <c r="C727" s="20"/>
      <c r="D727" s="13"/>
      <c r="E727" s="8"/>
      <c r="F727" s="21"/>
      <c r="G727" s="38"/>
      <c r="H727" s="48"/>
      <c r="I727" s="48"/>
      <c r="J727" s="39"/>
      <c r="K727" s="19"/>
      <c r="L727" s="12"/>
      <c r="M727" s="17"/>
    </row>
    <row r="728" spans="1:13" x14ac:dyDescent="0.25">
      <c r="A728" s="12"/>
      <c r="B728" s="14"/>
      <c r="C728" s="20"/>
      <c r="D728" s="13"/>
      <c r="E728" s="8"/>
      <c r="F728" s="21"/>
      <c r="G728" s="38"/>
      <c r="H728" s="48"/>
      <c r="I728" s="48"/>
      <c r="J728" s="39"/>
      <c r="K728" s="19"/>
      <c r="L728" s="12"/>
      <c r="M728" s="17"/>
    </row>
    <row r="729" spans="1:13" x14ac:dyDescent="0.25">
      <c r="A729" s="12"/>
      <c r="B729" s="14"/>
      <c r="C729" s="20"/>
      <c r="D729" s="13"/>
      <c r="E729" s="8"/>
      <c r="F729" s="21"/>
      <c r="G729" s="38"/>
      <c r="H729" s="48"/>
      <c r="I729" s="48"/>
      <c r="J729" s="39"/>
      <c r="K729" s="19"/>
      <c r="L729" s="12"/>
      <c r="M729" s="17"/>
    </row>
    <row r="730" spans="1:13" x14ac:dyDescent="0.25">
      <c r="A730" s="12"/>
      <c r="B730" s="14"/>
      <c r="C730" s="20"/>
      <c r="D730" s="13"/>
      <c r="E730" s="8"/>
      <c r="F730" s="21"/>
      <c r="G730" s="38"/>
      <c r="H730" s="48"/>
      <c r="I730" s="48"/>
      <c r="J730" s="39"/>
      <c r="K730" s="19"/>
      <c r="L730" s="12"/>
      <c r="M730" s="17"/>
    </row>
    <row r="731" spans="1:13" x14ac:dyDescent="0.25">
      <c r="A731" s="12"/>
      <c r="B731" s="14"/>
      <c r="C731" s="20"/>
      <c r="D731" s="13"/>
      <c r="E731" s="8"/>
      <c r="F731" s="21"/>
      <c r="G731" s="38"/>
      <c r="H731" s="48"/>
      <c r="I731" s="48"/>
      <c r="J731" s="39"/>
      <c r="K731" s="19"/>
      <c r="L731" s="12"/>
      <c r="M731" s="17"/>
    </row>
    <row r="732" spans="1:13" x14ac:dyDescent="0.25">
      <c r="A732" s="12"/>
      <c r="B732" s="14"/>
      <c r="C732" s="20"/>
      <c r="D732" s="13"/>
      <c r="E732" s="8"/>
      <c r="F732" s="21"/>
      <c r="G732" s="38"/>
      <c r="H732" s="48"/>
      <c r="I732" s="48"/>
      <c r="J732" s="39"/>
      <c r="K732" s="19"/>
      <c r="L732" s="12"/>
      <c r="M732" s="17"/>
    </row>
    <row r="733" spans="1:13" x14ac:dyDescent="0.25">
      <c r="A733" s="12"/>
      <c r="B733" s="14"/>
      <c r="C733" s="20"/>
      <c r="D733" s="13"/>
      <c r="E733" s="8"/>
      <c r="F733" s="21"/>
      <c r="G733" s="38"/>
      <c r="H733" s="48"/>
      <c r="I733" s="48"/>
      <c r="J733" s="39"/>
      <c r="K733" s="19"/>
      <c r="L733" s="12"/>
      <c r="M733" s="17"/>
    </row>
    <row r="734" spans="1:13" x14ac:dyDescent="0.25">
      <c r="A734" s="12"/>
      <c r="B734" s="14"/>
      <c r="C734" s="20"/>
      <c r="D734" s="13"/>
      <c r="E734" s="8"/>
      <c r="F734" s="21"/>
      <c r="G734" s="38"/>
      <c r="H734" s="48"/>
      <c r="I734" s="48"/>
      <c r="J734" s="39"/>
      <c r="K734" s="19"/>
      <c r="L734" s="12"/>
      <c r="M734" s="17"/>
    </row>
    <row r="735" spans="1:13" x14ac:dyDescent="0.25">
      <c r="A735" s="12"/>
      <c r="B735" s="14"/>
      <c r="C735" s="20"/>
      <c r="D735" s="13"/>
      <c r="E735" s="8"/>
      <c r="F735" s="21"/>
      <c r="G735" s="38"/>
      <c r="H735" s="48"/>
      <c r="I735" s="48"/>
      <c r="J735" s="39"/>
      <c r="K735" s="19"/>
      <c r="L735" s="12"/>
      <c r="M735" s="17"/>
    </row>
    <row r="736" spans="1:13" x14ac:dyDescent="0.25">
      <c r="A736" s="12"/>
      <c r="B736" s="14"/>
      <c r="C736" s="20"/>
      <c r="D736" s="13"/>
      <c r="E736" s="8"/>
      <c r="F736" s="21"/>
      <c r="G736" s="38"/>
      <c r="H736" s="48"/>
      <c r="I736" s="48"/>
      <c r="J736" s="39"/>
      <c r="K736" s="19"/>
      <c r="L736" s="12"/>
      <c r="M736" s="17"/>
    </row>
    <row r="737" spans="1:13" x14ac:dyDescent="0.25">
      <c r="A737" s="12"/>
      <c r="B737" s="14"/>
      <c r="C737" s="20"/>
      <c r="D737" s="13"/>
      <c r="E737" s="8"/>
      <c r="F737" s="21"/>
      <c r="G737" s="38"/>
      <c r="H737" s="48"/>
      <c r="I737" s="48"/>
      <c r="J737" s="39"/>
      <c r="K737" s="19"/>
      <c r="L737" s="12"/>
      <c r="M737" s="17"/>
    </row>
    <row r="738" spans="1:13" x14ac:dyDescent="0.25">
      <c r="A738" s="12"/>
      <c r="B738" s="14"/>
      <c r="C738" s="20"/>
      <c r="D738" s="13"/>
      <c r="E738" s="8"/>
      <c r="F738" s="21"/>
      <c r="G738" s="38"/>
      <c r="H738" s="48"/>
      <c r="I738" s="48"/>
      <c r="J738" s="39"/>
      <c r="K738" s="19"/>
      <c r="L738" s="12"/>
      <c r="M738" s="17"/>
    </row>
    <row r="739" spans="1:13" x14ac:dyDescent="0.25">
      <c r="A739" s="12"/>
      <c r="B739" s="14"/>
      <c r="C739" s="20"/>
      <c r="D739" s="13"/>
      <c r="E739" s="8"/>
      <c r="F739" s="21"/>
      <c r="G739" s="38"/>
      <c r="H739" s="48"/>
      <c r="I739" s="48"/>
      <c r="J739" s="39"/>
      <c r="K739" s="19"/>
      <c r="L739" s="12"/>
      <c r="M739" s="17"/>
    </row>
    <row r="740" spans="1:13" x14ac:dyDescent="0.25">
      <c r="A740" s="12"/>
      <c r="B740" s="14"/>
      <c r="C740" s="20"/>
      <c r="D740" s="13"/>
      <c r="E740" s="8"/>
      <c r="F740" s="21"/>
      <c r="G740" s="38"/>
      <c r="H740" s="48"/>
      <c r="I740" s="48"/>
      <c r="J740" s="39"/>
      <c r="K740" s="19"/>
      <c r="L740" s="12"/>
      <c r="M740" s="17"/>
    </row>
    <row r="741" spans="1:13" x14ac:dyDescent="0.25">
      <c r="A741" s="12"/>
      <c r="B741" s="14"/>
      <c r="C741" s="20"/>
      <c r="D741" s="13"/>
      <c r="E741" s="8"/>
      <c r="F741" s="21"/>
      <c r="G741" s="38"/>
      <c r="H741" s="48"/>
      <c r="I741" s="48"/>
      <c r="J741" s="39"/>
      <c r="K741" s="19"/>
      <c r="L741" s="12"/>
      <c r="M741" s="17"/>
    </row>
    <row r="742" spans="1:13" x14ac:dyDescent="0.25">
      <c r="A742" s="12"/>
      <c r="B742" s="14"/>
      <c r="C742" s="20"/>
      <c r="D742" s="13"/>
      <c r="E742" s="8"/>
      <c r="F742" s="21"/>
      <c r="G742" s="38"/>
      <c r="H742" s="48"/>
      <c r="I742" s="48"/>
      <c r="J742" s="39"/>
      <c r="K742" s="19"/>
      <c r="L742" s="12"/>
      <c r="M742" s="17"/>
    </row>
    <row r="743" spans="1:13" x14ac:dyDescent="0.25">
      <c r="A743" s="12"/>
      <c r="B743" s="14"/>
      <c r="C743" s="20"/>
      <c r="D743" s="13"/>
      <c r="E743" s="8"/>
      <c r="F743" s="21"/>
      <c r="G743" s="38"/>
      <c r="H743" s="48"/>
      <c r="I743" s="48"/>
      <c r="J743" s="39"/>
      <c r="K743" s="19"/>
      <c r="L743" s="12"/>
      <c r="M743" s="17"/>
    </row>
    <row r="744" spans="1:13" x14ac:dyDescent="0.25">
      <c r="A744" s="12"/>
      <c r="B744" s="14"/>
      <c r="C744" s="20"/>
      <c r="D744" s="13"/>
      <c r="E744" s="8"/>
      <c r="F744" s="21"/>
      <c r="G744" s="38"/>
      <c r="H744" s="48"/>
      <c r="I744" s="48"/>
      <c r="J744" s="39"/>
      <c r="K744" s="19"/>
      <c r="L744" s="12"/>
      <c r="M744" s="17"/>
    </row>
    <row r="745" spans="1:13" x14ac:dyDescent="0.25">
      <c r="A745" s="12"/>
      <c r="B745" s="14"/>
      <c r="C745" s="20"/>
      <c r="D745" s="13"/>
      <c r="E745" s="8"/>
      <c r="F745" s="21"/>
      <c r="G745" s="38"/>
      <c r="H745" s="48"/>
      <c r="I745" s="48"/>
      <c r="J745" s="39"/>
      <c r="K745" s="19"/>
      <c r="L745" s="12"/>
      <c r="M745" s="17"/>
    </row>
    <row r="746" spans="1:13" x14ac:dyDescent="0.25">
      <c r="A746" s="12"/>
      <c r="B746" s="14"/>
      <c r="C746" s="20"/>
      <c r="D746" s="13"/>
      <c r="E746" s="8"/>
      <c r="F746" s="21"/>
      <c r="G746" s="38"/>
      <c r="H746" s="48"/>
      <c r="I746" s="48"/>
      <c r="J746" s="39"/>
      <c r="K746" s="19"/>
      <c r="L746" s="12"/>
      <c r="M746" s="17"/>
    </row>
    <row r="747" spans="1:13" x14ac:dyDescent="0.25">
      <c r="A747" s="12"/>
      <c r="B747" s="14"/>
      <c r="C747" s="20"/>
      <c r="D747" s="13"/>
      <c r="E747" s="8"/>
      <c r="F747" s="21"/>
      <c r="G747" s="38"/>
      <c r="H747" s="48"/>
      <c r="I747" s="48"/>
      <c r="J747" s="39"/>
      <c r="K747" s="19"/>
      <c r="L747" s="12"/>
      <c r="M747" s="17"/>
    </row>
    <row r="748" spans="1:13" x14ac:dyDescent="0.25">
      <c r="A748" s="12"/>
      <c r="B748" s="14"/>
      <c r="C748" s="20"/>
      <c r="D748" s="13"/>
      <c r="E748" s="8"/>
      <c r="F748" s="21"/>
      <c r="G748" s="38"/>
      <c r="H748" s="48"/>
      <c r="I748" s="48"/>
      <c r="J748" s="39"/>
      <c r="K748" s="19"/>
      <c r="L748" s="12"/>
      <c r="M748" s="17"/>
    </row>
    <row r="749" spans="1:13" x14ac:dyDescent="0.25">
      <c r="A749" s="12"/>
      <c r="B749" s="14"/>
      <c r="C749" s="20"/>
      <c r="D749" s="13"/>
      <c r="E749" s="8"/>
      <c r="F749" s="21"/>
      <c r="G749" s="38"/>
      <c r="H749" s="48"/>
      <c r="I749" s="48"/>
      <c r="J749" s="39"/>
      <c r="K749" s="19"/>
      <c r="L749" s="12"/>
      <c r="M749" s="17"/>
    </row>
    <row r="750" spans="1:13" x14ac:dyDescent="0.25">
      <c r="A750" s="12"/>
      <c r="B750" s="14"/>
      <c r="C750" s="20"/>
      <c r="D750" s="13"/>
      <c r="E750" s="8"/>
      <c r="F750" s="21"/>
      <c r="G750" s="38"/>
      <c r="H750" s="48"/>
      <c r="I750" s="48"/>
      <c r="J750" s="39"/>
      <c r="K750" s="19"/>
      <c r="L750" s="12"/>
      <c r="M750" s="17"/>
    </row>
    <row r="751" spans="1:13" x14ac:dyDescent="0.25">
      <c r="A751" s="12"/>
      <c r="B751" s="14"/>
      <c r="C751" s="20"/>
      <c r="D751" s="13"/>
      <c r="E751" s="8"/>
      <c r="F751" s="21"/>
      <c r="G751" s="38"/>
      <c r="H751" s="48"/>
      <c r="I751" s="48"/>
      <c r="J751" s="39"/>
      <c r="K751" s="19"/>
      <c r="L751" s="12"/>
      <c r="M751" s="17"/>
    </row>
    <row r="752" spans="1:13" x14ac:dyDescent="0.25">
      <c r="A752" s="12"/>
      <c r="B752" s="14"/>
      <c r="C752" s="20"/>
      <c r="D752" s="13"/>
      <c r="E752" s="8"/>
      <c r="F752" s="21"/>
      <c r="G752" s="38"/>
      <c r="H752" s="48"/>
      <c r="I752" s="48"/>
      <c r="J752" s="39"/>
      <c r="K752" s="19"/>
      <c r="L752" s="12"/>
      <c r="M752" s="17"/>
    </row>
    <row r="753" spans="1:13" x14ac:dyDescent="0.25">
      <c r="A753" s="12"/>
      <c r="B753" s="14"/>
      <c r="C753" s="20"/>
      <c r="D753" s="13"/>
      <c r="E753" s="8"/>
      <c r="F753" s="21"/>
      <c r="G753" s="38"/>
      <c r="H753" s="48"/>
      <c r="I753" s="48"/>
      <c r="J753" s="39"/>
      <c r="K753" s="19"/>
      <c r="L753" s="12"/>
      <c r="M753" s="17"/>
    </row>
    <row r="754" spans="1:13" x14ac:dyDescent="0.25">
      <c r="A754" s="12"/>
      <c r="B754" s="14"/>
      <c r="C754" s="20"/>
      <c r="D754" s="13"/>
      <c r="E754" s="8"/>
      <c r="F754" s="21"/>
      <c r="G754" s="38"/>
      <c r="H754" s="48"/>
      <c r="I754" s="48"/>
      <c r="J754" s="39"/>
      <c r="K754" s="19"/>
      <c r="L754" s="12"/>
      <c r="M754" s="17"/>
    </row>
    <row r="755" spans="1:13" x14ac:dyDescent="0.25">
      <c r="A755" s="12"/>
      <c r="B755" s="14"/>
      <c r="C755" s="20"/>
      <c r="D755" s="13"/>
      <c r="E755" s="8"/>
      <c r="F755" s="21"/>
      <c r="G755" s="38"/>
      <c r="H755" s="48"/>
      <c r="I755" s="48"/>
      <c r="J755" s="39"/>
      <c r="K755" s="19"/>
      <c r="L755" s="12"/>
      <c r="M755" s="17"/>
    </row>
    <row r="756" spans="1:13" x14ac:dyDescent="0.25">
      <c r="A756" s="12"/>
      <c r="B756" s="14"/>
      <c r="C756" s="20"/>
      <c r="D756" s="13"/>
      <c r="E756" s="8"/>
      <c r="F756" s="21"/>
      <c r="G756" s="38"/>
      <c r="H756" s="48"/>
      <c r="I756" s="48"/>
      <c r="J756" s="39"/>
      <c r="K756" s="19"/>
      <c r="L756" s="12"/>
      <c r="M756" s="17"/>
    </row>
    <row r="757" spans="1:13" x14ac:dyDescent="0.25">
      <c r="A757" s="12"/>
      <c r="B757" s="14"/>
      <c r="C757" s="20"/>
      <c r="D757" s="13"/>
      <c r="E757" s="8"/>
      <c r="F757" s="21"/>
      <c r="G757" s="38"/>
      <c r="H757" s="48"/>
      <c r="I757" s="48"/>
      <c r="J757" s="39"/>
      <c r="K757" s="19"/>
      <c r="L757" s="12"/>
      <c r="M757" s="17"/>
    </row>
    <row r="758" spans="1:13" x14ac:dyDescent="0.25">
      <c r="A758" s="12"/>
      <c r="B758" s="14"/>
      <c r="C758" s="20"/>
      <c r="D758" s="13"/>
      <c r="E758" s="8"/>
      <c r="F758" s="21"/>
      <c r="G758" s="38"/>
      <c r="H758" s="48"/>
      <c r="I758" s="48"/>
      <c r="J758" s="39"/>
      <c r="K758" s="19"/>
      <c r="L758" s="12"/>
      <c r="M758" s="17"/>
    </row>
    <row r="759" spans="1:13" x14ac:dyDescent="0.25">
      <c r="A759" s="12"/>
      <c r="B759" s="14"/>
      <c r="C759" s="20"/>
      <c r="D759" s="13"/>
      <c r="E759" s="8"/>
      <c r="F759" s="21"/>
      <c r="G759" s="38"/>
      <c r="H759" s="48"/>
      <c r="I759" s="48"/>
      <c r="J759" s="39"/>
      <c r="K759" s="19"/>
      <c r="L759" s="12"/>
      <c r="M759" s="17"/>
    </row>
    <row r="760" spans="1:13" x14ac:dyDescent="0.25">
      <c r="A760" s="12"/>
      <c r="B760" s="14"/>
      <c r="C760" s="20"/>
      <c r="D760" s="13"/>
      <c r="E760" s="8"/>
      <c r="F760" s="21"/>
      <c r="G760" s="38"/>
      <c r="H760" s="48"/>
      <c r="I760" s="48"/>
      <c r="J760" s="39"/>
      <c r="K760" s="19"/>
      <c r="L760" s="12"/>
      <c r="M760" s="17"/>
    </row>
    <row r="761" spans="1:13" x14ac:dyDescent="0.25">
      <c r="A761" s="12"/>
      <c r="B761" s="14"/>
      <c r="C761" s="20"/>
      <c r="D761" s="13"/>
      <c r="E761" s="8"/>
      <c r="F761" s="21"/>
      <c r="G761" s="38"/>
      <c r="H761" s="48"/>
      <c r="I761" s="48"/>
      <c r="J761" s="39"/>
      <c r="K761" s="19"/>
      <c r="L761" s="12"/>
      <c r="M761" s="17"/>
    </row>
    <row r="762" spans="1:13" x14ac:dyDescent="0.25">
      <c r="A762" s="12"/>
      <c r="B762" s="14"/>
      <c r="C762" s="20"/>
      <c r="D762" s="13"/>
      <c r="E762" s="8"/>
      <c r="F762" s="21"/>
      <c r="G762" s="38"/>
      <c r="H762" s="48"/>
      <c r="I762" s="48"/>
      <c r="J762" s="39"/>
      <c r="K762" s="19"/>
      <c r="L762" s="12"/>
      <c r="M762" s="17"/>
    </row>
    <row r="763" spans="1:13" x14ac:dyDescent="0.25">
      <c r="A763" s="12"/>
      <c r="B763" s="14"/>
      <c r="C763" s="20"/>
      <c r="D763" s="13"/>
      <c r="E763" s="8"/>
      <c r="F763" s="21"/>
      <c r="G763" s="38"/>
      <c r="H763" s="48"/>
      <c r="I763" s="48"/>
      <c r="J763" s="39"/>
      <c r="K763" s="19"/>
      <c r="L763" s="12"/>
      <c r="M763" s="17"/>
    </row>
    <row r="764" spans="1:13" x14ac:dyDescent="0.25">
      <c r="A764" s="12"/>
      <c r="B764" s="14"/>
      <c r="C764" s="20"/>
      <c r="D764" s="13"/>
      <c r="E764" s="8"/>
      <c r="F764" s="21"/>
      <c r="G764" s="38"/>
      <c r="H764" s="48"/>
      <c r="I764" s="48"/>
      <c r="J764" s="39"/>
      <c r="K764" s="19"/>
      <c r="L764" s="12"/>
      <c r="M764" s="17"/>
    </row>
    <row r="765" spans="1:13" x14ac:dyDescent="0.25">
      <c r="A765" s="12"/>
      <c r="B765" s="14"/>
      <c r="C765" s="20"/>
      <c r="D765" s="13"/>
      <c r="E765" s="8"/>
      <c r="F765" s="21"/>
      <c r="G765" s="38"/>
      <c r="H765" s="48"/>
      <c r="I765" s="48"/>
      <c r="J765" s="39"/>
      <c r="K765" s="19"/>
      <c r="L765" s="12"/>
      <c r="M765" s="17"/>
    </row>
    <row r="766" spans="1:13" x14ac:dyDescent="0.25">
      <c r="A766" s="12"/>
      <c r="B766" s="14"/>
      <c r="C766" s="20"/>
      <c r="D766" s="13"/>
      <c r="E766" s="8"/>
      <c r="F766" s="21"/>
      <c r="G766" s="38"/>
      <c r="H766" s="48"/>
      <c r="I766" s="48"/>
      <c r="J766" s="39"/>
      <c r="K766" s="19"/>
      <c r="L766" s="12"/>
      <c r="M766" s="17"/>
    </row>
    <row r="767" spans="1:13" x14ac:dyDescent="0.25">
      <c r="A767" s="12"/>
      <c r="B767" s="14"/>
      <c r="C767" s="20"/>
      <c r="D767" s="13"/>
      <c r="E767" s="8"/>
      <c r="F767" s="21"/>
      <c r="G767" s="38"/>
      <c r="H767" s="48"/>
      <c r="I767" s="48"/>
      <c r="J767" s="39"/>
      <c r="K767" s="19"/>
      <c r="L767" s="12"/>
      <c r="M767" s="17"/>
    </row>
    <row r="768" spans="1:13" x14ac:dyDescent="0.25">
      <c r="A768" s="12"/>
      <c r="B768" s="14"/>
      <c r="C768" s="20"/>
      <c r="D768" s="13"/>
      <c r="E768" s="8"/>
      <c r="F768" s="21"/>
      <c r="G768" s="38"/>
      <c r="H768" s="48"/>
      <c r="I768" s="48"/>
      <c r="J768" s="39"/>
      <c r="K768" s="19"/>
      <c r="L768" s="12"/>
      <c r="M768" s="17"/>
    </row>
    <row r="769" spans="1:13" x14ac:dyDescent="0.25">
      <c r="A769" s="12"/>
      <c r="B769" s="14"/>
      <c r="C769" s="20"/>
      <c r="D769" s="13"/>
      <c r="E769" s="8"/>
      <c r="F769" s="21"/>
      <c r="G769" s="38"/>
      <c r="H769" s="48"/>
      <c r="I769" s="48"/>
      <c r="J769" s="39"/>
      <c r="K769" s="19"/>
      <c r="L769" s="12"/>
      <c r="M769" s="17"/>
    </row>
    <row r="770" spans="1:13" x14ac:dyDescent="0.25">
      <c r="A770" s="12"/>
      <c r="B770" s="14"/>
      <c r="C770" s="20"/>
      <c r="D770" s="13"/>
      <c r="E770" s="8"/>
      <c r="F770" s="21"/>
      <c r="G770" s="38"/>
      <c r="H770" s="48"/>
      <c r="I770" s="48"/>
      <c r="J770" s="39"/>
      <c r="K770" s="19"/>
      <c r="L770" s="12"/>
      <c r="M770" s="17"/>
    </row>
    <row r="771" spans="1:13" x14ac:dyDescent="0.25">
      <c r="A771" s="12"/>
      <c r="B771" s="14"/>
      <c r="C771" s="20"/>
      <c r="D771" s="13"/>
      <c r="E771" s="8"/>
      <c r="F771" s="21"/>
      <c r="G771" s="38"/>
      <c r="H771" s="48"/>
      <c r="I771" s="48"/>
      <c r="J771" s="39"/>
      <c r="K771" s="19"/>
      <c r="L771" s="12"/>
      <c r="M771" s="17"/>
    </row>
    <row r="772" spans="1:13" x14ac:dyDescent="0.25">
      <c r="A772" s="12"/>
      <c r="B772" s="14"/>
      <c r="C772" s="20"/>
      <c r="D772" s="13"/>
      <c r="E772" s="8"/>
      <c r="F772" s="21"/>
      <c r="G772" s="38"/>
      <c r="H772" s="48"/>
      <c r="I772" s="48"/>
      <c r="J772" s="39"/>
      <c r="K772" s="19"/>
      <c r="L772" s="12"/>
      <c r="M772" s="17"/>
    </row>
    <row r="773" spans="1:13" x14ac:dyDescent="0.25">
      <c r="A773" s="12"/>
      <c r="B773" s="14"/>
      <c r="C773" s="20"/>
      <c r="D773" s="13"/>
      <c r="E773" s="8"/>
      <c r="F773" s="21"/>
      <c r="G773" s="38"/>
      <c r="H773" s="48"/>
      <c r="I773" s="48"/>
      <c r="J773" s="39"/>
      <c r="K773" s="19"/>
      <c r="L773" s="12"/>
      <c r="M773" s="17"/>
    </row>
    <row r="774" spans="1:13" x14ac:dyDescent="0.25">
      <c r="A774" s="12"/>
      <c r="B774" s="14"/>
      <c r="C774" s="20"/>
      <c r="D774" s="13"/>
      <c r="E774" s="8"/>
      <c r="F774" s="21"/>
      <c r="G774" s="38"/>
      <c r="H774" s="48"/>
      <c r="I774" s="48"/>
      <c r="J774" s="39"/>
      <c r="K774" s="19"/>
      <c r="L774" s="12"/>
      <c r="M774" s="17"/>
    </row>
    <row r="775" spans="1:13" x14ac:dyDescent="0.25">
      <c r="A775" s="12"/>
      <c r="B775" s="14"/>
      <c r="C775" s="20"/>
      <c r="D775" s="13"/>
      <c r="E775" s="8"/>
      <c r="F775" s="21"/>
      <c r="G775" s="38"/>
      <c r="H775" s="48"/>
      <c r="I775" s="48"/>
      <c r="J775" s="39"/>
      <c r="K775" s="19"/>
      <c r="L775" s="12"/>
      <c r="M775" s="17"/>
    </row>
    <row r="776" spans="1:13" x14ac:dyDescent="0.25">
      <c r="A776" s="12"/>
      <c r="B776" s="14"/>
      <c r="C776" s="20"/>
      <c r="D776" s="13"/>
      <c r="E776" s="8"/>
      <c r="F776" s="21"/>
      <c r="G776" s="38"/>
      <c r="H776" s="48"/>
      <c r="I776" s="48"/>
      <c r="J776" s="39"/>
      <c r="K776" s="19"/>
      <c r="L776" s="12"/>
      <c r="M776" s="17"/>
    </row>
    <row r="777" spans="1:13" x14ac:dyDescent="0.25">
      <c r="A777" s="12"/>
      <c r="B777" s="14"/>
      <c r="C777" s="20"/>
      <c r="D777" s="13"/>
      <c r="E777" s="8"/>
      <c r="F777" s="21"/>
      <c r="G777" s="38"/>
      <c r="H777" s="48"/>
      <c r="I777" s="48"/>
      <c r="J777" s="39"/>
      <c r="K777" s="19"/>
      <c r="L777" s="12"/>
      <c r="M777" s="17"/>
    </row>
    <row r="778" spans="1:13" x14ac:dyDescent="0.25">
      <c r="A778" s="12"/>
      <c r="B778" s="14"/>
      <c r="C778" s="20"/>
      <c r="D778" s="13"/>
      <c r="E778" s="8"/>
      <c r="F778" s="21"/>
      <c r="G778" s="38"/>
      <c r="H778" s="48"/>
      <c r="I778" s="48"/>
      <c r="J778" s="39"/>
      <c r="K778" s="19"/>
      <c r="L778" s="12"/>
      <c r="M778" s="17"/>
    </row>
    <row r="779" spans="1:13" x14ac:dyDescent="0.25">
      <c r="A779" s="12"/>
      <c r="B779" s="14"/>
      <c r="C779" s="20"/>
      <c r="D779" s="13"/>
      <c r="E779" s="8"/>
      <c r="F779" s="21"/>
      <c r="G779" s="38"/>
      <c r="H779" s="48"/>
      <c r="I779" s="48"/>
      <c r="J779" s="39"/>
      <c r="K779" s="19"/>
      <c r="L779" s="12"/>
      <c r="M779" s="17"/>
    </row>
    <row r="780" spans="1:13" x14ac:dyDescent="0.25">
      <c r="A780" s="12"/>
      <c r="B780" s="14"/>
      <c r="C780" s="20"/>
      <c r="D780" s="13"/>
      <c r="E780" s="8"/>
      <c r="F780" s="21"/>
      <c r="G780" s="38"/>
      <c r="H780" s="48"/>
      <c r="I780" s="48"/>
      <c r="J780" s="39"/>
      <c r="K780" s="19"/>
      <c r="L780" s="12"/>
      <c r="M780" s="17"/>
    </row>
    <row r="781" spans="1:13" x14ac:dyDescent="0.25">
      <c r="A781" s="12"/>
      <c r="B781" s="14"/>
      <c r="C781" s="20"/>
      <c r="D781" s="13"/>
      <c r="E781" s="8"/>
      <c r="F781" s="21"/>
      <c r="G781" s="38"/>
      <c r="H781" s="48"/>
      <c r="I781" s="48"/>
      <c r="J781" s="39"/>
      <c r="K781" s="19"/>
      <c r="L781" s="12"/>
      <c r="M781" s="17"/>
    </row>
    <row r="782" spans="1:13" x14ac:dyDescent="0.25">
      <c r="A782" s="12"/>
      <c r="B782" s="14"/>
      <c r="C782" s="20"/>
      <c r="D782" s="13"/>
      <c r="E782" s="8"/>
      <c r="F782" s="21"/>
      <c r="G782" s="38"/>
      <c r="H782" s="48"/>
      <c r="I782" s="48"/>
      <c r="J782" s="39"/>
      <c r="K782" s="19"/>
      <c r="L782" s="12"/>
      <c r="M782" s="17"/>
    </row>
    <row r="783" spans="1:13" x14ac:dyDescent="0.25">
      <c r="A783" s="12"/>
      <c r="B783" s="14"/>
      <c r="C783" s="20"/>
      <c r="D783" s="13"/>
      <c r="E783" s="8"/>
      <c r="F783" s="21"/>
      <c r="G783" s="38"/>
      <c r="H783" s="48"/>
      <c r="I783" s="48"/>
      <c r="J783" s="39"/>
      <c r="K783" s="19"/>
      <c r="L783" s="12"/>
      <c r="M783" s="17"/>
    </row>
    <row r="784" spans="1:13" x14ac:dyDescent="0.25">
      <c r="A784" s="12"/>
      <c r="B784" s="14"/>
      <c r="C784" s="20"/>
      <c r="D784" s="13"/>
      <c r="E784" s="8"/>
      <c r="F784" s="21"/>
      <c r="G784" s="38"/>
      <c r="H784" s="48"/>
      <c r="I784" s="48"/>
      <c r="J784" s="39"/>
      <c r="K784" s="19"/>
      <c r="L784" s="12"/>
      <c r="M784" s="17"/>
    </row>
    <row r="785" spans="1:13" x14ac:dyDescent="0.25">
      <c r="A785" s="12"/>
      <c r="B785" s="14"/>
      <c r="C785" s="20"/>
      <c r="D785" s="13"/>
      <c r="E785" s="8"/>
      <c r="F785" s="21"/>
      <c r="G785" s="38"/>
      <c r="H785" s="48"/>
      <c r="I785" s="48"/>
      <c r="J785" s="39"/>
      <c r="K785" s="19"/>
      <c r="L785" s="12"/>
      <c r="M785" s="17"/>
    </row>
    <row r="786" spans="1:13" x14ac:dyDescent="0.25">
      <c r="A786" s="12"/>
      <c r="B786" s="14"/>
      <c r="C786" s="20"/>
      <c r="D786" s="13"/>
      <c r="E786" s="8"/>
      <c r="F786" s="21"/>
      <c r="G786" s="38"/>
      <c r="H786" s="48"/>
      <c r="I786" s="48"/>
      <c r="J786" s="39"/>
      <c r="K786" s="19"/>
      <c r="L786" s="12"/>
      <c r="M786" s="17"/>
    </row>
    <row r="787" spans="1:13" x14ac:dyDescent="0.25">
      <c r="A787" s="12"/>
      <c r="B787" s="14"/>
      <c r="C787" s="20"/>
      <c r="D787" s="13"/>
      <c r="E787" s="8"/>
      <c r="F787" s="21"/>
      <c r="G787" s="38"/>
      <c r="H787" s="48"/>
      <c r="I787" s="48"/>
      <c r="J787" s="39"/>
      <c r="K787" s="19"/>
      <c r="L787" s="12"/>
      <c r="M787" s="17"/>
    </row>
    <row r="788" spans="1:13" x14ac:dyDescent="0.25">
      <c r="A788" s="12"/>
      <c r="B788" s="14"/>
      <c r="C788" s="20"/>
      <c r="D788" s="13"/>
      <c r="E788" s="8"/>
      <c r="F788" s="21"/>
      <c r="G788" s="38"/>
      <c r="H788" s="48"/>
      <c r="I788" s="48"/>
      <c r="J788" s="39"/>
      <c r="K788" s="19"/>
      <c r="L788" s="12"/>
      <c r="M788" s="17"/>
    </row>
    <row r="789" spans="1:13" x14ac:dyDescent="0.25">
      <c r="A789" s="12"/>
      <c r="B789" s="14"/>
      <c r="C789" s="20"/>
      <c r="D789" s="13"/>
      <c r="E789" s="8"/>
      <c r="F789" s="21"/>
      <c r="G789" s="38"/>
      <c r="H789" s="48"/>
      <c r="I789" s="48"/>
      <c r="J789" s="39"/>
      <c r="K789" s="19"/>
      <c r="L789" s="12"/>
      <c r="M789" s="17"/>
    </row>
    <row r="790" spans="1:13" x14ac:dyDescent="0.25">
      <c r="A790" s="12"/>
      <c r="B790" s="14"/>
      <c r="C790" s="20"/>
      <c r="D790" s="13"/>
      <c r="E790" s="8"/>
      <c r="F790" s="21"/>
      <c r="G790" s="38"/>
      <c r="H790" s="48"/>
      <c r="I790" s="48"/>
      <c r="J790" s="39"/>
      <c r="K790" s="19"/>
      <c r="L790" s="12"/>
      <c r="M790" s="17"/>
    </row>
    <row r="791" spans="1:13" x14ac:dyDescent="0.25">
      <c r="A791" s="12"/>
      <c r="B791" s="14"/>
      <c r="C791" s="20"/>
      <c r="D791" s="13"/>
      <c r="E791" s="8"/>
      <c r="F791" s="21"/>
      <c r="G791" s="38"/>
      <c r="H791" s="48"/>
      <c r="I791" s="48"/>
      <c r="J791" s="39"/>
      <c r="K791" s="19"/>
      <c r="L791" s="12"/>
      <c r="M791" s="17"/>
    </row>
    <row r="792" spans="1:13" x14ac:dyDescent="0.25">
      <c r="A792" s="12"/>
      <c r="B792" s="14"/>
      <c r="C792" s="20"/>
      <c r="D792" s="13"/>
      <c r="E792" s="8"/>
      <c r="F792" s="21"/>
      <c r="G792" s="38"/>
      <c r="H792" s="48"/>
      <c r="I792" s="48"/>
      <c r="J792" s="39"/>
      <c r="K792" s="19"/>
      <c r="L792" s="12"/>
      <c r="M792" s="17"/>
    </row>
    <row r="793" spans="1:13" x14ac:dyDescent="0.25">
      <c r="A793" s="12"/>
      <c r="B793" s="14"/>
      <c r="C793" s="20"/>
      <c r="D793" s="13"/>
      <c r="E793" s="8"/>
      <c r="F793" s="21"/>
      <c r="G793" s="38"/>
      <c r="H793" s="48"/>
      <c r="I793" s="48"/>
      <c r="J793" s="39"/>
      <c r="K793" s="19"/>
      <c r="L793" s="12"/>
      <c r="M793" s="17"/>
    </row>
    <row r="794" spans="1:13" x14ac:dyDescent="0.25">
      <c r="A794" s="12"/>
      <c r="B794" s="14"/>
      <c r="C794" s="20"/>
      <c r="D794" s="13"/>
      <c r="E794" s="8"/>
      <c r="F794" s="21"/>
      <c r="G794" s="38"/>
      <c r="H794" s="48"/>
      <c r="I794" s="48"/>
      <c r="J794" s="39"/>
      <c r="K794" s="19"/>
      <c r="L794" s="12"/>
      <c r="M794" s="17"/>
    </row>
    <row r="795" spans="1:13" x14ac:dyDescent="0.25">
      <c r="A795" s="12"/>
      <c r="B795" s="14"/>
      <c r="C795" s="20"/>
      <c r="D795" s="13"/>
      <c r="E795" s="8"/>
      <c r="F795" s="21"/>
      <c r="G795" s="38"/>
      <c r="H795" s="48"/>
      <c r="I795" s="48"/>
      <c r="J795" s="39"/>
      <c r="K795" s="19"/>
      <c r="L795" s="12"/>
      <c r="M795" s="17"/>
    </row>
    <row r="796" spans="1:13" x14ac:dyDescent="0.25">
      <c r="A796" s="12"/>
      <c r="B796" s="14"/>
      <c r="C796" s="20"/>
      <c r="D796" s="13"/>
      <c r="E796" s="8"/>
      <c r="F796" s="21"/>
      <c r="G796" s="38"/>
      <c r="H796" s="48"/>
      <c r="I796" s="48"/>
      <c r="J796" s="39"/>
      <c r="K796" s="19"/>
      <c r="L796" s="12"/>
      <c r="M796" s="17"/>
    </row>
    <row r="797" spans="1:13" x14ac:dyDescent="0.25">
      <c r="A797" s="12"/>
      <c r="B797" s="14"/>
      <c r="C797" s="20"/>
      <c r="D797" s="13"/>
      <c r="E797" s="8"/>
      <c r="F797" s="21"/>
      <c r="G797" s="38"/>
      <c r="H797" s="48"/>
      <c r="I797" s="48"/>
      <c r="J797" s="39"/>
      <c r="K797" s="19"/>
      <c r="L797" s="12"/>
      <c r="M797" s="17"/>
    </row>
    <row r="798" spans="1:13" x14ac:dyDescent="0.25">
      <c r="A798" s="12"/>
      <c r="B798" s="14"/>
      <c r="C798" s="20"/>
      <c r="D798" s="13"/>
      <c r="E798" s="8"/>
      <c r="F798" s="21"/>
      <c r="G798" s="38"/>
      <c r="H798" s="48"/>
      <c r="I798" s="48"/>
      <c r="J798" s="39"/>
      <c r="K798" s="19"/>
      <c r="L798" s="12"/>
      <c r="M798" s="17"/>
    </row>
    <row r="799" spans="1:13" ht="15" thickBot="1" x14ac:dyDescent="0.3">
      <c r="A799" s="30"/>
      <c r="B799" s="41"/>
      <c r="C799" s="42"/>
      <c r="D799" s="22"/>
      <c r="E799" s="37"/>
      <c r="F799" s="43"/>
      <c r="G799" s="44"/>
      <c r="H799" s="49"/>
      <c r="I799" s="49"/>
      <c r="J799" s="45"/>
      <c r="K799" s="32"/>
      <c r="L799" s="30"/>
      <c r="M799" s="31"/>
    </row>
    <row r="800" spans="1:13" ht="39.950000000000003" customHeight="1" thickBot="1" x14ac:dyDescent="0.3">
      <c r="A800" s="167" t="s">
        <v>1299</v>
      </c>
      <c r="B800" s="168"/>
      <c r="C800" s="168"/>
      <c r="D800" s="169"/>
      <c r="E800" s="168"/>
      <c r="F800" s="168"/>
      <c r="G800" s="168"/>
      <c r="H800" s="168"/>
      <c r="I800" s="168"/>
      <c r="J800" s="168"/>
      <c r="K800" s="168"/>
      <c r="L800" s="168"/>
      <c r="M800" s="170"/>
    </row>
  </sheetData>
  <sheetProtection sheet="1" objects="1" scenarios="1" formatColumns="0" insertRows="0" deleteRows="0" sort="0" autoFilter="0"/>
  <autoFilter ref="A7:N2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D8:E799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A8:A799</xm:sqref>
        </x14:dataValidation>
        <x14:dataValidation type="list" allowBlank="1" showInputMessage="1" showErrorMessage="1" xr:uid="{199AA240-0CD3-4B69-8D9D-6928C6287E82}">
          <x14:formula1>
            <xm:f>'4. TEUs &amp; Activities- MB'!$B$9:$B$194</xm:f>
          </x14:formula1>
          <xm:sqref>B8:B799</xm:sqref>
        </x14:dataValidation>
        <x14:dataValidation type="list" allowBlank="1" showInputMessage="1" showErrorMessage="1" xr:uid="{7FC4F075-FCFB-4D05-ACA7-8D9B406C4447}">
          <x14:formula1>
            <xm:f>'4. TEUs &amp; Activities- MB'!$E$9:$E$194</xm:f>
          </x14:formula1>
          <xm:sqref>C8:C799</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D8:D799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qref="A1:XFD1"/>
    </sheetView>
  </sheetViews>
  <sheetFormatPr defaultColWidth="8.5703125" defaultRowHeight="14.25" x14ac:dyDescent="0.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3" t="s">
        <v>1295</v>
      </c>
    </row>
    <row r="5" spans="1:4" ht="15" customHeight="1" x14ac:dyDescent="0.25"/>
    <row r="6" spans="1:4" s="80" customFormat="1" ht="32.25" thickBot="1" x14ac:dyDescent="0.3">
      <c r="A6" s="71" t="s">
        <v>36</v>
      </c>
      <c r="B6" s="71" t="s">
        <v>176</v>
      </c>
      <c r="C6" s="72" t="s">
        <v>177</v>
      </c>
      <c r="D6" s="70" t="s">
        <v>178</v>
      </c>
    </row>
    <row r="7" spans="1:4" ht="15" customHeight="1" x14ac:dyDescent="0.25">
      <c r="A7" s="73" t="s">
        <v>179</v>
      </c>
      <c r="B7" s="74" t="s">
        <v>180</v>
      </c>
      <c r="C7" s="73" t="s">
        <v>181</v>
      </c>
      <c r="D7" s="1">
        <v>115</v>
      </c>
    </row>
    <row r="8" spans="1:4" ht="15" customHeight="1" x14ac:dyDescent="0.25">
      <c r="A8" s="73" t="s">
        <v>182</v>
      </c>
      <c r="B8" s="74" t="s">
        <v>183</v>
      </c>
      <c r="C8" s="73" t="s">
        <v>181</v>
      </c>
      <c r="D8" s="1">
        <v>245</v>
      </c>
    </row>
    <row r="9" spans="1:4" ht="15" customHeight="1" x14ac:dyDescent="0.25">
      <c r="A9" s="73" t="s">
        <v>72</v>
      </c>
      <c r="B9" s="81" t="s">
        <v>184</v>
      </c>
      <c r="C9" s="73" t="s">
        <v>185</v>
      </c>
      <c r="D9" s="1">
        <v>326</v>
      </c>
    </row>
    <row r="10" spans="1:4" ht="15" customHeight="1" x14ac:dyDescent="0.25">
      <c r="A10" s="73" t="s">
        <v>186</v>
      </c>
      <c r="B10" s="81" t="s">
        <v>187</v>
      </c>
      <c r="C10" s="73" t="s">
        <v>185</v>
      </c>
      <c r="D10" s="1">
        <v>594</v>
      </c>
    </row>
    <row r="11" spans="1:4" ht="15" customHeight="1" x14ac:dyDescent="0.25">
      <c r="A11" s="73" t="s">
        <v>188</v>
      </c>
      <c r="B11" s="81" t="s">
        <v>189</v>
      </c>
      <c r="C11" s="73" t="s">
        <v>185</v>
      </c>
      <c r="D11" s="1">
        <v>607</v>
      </c>
    </row>
    <row r="12" spans="1:4" ht="15" customHeight="1" x14ac:dyDescent="0.25">
      <c r="A12" s="73" t="s">
        <v>190</v>
      </c>
      <c r="B12" s="81" t="s">
        <v>191</v>
      </c>
      <c r="C12" s="73" t="s">
        <v>185</v>
      </c>
      <c r="D12" s="1">
        <v>193</v>
      </c>
    </row>
    <row r="13" spans="1:4" ht="15" customHeight="1" x14ac:dyDescent="0.25">
      <c r="A13" s="73" t="s">
        <v>192</v>
      </c>
      <c r="B13" s="74" t="s">
        <v>193</v>
      </c>
      <c r="C13" s="73" t="s">
        <v>181</v>
      </c>
      <c r="D13" s="1">
        <v>244</v>
      </c>
    </row>
    <row r="14" spans="1:4" ht="15" customHeight="1" x14ac:dyDescent="0.25">
      <c r="A14" s="73" t="s">
        <v>194</v>
      </c>
      <c r="B14" s="81" t="s">
        <v>195</v>
      </c>
      <c r="C14" s="73" t="s">
        <v>185</v>
      </c>
      <c r="D14" s="1">
        <v>212</v>
      </c>
    </row>
    <row r="15" spans="1:4" ht="15" customHeight="1" x14ac:dyDescent="0.25">
      <c r="A15" s="73" t="s">
        <v>149</v>
      </c>
      <c r="B15" s="81" t="s">
        <v>196</v>
      </c>
      <c r="C15" s="73" t="s">
        <v>185</v>
      </c>
      <c r="D15" s="1">
        <v>546</v>
      </c>
    </row>
    <row r="16" spans="1:4" ht="15" customHeight="1" x14ac:dyDescent="0.25">
      <c r="A16" s="73" t="s">
        <v>140</v>
      </c>
      <c r="B16" s="81" t="s">
        <v>197</v>
      </c>
      <c r="C16" s="78" t="s">
        <v>185</v>
      </c>
      <c r="D16" s="1">
        <v>532</v>
      </c>
    </row>
    <row r="17" spans="1:4" ht="15" customHeight="1" x14ac:dyDescent="0.25">
      <c r="A17" s="73" t="s">
        <v>150</v>
      </c>
      <c r="B17" s="81" t="s">
        <v>198</v>
      </c>
      <c r="C17" s="73" t="s">
        <v>185</v>
      </c>
      <c r="D17" s="1">
        <v>547</v>
      </c>
    </row>
    <row r="18" spans="1:4" ht="15" customHeight="1" x14ac:dyDescent="0.25">
      <c r="A18" s="73" t="s">
        <v>145</v>
      </c>
      <c r="B18" s="81" t="s">
        <v>199</v>
      </c>
      <c r="C18" s="73" t="s">
        <v>185</v>
      </c>
      <c r="D18" s="1">
        <v>542</v>
      </c>
    </row>
    <row r="19" spans="1:4" ht="15" customHeight="1" x14ac:dyDescent="0.25">
      <c r="A19" s="73" t="s">
        <v>137</v>
      </c>
      <c r="B19" s="81" t="s">
        <v>200</v>
      </c>
      <c r="C19" s="73" t="s">
        <v>185</v>
      </c>
      <c r="D19" s="1">
        <v>529</v>
      </c>
    </row>
    <row r="20" spans="1:4" ht="15" customHeight="1" x14ac:dyDescent="0.25">
      <c r="A20" s="73" t="s">
        <v>146</v>
      </c>
      <c r="B20" s="81" t="s">
        <v>201</v>
      </c>
      <c r="C20" s="73" t="s">
        <v>185</v>
      </c>
      <c r="D20" s="1">
        <v>543</v>
      </c>
    </row>
    <row r="21" spans="1:4" ht="15" customHeight="1" x14ac:dyDescent="0.25">
      <c r="A21" s="73" t="s">
        <v>138</v>
      </c>
      <c r="B21" s="81" t="s">
        <v>202</v>
      </c>
      <c r="C21" s="73" t="s">
        <v>185</v>
      </c>
      <c r="D21" s="1">
        <v>530</v>
      </c>
    </row>
    <row r="22" spans="1:4" ht="15" customHeight="1" x14ac:dyDescent="0.25">
      <c r="A22" s="73" t="s">
        <v>147</v>
      </c>
      <c r="B22" s="81" t="s">
        <v>203</v>
      </c>
      <c r="C22" s="73" t="s">
        <v>185</v>
      </c>
      <c r="D22" s="1">
        <v>544</v>
      </c>
    </row>
    <row r="23" spans="1:4" ht="15" customHeight="1" x14ac:dyDescent="0.25">
      <c r="A23" s="73" t="s">
        <v>139</v>
      </c>
      <c r="B23" s="81" t="s">
        <v>204</v>
      </c>
      <c r="C23" s="73" t="s">
        <v>185</v>
      </c>
      <c r="D23" s="1">
        <v>531</v>
      </c>
    </row>
    <row r="24" spans="1:4" ht="15" customHeight="1" x14ac:dyDescent="0.25">
      <c r="A24" s="73" t="s">
        <v>143</v>
      </c>
      <c r="B24" s="81" t="s">
        <v>205</v>
      </c>
      <c r="C24" s="73" t="s">
        <v>185</v>
      </c>
      <c r="D24" s="1">
        <v>540</v>
      </c>
    </row>
    <row r="25" spans="1:4" ht="15" customHeight="1" x14ac:dyDescent="0.25">
      <c r="A25" s="73" t="s">
        <v>136</v>
      </c>
      <c r="B25" s="81" t="s">
        <v>206</v>
      </c>
      <c r="C25" s="73" t="s">
        <v>185</v>
      </c>
      <c r="D25" s="1">
        <v>528</v>
      </c>
    </row>
    <row r="26" spans="1:4" ht="15" customHeight="1" x14ac:dyDescent="0.25">
      <c r="A26" s="73" t="s">
        <v>207</v>
      </c>
      <c r="B26" s="81" t="s">
        <v>208</v>
      </c>
      <c r="C26" s="73" t="s">
        <v>181</v>
      </c>
      <c r="D26" s="1">
        <v>609</v>
      </c>
    </row>
    <row r="27" spans="1:4" ht="15" customHeight="1" x14ac:dyDescent="0.25">
      <c r="A27" s="73" t="s">
        <v>209</v>
      </c>
      <c r="B27" s="81" t="s">
        <v>210</v>
      </c>
      <c r="C27" s="73" t="s">
        <v>181</v>
      </c>
      <c r="D27" s="1">
        <v>613</v>
      </c>
    </row>
    <row r="28" spans="1:4" ht="15" customHeight="1" x14ac:dyDescent="0.25">
      <c r="A28" s="73" t="s">
        <v>211</v>
      </c>
      <c r="B28" s="81" t="s">
        <v>212</v>
      </c>
      <c r="C28" s="73" t="s">
        <v>185</v>
      </c>
      <c r="D28" s="1">
        <v>113</v>
      </c>
    </row>
    <row r="29" spans="1:4" ht="15" customHeight="1" x14ac:dyDescent="0.25">
      <c r="A29" s="73" t="s">
        <v>172</v>
      </c>
      <c r="B29" s="81" t="s">
        <v>213</v>
      </c>
      <c r="C29" s="73" t="s">
        <v>181</v>
      </c>
      <c r="D29" s="1">
        <v>614</v>
      </c>
    </row>
    <row r="30" spans="1:4" ht="15" customHeight="1" x14ac:dyDescent="0.25">
      <c r="A30" s="73" t="s">
        <v>214</v>
      </c>
      <c r="B30" s="81" t="s">
        <v>215</v>
      </c>
      <c r="C30" s="73" t="s">
        <v>185</v>
      </c>
      <c r="D30" s="1">
        <v>190</v>
      </c>
    </row>
    <row r="31" spans="1:4" ht="15" customHeight="1" x14ac:dyDescent="0.25">
      <c r="A31" s="73" t="s">
        <v>216</v>
      </c>
      <c r="B31" s="81" t="s">
        <v>217</v>
      </c>
      <c r="C31" s="73" t="s">
        <v>181</v>
      </c>
      <c r="D31" s="1">
        <v>110</v>
      </c>
    </row>
    <row r="32" spans="1:4" ht="15" customHeight="1" x14ac:dyDescent="0.25">
      <c r="A32" s="73" t="s">
        <v>73</v>
      </c>
      <c r="B32" s="81" t="s">
        <v>218</v>
      </c>
      <c r="C32" s="73" t="s">
        <v>185</v>
      </c>
      <c r="D32" s="1">
        <v>195</v>
      </c>
    </row>
    <row r="33" spans="1:4" ht="15" customHeight="1" x14ac:dyDescent="0.25">
      <c r="A33" s="73" t="s">
        <v>219</v>
      </c>
      <c r="B33" s="74" t="s">
        <v>220</v>
      </c>
      <c r="C33" s="73" t="s">
        <v>181</v>
      </c>
      <c r="D33" s="1">
        <v>335</v>
      </c>
    </row>
    <row r="34" spans="1:4" ht="15" customHeight="1" x14ac:dyDescent="0.25">
      <c r="A34" s="73" t="s">
        <v>221</v>
      </c>
      <c r="B34" s="81" t="s">
        <v>222</v>
      </c>
      <c r="C34" s="73" t="s">
        <v>185</v>
      </c>
      <c r="D34" s="1">
        <v>222</v>
      </c>
    </row>
    <row r="35" spans="1:4" ht="15" customHeight="1" x14ac:dyDescent="0.25">
      <c r="A35" s="73" t="s">
        <v>223</v>
      </c>
      <c r="B35" s="81" t="s">
        <v>224</v>
      </c>
      <c r="C35" s="73" t="s">
        <v>185</v>
      </c>
      <c r="D35" s="1">
        <v>226</v>
      </c>
    </row>
    <row r="36" spans="1:4" ht="15" customHeight="1" x14ac:dyDescent="0.25">
      <c r="A36" s="73" t="s">
        <v>225</v>
      </c>
      <c r="B36" s="81" t="s">
        <v>226</v>
      </c>
      <c r="C36" s="73" t="s">
        <v>185</v>
      </c>
      <c r="D36" s="1">
        <v>564</v>
      </c>
    </row>
    <row r="37" spans="1:4" ht="15" customHeight="1" x14ac:dyDescent="0.25">
      <c r="A37" s="73" t="s">
        <v>227</v>
      </c>
      <c r="B37" s="81" t="s">
        <v>228</v>
      </c>
      <c r="C37" s="73" t="s">
        <v>181</v>
      </c>
      <c r="D37" s="1">
        <v>615</v>
      </c>
    </row>
    <row r="38" spans="1:4" ht="15" customHeight="1" x14ac:dyDescent="0.25">
      <c r="A38" s="73" t="s">
        <v>229</v>
      </c>
      <c r="B38" s="81" t="s">
        <v>230</v>
      </c>
      <c r="C38" s="73" t="s">
        <v>185</v>
      </c>
      <c r="D38" s="1">
        <v>75</v>
      </c>
    </row>
    <row r="39" spans="1:4" ht="15" customHeight="1" x14ac:dyDescent="0.25">
      <c r="A39" s="73" t="s">
        <v>231</v>
      </c>
      <c r="B39" s="81" t="s">
        <v>232</v>
      </c>
      <c r="C39" s="73" t="s">
        <v>181</v>
      </c>
      <c r="D39" s="1">
        <v>111</v>
      </c>
    </row>
    <row r="40" spans="1:4" ht="15" customHeight="1" x14ac:dyDescent="0.25">
      <c r="A40" s="73" t="s">
        <v>233</v>
      </c>
      <c r="B40" s="81" t="s">
        <v>234</v>
      </c>
      <c r="C40" s="73" t="s">
        <v>185</v>
      </c>
      <c r="D40" s="1">
        <v>196</v>
      </c>
    </row>
    <row r="41" spans="1:4" ht="15" customHeight="1" x14ac:dyDescent="0.25">
      <c r="A41" s="73" t="s">
        <v>235</v>
      </c>
      <c r="B41" s="81" t="s">
        <v>236</v>
      </c>
      <c r="C41" s="73" t="s">
        <v>185</v>
      </c>
      <c r="D41" s="1">
        <v>557</v>
      </c>
    </row>
    <row r="42" spans="1:4" ht="15" customHeight="1" x14ac:dyDescent="0.25">
      <c r="A42" s="73" t="s">
        <v>175</v>
      </c>
      <c r="B42" s="81" t="s">
        <v>237</v>
      </c>
      <c r="C42" s="73" t="s">
        <v>185</v>
      </c>
      <c r="D42" s="1">
        <v>220</v>
      </c>
    </row>
    <row r="43" spans="1:4" ht="15" customHeight="1" x14ac:dyDescent="0.25">
      <c r="A43" s="73" t="s">
        <v>238</v>
      </c>
      <c r="B43" s="81" t="s">
        <v>239</v>
      </c>
      <c r="C43" s="73" t="s">
        <v>185</v>
      </c>
      <c r="D43" s="1">
        <v>437</v>
      </c>
    </row>
    <row r="44" spans="1:4" ht="15" customHeight="1" x14ac:dyDescent="0.25">
      <c r="A44" s="73" t="s">
        <v>240</v>
      </c>
      <c r="B44" s="81" t="s">
        <v>241</v>
      </c>
      <c r="C44" s="73" t="s">
        <v>185</v>
      </c>
      <c r="D44" s="1">
        <v>438</v>
      </c>
    </row>
    <row r="45" spans="1:4" ht="15" customHeight="1" x14ac:dyDescent="0.25">
      <c r="A45" s="73" t="s">
        <v>242</v>
      </c>
      <c r="B45" s="74" t="s">
        <v>243</v>
      </c>
      <c r="C45" s="73" t="s">
        <v>181</v>
      </c>
      <c r="D45" s="1">
        <v>385</v>
      </c>
    </row>
    <row r="46" spans="1:4" ht="15" customHeight="1" x14ac:dyDescent="0.25">
      <c r="A46" s="73" t="s">
        <v>244</v>
      </c>
      <c r="B46" s="74" t="s">
        <v>245</v>
      </c>
      <c r="C46" s="73" t="s">
        <v>181</v>
      </c>
      <c r="D46" s="1">
        <v>20</v>
      </c>
    </row>
    <row r="47" spans="1:4" ht="15" customHeight="1" x14ac:dyDescent="0.25">
      <c r="A47" s="73" t="s">
        <v>246</v>
      </c>
      <c r="B47" s="81" t="s">
        <v>247</v>
      </c>
      <c r="C47" s="73" t="s">
        <v>185</v>
      </c>
      <c r="D47" s="1">
        <v>73</v>
      </c>
    </row>
    <row r="48" spans="1:4" ht="15" customHeight="1" x14ac:dyDescent="0.25">
      <c r="A48" s="73" t="s">
        <v>248</v>
      </c>
      <c r="B48" s="74" t="s">
        <v>249</v>
      </c>
      <c r="C48" s="73" t="s">
        <v>181</v>
      </c>
      <c r="D48" s="1">
        <v>117</v>
      </c>
    </row>
    <row r="49" spans="1:4" ht="15" customHeight="1" x14ac:dyDescent="0.25">
      <c r="A49" s="73" t="s">
        <v>115</v>
      </c>
      <c r="B49" s="75" t="s">
        <v>250</v>
      </c>
      <c r="C49" s="73" t="s">
        <v>185</v>
      </c>
      <c r="D49" s="1">
        <v>343</v>
      </c>
    </row>
    <row r="50" spans="1:4" ht="15" customHeight="1" x14ac:dyDescent="0.25">
      <c r="A50" s="73" t="s">
        <v>251</v>
      </c>
      <c r="B50" s="75" t="s">
        <v>252</v>
      </c>
      <c r="C50" s="73" t="s">
        <v>185</v>
      </c>
      <c r="D50" s="1">
        <v>344</v>
      </c>
    </row>
    <row r="51" spans="1:4" ht="15" customHeight="1" x14ac:dyDescent="0.25">
      <c r="A51" s="73" t="s">
        <v>253</v>
      </c>
      <c r="B51" s="81" t="s">
        <v>254</v>
      </c>
      <c r="C51" s="73" t="s">
        <v>185</v>
      </c>
      <c r="D51" s="1">
        <v>444</v>
      </c>
    </row>
    <row r="52" spans="1:4" ht="15" customHeight="1" x14ac:dyDescent="0.25">
      <c r="A52" s="73" t="s">
        <v>255</v>
      </c>
      <c r="B52" s="81" t="s">
        <v>256</v>
      </c>
      <c r="C52" s="73" t="s">
        <v>185</v>
      </c>
      <c r="D52" s="1">
        <v>616</v>
      </c>
    </row>
    <row r="53" spans="1:4" ht="15" customHeight="1" x14ac:dyDescent="0.25">
      <c r="A53" s="73" t="s">
        <v>148</v>
      </c>
      <c r="B53" s="81" t="s">
        <v>257</v>
      </c>
      <c r="C53" s="73" t="s">
        <v>185</v>
      </c>
      <c r="D53" s="1">
        <v>545</v>
      </c>
    </row>
    <row r="54" spans="1:4" ht="15" customHeight="1" x14ac:dyDescent="0.25">
      <c r="A54" s="73" t="s">
        <v>258</v>
      </c>
      <c r="B54" s="81" t="s">
        <v>259</v>
      </c>
      <c r="C54" s="73" t="s">
        <v>181</v>
      </c>
      <c r="D54" s="1">
        <v>128</v>
      </c>
    </row>
    <row r="55" spans="1:4" ht="15" customHeight="1" x14ac:dyDescent="0.25">
      <c r="A55" s="73" t="s">
        <v>144</v>
      </c>
      <c r="B55" s="81" t="s">
        <v>260</v>
      </c>
      <c r="C55" s="73" t="s">
        <v>185</v>
      </c>
      <c r="D55" s="1">
        <v>541</v>
      </c>
    </row>
    <row r="56" spans="1:4" ht="15" customHeight="1" x14ac:dyDescent="0.25">
      <c r="A56" s="73" t="s">
        <v>142</v>
      </c>
      <c r="B56" s="81" t="s">
        <v>261</v>
      </c>
      <c r="C56" s="73" t="s">
        <v>185</v>
      </c>
      <c r="D56" s="1">
        <v>539</v>
      </c>
    </row>
    <row r="57" spans="1:4" ht="15" customHeight="1" x14ac:dyDescent="0.25">
      <c r="A57" s="73" t="s">
        <v>135</v>
      </c>
      <c r="B57" s="81" t="s">
        <v>262</v>
      </c>
      <c r="C57" s="73" t="s">
        <v>185</v>
      </c>
      <c r="D57" s="1">
        <v>527</v>
      </c>
    </row>
    <row r="58" spans="1:4" ht="15" customHeight="1" x14ac:dyDescent="0.25">
      <c r="A58" s="73" t="s">
        <v>263</v>
      </c>
      <c r="B58" s="81" t="s">
        <v>264</v>
      </c>
      <c r="C58" s="73" t="s">
        <v>181</v>
      </c>
      <c r="D58" s="1">
        <v>191</v>
      </c>
    </row>
    <row r="59" spans="1:4" ht="15" customHeight="1" x14ac:dyDescent="0.25">
      <c r="A59" s="73" t="s">
        <v>265</v>
      </c>
      <c r="B59" s="81" t="s">
        <v>266</v>
      </c>
      <c r="C59" s="73" t="s">
        <v>185</v>
      </c>
      <c r="D59" s="1">
        <v>125</v>
      </c>
    </row>
    <row r="60" spans="1:4" ht="15" customHeight="1" x14ac:dyDescent="0.25">
      <c r="A60" s="73" t="s">
        <v>74</v>
      </c>
      <c r="B60" s="81" t="s">
        <v>267</v>
      </c>
      <c r="C60" s="73" t="s">
        <v>185</v>
      </c>
      <c r="D60" s="1">
        <v>126</v>
      </c>
    </row>
    <row r="61" spans="1:4" ht="15" customHeight="1" x14ac:dyDescent="0.25">
      <c r="A61" s="73" t="s">
        <v>268</v>
      </c>
      <c r="B61" s="76" t="s">
        <v>269</v>
      </c>
      <c r="C61" s="73" t="s">
        <v>181</v>
      </c>
      <c r="D61" s="1">
        <v>171</v>
      </c>
    </row>
    <row r="62" spans="1:4" ht="15" customHeight="1" x14ac:dyDescent="0.25">
      <c r="A62" s="77" t="s">
        <v>270</v>
      </c>
      <c r="B62" s="74" t="s">
        <v>271</v>
      </c>
      <c r="C62" s="73" t="s">
        <v>181</v>
      </c>
      <c r="D62" s="1">
        <v>637</v>
      </c>
    </row>
    <row r="63" spans="1:4" ht="15" customHeight="1" x14ac:dyDescent="0.25">
      <c r="A63" s="73" t="s">
        <v>272</v>
      </c>
      <c r="B63" s="74" t="s">
        <v>273</v>
      </c>
      <c r="C63" s="73" t="s">
        <v>181</v>
      </c>
      <c r="D63" s="1">
        <v>174</v>
      </c>
    </row>
    <row r="64" spans="1:4" ht="15" customHeight="1" x14ac:dyDescent="0.25">
      <c r="A64" s="73" t="s">
        <v>274</v>
      </c>
      <c r="B64" s="81" t="s">
        <v>275</v>
      </c>
      <c r="C64" s="73" t="s">
        <v>181</v>
      </c>
      <c r="D64" s="1">
        <v>183</v>
      </c>
    </row>
    <row r="65" spans="1:4" ht="15" customHeight="1" x14ac:dyDescent="0.25">
      <c r="A65" s="73" t="s">
        <v>276</v>
      </c>
      <c r="B65" s="74" t="s">
        <v>277</v>
      </c>
      <c r="C65" s="73"/>
      <c r="D65" s="1">
        <v>15</v>
      </c>
    </row>
    <row r="66" spans="1:4" ht="15" customHeight="1" x14ac:dyDescent="0.25">
      <c r="A66" s="73" t="s">
        <v>278</v>
      </c>
      <c r="B66" s="81" t="s">
        <v>279</v>
      </c>
      <c r="C66" s="73" t="s">
        <v>185</v>
      </c>
      <c r="D66" s="1">
        <v>184</v>
      </c>
    </row>
    <row r="67" spans="1:4" ht="15" customHeight="1" x14ac:dyDescent="0.25">
      <c r="A67" s="73" t="s">
        <v>280</v>
      </c>
      <c r="B67" s="81" t="s">
        <v>281</v>
      </c>
      <c r="C67" s="73" t="s">
        <v>181</v>
      </c>
      <c r="D67" s="1">
        <v>123</v>
      </c>
    </row>
    <row r="68" spans="1:4" ht="15" customHeight="1" x14ac:dyDescent="0.25">
      <c r="A68" s="73" t="s">
        <v>75</v>
      </c>
      <c r="B68" s="81" t="s">
        <v>282</v>
      </c>
      <c r="C68" s="73" t="s">
        <v>185</v>
      </c>
      <c r="D68" s="1">
        <v>216</v>
      </c>
    </row>
    <row r="69" spans="1:4" ht="15" customHeight="1" x14ac:dyDescent="0.25">
      <c r="A69" s="73" t="s">
        <v>76</v>
      </c>
      <c r="B69" s="81" t="s">
        <v>283</v>
      </c>
      <c r="C69" s="73" t="s">
        <v>185</v>
      </c>
      <c r="D69" s="1">
        <v>218</v>
      </c>
    </row>
    <row r="70" spans="1:4" ht="15" customHeight="1" x14ac:dyDescent="0.25">
      <c r="A70" s="73" t="s">
        <v>284</v>
      </c>
      <c r="B70" s="81" t="s">
        <v>285</v>
      </c>
      <c r="C70" s="73" t="s">
        <v>181</v>
      </c>
      <c r="D70" s="1">
        <v>219</v>
      </c>
    </row>
    <row r="71" spans="1:4" ht="15" customHeight="1" x14ac:dyDescent="0.25">
      <c r="A71" s="73" t="s">
        <v>286</v>
      </c>
      <c r="B71" s="81" t="s">
        <v>287</v>
      </c>
      <c r="C71" s="73" t="s">
        <v>185</v>
      </c>
      <c r="D71" s="1">
        <v>433</v>
      </c>
    </row>
    <row r="72" spans="1:4" ht="15" customHeight="1" x14ac:dyDescent="0.25">
      <c r="A72" s="73" t="s">
        <v>288</v>
      </c>
      <c r="B72" s="74" t="s">
        <v>289</v>
      </c>
      <c r="C72" s="73" t="s">
        <v>181</v>
      </c>
      <c r="D72" s="1">
        <v>19</v>
      </c>
    </row>
    <row r="73" spans="1:4" ht="15" customHeight="1" x14ac:dyDescent="0.25">
      <c r="A73" s="73" t="s">
        <v>290</v>
      </c>
      <c r="B73" s="74" t="s">
        <v>291</v>
      </c>
      <c r="C73" s="73" t="s">
        <v>181</v>
      </c>
      <c r="D73" s="1">
        <v>21</v>
      </c>
    </row>
    <row r="74" spans="1:4" ht="15" customHeight="1" x14ac:dyDescent="0.25">
      <c r="A74" s="73" t="s">
        <v>292</v>
      </c>
      <c r="B74" s="74" t="s">
        <v>293</v>
      </c>
      <c r="C74" s="73" t="s">
        <v>181</v>
      </c>
      <c r="D74" s="1">
        <v>22</v>
      </c>
    </row>
    <row r="75" spans="1:4" ht="15" customHeight="1" x14ac:dyDescent="0.25">
      <c r="A75" s="73" t="s">
        <v>294</v>
      </c>
      <c r="B75" s="81" t="s">
        <v>295</v>
      </c>
      <c r="C75" s="73"/>
      <c r="D75" s="1">
        <v>434</v>
      </c>
    </row>
    <row r="76" spans="1:4" ht="15" customHeight="1" x14ac:dyDescent="0.25">
      <c r="A76" s="73" t="s">
        <v>77</v>
      </c>
      <c r="B76" s="81" t="s">
        <v>296</v>
      </c>
      <c r="C76" s="73" t="s">
        <v>185</v>
      </c>
      <c r="D76" s="1">
        <v>333</v>
      </c>
    </row>
    <row r="77" spans="1:4" ht="15" customHeight="1" x14ac:dyDescent="0.25">
      <c r="A77" s="73" t="s">
        <v>297</v>
      </c>
      <c r="B77" s="81" t="s">
        <v>298</v>
      </c>
      <c r="C77" s="73" t="s">
        <v>185</v>
      </c>
      <c r="D77" s="1">
        <v>104</v>
      </c>
    </row>
    <row r="78" spans="1:4" ht="15" customHeight="1" x14ac:dyDescent="0.25">
      <c r="A78" s="73" t="s">
        <v>78</v>
      </c>
      <c r="B78" s="81" t="s">
        <v>299</v>
      </c>
      <c r="C78" s="73" t="s">
        <v>181</v>
      </c>
      <c r="D78" s="1">
        <v>122</v>
      </c>
    </row>
    <row r="79" spans="1:4" ht="15" customHeight="1" x14ac:dyDescent="0.25">
      <c r="A79" s="73" t="s">
        <v>116</v>
      </c>
      <c r="B79" s="81" t="s">
        <v>300</v>
      </c>
      <c r="C79" s="73" t="s">
        <v>185</v>
      </c>
      <c r="D79" s="1">
        <v>427</v>
      </c>
    </row>
    <row r="80" spans="1:4" ht="15" customHeight="1" x14ac:dyDescent="0.25">
      <c r="A80" s="73" t="s">
        <v>301</v>
      </c>
      <c r="B80" s="74" t="s">
        <v>302</v>
      </c>
      <c r="C80" s="73" t="s">
        <v>181</v>
      </c>
      <c r="D80" s="1">
        <v>341</v>
      </c>
    </row>
    <row r="81" spans="1:4" ht="15" customHeight="1" x14ac:dyDescent="0.25">
      <c r="A81" s="73" t="s">
        <v>303</v>
      </c>
      <c r="B81" s="81" t="s">
        <v>304</v>
      </c>
      <c r="C81" s="73" t="s">
        <v>181</v>
      </c>
      <c r="D81" s="1">
        <v>338</v>
      </c>
    </row>
    <row r="82" spans="1:4" ht="15" customHeight="1" x14ac:dyDescent="0.25">
      <c r="A82" s="73" t="s">
        <v>305</v>
      </c>
      <c r="B82" s="81" t="s">
        <v>306</v>
      </c>
      <c r="C82" s="73" t="s">
        <v>181</v>
      </c>
      <c r="D82" s="1">
        <v>345</v>
      </c>
    </row>
    <row r="83" spans="1:4" ht="15" customHeight="1" x14ac:dyDescent="0.25">
      <c r="A83" s="73" t="s">
        <v>307</v>
      </c>
      <c r="B83" s="74" t="s">
        <v>308</v>
      </c>
      <c r="C83" s="73" t="s">
        <v>181</v>
      </c>
      <c r="D83" s="1">
        <v>363</v>
      </c>
    </row>
    <row r="84" spans="1:4" ht="15" customHeight="1" x14ac:dyDescent="0.25">
      <c r="A84" s="73" t="s">
        <v>309</v>
      </c>
      <c r="B84" s="81" t="s">
        <v>310</v>
      </c>
      <c r="C84" s="73" t="s">
        <v>185</v>
      </c>
      <c r="D84" s="1">
        <v>443</v>
      </c>
    </row>
    <row r="85" spans="1:4" ht="15" customHeight="1" x14ac:dyDescent="0.25">
      <c r="A85" s="73" t="s">
        <v>311</v>
      </c>
      <c r="B85" s="81" t="s">
        <v>312</v>
      </c>
      <c r="C85" s="73" t="s">
        <v>185</v>
      </c>
      <c r="D85" s="1">
        <v>389</v>
      </c>
    </row>
    <row r="86" spans="1:4" ht="15" customHeight="1" x14ac:dyDescent="0.25">
      <c r="A86" s="73" t="s">
        <v>313</v>
      </c>
      <c r="B86" s="81" t="s">
        <v>314</v>
      </c>
      <c r="C86" s="73" t="s">
        <v>181</v>
      </c>
      <c r="D86" s="1">
        <v>502</v>
      </c>
    </row>
    <row r="87" spans="1:4" ht="15" customHeight="1" x14ac:dyDescent="0.25">
      <c r="A87" s="73" t="s">
        <v>315</v>
      </c>
      <c r="B87" s="81" t="s">
        <v>316</v>
      </c>
      <c r="C87" s="73" t="s">
        <v>185</v>
      </c>
      <c r="D87" s="1">
        <v>192</v>
      </c>
    </row>
    <row r="88" spans="1:4" ht="15" customHeight="1" x14ac:dyDescent="0.25">
      <c r="A88" s="73" t="s">
        <v>317</v>
      </c>
      <c r="B88" s="81" t="s">
        <v>318</v>
      </c>
      <c r="C88" s="73" t="s">
        <v>185</v>
      </c>
      <c r="D88" s="1">
        <v>206</v>
      </c>
    </row>
    <row r="89" spans="1:4" ht="15" customHeight="1" x14ac:dyDescent="0.25">
      <c r="A89" s="73" t="s">
        <v>319</v>
      </c>
      <c r="B89" s="81" t="s">
        <v>320</v>
      </c>
      <c r="C89" s="73" t="s">
        <v>185</v>
      </c>
      <c r="D89" s="1">
        <v>209</v>
      </c>
    </row>
    <row r="90" spans="1:4" ht="15" customHeight="1" x14ac:dyDescent="0.25">
      <c r="A90" s="73" t="s">
        <v>321</v>
      </c>
      <c r="B90" s="74" t="s">
        <v>322</v>
      </c>
      <c r="C90" s="73" t="s">
        <v>181</v>
      </c>
      <c r="D90" s="1">
        <v>18</v>
      </c>
    </row>
    <row r="91" spans="1:4" ht="15" customHeight="1" x14ac:dyDescent="0.25">
      <c r="A91" s="73" t="s">
        <v>323</v>
      </c>
      <c r="B91" s="74" t="s">
        <v>324</v>
      </c>
      <c r="C91" s="73" t="s">
        <v>181</v>
      </c>
      <c r="D91" s="1">
        <v>120</v>
      </c>
    </row>
    <row r="92" spans="1:4" ht="15" customHeight="1" x14ac:dyDescent="0.25">
      <c r="A92" s="73" t="s">
        <v>117</v>
      </c>
      <c r="B92" s="81" t="s">
        <v>325</v>
      </c>
      <c r="C92" s="73" t="s">
        <v>185</v>
      </c>
      <c r="D92" s="1">
        <v>439</v>
      </c>
    </row>
    <row r="93" spans="1:4" ht="15" customHeight="1" x14ac:dyDescent="0.25">
      <c r="A93" s="73" t="s">
        <v>326</v>
      </c>
      <c r="B93" s="74" t="s">
        <v>327</v>
      </c>
      <c r="C93" s="73" t="s">
        <v>181</v>
      </c>
      <c r="D93" s="1">
        <v>170</v>
      </c>
    </row>
    <row r="94" spans="1:4" ht="15" customHeight="1" x14ac:dyDescent="0.25">
      <c r="A94" s="73" t="s">
        <v>328</v>
      </c>
      <c r="B94" s="74" t="s">
        <v>329</v>
      </c>
      <c r="C94" s="73" t="s">
        <v>185</v>
      </c>
      <c r="D94" s="1">
        <v>173</v>
      </c>
    </row>
    <row r="95" spans="1:4" ht="15" customHeight="1" x14ac:dyDescent="0.25">
      <c r="A95" s="73" t="s">
        <v>330</v>
      </c>
      <c r="B95" s="74" t="s">
        <v>331</v>
      </c>
      <c r="C95" s="73" t="s">
        <v>181</v>
      </c>
      <c r="D95" s="1">
        <v>17</v>
      </c>
    </row>
    <row r="96" spans="1:4" ht="15" customHeight="1" x14ac:dyDescent="0.25">
      <c r="A96" s="73" t="s">
        <v>332</v>
      </c>
      <c r="B96" s="81" t="s">
        <v>333</v>
      </c>
      <c r="C96" s="73" t="s">
        <v>181</v>
      </c>
      <c r="D96" s="1">
        <v>303</v>
      </c>
    </row>
    <row r="97" spans="1:4" ht="15" customHeight="1" x14ac:dyDescent="0.25">
      <c r="A97" s="73" t="s">
        <v>334</v>
      </c>
      <c r="B97" s="81" t="s">
        <v>335</v>
      </c>
      <c r="C97" s="73" t="s">
        <v>185</v>
      </c>
      <c r="D97" s="1">
        <v>327</v>
      </c>
    </row>
    <row r="98" spans="1:4" ht="15" customHeight="1" x14ac:dyDescent="0.25">
      <c r="A98" s="73" t="s">
        <v>336</v>
      </c>
      <c r="B98" s="74" t="s">
        <v>337</v>
      </c>
      <c r="C98" s="73" t="s">
        <v>181</v>
      </c>
      <c r="D98" s="1">
        <v>331</v>
      </c>
    </row>
    <row r="99" spans="1:4" ht="15" customHeight="1" x14ac:dyDescent="0.25">
      <c r="A99" s="73" t="s">
        <v>338</v>
      </c>
      <c r="B99" s="74" t="s">
        <v>339</v>
      </c>
      <c r="C99" s="73" t="s">
        <v>181</v>
      </c>
      <c r="D99" s="1">
        <v>332</v>
      </c>
    </row>
    <row r="100" spans="1:4" ht="15" customHeight="1" x14ac:dyDescent="0.25">
      <c r="A100" s="73" t="s">
        <v>340</v>
      </c>
      <c r="B100" s="81" t="s">
        <v>341</v>
      </c>
      <c r="C100" s="73" t="s">
        <v>185</v>
      </c>
      <c r="D100" s="1">
        <v>329</v>
      </c>
    </row>
    <row r="101" spans="1:4" ht="15" customHeight="1" x14ac:dyDescent="0.25">
      <c r="A101" s="73" t="s">
        <v>342</v>
      </c>
      <c r="B101" s="74" t="s">
        <v>343</v>
      </c>
      <c r="C101" s="73" t="s">
        <v>181</v>
      </c>
      <c r="D101" s="1">
        <v>330</v>
      </c>
    </row>
    <row r="102" spans="1:4" ht="15" customHeight="1" x14ac:dyDescent="0.25">
      <c r="A102" s="73" t="s">
        <v>344</v>
      </c>
      <c r="B102" s="74" t="s">
        <v>345</v>
      </c>
      <c r="C102" s="73" t="s">
        <v>181</v>
      </c>
      <c r="D102" s="1">
        <v>597</v>
      </c>
    </row>
    <row r="103" spans="1:4" ht="15" customHeight="1" x14ac:dyDescent="0.25">
      <c r="A103" s="73" t="s">
        <v>79</v>
      </c>
      <c r="B103" s="81" t="s">
        <v>346</v>
      </c>
      <c r="C103" s="73" t="s">
        <v>185</v>
      </c>
      <c r="D103" s="1">
        <v>215</v>
      </c>
    </row>
    <row r="104" spans="1:4" ht="15" customHeight="1" x14ac:dyDescent="0.25">
      <c r="A104" s="73" t="s">
        <v>347</v>
      </c>
      <c r="B104" s="81" t="s">
        <v>348</v>
      </c>
      <c r="C104" s="73" t="s">
        <v>185</v>
      </c>
      <c r="D104" s="1">
        <v>24</v>
      </c>
    </row>
    <row r="105" spans="1:4" ht="15" customHeight="1" x14ac:dyDescent="0.25">
      <c r="A105" s="73" t="s">
        <v>349</v>
      </c>
      <c r="B105" s="81" t="s">
        <v>350</v>
      </c>
      <c r="C105" s="73" t="s">
        <v>181</v>
      </c>
      <c r="D105" s="1">
        <v>129</v>
      </c>
    </row>
    <row r="106" spans="1:4" ht="15" customHeight="1" x14ac:dyDescent="0.25">
      <c r="A106" s="73" t="s">
        <v>351</v>
      </c>
      <c r="B106" s="81" t="s">
        <v>352</v>
      </c>
      <c r="C106" s="73" t="s">
        <v>185</v>
      </c>
      <c r="D106" s="1">
        <v>207</v>
      </c>
    </row>
    <row r="107" spans="1:4" ht="15" customHeight="1" x14ac:dyDescent="0.25">
      <c r="A107" s="73" t="s">
        <v>353</v>
      </c>
      <c r="B107" s="81" t="s">
        <v>354</v>
      </c>
      <c r="C107" s="73" t="s">
        <v>185</v>
      </c>
      <c r="D107" s="1">
        <v>382</v>
      </c>
    </row>
    <row r="108" spans="1:4" ht="15" customHeight="1" x14ac:dyDescent="0.25">
      <c r="A108" s="73" t="s">
        <v>80</v>
      </c>
      <c r="B108" s="81" t="s">
        <v>355</v>
      </c>
      <c r="C108" s="73" t="s">
        <v>185</v>
      </c>
      <c r="D108" s="1">
        <v>388</v>
      </c>
    </row>
    <row r="109" spans="1:4" ht="15" customHeight="1" x14ac:dyDescent="0.25">
      <c r="A109" s="73" t="s">
        <v>356</v>
      </c>
      <c r="B109" s="81" t="s">
        <v>357</v>
      </c>
      <c r="C109" s="73" t="s">
        <v>185</v>
      </c>
      <c r="D109" s="1">
        <v>445</v>
      </c>
    </row>
    <row r="110" spans="1:4" ht="15" customHeight="1" x14ac:dyDescent="0.25">
      <c r="A110" s="73" t="s">
        <v>358</v>
      </c>
      <c r="B110" s="76" t="s">
        <v>359</v>
      </c>
      <c r="C110" s="73" t="s">
        <v>181</v>
      </c>
      <c r="D110" s="1">
        <v>400</v>
      </c>
    </row>
    <row r="111" spans="1:4" ht="15" customHeight="1" x14ac:dyDescent="0.25">
      <c r="A111" s="73" t="s">
        <v>360</v>
      </c>
      <c r="B111" s="81" t="s">
        <v>361</v>
      </c>
      <c r="C111" s="73"/>
      <c r="D111" s="1">
        <v>625</v>
      </c>
    </row>
    <row r="112" spans="1:4" ht="15" customHeight="1" x14ac:dyDescent="0.25">
      <c r="A112" s="73" t="s">
        <v>362</v>
      </c>
      <c r="B112" s="81" t="s">
        <v>363</v>
      </c>
      <c r="C112" s="73" t="s">
        <v>185</v>
      </c>
      <c r="D112" s="1">
        <v>440</v>
      </c>
    </row>
    <row r="113" spans="1:4" ht="15" customHeight="1" x14ac:dyDescent="0.25">
      <c r="A113" s="73" t="s">
        <v>364</v>
      </c>
      <c r="B113" s="81" t="s">
        <v>365</v>
      </c>
      <c r="C113" s="73" t="s">
        <v>185</v>
      </c>
      <c r="D113" s="1">
        <v>441</v>
      </c>
    </row>
    <row r="114" spans="1:4" ht="15" customHeight="1" x14ac:dyDescent="0.25">
      <c r="A114" s="73" t="s">
        <v>366</v>
      </c>
      <c r="B114" s="74" t="s">
        <v>367</v>
      </c>
      <c r="C114" s="73"/>
      <c r="D114" s="1">
        <v>380</v>
      </c>
    </row>
    <row r="115" spans="1:4" ht="15" customHeight="1" x14ac:dyDescent="0.25">
      <c r="A115" s="78" t="s">
        <v>368</v>
      </c>
      <c r="B115" s="81" t="s">
        <v>369</v>
      </c>
      <c r="C115" s="73" t="s">
        <v>185</v>
      </c>
      <c r="D115" s="1">
        <v>442</v>
      </c>
    </row>
    <row r="116" spans="1:4" ht="15" customHeight="1" x14ac:dyDescent="0.25">
      <c r="A116" s="73" t="s">
        <v>118</v>
      </c>
      <c r="B116" s="81" t="s">
        <v>370</v>
      </c>
      <c r="C116" s="73" t="s">
        <v>185</v>
      </c>
      <c r="D116" s="1">
        <v>436</v>
      </c>
    </row>
    <row r="117" spans="1:4" ht="15" customHeight="1" x14ac:dyDescent="0.25">
      <c r="A117" s="73" t="s">
        <v>371</v>
      </c>
      <c r="B117" s="81" t="s">
        <v>372</v>
      </c>
      <c r="C117" s="73" t="s">
        <v>185</v>
      </c>
      <c r="D117" s="1">
        <v>418</v>
      </c>
    </row>
    <row r="118" spans="1:4" ht="15" customHeight="1" x14ac:dyDescent="0.25">
      <c r="A118" s="73" t="s">
        <v>373</v>
      </c>
      <c r="B118" s="74" t="s">
        <v>374</v>
      </c>
      <c r="C118" s="73"/>
      <c r="D118" s="1">
        <v>23</v>
      </c>
    </row>
    <row r="119" spans="1:4" ht="15" customHeight="1" x14ac:dyDescent="0.25">
      <c r="A119" s="73" t="s">
        <v>119</v>
      </c>
      <c r="B119" s="81" t="s">
        <v>375</v>
      </c>
      <c r="C119" s="73" t="s">
        <v>185</v>
      </c>
      <c r="D119" s="1">
        <v>402</v>
      </c>
    </row>
    <row r="120" spans="1:4" ht="15" customHeight="1" x14ac:dyDescent="0.25">
      <c r="A120" s="73" t="s">
        <v>120</v>
      </c>
      <c r="B120" s="81" t="s">
        <v>376</v>
      </c>
      <c r="C120" s="73" t="s">
        <v>185</v>
      </c>
      <c r="D120" s="1">
        <v>403</v>
      </c>
    </row>
    <row r="121" spans="1:4" ht="15" customHeight="1" x14ac:dyDescent="0.25">
      <c r="A121" s="73" t="s">
        <v>50</v>
      </c>
      <c r="B121" s="81" t="s">
        <v>377</v>
      </c>
      <c r="C121" s="73" t="s">
        <v>185</v>
      </c>
      <c r="D121" s="1">
        <v>1</v>
      </c>
    </row>
    <row r="122" spans="1:4" ht="15" customHeight="1" x14ac:dyDescent="0.25">
      <c r="A122" s="73" t="s">
        <v>378</v>
      </c>
      <c r="B122" s="81" t="s">
        <v>379</v>
      </c>
      <c r="C122" s="73" t="s">
        <v>185</v>
      </c>
      <c r="D122" s="1">
        <v>2</v>
      </c>
    </row>
    <row r="123" spans="1:4" ht="15" customHeight="1" x14ac:dyDescent="0.25">
      <c r="A123" s="73" t="s">
        <v>81</v>
      </c>
      <c r="B123" s="81" t="s">
        <v>380</v>
      </c>
      <c r="C123" s="73"/>
      <c r="D123" s="1">
        <v>634</v>
      </c>
    </row>
    <row r="124" spans="1:4" ht="15" customHeight="1" x14ac:dyDescent="0.25">
      <c r="A124" s="73" t="s">
        <v>381</v>
      </c>
      <c r="B124" s="81" t="s">
        <v>382</v>
      </c>
      <c r="C124" s="73" t="s">
        <v>185</v>
      </c>
      <c r="D124" s="1">
        <v>3</v>
      </c>
    </row>
    <row r="125" spans="1:4" ht="15" customHeight="1" x14ac:dyDescent="0.25">
      <c r="A125" s="73" t="s">
        <v>82</v>
      </c>
      <c r="B125" s="81" t="s">
        <v>383</v>
      </c>
      <c r="C125" s="73" t="s">
        <v>185</v>
      </c>
      <c r="D125" s="1">
        <v>4</v>
      </c>
    </row>
    <row r="126" spans="1:4" ht="15" customHeight="1" x14ac:dyDescent="0.25">
      <c r="A126" s="73" t="s">
        <v>51</v>
      </c>
      <c r="B126" s="81" t="s">
        <v>384</v>
      </c>
      <c r="C126" s="73" t="s">
        <v>185</v>
      </c>
      <c r="D126" s="1">
        <v>5</v>
      </c>
    </row>
    <row r="127" spans="1:4" ht="15" customHeight="1" x14ac:dyDescent="0.25">
      <c r="A127" s="73" t="s">
        <v>385</v>
      </c>
      <c r="B127" s="81" t="s">
        <v>386</v>
      </c>
      <c r="C127" s="73" t="s">
        <v>185</v>
      </c>
      <c r="D127" s="1">
        <v>6</v>
      </c>
    </row>
    <row r="128" spans="1:4" ht="15" customHeight="1" x14ac:dyDescent="0.25">
      <c r="A128" s="73" t="s">
        <v>387</v>
      </c>
      <c r="B128" s="81" t="s">
        <v>388</v>
      </c>
      <c r="C128" s="73" t="s">
        <v>185</v>
      </c>
      <c r="D128" s="1">
        <v>7</v>
      </c>
    </row>
    <row r="129" spans="1:4" ht="15" customHeight="1" x14ac:dyDescent="0.25">
      <c r="A129" s="73" t="s">
        <v>389</v>
      </c>
      <c r="B129" s="81" t="s">
        <v>390</v>
      </c>
      <c r="C129" s="73" t="s">
        <v>185</v>
      </c>
      <c r="D129" s="1">
        <v>8</v>
      </c>
    </row>
    <row r="130" spans="1:4" ht="15" customHeight="1" x14ac:dyDescent="0.25">
      <c r="A130" s="73" t="s">
        <v>391</v>
      </c>
      <c r="B130" s="74" t="s">
        <v>392</v>
      </c>
      <c r="C130" s="73" t="s">
        <v>181</v>
      </c>
      <c r="D130" s="1">
        <v>9</v>
      </c>
    </row>
    <row r="131" spans="1:4" ht="15" customHeight="1" x14ac:dyDescent="0.25">
      <c r="A131" s="73" t="s">
        <v>393</v>
      </c>
      <c r="B131" s="74" t="s">
        <v>394</v>
      </c>
      <c r="C131" s="73" t="s">
        <v>181</v>
      </c>
      <c r="D131" s="1">
        <v>10</v>
      </c>
    </row>
    <row r="132" spans="1:4" ht="15" customHeight="1" x14ac:dyDescent="0.25">
      <c r="A132" s="73" t="s">
        <v>395</v>
      </c>
      <c r="B132" s="74" t="s">
        <v>396</v>
      </c>
      <c r="C132" s="73"/>
      <c r="D132" s="1">
        <v>11</v>
      </c>
    </row>
    <row r="133" spans="1:4" ht="15" customHeight="1" x14ac:dyDescent="0.25">
      <c r="A133" s="73" t="s">
        <v>397</v>
      </c>
      <c r="B133" s="81" t="s">
        <v>398</v>
      </c>
      <c r="C133" s="73" t="s">
        <v>185</v>
      </c>
      <c r="D133" s="1">
        <v>12</v>
      </c>
    </row>
    <row r="134" spans="1:4" ht="15" customHeight="1" x14ac:dyDescent="0.25">
      <c r="A134" s="73" t="s">
        <v>399</v>
      </c>
      <c r="B134" s="81" t="s">
        <v>400</v>
      </c>
      <c r="C134" s="73"/>
      <c r="D134" s="1">
        <v>283</v>
      </c>
    </row>
    <row r="135" spans="1:4" ht="15" customHeight="1" x14ac:dyDescent="0.25">
      <c r="A135" s="73" t="s">
        <v>401</v>
      </c>
      <c r="B135" s="81" t="s">
        <v>402</v>
      </c>
      <c r="C135" s="73" t="s">
        <v>181</v>
      </c>
      <c r="D135" s="1">
        <v>13</v>
      </c>
    </row>
    <row r="136" spans="1:4" ht="15" customHeight="1" x14ac:dyDescent="0.25">
      <c r="A136" s="73" t="s">
        <v>403</v>
      </c>
      <c r="B136" s="81" t="s">
        <v>404</v>
      </c>
      <c r="C136" s="73" t="s">
        <v>181</v>
      </c>
      <c r="D136" s="1">
        <v>14</v>
      </c>
    </row>
    <row r="137" spans="1:4" ht="15" customHeight="1" x14ac:dyDescent="0.25">
      <c r="A137" s="73" t="s">
        <v>405</v>
      </c>
      <c r="B137" s="81" t="s">
        <v>406</v>
      </c>
      <c r="C137" s="73" t="s">
        <v>181</v>
      </c>
      <c r="D137" s="1">
        <v>25</v>
      </c>
    </row>
    <row r="138" spans="1:4" ht="15" customHeight="1" x14ac:dyDescent="0.25">
      <c r="A138" s="73" t="s">
        <v>52</v>
      </c>
      <c r="B138" s="81" t="s">
        <v>407</v>
      </c>
      <c r="C138" s="73" t="s">
        <v>181</v>
      </c>
      <c r="D138" s="1">
        <v>26</v>
      </c>
    </row>
    <row r="139" spans="1:4" ht="15" customHeight="1" x14ac:dyDescent="0.25">
      <c r="A139" s="73" t="s">
        <v>408</v>
      </c>
      <c r="B139" s="74" t="s">
        <v>409</v>
      </c>
      <c r="C139" s="73" t="s">
        <v>181</v>
      </c>
      <c r="D139" s="1">
        <v>27</v>
      </c>
    </row>
    <row r="140" spans="1:4" ht="15" customHeight="1" x14ac:dyDescent="0.25">
      <c r="A140" s="73" t="s">
        <v>410</v>
      </c>
      <c r="B140" s="81" t="s">
        <v>411</v>
      </c>
      <c r="C140" s="73"/>
      <c r="D140" s="1">
        <v>28</v>
      </c>
    </row>
    <row r="141" spans="1:4" ht="15" customHeight="1" x14ac:dyDescent="0.25">
      <c r="A141" s="73" t="s">
        <v>412</v>
      </c>
      <c r="B141" s="81" t="s">
        <v>413</v>
      </c>
      <c r="C141" s="73"/>
      <c r="D141" s="1">
        <v>29</v>
      </c>
    </row>
    <row r="142" spans="1:4" ht="15" customHeight="1" x14ac:dyDescent="0.25">
      <c r="A142" s="73" t="s">
        <v>414</v>
      </c>
      <c r="B142" s="81" t="s">
        <v>415</v>
      </c>
      <c r="C142" s="73" t="s">
        <v>185</v>
      </c>
      <c r="D142" s="1">
        <v>30</v>
      </c>
    </row>
    <row r="143" spans="1:4" ht="15" customHeight="1" x14ac:dyDescent="0.25">
      <c r="A143" s="73" t="s">
        <v>416</v>
      </c>
      <c r="B143" s="81" t="s">
        <v>417</v>
      </c>
      <c r="C143" s="73"/>
      <c r="D143" s="1">
        <v>635</v>
      </c>
    </row>
    <row r="144" spans="1:4" ht="15" customHeight="1" x14ac:dyDescent="0.25">
      <c r="A144" s="73" t="s">
        <v>121</v>
      </c>
      <c r="B144" s="81" t="s">
        <v>418</v>
      </c>
      <c r="C144" s="73" t="s">
        <v>185</v>
      </c>
      <c r="D144" s="1">
        <v>404</v>
      </c>
    </row>
    <row r="145" spans="1:4" ht="15" customHeight="1" x14ac:dyDescent="0.25">
      <c r="A145" s="73" t="s">
        <v>112</v>
      </c>
      <c r="B145" s="81" t="s">
        <v>419</v>
      </c>
      <c r="C145" s="73" t="s">
        <v>185</v>
      </c>
      <c r="D145" s="82">
        <v>33</v>
      </c>
    </row>
    <row r="146" spans="1:4" ht="15" customHeight="1" x14ac:dyDescent="0.25">
      <c r="A146" s="73" t="s">
        <v>420</v>
      </c>
      <c r="B146" s="81" t="s">
        <v>421</v>
      </c>
      <c r="C146" s="73"/>
      <c r="D146" s="1">
        <v>35</v>
      </c>
    </row>
    <row r="147" spans="1:4" ht="15" customHeight="1" x14ac:dyDescent="0.25">
      <c r="A147" s="73" t="s">
        <v>422</v>
      </c>
      <c r="B147" s="74" t="s">
        <v>423</v>
      </c>
      <c r="C147" s="73"/>
      <c r="D147" s="1">
        <v>36</v>
      </c>
    </row>
    <row r="148" spans="1:4" ht="15" customHeight="1" x14ac:dyDescent="0.25">
      <c r="A148" s="73" t="s">
        <v>53</v>
      </c>
      <c r="B148" s="81" t="s">
        <v>424</v>
      </c>
      <c r="C148" s="73" t="s">
        <v>185</v>
      </c>
      <c r="D148" s="1">
        <v>37</v>
      </c>
    </row>
    <row r="149" spans="1:4" ht="15" customHeight="1" x14ac:dyDescent="0.25">
      <c r="A149" s="73" t="s">
        <v>425</v>
      </c>
      <c r="B149" s="81" t="s">
        <v>426</v>
      </c>
      <c r="C149" s="73" t="s">
        <v>181</v>
      </c>
      <c r="D149" s="1">
        <v>39</v>
      </c>
    </row>
    <row r="150" spans="1:4" ht="15" customHeight="1" x14ac:dyDescent="0.25">
      <c r="A150" s="73" t="s">
        <v>427</v>
      </c>
      <c r="B150" s="81" t="s">
        <v>428</v>
      </c>
      <c r="C150" s="73" t="s">
        <v>185</v>
      </c>
      <c r="D150" s="1">
        <v>356</v>
      </c>
    </row>
    <row r="151" spans="1:4" ht="15" customHeight="1" x14ac:dyDescent="0.25">
      <c r="A151" s="73" t="s">
        <v>429</v>
      </c>
      <c r="B151" s="74" t="s">
        <v>430</v>
      </c>
      <c r="C151" s="73" t="s">
        <v>181</v>
      </c>
      <c r="D151" s="1">
        <v>40</v>
      </c>
    </row>
    <row r="152" spans="1:4" ht="15" customHeight="1" x14ac:dyDescent="0.25">
      <c r="A152" s="73" t="s">
        <v>431</v>
      </c>
      <c r="B152" s="74" t="s">
        <v>432</v>
      </c>
      <c r="C152" s="73" t="s">
        <v>181</v>
      </c>
      <c r="D152" s="1">
        <v>41</v>
      </c>
    </row>
    <row r="153" spans="1:4" ht="15" customHeight="1" x14ac:dyDescent="0.25">
      <c r="A153" s="73" t="s">
        <v>433</v>
      </c>
      <c r="B153" s="74" t="s">
        <v>434</v>
      </c>
      <c r="C153" s="73" t="s">
        <v>181</v>
      </c>
      <c r="D153" s="1">
        <v>42</v>
      </c>
    </row>
    <row r="154" spans="1:4" ht="15" customHeight="1" x14ac:dyDescent="0.25">
      <c r="A154" s="73" t="s">
        <v>435</v>
      </c>
      <c r="B154" s="74" t="s">
        <v>436</v>
      </c>
      <c r="C154" s="73"/>
      <c r="D154" s="1">
        <v>44</v>
      </c>
    </row>
    <row r="155" spans="1:4" ht="15" customHeight="1" x14ac:dyDescent="0.25">
      <c r="A155" s="73" t="s">
        <v>54</v>
      </c>
      <c r="B155" s="81" t="s">
        <v>437</v>
      </c>
      <c r="C155" s="73"/>
      <c r="D155" s="1">
        <v>45</v>
      </c>
    </row>
    <row r="156" spans="1:4" ht="15" customHeight="1" x14ac:dyDescent="0.25">
      <c r="A156" s="73" t="s">
        <v>122</v>
      </c>
      <c r="B156" s="81" t="s">
        <v>438</v>
      </c>
      <c r="C156" s="73" t="s">
        <v>185</v>
      </c>
      <c r="D156" s="1">
        <v>405</v>
      </c>
    </row>
    <row r="157" spans="1:4" ht="15" customHeight="1" x14ac:dyDescent="0.25">
      <c r="A157" s="73" t="s">
        <v>46</v>
      </c>
      <c r="B157" s="81" t="s">
        <v>439</v>
      </c>
      <c r="C157" s="73" t="s">
        <v>185</v>
      </c>
      <c r="D157" s="1">
        <v>46</v>
      </c>
    </row>
    <row r="158" spans="1:4" ht="15" customHeight="1" x14ac:dyDescent="0.25">
      <c r="A158" s="73" t="s">
        <v>440</v>
      </c>
      <c r="B158" s="81" t="s">
        <v>441</v>
      </c>
      <c r="C158" s="73" t="s">
        <v>185</v>
      </c>
      <c r="D158" s="1">
        <v>47</v>
      </c>
    </row>
    <row r="159" spans="1:4" ht="15" customHeight="1" x14ac:dyDescent="0.25">
      <c r="A159" s="73" t="s">
        <v>48</v>
      </c>
      <c r="B159" s="81" t="s">
        <v>442</v>
      </c>
      <c r="C159" s="73" t="s">
        <v>185</v>
      </c>
      <c r="D159" s="1">
        <v>406</v>
      </c>
    </row>
    <row r="160" spans="1:4" ht="15" customHeight="1" x14ac:dyDescent="0.25">
      <c r="A160" s="73" t="s">
        <v>123</v>
      </c>
      <c r="B160" s="81" t="s">
        <v>443</v>
      </c>
      <c r="C160" s="73" t="s">
        <v>185</v>
      </c>
      <c r="D160" s="1">
        <v>407</v>
      </c>
    </row>
    <row r="161" spans="1:4" ht="15" customHeight="1" x14ac:dyDescent="0.25">
      <c r="A161" s="73" t="s">
        <v>444</v>
      </c>
      <c r="B161" s="81" t="s">
        <v>445</v>
      </c>
      <c r="C161" s="73"/>
      <c r="D161" s="1">
        <v>408</v>
      </c>
    </row>
    <row r="162" spans="1:4" ht="15" customHeight="1" x14ac:dyDescent="0.25">
      <c r="A162" s="73" t="s">
        <v>124</v>
      </c>
      <c r="B162" s="81" t="s">
        <v>446</v>
      </c>
      <c r="C162" s="73" t="s">
        <v>185</v>
      </c>
      <c r="D162" s="1">
        <v>409</v>
      </c>
    </row>
    <row r="163" spans="1:4" ht="15" customHeight="1" x14ac:dyDescent="0.25">
      <c r="A163" s="73" t="s">
        <v>125</v>
      </c>
      <c r="B163" s="81" t="s">
        <v>447</v>
      </c>
      <c r="C163" s="73" t="s">
        <v>185</v>
      </c>
      <c r="D163" s="1">
        <v>410</v>
      </c>
    </row>
    <row r="164" spans="1:4" ht="15" customHeight="1" x14ac:dyDescent="0.25">
      <c r="A164" s="73" t="s">
        <v>126</v>
      </c>
      <c r="B164" s="81" t="s">
        <v>448</v>
      </c>
      <c r="C164" s="73" t="s">
        <v>185</v>
      </c>
      <c r="D164" s="1">
        <v>411</v>
      </c>
    </row>
    <row r="165" spans="1:4" ht="15" customHeight="1" x14ac:dyDescent="0.25">
      <c r="A165" s="73" t="s">
        <v>127</v>
      </c>
      <c r="B165" s="81" t="s">
        <v>449</v>
      </c>
      <c r="C165" s="73" t="s">
        <v>185</v>
      </c>
      <c r="D165" s="1">
        <v>412</v>
      </c>
    </row>
    <row r="166" spans="1:4" ht="15" customHeight="1" x14ac:dyDescent="0.25">
      <c r="A166" s="73" t="s">
        <v>450</v>
      </c>
      <c r="B166" s="81" t="s">
        <v>451</v>
      </c>
      <c r="C166" s="73" t="s">
        <v>181</v>
      </c>
      <c r="D166" s="1">
        <v>52</v>
      </c>
    </row>
    <row r="167" spans="1:4" ht="15" customHeight="1" x14ac:dyDescent="0.25">
      <c r="A167" s="73" t="s">
        <v>452</v>
      </c>
      <c r="B167" s="81" t="s">
        <v>453</v>
      </c>
      <c r="C167" s="73" t="s">
        <v>185</v>
      </c>
      <c r="D167" s="1">
        <v>53</v>
      </c>
    </row>
    <row r="168" spans="1:4" ht="15" customHeight="1" x14ac:dyDescent="0.25">
      <c r="A168" s="73" t="s">
        <v>454</v>
      </c>
      <c r="B168" s="81" t="s">
        <v>455</v>
      </c>
      <c r="C168" s="73"/>
      <c r="D168" s="1">
        <v>54</v>
      </c>
    </row>
    <row r="169" spans="1:4" ht="15" customHeight="1" x14ac:dyDescent="0.25">
      <c r="A169" s="73" t="s">
        <v>456</v>
      </c>
      <c r="B169" s="81" t="s">
        <v>457</v>
      </c>
      <c r="C169" s="73" t="s">
        <v>181</v>
      </c>
      <c r="D169" s="1">
        <v>55</v>
      </c>
    </row>
    <row r="170" spans="1:4" ht="15" customHeight="1" x14ac:dyDescent="0.25">
      <c r="A170" s="73" t="s">
        <v>458</v>
      </c>
      <c r="B170" s="81" t="s">
        <v>459</v>
      </c>
      <c r="C170" s="73" t="s">
        <v>185</v>
      </c>
      <c r="D170" s="1">
        <v>56</v>
      </c>
    </row>
    <row r="171" spans="1:4" ht="15" customHeight="1" x14ac:dyDescent="0.25">
      <c r="A171" s="73" t="s">
        <v>460</v>
      </c>
      <c r="B171" s="74" t="s">
        <v>461</v>
      </c>
      <c r="C171" s="73"/>
      <c r="D171" s="1">
        <v>57</v>
      </c>
    </row>
    <row r="172" spans="1:4" ht="15" customHeight="1" x14ac:dyDescent="0.25">
      <c r="A172" s="73" t="s">
        <v>55</v>
      </c>
      <c r="B172" s="81" t="s">
        <v>462</v>
      </c>
      <c r="C172" s="73" t="s">
        <v>185</v>
      </c>
      <c r="D172" s="1">
        <v>58</v>
      </c>
    </row>
    <row r="173" spans="1:4" ht="15" customHeight="1" x14ac:dyDescent="0.25">
      <c r="A173" s="73" t="s">
        <v>463</v>
      </c>
      <c r="B173" s="74" t="s">
        <v>464</v>
      </c>
      <c r="C173" s="73" t="s">
        <v>181</v>
      </c>
      <c r="D173" s="1">
        <v>60</v>
      </c>
    </row>
    <row r="174" spans="1:4" ht="15" customHeight="1" x14ac:dyDescent="0.25">
      <c r="A174" s="73" t="s">
        <v>465</v>
      </c>
      <c r="B174" s="74" t="s">
        <v>466</v>
      </c>
      <c r="C174" s="73"/>
      <c r="D174" s="1">
        <v>61</v>
      </c>
    </row>
    <row r="175" spans="1:4" ht="15" customHeight="1" x14ac:dyDescent="0.25">
      <c r="A175" s="73" t="s">
        <v>467</v>
      </c>
      <c r="B175" s="74" t="s">
        <v>468</v>
      </c>
      <c r="C175" s="73"/>
      <c r="D175" s="1">
        <v>82</v>
      </c>
    </row>
    <row r="176" spans="1:4" ht="15" customHeight="1" x14ac:dyDescent="0.25">
      <c r="A176" s="73" t="s">
        <v>469</v>
      </c>
      <c r="B176" s="81" t="s">
        <v>470</v>
      </c>
      <c r="C176" s="73"/>
      <c r="D176" s="1">
        <v>284</v>
      </c>
    </row>
    <row r="177" spans="1:4" ht="15" customHeight="1" x14ac:dyDescent="0.25">
      <c r="A177" s="73" t="s">
        <v>471</v>
      </c>
      <c r="B177" s="81" t="s">
        <v>472</v>
      </c>
      <c r="C177" s="73" t="s">
        <v>185</v>
      </c>
      <c r="D177" s="1">
        <v>558</v>
      </c>
    </row>
    <row r="178" spans="1:4" ht="15" customHeight="1" x14ac:dyDescent="0.25">
      <c r="A178" s="73" t="s">
        <v>473</v>
      </c>
      <c r="B178" s="81" t="s">
        <v>474</v>
      </c>
      <c r="C178" s="73" t="s">
        <v>185</v>
      </c>
      <c r="D178" s="1">
        <v>62</v>
      </c>
    </row>
    <row r="179" spans="1:4" ht="15" customHeight="1" x14ac:dyDescent="0.25">
      <c r="A179" s="73" t="s">
        <v>475</v>
      </c>
      <c r="B179" s="81" t="s">
        <v>476</v>
      </c>
      <c r="C179" s="73" t="s">
        <v>185</v>
      </c>
      <c r="D179" s="1">
        <v>63</v>
      </c>
    </row>
    <row r="180" spans="1:4" ht="15" customHeight="1" x14ac:dyDescent="0.25">
      <c r="A180" s="73" t="s">
        <v>477</v>
      </c>
      <c r="B180" s="81" t="s">
        <v>478</v>
      </c>
      <c r="C180" s="73" t="s">
        <v>181</v>
      </c>
      <c r="D180" s="1">
        <v>65</v>
      </c>
    </row>
    <row r="181" spans="1:4" ht="15" customHeight="1" x14ac:dyDescent="0.25">
      <c r="A181" s="73" t="s">
        <v>83</v>
      </c>
      <c r="B181" s="81" t="s">
        <v>479</v>
      </c>
      <c r="C181" s="73" t="s">
        <v>185</v>
      </c>
      <c r="D181" s="1">
        <v>522</v>
      </c>
    </row>
    <row r="182" spans="1:4" ht="15" customHeight="1" x14ac:dyDescent="0.25">
      <c r="A182" s="73" t="s">
        <v>480</v>
      </c>
      <c r="B182" s="81" t="s">
        <v>481</v>
      </c>
      <c r="C182" s="73" t="s">
        <v>185</v>
      </c>
      <c r="D182" s="1">
        <v>64</v>
      </c>
    </row>
    <row r="183" spans="1:4" ht="15" customHeight="1" x14ac:dyDescent="0.25">
      <c r="A183" s="73" t="s">
        <v>482</v>
      </c>
      <c r="B183" s="81" t="s">
        <v>483</v>
      </c>
      <c r="C183" s="73"/>
      <c r="D183" s="1">
        <v>66</v>
      </c>
    </row>
    <row r="184" spans="1:4" ht="15" customHeight="1" x14ac:dyDescent="0.25">
      <c r="A184" s="73" t="s">
        <v>484</v>
      </c>
      <c r="B184" s="81" t="s">
        <v>485</v>
      </c>
      <c r="C184" s="73"/>
      <c r="D184" s="1">
        <v>68</v>
      </c>
    </row>
    <row r="185" spans="1:4" ht="15" customHeight="1" x14ac:dyDescent="0.25">
      <c r="A185" s="73" t="s">
        <v>486</v>
      </c>
      <c r="B185" s="74" t="s">
        <v>487</v>
      </c>
      <c r="C185" s="73" t="s">
        <v>181</v>
      </c>
      <c r="D185" s="1">
        <v>71</v>
      </c>
    </row>
    <row r="186" spans="1:4" ht="15" customHeight="1" x14ac:dyDescent="0.25">
      <c r="A186" s="73" t="s">
        <v>488</v>
      </c>
      <c r="B186" s="81" t="s">
        <v>489</v>
      </c>
      <c r="C186" s="73" t="s">
        <v>185</v>
      </c>
      <c r="D186" s="1">
        <v>72</v>
      </c>
    </row>
    <row r="187" spans="1:4" ht="15" customHeight="1" x14ac:dyDescent="0.25">
      <c r="A187" s="73" t="s">
        <v>84</v>
      </c>
      <c r="B187" s="81" t="s">
        <v>490</v>
      </c>
      <c r="C187" s="73" t="s">
        <v>185</v>
      </c>
      <c r="D187" s="1">
        <v>324</v>
      </c>
    </row>
    <row r="188" spans="1:4" ht="15" customHeight="1" x14ac:dyDescent="0.25">
      <c r="A188" s="73" t="s">
        <v>491</v>
      </c>
      <c r="B188" s="81" t="s">
        <v>492</v>
      </c>
      <c r="C188" s="73" t="s">
        <v>181</v>
      </c>
      <c r="D188" s="1">
        <v>77</v>
      </c>
    </row>
    <row r="189" spans="1:4" ht="15" customHeight="1" x14ac:dyDescent="0.25">
      <c r="A189" s="73" t="s">
        <v>85</v>
      </c>
      <c r="B189" s="81" t="s">
        <v>493</v>
      </c>
      <c r="C189" s="73"/>
      <c r="D189" s="1">
        <v>519</v>
      </c>
    </row>
    <row r="190" spans="1:4" ht="15" customHeight="1" x14ac:dyDescent="0.25">
      <c r="A190" s="73" t="s">
        <v>494</v>
      </c>
      <c r="B190" s="74" t="s">
        <v>495</v>
      </c>
      <c r="C190" s="73"/>
      <c r="D190" s="1">
        <v>81</v>
      </c>
    </row>
    <row r="191" spans="1:4" ht="15" customHeight="1" x14ac:dyDescent="0.25">
      <c r="A191" s="73" t="s">
        <v>496</v>
      </c>
      <c r="B191" s="74" t="s">
        <v>497</v>
      </c>
      <c r="C191" s="73" t="s">
        <v>181</v>
      </c>
      <c r="D191" s="1">
        <v>144</v>
      </c>
    </row>
    <row r="192" spans="1:4" ht="15" customHeight="1" x14ac:dyDescent="0.25">
      <c r="A192" s="73" t="s">
        <v>56</v>
      </c>
      <c r="B192" s="81" t="s">
        <v>498</v>
      </c>
      <c r="C192" s="73" t="s">
        <v>185</v>
      </c>
      <c r="D192" s="1">
        <v>83</v>
      </c>
    </row>
    <row r="193" spans="1:4" ht="15" customHeight="1" x14ac:dyDescent="0.25">
      <c r="A193" s="73" t="s">
        <v>499</v>
      </c>
      <c r="B193" s="81" t="s">
        <v>500</v>
      </c>
      <c r="C193" s="73" t="s">
        <v>185</v>
      </c>
      <c r="D193" s="1">
        <v>85</v>
      </c>
    </row>
    <row r="194" spans="1:4" ht="15" customHeight="1" x14ac:dyDescent="0.25">
      <c r="A194" s="73" t="s">
        <v>501</v>
      </c>
      <c r="B194" s="81" t="s">
        <v>502</v>
      </c>
      <c r="C194" s="73"/>
      <c r="D194" s="1">
        <v>86</v>
      </c>
    </row>
    <row r="195" spans="1:4" ht="15" customHeight="1" x14ac:dyDescent="0.25">
      <c r="A195" s="78" t="s">
        <v>503</v>
      </c>
      <c r="B195" s="81" t="s">
        <v>504</v>
      </c>
      <c r="C195" s="73"/>
      <c r="D195" s="1">
        <v>87</v>
      </c>
    </row>
    <row r="196" spans="1:4" ht="15" customHeight="1" x14ac:dyDescent="0.25">
      <c r="A196" s="73" t="s">
        <v>505</v>
      </c>
      <c r="B196" s="81" t="s">
        <v>506</v>
      </c>
      <c r="C196" s="73" t="s">
        <v>185</v>
      </c>
      <c r="D196" s="1">
        <v>88</v>
      </c>
    </row>
    <row r="197" spans="1:4" ht="15" customHeight="1" x14ac:dyDescent="0.25">
      <c r="A197" s="73" t="s">
        <v>507</v>
      </c>
      <c r="B197" s="81" t="s">
        <v>508</v>
      </c>
      <c r="C197" s="73" t="s">
        <v>185</v>
      </c>
      <c r="D197" s="1">
        <v>435</v>
      </c>
    </row>
    <row r="198" spans="1:4" ht="15" customHeight="1" x14ac:dyDescent="0.25">
      <c r="A198" s="73" t="s">
        <v>509</v>
      </c>
      <c r="B198" s="81" t="s">
        <v>510</v>
      </c>
      <c r="C198" s="73" t="s">
        <v>185</v>
      </c>
      <c r="D198" s="1">
        <v>413</v>
      </c>
    </row>
    <row r="199" spans="1:4" ht="15" customHeight="1" x14ac:dyDescent="0.25">
      <c r="A199" s="73">
        <v>89</v>
      </c>
      <c r="B199" s="81" t="s">
        <v>511</v>
      </c>
      <c r="C199" s="73"/>
      <c r="D199" s="1">
        <v>89</v>
      </c>
    </row>
    <row r="200" spans="1:4" ht="15" customHeight="1" x14ac:dyDescent="0.25">
      <c r="A200" s="73" t="s">
        <v>512</v>
      </c>
      <c r="B200" s="81" t="s">
        <v>513</v>
      </c>
      <c r="C200" s="73" t="s">
        <v>185</v>
      </c>
      <c r="D200" s="1">
        <v>90</v>
      </c>
    </row>
    <row r="201" spans="1:4" ht="15" customHeight="1" x14ac:dyDescent="0.25">
      <c r="A201" s="73" t="s">
        <v>86</v>
      </c>
      <c r="B201" s="81" t="s">
        <v>514</v>
      </c>
      <c r="C201" s="73" t="s">
        <v>185</v>
      </c>
      <c r="D201" s="1">
        <v>91</v>
      </c>
    </row>
    <row r="202" spans="1:4" ht="15" customHeight="1" x14ac:dyDescent="0.25">
      <c r="A202" s="73" t="s">
        <v>515</v>
      </c>
      <c r="B202" s="81" t="s">
        <v>516</v>
      </c>
      <c r="C202" s="73" t="s">
        <v>185</v>
      </c>
      <c r="D202" s="1">
        <v>92</v>
      </c>
    </row>
    <row r="203" spans="1:4" ht="15" customHeight="1" x14ac:dyDescent="0.25">
      <c r="A203" s="78" t="s">
        <v>517</v>
      </c>
      <c r="B203" s="81" t="s">
        <v>518</v>
      </c>
      <c r="C203" s="73"/>
      <c r="D203" s="1">
        <v>93</v>
      </c>
    </row>
    <row r="204" spans="1:4" ht="15" customHeight="1" x14ac:dyDescent="0.25">
      <c r="A204" s="73" t="s">
        <v>519</v>
      </c>
      <c r="B204" s="81" t="s">
        <v>520</v>
      </c>
      <c r="C204" s="73" t="s">
        <v>185</v>
      </c>
      <c r="D204" s="1">
        <v>94</v>
      </c>
    </row>
    <row r="205" spans="1:4" ht="15" customHeight="1" x14ac:dyDescent="0.25">
      <c r="A205" s="73">
        <v>351</v>
      </c>
      <c r="B205" s="81" t="s">
        <v>521</v>
      </c>
      <c r="C205" s="73" t="s">
        <v>185</v>
      </c>
      <c r="D205" s="1">
        <v>351</v>
      </c>
    </row>
    <row r="206" spans="1:4" ht="15" customHeight="1" x14ac:dyDescent="0.25">
      <c r="A206" s="73" t="s">
        <v>522</v>
      </c>
      <c r="B206" s="81" t="s">
        <v>523</v>
      </c>
      <c r="C206" s="73" t="s">
        <v>185</v>
      </c>
      <c r="D206" s="1">
        <v>95</v>
      </c>
    </row>
    <row r="207" spans="1:4" ht="15" customHeight="1" x14ac:dyDescent="0.25">
      <c r="A207" s="73" t="s">
        <v>524</v>
      </c>
      <c r="B207" s="74" t="s">
        <v>525</v>
      </c>
      <c r="C207" s="73" t="s">
        <v>181</v>
      </c>
      <c r="D207" s="1">
        <v>96</v>
      </c>
    </row>
    <row r="208" spans="1:4" ht="15" customHeight="1" x14ac:dyDescent="0.25">
      <c r="A208" s="73" t="s">
        <v>526</v>
      </c>
      <c r="B208" s="81" t="s">
        <v>527</v>
      </c>
      <c r="C208" s="73" t="s">
        <v>185</v>
      </c>
      <c r="D208" s="1">
        <v>97</v>
      </c>
    </row>
    <row r="209" spans="1:4" ht="15" customHeight="1" x14ac:dyDescent="0.25">
      <c r="A209" s="73" t="s">
        <v>528</v>
      </c>
      <c r="B209" s="74" t="s">
        <v>529</v>
      </c>
      <c r="C209" s="73" t="s">
        <v>181</v>
      </c>
      <c r="D209" s="1">
        <v>98</v>
      </c>
    </row>
    <row r="210" spans="1:4" ht="15" customHeight="1" x14ac:dyDescent="0.25">
      <c r="A210" s="73" t="s">
        <v>530</v>
      </c>
      <c r="B210" s="74" t="s">
        <v>531</v>
      </c>
      <c r="C210" s="73"/>
      <c r="D210" s="1">
        <v>99</v>
      </c>
    </row>
    <row r="211" spans="1:4" ht="15" customHeight="1" x14ac:dyDescent="0.25">
      <c r="A211" s="73" t="s">
        <v>532</v>
      </c>
      <c r="B211" s="81" t="s">
        <v>533</v>
      </c>
      <c r="C211" s="73" t="s">
        <v>181</v>
      </c>
      <c r="D211" s="1">
        <v>243</v>
      </c>
    </row>
    <row r="212" spans="1:4" ht="15" customHeight="1" x14ac:dyDescent="0.25">
      <c r="A212" s="73" t="s">
        <v>534</v>
      </c>
      <c r="B212" s="81" t="s">
        <v>535</v>
      </c>
      <c r="C212" s="73"/>
      <c r="D212" s="1">
        <v>100</v>
      </c>
    </row>
    <row r="213" spans="1:4" ht="15" customHeight="1" x14ac:dyDescent="0.25">
      <c r="A213" s="73" t="s">
        <v>87</v>
      </c>
      <c r="B213" s="81" t="s">
        <v>536</v>
      </c>
      <c r="C213" s="73" t="s">
        <v>185</v>
      </c>
      <c r="D213" s="1">
        <v>101</v>
      </c>
    </row>
    <row r="214" spans="1:4" ht="15" customHeight="1" x14ac:dyDescent="0.25">
      <c r="A214" s="73" t="s">
        <v>537</v>
      </c>
      <c r="B214" s="81" t="s">
        <v>538</v>
      </c>
      <c r="C214" s="73"/>
      <c r="D214" s="1">
        <v>102</v>
      </c>
    </row>
    <row r="215" spans="1:4" ht="15" customHeight="1" x14ac:dyDescent="0.25">
      <c r="A215" s="73" t="s">
        <v>539</v>
      </c>
      <c r="B215" s="81" t="s">
        <v>540</v>
      </c>
      <c r="C215" s="73" t="s">
        <v>185</v>
      </c>
      <c r="D215" s="1">
        <v>103</v>
      </c>
    </row>
    <row r="216" spans="1:4" ht="15" customHeight="1" x14ac:dyDescent="0.25">
      <c r="A216" s="73" t="s">
        <v>541</v>
      </c>
      <c r="B216" s="74" t="s">
        <v>542</v>
      </c>
      <c r="C216" s="73" t="s">
        <v>181</v>
      </c>
      <c r="D216" s="1">
        <v>105</v>
      </c>
    </row>
    <row r="217" spans="1:4" ht="15" customHeight="1" x14ac:dyDescent="0.25">
      <c r="A217" s="73" t="s">
        <v>88</v>
      </c>
      <c r="B217" s="81" t="s">
        <v>543</v>
      </c>
      <c r="C217" s="73" t="s">
        <v>185</v>
      </c>
      <c r="D217" s="1">
        <v>108</v>
      </c>
    </row>
    <row r="218" spans="1:4" ht="15" customHeight="1" x14ac:dyDescent="0.25">
      <c r="A218" s="73" t="s">
        <v>544</v>
      </c>
      <c r="B218" s="81" t="s">
        <v>545</v>
      </c>
      <c r="C218" s="73" t="s">
        <v>185</v>
      </c>
      <c r="D218" s="1">
        <v>114</v>
      </c>
    </row>
    <row r="219" spans="1:4" ht="15" customHeight="1" x14ac:dyDescent="0.25">
      <c r="A219" s="73" t="s">
        <v>546</v>
      </c>
      <c r="B219" s="81" t="s">
        <v>547</v>
      </c>
      <c r="C219" s="73"/>
      <c r="D219" s="1">
        <v>246</v>
      </c>
    </row>
    <row r="220" spans="1:4" ht="15" customHeight="1" x14ac:dyDescent="0.25">
      <c r="A220" s="73" t="s">
        <v>548</v>
      </c>
      <c r="B220" s="81" t="s">
        <v>549</v>
      </c>
      <c r="C220" s="73" t="s">
        <v>185</v>
      </c>
      <c r="D220" s="1">
        <v>230</v>
      </c>
    </row>
    <row r="221" spans="1:4" ht="15" customHeight="1" x14ac:dyDescent="0.25">
      <c r="A221" s="73" t="s">
        <v>89</v>
      </c>
      <c r="B221" s="81" t="s">
        <v>550</v>
      </c>
      <c r="C221" s="73" t="s">
        <v>185</v>
      </c>
      <c r="D221" s="1">
        <v>118</v>
      </c>
    </row>
    <row r="222" spans="1:4" ht="15" customHeight="1" x14ac:dyDescent="0.25">
      <c r="A222" s="73" t="s">
        <v>90</v>
      </c>
      <c r="B222" s="81" t="s">
        <v>551</v>
      </c>
      <c r="C222" s="73" t="s">
        <v>185</v>
      </c>
      <c r="D222" s="1">
        <v>325</v>
      </c>
    </row>
    <row r="223" spans="1:4" ht="15" customHeight="1" x14ac:dyDescent="0.25">
      <c r="A223" s="73" t="s">
        <v>552</v>
      </c>
      <c r="B223" s="81" t="s">
        <v>553</v>
      </c>
      <c r="C223" s="73" t="s">
        <v>185</v>
      </c>
      <c r="D223" s="1">
        <v>119</v>
      </c>
    </row>
    <row r="224" spans="1:4" ht="15" customHeight="1" x14ac:dyDescent="0.25">
      <c r="A224" s="73" t="s">
        <v>554</v>
      </c>
      <c r="B224" s="81" t="s">
        <v>555</v>
      </c>
      <c r="C224" s="73" t="s">
        <v>181</v>
      </c>
      <c r="D224" s="1">
        <v>130</v>
      </c>
    </row>
    <row r="225" spans="1:4" ht="15" customHeight="1" x14ac:dyDescent="0.25">
      <c r="A225" s="73" t="s">
        <v>556</v>
      </c>
      <c r="B225" s="81" t="s">
        <v>557</v>
      </c>
      <c r="C225" s="73" t="s">
        <v>185</v>
      </c>
      <c r="D225" s="1">
        <v>131</v>
      </c>
    </row>
    <row r="226" spans="1:4" ht="15" customHeight="1" x14ac:dyDescent="0.25">
      <c r="A226" s="73" t="s">
        <v>558</v>
      </c>
      <c r="B226" s="74" t="s">
        <v>559</v>
      </c>
      <c r="C226" s="73"/>
      <c r="D226" s="1">
        <v>132</v>
      </c>
    </row>
    <row r="227" spans="1:4" ht="15" customHeight="1" x14ac:dyDescent="0.25">
      <c r="A227" s="73" t="s">
        <v>560</v>
      </c>
      <c r="B227" s="74" t="s">
        <v>561</v>
      </c>
      <c r="C227" s="73"/>
      <c r="D227" s="1">
        <v>134</v>
      </c>
    </row>
    <row r="228" spans="1:4" ht="15" customHeight="1" x14ac:dyDescent="0.25">
      <c r="A228" s="73" t="s">
        <v>562</v>
      </c>
      <c r="B228" s="76" t="s">
        <v>563</v>
      </c>
      <c r="C228" s="73" t="s">
        <v>185</v>
      </c>
      <c r="D228" s="1">
        <v>140</v>
      </c>
    </row>
    <row r="229" spans="1:4" ht="15" customHeight="1" x14ac:dyDescent="0.25">
      <c r="A229" s="73" t="s">
        <v>57</v>
      </c>
      <c r="B229" s="76" t="s">
        <v>564</v>
      </c>
      <c r="C229" s="73" t="s">
        <v>185</v>
      </c>
      <c r="D229" s="1">
        <v>136</v>
      </c>
    </row>
    <row r="230" spans="1:4" ht="15" customHeight="1" x14ac:dyDescent="0.25">
      <c r="A230" s="73" t="s">
        <v>128</v>
      </c>
      <c r="B230" s="81" t="s">
        <v>565</v>
      </c>
      <c r="C230" s="73" t="s">
        <v>185</v>
      </c>
      <c r="D230" s="1">
        <v>414</v>
      </c>
    </row>
    <row r="231" spans="1:4" ht="15" customHeight="1" x14ac:dyDescent="0.25">
      <c r="A231" s="73" t="s">
        <v>566</v>
      </c>
      <c r="B231" s="74" t="s">
        <v>567</v>
      </c>
      <c r="C231" s="73" t="s">
        <v>181</v>
      </c>
      <c r="D231" s="1">
        <v>145</v>
      </c>
    </row>
    <row r="232" spans="1:4" ht="15" customHeight="1" x14ac:dyDescent="0.25">
      <c r="A232" s="73" t="s">
        <v>58</v>
      </c>
      <c r="B232" s="81" t="s">
        <v>568</v>
      </c>
      <c r="C232" s="73" t="s">
        <v>185</v>
      </c>
      <c r="D232" s="1">
        <v>146</v>
      </c>
    </row>
    <row r="233" spans="1:4" ht="15" customHeight="1" x14ac:dyDescent="0.25">
      <c r="A233" s="73">
        <v>148</v>
      </c>
      <c r="B233" s="81" t="s">
        <v>569</v>
      </c>
      <c r="C233" s="73" t="s">
        <v>185</v>
      </c>
      <c r="D233" s="1">
        <v>148</v>
      </c>
    </row>
    <row r="234" spans="1:4" ht="15" customHeight="1" x14ac:dyDescent="0.25">
      <c r="A234" s="73" t="s">
        <v>59</v>
      </c>
      <c r="B234" s="81" t="s">
        <v>570</v>
      </c>
      <c r="C234" s="73" t="s">
        <v>181</v>
      </c>
      <c r="D234" s="1">
        <v>149</v>
      </c>
    </row>
    <row r="235" spans="1:4" ht="15" customHeight="1" x14ac:dyDescent="0.25">
      <c r="A235" s="73">
        <v>150</v>
      </c>
      <c r="B235" s="81" t="s">
        <v>571</v>
      </c>
      <c r="C235" s="73"/>
      <c r="D235" s="1">
        <v>150</v>
      </c>
    </row>
    <row r="236" spans="1:4" ht="15" customHeight="1" x14ac:dyDescent="0.25">
      <c r="A236" s="73" t="s">
        <v>572</v>
      </c>
      <c r="B236" s="81" t="s">
        <v>573</v>
      </c>
      <c r="C236" s="73" t="s">
        <v>185</v>
      </c>
      <c r="D236" s="1">
        <v>152</v>
      </c>
    </row>
    <row r="237" spans="1:4" ht="15" customHeight="1" x14ac:dyDescent="0.25">
      <c r="A237" s="73" t="s">
        <v>91</v>
      </c>
      <c r="B237" s="81" t="s">
        <v>574</v>
      </c>
      <c r="C237" s="73"/>
      <c r="D237" s="1">
        <v>156</v>
      </c>
    </row>
    <row r="238" spans="1:4" ht="15" customHeight="1" x14ac:dyDescent="0.25">
      <c r="A238" s="73" t="s">
        <v>575</v>
      </c>
      <c r="B238" s="81" t="s">
        <v>576</v>
      </c>
      <c r="C238" s="73"/>
      <c r="D238" s="1">
        <v>158</v>
      </c>
    </row>
    <row r="239" spans="1:4" ht="15" customHeight="1" x14ac:dyDescent="0.25">
      <c r="A239" s="73" t="s">
        <v>577</v>
      </c>
      <c r="B239" s="81" t="s">
        <v>578</v>
      </c>
      <c r="C239" s="73" t="s">
        <v>181</v>
      </c>
      <c r="D239" s="1">
        <v>159</v>
      </c>
    </row>
    <row r="240" spans="1:4" ht="15" customHeight="1" x14ac:dyDescent="0.25">
      <c r="A240" s="73" t="s">
        <v>92</v>
      </c>
      <c r="B240" s="81" t="s">
        <v>579</v>
      </c>
      <c r="C240" s="73" t="s">
        <v>185</v>
      </c>
      <c r="D240" s="1">
        <v>161</v>
      </c>
    </row>
    <row r="241" spans="1:4" ht="15" customHeight="1" x14ac:dyDescent="0.25">
      <c r="A241" s="73" t="s">
        <v>580</v>
      </c>
      <c r="B241" s="81" t="s">
        <v>581</v>
      </c>
      <c r="C241" s="73"/>
      <c r="D241" s="1">
        <v>162</v>
      </c>
    </row>
    <row r="242" spans="1:4" ht="15" customHeight="1" x14ac:dyDescent="0.25">
      <c r="A242" s="73" t="s">
        <v>582</v>
      </c>
      <c r="B242" s="81" t="s">
        <v>583</v>
      </c>
      <c r="C242" s="73" t="s">
        <v>181</v>
      </c>
      <c r="D242" s="1">
        <v>163</v>
      </c>
    </row>
    <row r="243" spans="1:4" ht="15" customHeight="1" x14ac:dyDescent="0.25">
      <c r="A243" s="73" t="s">
        <v>584</v>
      </c>
      <c r="B243" s="81" t="s">
        <v>585</v>
      </c>
      <c r="C243" s="73" t="s">
        <v>181</v>
      </c>
      <c r="D243" s="1">
        <v>164</v>
      </c>
    </row>
    <row r="244" spans="1:4" ht="15" customHeight="1" x14ac:dyDescent="0.25">
      <c r="A244" s="73" t="s">
        <v>586</v>
      </c>
      <c r="B244" s="81" t="s">
        <v>587</v>
      </c>
      <c r="C244" s="73" t="s">
        <v>181</v>
      </c>
      <c r="D244" s="1">
        <v>415</v>
      </c>
    </row>
    <row r="245" spans="1:4" ht="15" customHeight="1" x14ac:dyDescent="0.25">
      <c r="A245" s="73" t="s">
        <v>588</v>
      </c>
      <c r="B245" s="74" t="s">
        <v>589</v>
      </c>
      <c r="C245" s="73" t="s">
        <v>181</v>
      </c>
      <c r="D245" s="1">
        <v>165</v>
      </c>
    </row>
    <row r="246" spans="1:4" ht="15" customHeight="1" x14ac:dyDescent="0.25">
      <c r="A246" s="73" t="s">
        <v>590</v>
      </c>
      <c r="B246" s="74" t="s">
        <v>591</v>
      </c>
      <c r="C246" s="73" t="s">
        <v>181</v>
      </c>
      <c r="D246" s="1">
        <v>166</v>
      </c>
    </row>
    <row r="247" spans="1:4" ht="15" customHeight="1" x14ac:dyDescent="0.25">
      <c r="A247" s="78" t="s">
        <v>592</v>
      </c>
      <c r="B247" s="74" t="s">
        <v>593</v>
      </c>
      <c r="C247" s="73"/>
      <c r="D247" s="1">
        <v>167</v>
      </c>
    </row>
    <row r="248" spans="1:4" ht="15" customHeight="1" x14ac:dyDescent="0.25">
      <c r="A248" s="78" t="s">
        <v>594</v>
      </c>
      <c r="B248" s="74" t="s">
        <v>595</v>
      </c>
      <c r="C248" s="73" t="s">
        <v>181</v>
      </c>
      <c r="D248" s="1">
        <v>168</v>
      </c>
    </row>
    <row r="249" spans="1:4" ht="15" customHeight="1" x14ac:dyDescent="0.25">
      <c r="A249" s="73" t="s">
        <v>596</v>
      </c>
      <c r="B249" s="74" t="s">
        <v>597</v>
      </c>
      <c r="C249" s="73" t="s">
        <v>181</v>
      </c>
      <c r="D249" s="1">
        <v>169</v>
      </c>
    </row>
    <row r="250" spans="1:4" ht="15" customHeight="1" x14ac:dyDescent="0.25">
      <c r="A250" s="77" t="s">
        <v>598</v>
      </c>
      <c r="B250" s="74" t="s">
        <v>599</v>
      </c>
      <c r="C250" s="73" t="s">
        <v>185</v>
      </c>
      <c r="D250" s="1">
        <v>172</v>
      </c>
    </row>
    <row r="251" spans="1:4" ht="15" customHeight="1" x14ac:dyDescent="0.25">
      <c r="A251" s="73" t="s">
        <v>600</v>
      </c>
      <c r="B251" s="74" t="s">
        <v>601</v>
      </c>
      <c r="C251" s="73"/>
      <c r="D251" s="1">
        <v>175</v>
      </c>
    </row>
    <row r="252" spans="1:4" ht="15" customHeight="1" x14ac:dyDescent="0.25">
      <c r="A252" s="73" t="s">
        <v>602</v>
      </c>
      <c r="B252" s="74" t="s">
        <v>603</v>
      </c>
      <c r="C252" s="73"/>
      <c r="D252" s="1">
        <v>186</v>
      </c>
    </row>
    <row r="253" spans="1:4" ht="15" customHeight="1" x14ac:dyDescent="0.25">
      <c r="A253" s="73" t="s">
        <v>604</v>
      </c>
      <c r="B253" s="81" t="s">
        <v>605</v>
      </c>
      <c r="C253" s="73" t="s">
        <v>185</v>
      </c>
      <c r="D253" s="1">
        <v>185</v>
      </c>
    </row>
    <row r="254" spans="1:4" ht="15" customHeight="1" x14ac:dyDescent="0.25">
      <c r="A254" s="73" t="s">
        <v>606</v>
      </c>
      <c r="B254" s="81" t="s">
        <v>607</v>
      </c>
      <c r="C254" s="73" t="s">
        <v>185</v>
      </c>
      <c r="D254" s="1">
        <v>416</v>
      </c>
    </row>
    <row r="255" spans="1:4" ht="15" customHeight="1" x14ac:dyDescent="0.25">
      <c r="A255" s="73" t="s">
        <v>608</v>
      </c>
      <c r="B255" s="81" t="s">
        <v>609</v>
      </c>
      <c r="C255" s="73" t="s">
        <v>185</v>
      </c>
      <c r="D255" s="1">
        <v>419</v>
      </c>
    </row>
    <row r="256" spans="1:4" ht="15" customHeight="1" x14ac:dyDescent="0.25">
      <c r="A256" s="73" t="s">
        <v>610</v>
      </c>
      <c r="B256" s="81" t="s">
        <v>611</v>
      </c>
      <c r="C256" s="73" t="s">
        <v>185</v>
      </c>
      <c r="D256" s="1">
        <v>417</v>
      </c>
    </row>
    <row r="257" spans="1:4" ht="15" customHeight="1" x14ac:dyDescent="0.25">
      <c r="A257" s="73" t="s">
        <v>612</v>
      </c>
      <c r="B257" s="75" t="s">
        <v>613</v>
      </c>
      <c r="C257" s="73"/>
      <c r="D257" s="1">
        <v>187</v>
      </c>
    </row>
    <row r="258" spans="1:4" ht="15" customHeight="1" x14ac:dyDescent="0.25">
      <c r="A258" s="73" t="s">
        <v>614</v>
      </c>
      <c r="B258" s="81" t="s">
        <v>615</v>
      </c>
      <c r="C258" s="73" t="s">
        <v>185</v>
      </c>
      <c r="D258" s="1">
        <v>420</v>
      </c>
    </row>
    <row r="259" spans="1:4" ht="15" customHeight="1" x14ac:dyDescent="0.25">
      <c r="A259" s="73" t="s">
        <v>616</v>
      </c>
      <c r="B259" s="81" t="s">
        <v>617</v>
      </c>
      <c r="C259" s="73" t="s">
        <v>185</v>
      </c>
      <c r="D259" s="1">
        <v>421</v>
      </c>
    </row>
    <row r="260" spans="1:4" ht="15" customHeight="1" x14ac:dyDescent="0.25">
      <c r="A260" s="73" t="s">
        <v>618</v>
      </c>
      <c r="B260" s="81" t="s">
        <v>619</v>
      </c>
      <c r="C260" s="73" t="s">
        <v>185</v>
      </c>
      <c r="D260" s="1">
        <v>422</v>
      </c>
    </row>
    <row r="261" spans="1:4" ht="15" customHeight="1" x14ac:dyDescent="0.25">
      <c r="A261" s="73" t="s">
        <v>620</v>
      </c>
      <c r="B261" s="81" t="s">
        <v>621</v>
      </c>
      <c r="C261" s="73" t="s">
        <v>185</v>
      </c>
      <c r="D261" s="1">
        <v>423</v>
      </c>
    </row>
    <row r="262" spans="1:4" ht="15" customHeight="1" x14ac:dyDescent="0.25">
      <c r="A262" s="73" t="s">
        <v>622</v>
      </c>
      <c r="B262" s="81" t="s">
        <v>623</v>
      </c>
      <c r="C262" s="73" t="s">
        <v>185</v>
      </c>
      <c r="D262" s="1">
        <v>188</v>
      </c>
    </row>
    <row r="263" spans="1:4" ht="15" customHeight="1" x14ac:dyDescent="0.25">
      <c r="A263" s="73" t="s">
        <v>624</v>
      </c>
      <c r="B263" s="74" t="s">
        <v>625</v>
      </c>
      <c r="C263" s="73" t="s">
        <v>181</v>
      </c>
      <c r="D263" s="1">
        <v>189</v>
      </c>
    </row>
    <row r="264" spans="1:4" ht="15" customHeight="1" x14ac:dyDescent="0.25">
      <c r="A264" s="73" t="s">
        <v>93</v>
      </c>
      <c r="B264" s="81" t="s">
        <v>626</v>
      </c>
      <c r="C264" s="73" t="s">
        <v>185</v>
      </c>
      <c r="D264" s="1">
        <v>520</v>
      </c>
    </row>
    <row r="265" spans="1:4" ht="15" customHeight="1" x14ac:dyDescent="0.25">
      <c r="A265" s="73" t="s">
        <v>627</v>
      </c>
      <c r="B265" s="81" t="s">
        <v>628</v>
      </c>
      <c r="C265" s="73"/>
      <c r="D265" s="1">
        <v>247</v>
      </c>
    </row>
    <row r="266" spans="1:4" ht="15" customHeight="1" x14ac:dyDescent="0.25">
      <c r="A266" s="73" t="s">
        <v>629</v>
      </c>
      <c r="B266" s="81" t="s">
        <v>630</v>
      </c>
      <c r="C266" s="73"/>
      <c r="D266" s="1">
        <v>248</v>
      </c>
    </row>
    <row r="267" spans="1:4" ht="15" customHeight="1" x14ac:dyDescent="0.25">
      <c r="A267" s="73" t="s">
        <v>94</v>
      </c>
      <c r="B267" s="81" t="s">
        <v>631</v>
      </c>
      <c r="C267" s="73" t="s">
        <v>185</v>
      </c>
      <c r="D267" s="1">
        <v>328</v>
      </c>
    </row>
    <row r="268" spans="1:4" ht="15" customHeight="1" x14ac:dyDescent="0.25">
      <c r="A268" s="73" t="s">
        <v>632</v>
      </c>
      <c r="B268" s="81" t="s">
        <v>633</v>
      </c>
      <c r="C268" s="73" t="s">
        <v>185</v>
      </c>
      <c r="D268" s="1">
        <v>194</v>
      </c>
    </row>
    <row r="269" spans="1:4" ht="15" customHeight="1" x14ac:dyDescent="0.25">
      <c r="A269" s="73" t="s">
        <v>634</v>
      </c>
      <c r="B269" s="81" t="s">
        <v>635</v>
      </c>
      <c r="C269" s="73" t="s">
        <v>185</v>
      </c>
      <c r="D269" s="1">
        <v>197</v>
      </c>
    </row>
    <row r="270" spans="1:4" ht="15" customHeight="1" x14ac:dyDescent="0.25">
      <c r="A270" s="73" t="s">
        <v>636</v>
      </c>
      <c r="B270" s="81" t="s">
        <v>637</v>
      </c>
      <c r="C270" s="73" t="s">
        <v>181</v>
      </c>
      <c r="D270" s="1">
        <v>198</v>
      </c>
    </row>
    <row r="271" spans="1:4" ht="15" customHeight="1" x14ac:dyDescent="0.25">
      <c r="A271" s="73" t="s">
        <v>638</v>
      </c>
      <c r="B271" s="76" t="s">
        <v>639</v>
      </c>
      <c r="C271" s="73"/>
      <c r="D271" s="1">
        <v>521</v>
      </c>
    </row>
    <row r="272" spans="1:4" ht="15" customHeight="1" x14ac:dyDescent="0.25">
      <c r="A272" s="73" t="s">
        <v>640</v>
      </c>
      <c r="B272" s="74" t="s">
        <v>641</v>
      </c>
      <c r="C272" s="73"/>
      <c r="D272" s="1">
        <v>199</v>
      </c>
    </row>
    <row r="273" spans="1:4" ht="15" customHeight="1" x14ac:dyDescent="0.25">
      <c r="A273" s="73">
        <v>200</v>
      </c>
      <c r="B273" s="74" t="s">
        <v>642</v>
      </c>
      <c r="C273" s="73" t="s">
        <v>181</v>
      </c>
      <c r="D273" s="1">
        <v>200</v>
      </c>
    </row>
    <row r="274" spans="1:4" ht="15" customHeight="1" x14ac:dyDescent="0.25">
      <c r="A274" s="73" t="s">
        <v>643</v>
      </c>
      <c r="B274" s="81" t="s">
        <v>644</v>
      </c>
      <c r="C274" s="73" t="s">
        <v>185</v>
      </c>
      <c r="D274" s="1">
        <v>201</v>
      </c>
    </row>
    <row r="275" spans="1:4" ht="15" customHeight="1" x14ac:dyDescent="0.25">
      <c r="A275" s="73" t="s">
        <v>645</v>
      </c>
      <c r="B275" s="81" t="s">
        <v>646</v>
      </c>
      <c r="C275" s="73" t="s">
        <v>185</v>
      </c>
      <c r="D275" s="1">
        <v>202</v>
      </c>
    </row>
    <row r="276" spans="1:4" ht="15" customHeight="1" x14ac:dyDescent="0.25">
      <c r="A276" s="73" t="s">
        <v>647</v>
      </c>
      <c r="B276" s="81" t="s">
        <v>648</v>
      </c>
      <c r="C276" s="73"/>
      <c r="D276" s="1">
        <v>258</v>
      </c>
    </row>
    <row r="277" spans="1:4" ht="15" customHeight="1" x14ac:dyDescent="0.25">
      <c r="A277" s="73" t="s">
        <v>649</v>
      </c>
      <c r="B277" s="81" t="s">
        <v>650</v>
      </c>
      <c r="C277" s="73" t="s">
        <v>185</v>
      </c>
      <c r="D277" s="1">
        <v>259</v>
      </c>
    </row>
    <row r="278" spans="1:4" ht="15" customHeight="1" x14ac:dyDescent="0.25">
      <c r="A278" s="73" t="s">
        <v>651</v>
      </c>
      <c r="B278" s="81" t="s">
        <v>652</v>
      </c>
      <c r="C278" s="73" t="s">
        <v>185</v>
      </c>
      <c r="D278" s="1">
        <v>260</v>
      </c>
    </row>
    <row r="279" spans="1:4" ht="15" customHeight="1" x14ac:dyDescent="0.25">
      <c r="A279" s="73" t="s">
        <v>653</v>
      </c>
      <c r="B279" s="81" t="s">
        <v>654</v>
      </c>
      <c r="C279" s="73" t="s">
        <v>185</v>
      </c>
      <c r="D279" s="1">
        <v>261</v>
      </c>
    </row>
    <row r="280" spans="1:4" ht="15" customHeight="1" x14ac:dyDescent="0.25">
      <c r="A280" s="73" t="s">
        <v>655</v>
      </c>
      <c r="B280" s="81" t="s">
        <v>656</v>
      </c>
      <c r="C280" s="73" t="s">
        <v>185</v>
      </c>
      <c r="D280" s="1">
        <v>262</v>
      </c>
    </row>
    <row r="281" spans="1:4" ht="15" customHeight="1" x14ac:dyDescent="0.25">
      <c r="A281" s="73" t="s">
        <v>657</v>
      </c>
      <c r="B281" s="74" t="s">
        <v>658</v>
      </c>
      <c r="C281" s="73" t="s">
        <v>181</v>
      </c>
      <c r="D281" s="1">
        <v>320</v>
      </c>
    </row>
    <row r="282" spans="1:4" ht="15" customHeight="1" x14ac:dyDescent="0.25">
      <c r="A282" s="73" t="s">
        <v>95</v>
      </c>
      <c r="B282" s="76" t="s">
        <v>659</v>
      </c>
      <c r="C282" s="73" t="s">
        <v>181</v>
      </c>
      <c r="D282" s="1">
        <v>523</v>
      </c>
    </row>
    <row r="283" spans="1:4" ht="15" customHeight="1" x14ac:dyDescent="0.25">
      <c r="A283" s="73" t="s">
        <v>660</v>
      </c>
      <c r="B283" s="74" t="s">
        <v>661</v>
      </c>
      <c r="C283" s="73"/>
      <c r="D283" s="1">
        <v>204</v>
      </c>
    </row>
    <row r="284" spans="1:4" ht="15" customHeight="1" x14ac:dyDescent="0.25">
      <c r="A284" s="73" t="s">
        <v>662</v>
      </c>
      <c r="B284" s="74" t="s">
        <v>663</v>
      </c>
      <c r="C284" s="73"/>
      <c r="D284" s="1">
        <v>205</v>
      </c>
    </row>
    <row r="285" spans="1:4" ht="15" customHeight="1" x14ac:dyDescent="0.25">
      <c r="A285" s="73" t="s">
        <v>664</v>
      </c>
      <c r="B285" s="81" t="s">
        <v>665</v>
      </c>
      <c r="C285" s="73" t="s">
        <v>185</v>
      </c>
      <c r="D285" s="1">
        <v>210</v>
      </c>
    </row>
    <row r="286" spans="1:4" ht="15" customHeight="1" x14ac:dyDescent="0.25">
      <c r="A286" s="73" t="s">
        <v>666</v>
      </c>
      <c r="B286" s="81" t="s">
        <v>667</v>
      </c>
      <c r="C286" s="73" t="s">
        <v>185</v>
      </c>
      <c r="D286" s="1">
        <v>211</v>
      </c>
    </row>
    <row r="287" spans="1:4" ht="15" customHeight="1" x14ac:dyDescent="0.25">
      <c r="A287" s="73" t="s">
        <v>668</v>
      </c>
      <c r="B287" s="81" t="s">
        <v>669</v>
      </c>
      <c r="C287" s="73" t="s">
        <v>185</v>
      </c>
      <c r="D287" s="1">
        <v>524</v>
      </c>
    </row>
    <row r="288" spans="1:4" ht="15" customHeight="1" x14ac:dyDescent="0.25">
      <c r="A288" s="73" t="s">
        <v>670</v>
      </c>
      <c r="B288" s="81" t="s">
        <v>671</v>
      </c>
      <c r="C288" s="73" t="s">
        <v>185</v>
      </c>
      <c r="D288" s="1">
        <v>213</v>
      </c>
    </row>
    <row r="289" spans="1:4" ht="15" customHeight="1" x14ac:dyDescent="0.25">
      <c r="A289" s="73" t="s">
        <v>672</v>
      </c>
      <c r="B289" s="81" t="s">
        <v>673</v>
      </c>
      <c r="C289" s="73" t="s">
        <v>181</v>
      </c>
      <c r="D289" s="1">
        <v>319</v>
      </c>
    </row>
    <row r="290" spans="1:4" ht="15" customHeight="1" x14ac:dyDescent="0.25">
      <c r="A290" s="73" t="s">
        <v>674</v>
      </c>
      <c r="B290" s="74" t="s">
        <v>675</v>
      </c>
      <c r="C290" s="73" t="s">
        <v>181</v>
      </c>
      <c r="D290" s="1">
        <v>214</v>
      </c>
    </row>
    <row r="291" spans="1:4" ht="15" customHeight="1" x14ac:dyDescent="0.25">
      <c r="A291" s="73" t="s">
        <v>676</v>
      </c>
      <c r="B291" s="81" t="s">
        <v>677</v>
      </c>
      <c r="C291" s="73" t="s">
        <v>181</v>
      </c>
      <c r="D291" s="1">
        <v>221</v>
      </c>
    </row>
    <row r="292" spans="1:4" ht="15" customHeight="1" x14ac:dyDescent="0.25">
      <c r="A292" s="73" t="s">
        <v>678</v>
      </c>
      <c r="B292" s="81" t="s">
        <v>679</v>
      </c>
      <c r="C292" s="73" t="s">
        <v>181</v>
      </c>
      <c r="D292" s="1">
        <v>263</v>
      </c>
    </row>
    <row r="293" spans="1:4" ht="15" customHeight="1" x14ac:dyDescent="0.25">
      <c r="A293" s="73" t="s">
        <v>680</v>
      </c>
      <c r="B293" s="81" t="s">
        <v>681</v>
      </c>
      <c r="C293" s="73" t="s">
        <v>181</v>
      </c>
      <c r="D293" s="1">
        <v>264</v>
      </c>
    </row>
    <row r="294" spans="1:4" ht="15" customHeight="1" x14ac:dyDescent="0.25">
      <c r="A294" s="73" t="s">
        <v>682</v>
      </c>
      <c r="B294" s="81" t="s">
        <v>683</v>
      </c>
      <c r="C294" s="73" t="s">
        <v>181</v>
      </c>
      <c r="D294" s="1">
        <v>49</v>
      </c>
    </row>
    <row r="295" spans="1:4" ht="15" customHeight="1" x14ac:dyDescent="0.25">
      <c r="A295" s="73" t="s">
        <v>684</v>
      </c>
      <c r="B295" s="81" t="s">
        <v>685</v>
      </c>
      <c r="C295" s="73" t="s">
        <v>181</v>
      </c>
      <c r="D295" s="1">
        <v>50</v>
      </c>
    </row>
    <row r="296" spans="1:4" ht="15" customHeight="1" x14ac:dyDescent="0.25">
      <c r="A296" s="73" t="s">
        <v>686</v>
      </c>
      <c r="B296" s="81" t="s">
        <v>687</v>
      </c>
      <c r="C296" s="73"/>
      <c r="D296" s="1">
        <v>51</v>
      </c>
    </row>
    <row r="297" spans="1:4" ht="15" customHeight="1" x14ac:dyDescent="0.25">
      <c r="A297" s="73" t="s">
        <v>688</v>
      </c>
      <c r="B297" s="74" t="s">
        <v>689</v>
      </c>
      <c r="C297" s="73" t="s">
        <v>181</v>
      </c>
      <c r="D297" s="1">
        <v>223</v>
      </c>
    </row>
    <row r="298" spans="1:4" ht="15" customHeight="1" x14ac:dyDescent="0.25">
      <c r="A298" s="73" t="s">
        <v>690</v>
      </c>
      <c r="B298" s="74" t="s">
        <v>691</v>
      </c>
      <c r="C298" s="73" t="s">
        <v>181</v>
      </c>
      <c r="D298" s="1">
        <v>224</v>
      </c>
    </row>
    <row r="299" spans="1:4" ht="15" customHeight="1" x14ac:dyDescent="0.25">
      <c r="A299" s="73" t="s">
        <v>692</v>
      </c>
      <c r="B299" s="81" t="s">
        <v>693</v>
      </c>
      <c r="C299" s="73" t="s">
        <v>185</v>
      </c>
      <c r="D299" s="1">
        <v>225</v>
      </c>
    </row>
    <row r="300" spans="1:4" ht="15" customHeight="1" x14ac:dyDescent="0.25">
      <c r="A300" s="73">
        <v>227</v>
      </c>
      <c r="B300" s="81" t="s">
        <v>694</v>
      </c>
      <c r="C300" s="73"/>
      <c r="D300" s="1">
        <v>227</v>
      </c>
    </row>
    <row r="301" spans="1:4" ht="15" customHeight="1" x14ac:dyDescent="0.25">
      <c r="A301" s="73" t="s">
        <v>695</v>
      </c>
      <c r="B301" s="81" t="s">
        <v>696</v>
      </c>
      <c r="C301" s="73" t="s">
        <v>181</v>
      </c>
      <c r="D301" s="1">
        <v>357</v>
      </c>
    </row>
    <row r="302" spans="1:4" ht="15" customHeight="1" x14ac:dyDescent="0.25">
      <c r="A302" s="73" t="s">
        <v>697</v>
      </c>
      <c r="B302" s="81" t="s">
        <v>698</v>
      </c>
      <c r="C302" s="73" t="s">
        <v>185</v>
      </c>
      <c r="D302" s="1">
        <v>228</v>
      </c>
    </row>
    <row r="303" spans="1:4" ht="15" customHeight="1" x14ac:dyDescent="0.25">
      <c r="A303" s="73" t="s">
        <v>60</v>
      </c>
      <c r="B303" s="81" t="s">
        <v>699</v>
      </c>
      <c r="C303" s="73" t="s">
        <v>185</v>
      </c>
      <c r="D303" s="1">
        <v>229</v>
      </c>
    </row>
    <row r="304" spans="1:4" ht="15" customHeight="1" x14ac:dyDescent="0.25">
      <c r="A304" s="73" t="s">
        <v>700</v>
      </c>
      <c r="B304" s="81" t="s">
        <v>701</v>
      </c>
      <c r="C304" s="73"/>
      <c r="D304" s="1">
        <v>231</v>
      </c>
    </row>
    <row r="305" spans="1:4" ht="15" customHeight="1" x14ac:dyDescent="0.25">
      <c r="A305" s="73" t="s">
        <v>702</v>
      </c>
      <c r="B305" s="81" t="s">
        <v>703</v>
      </c>
      <c r="C305" s="73" t="s">
        <v>185</v>
      </c>
      <c r="D305" s="1">
        <v>232</v>
      </c>
    </row>
    <row r="306" spans="1:4" ht="15" customHeight="1" x14ac:dyDescent="0.25">
      <c r="A306" s="73" t="s">
        <v>96</v>
      </c>
      <c r="B306" s="81" t="s">
        <v>704</v>
      </c>
      <c r="C306" s="73" t="s">
        <v>185</v>
      </c>
      <c r="D306" s="1">
        <v>233</v>
      </c>
    </row>
    <row r="307" spans="1:4" ht="15" customHeight="1" x14ac:dyDescent="0.25">
      <c r="A307" s="73" t="s">
        <v>705</v>
      </c>
      <c r="B307" s="81" t="s">
        <v>706</v>
      </c>
      <c r="C307" s="73" t="s">
        <v>185</v>
      </c>
      <c r="D307" s="1">
        <v>234</v>
      </c>
    </row>
    <row r="308" spans="1:4" ht="15" customHeight="1" x14ac:dyDescent="0.25">
      <c r="A308" s="73" t="s">
        <v>707</v>
      </c>
      <c r="B308" s="81" t="s">
        <v>708</v>
      </c>
      <c r="C308" s="73" t="s">
        <v>185</v>
      </c>
      <c r="D308" s="1">
        <v>265</v>
      </c>
    </row>
    <row r="309" spans="1:4" ht="15" customHeight="1" x14ac:dyDescent="0.25">
      <c r="A309" s="73" t="s">
        <v>709</v>
      </c>
      <c r="B309" s="81" t="s">
        <v>710</v>
      </c>
      <c r="C309" s="73" t="s">
        <v>185</v>
      </c>
      <c r="D309" s="1">
        <v>266</v>
      </c>
    </row>
    <row r="310" spans="1:4" ht="15" customHeight="1" x14ac:dyDescent="0.25">
      <c r="A310" s="73" t="s">
        <v>711</v>
      </c>
      <c r="B310" s="81" t="s">
        <v>712</v>
      </c>
      <c r="C310" s="73"/>
      <c r="D310" s="1">
        <v>267</v>
      </c>
    </row>
    <row r="311" spans="1:4" ht="15" customHeight="1" x14ac:dyDescent="0.25">
      <c r="A311" s="73" t="s">
        <v>713</v>
      </c>
      <c r="B311" s="81" t="s">
        <v>714</v>
      </c>
      <c r="C311" s="73" t="s">
        <v>185</v>
      </c>
      <c r="D311" s="1">
        <v>268</v>
      </c>
    </row>
    <row r="312" spans="1:4" ht="15" customHeight="1" x14ac:dyDescent="0.25">
      <c r="A312" s="73" t="s">
        <v>715</v>
      </c>
      <c r="B312" s="81" t="s">
        <v>716</v>
      </c>
      <c r="C312" s="73" t="s">
        <v>185</v>
      </c>
      <c r="D312" s="1">
        <v>269</v>
      </c>
    </row>
    <row r="313" spans="1:4" ht="15" customHeight="1" x14ac:dyDescent="0.25">
      <c r="A313" s="73" t="s">
        <v>717</v>
      </c>
      <c r="B313" s="81" t="s">
        <v>718</v>
      </c>
      <c r="C313" s="73" t="s">
        <v>185</v>
      </c>
      <c r="D313" s="1">
        <v>270</v>
      </c>
    </row>
    <row r="314" spans="1:4" ht="15" customHeight="1" x14ac:dyDescent="0.25">
      <c r="A314" s="73" t="s">
        <v>719</v>
      </c>
      <c r="B314" s="81" t="s">
        <v>720</v>
      </c>
      <c r="C314" s="73" t="s">
        <v>185</v>
      </c>
      <c r="D314" s="1">
        <v>271</v>
      </c>
    </row>
    <row r="315" spans="1:4" ht="15" customHeight="1" x14ac:dyDescent="0.25">
      <c r="A315" s="73" t="s">
        <v>721</v>
      </c>
      <c r="B315" s="81" t="s">
        <v>722</v>
      </c>
      <c r="C315" s="73" t="s">
        <v>185</v>
      </c>
      <c r="D315" s="1">
        <v>272</v>
      </c>
    </row>
    <row r="316" spans="1:4" ht="15" customHeight="1" x14ac:dyDescent="0.25">
      <c r="A316" s="73" t="s">
        <v>173</v>
      </c>
      <c r="B316" s="81" t="s">
        <v>723</v>
      </c>
      <c r="C316" s="73" t="s">
        <v>185</v>
      </c>
      <c r="D316" s="1">
        <v>236</v>
      </c>
    </row>
    <row r="317" spans="1:4" ht="15" customHeight="1" x14ac:dyDescent="0.25">
      <c r="A317" s="73" t="s">
        <v>724</v>
      </c>
      <c r="B317" s="81" t="s">
        <v>725</v>
      </c>
      <c r="C317" s="73" t="s">
        <v>185</v>
      </c>
      <c r="D317" s="1">
        <v>237</v>
      </c>
    </row>
    <row r="318" spans="1:4" ht="15" customHeight="1" x14ac:dyDescent="0.25">
      <c r="A318" s="73" t="s">
        <v>726</v>
      </c>
      <c r="B318" s="81" t="s">
        <v>727</v>
      </c>
      <c r="C318" s="73" t="s">
        <v>185</v>
      </c>
      <c r="D318" s="1">
        <v>235</v>
      </c>
    </row>
    <row r="319" spans="1:4" ht="15" customHeight="1" x14ac:dyDescent="0.25">
      <c r="A319" s="73" t="s">
        <v>728</v>
      </c>
      <c r="B319" s="74" t="s">
        <v>729</v>
      </c>
      <c r="C319" s="73">
        <v>0</v>
      </c>
      <c r="D319" s="1">
        <v>238</v>
      </c>
    </row>
    <row r="320" spans="1:4" ht="15" customHeight="1" x14ac:dyDescent="0.25">
      <c r="A320" s="73" t="s">
        <v>129</v>
      </c>
      <c r="B320" s="81" t="s">
        <v>730</v>
      </c>
      <c r="C320" s="73" t="s">
        <v>185</v>
      </c>
      <c r="D320" s="1">
        <v>424</v>
      </c>
    </row>
    <row r="321" spans="1:4" ht="15" customHeight="1" x14ac:dyDescent="0.25">
      <c r="A321" s="73" t="s">
        <v>130</v>
      </c>
      <c r="B321" s="81" t="s">
        <v>731</v>
      </c>
      <c r="C321" s="73" t="s">
        <v>185</v>
      </c>
      <c r="D321" s="1">
        <v>425</v>
      </c>
    </row>
    <row r="322" spans="1:4" ht="15" customHeight="1" x14ac:dyDescent="0.25">
      <c r="A322" s="73">
        <v>239</v>
      </c>
      <c r="B322" s="81" t="s">
        <v>732</v>
      </c>
      <c r="C322" s="73" t="s">
        <v>181</v>
      </c>
      <c r="D322" s="1">
        <v>239</v>
      </c>
    </row>
    <row r="323" spans="1:4" ht="15" customHeight="1" x14ac:dyDescent="0.25">
      <c r="A323" s="73" t="s">
        <v>733</v>
      </c>
      <c r="B323" s="74" t="s">
        <v>734</v>
      </c>
      <c r="C323" s="73" t="s">
        <v>181</v>
      </c>
      <c r="D323" s="1">
        <v>241</v>
      </c>
    </row>
    <row r="324" spans="1:4" ht="15" customHeight="1" x14ac:dyDescent="0.25">
      <c r="A324" s="73" t="s">
        <v>47</v>
      </c>
      <c r="B324" s="81" t="s">
        <v>735</v>
      </c>
      <c r="C324" s="73" t="s">
        <v>185</v>
      </c>
      <c r="D324" s="1">
        <v>250</v>
      </c>
    </row>
    <row r="325" spans="1:4" ht="15" customHeight="1" x14ac:dyDescent="0.25">
      <c r="A325" s="73" t="s">
        <v>736</v>
      </c>
      <c r="B325" s="81" t="s">
        <v>737</v>
      </c>
      <c r="C325" s="73" t="s">
        <v>181</v>
      </c>
      <c r="D325" s="1">
        <v>251</v>
      </c>
    </row>
    <row r="326" spans="1:4" ht="15" customHeight="1" x14ac:dyDescent="0.25">
      <c r="A326" s="73" t="s">
        <v>738</v>
      </c>
      <c r="B326" s="74" t="s">
        <v>739</v>
      </c>
      <c r="C326" s="73" t="s">
        <v>181</v>
      </c>
      <c r="D326" s="1">
        <v>252</v>
      </c>
    </row>
    <row r="327" spans="1:4" ht="15" customHeight="1" x14ac:dyDescent="0.25">
      <c r="A327" s="73" t="s">
        <v>740</v>
      </c>
      <c r="B327" s="74" t="s">
        <v>741</v>
      </c>
      <c r="C327" s="73" t="s">
        <v>181</v>
      </c>
      <c r="D327" s="1">
        <v>253</v>
      </c>
    </row>
    <row r="328" spans="1:4" ht="15" customHeight="1" x14ac:dyDescent="0.25">
      <c r="A328" s="73" t="s">
        <v>742</v>
      </c>
      <c r="B328" s="81" t="s">
        <v>743</v>
      </c>
      <c r="C328" s="73" t="s">
        <v>185</v>
      </c>
      <c r="D328" s="1">
        <v>285</v>
      </c>
    </row>
    <row r="329" spans="1:4" ht="15" customHeight="1" x14ac:dyDescent="0.25">
      <c r="A329" s="73">
        <v>352</v>
      </c>
      <c r="B329" s="81" t="s">
        <v>744</v>
      </c>
      <c r="C329" s="73" t="s">
        <v>185</v>
      </c>
      <c r="D329" s="1">
        <v>352</v>
      </c>
    </row>
    <row r="330" spans="1:4" ht="15" customHeight="1" x14ac:dyDescent="0.25">
      <c r="A330" s="73" t="s">
        <v>745</v>
      </c>
      <c r="B330" s="74" t="s">
        <v>746</v>
      </c>
      <c r="C330" s="73" t="s">
        <v>181</v>
      </c>
      <c r="D330" s="1">
        <v>255</v>
      </c>
    </row>
    <row r="331" spans="1:4" ht="15" customHeight="1" x14ac:dyDescent="0.25">
      <c r="A331" s="73" t="s">
        <v>747</v>
      </c>
      <c r="B331" s="74" t="s">
        <v>748</v>
      </c>
      <c r="C331" s="73"/>
      <c r="D331" s="1">
        <v>256</v>
      </c>
    </row>
    <row r="332" spans="1:4" ht="15" customHeight="1" x14ac:dyDescent="0.25">
      <c r="A332" s="73" t="s">
        <v>749</v>
      </c>
      <c r="B332" s="81" t="s">
        <v>750</v>
      </c>
      <c r="C332" s="73" t="s">
        <v>181</v>
      </c>
      <c r="D332" s="1">
        <v>254</v>
      </c>
    </row>
    <row r="333" spans="1:4" ht="15" customHeight="1" x14ac:dyDescent="0.25">
      <c r="A333" s="73" t="s">
        <v>751</v>
      </c>
      <c r="B333" s="74" t="s">
        <v>752</v>
      </c>
      <c r="C333" s="73"/>
      <c r="D333" s="1">
        <v>276</v>
      </c>
    </row>
    <row r="334" spans="1:4" ht="15" customHeight="1" x14ac:dyDescent="0.25">
      <c r="A334" s="73" t="s">
        <v>753</v>
      </c>
      <c r="B334" s="74" t="s">
        <v>754</v>
      </c>
      <c r="C334" s="73"/>
      <c r="D334" s="1">
        <v>277</v>
      </c>
    </row>
    <row r="335" spans="1:4" ht="15" customHeight="1" x14ac:dyDescent="0.25">
      <c r="A335" s="73" t="s">
        <v>755</v>
      </c>
      <c r="B335" s="81" t="s">
        <v>756</v>
      </c>
      <c r="C335" s="73" t="s">
        <v>185</v>
      </c>
      <c r="D335" s="1">
        <v>278</v>
      </c>
    </row>
    <row r="336" spans="1:4" ht="15" customHeight="1" x14ac:dyDescent="0.25">
      <c r="A336" s="73" t="s">
        <v>757</v>
      </c>
      <c r="B336" s="74" t="s">
        <v>758</v>
      </c>
      <c r="C336" s="73"/>
      <c r="D336" s="1">
        <v>279</v>
      </c>
    </row>
    <row r="337" spans="1:4" ht="15" customHeight="1" x14ac:dyDescent="0.25">
      <c r="A337" s="73" t="s">
        <v>759</v>
      </c>
      <c r="B337" s="81" t="s">
        <v>760</v>
      </c>
      <c r="C337" s="73" t="s">
        <v>185</v>
      </c>
      <c r="D337" s="1">
        <v>280</v>
      </c>
    </row>
    <row r="338" spans="1:4" ht="15" customHeight="1" x14ac:dyDescent="0.25">
      <c r="A338" s="73" t="s">
        <v>761</v>
      </c>
      <c r="B338" s="81" t="s">
        <v>762</v>
      </c>
      <c r="C338" s="73" t="s">
        <v>185</v>
      </c>
      <c r="D338" s="1">
        <v>281</v>
      </c>
    </row>
    <row r="339" spans="1:4" ht="15" customHeight="1" x14ac:dyDescent="0.25">
      <c r="A339" s="73" t="s">
        <v>763</v>
      </c>
      <c r="B339" s="81" t="s">
        <v>764</v>
      </c>
      <c r="C339" s="73"/>
      <c r="D339" s="1">
        <v>282</v>
      </c>
    </row>
    <row r="340" spans="1:4" ht="15" customHeight="1" x14ac:dyDescent="0.25">
      <c r="A340" s="73" t="s">
        <v>765</v>
      </c>
      <c r="B340" s="81" t="s">
        <v>766</v>
      </c>
      <c r="C340" s="73" t="s">
        <v>185</v>
      </c>
      <c r="D340" s="1">
        <v>286</v>
      </c>
    </row>
    <row r="341" spans="1:4" ht="15" customHeight="1" x14ac:dyDescent="0.25">
      <c r="A341" s="73" t="s">
        <v>767</v>
      </c>
      <c r="B341" s="81" t="s">
        <v>768</v>
      </c>
      <c r="C341" s="73" t="s">
        <v>185</v>
      </c>
      <c r="D341" s="1">
        <v>287</v>
      </c>
    </row>
    <row r="342" spans="1:4" ht="15" customHeight="1" x14ac:dyDescent="0.25">
      <c r="A342" s="73" t="s">
        <v>171</v>
      </c>
      <c r="B342" s="81" t="s">
        <v>769</v>
      </c>
      <c r="C342" s="73" t="s">
        <v>185</v>
      </c>
      <c r="D342" s="1">
        <v>297</v>
      </c>
    </row>
    <row r="343" spans="1:4" ht="15" customHeight="1" x14ac:dyDescent="0.25">
      <c r="A343" s="73" t="s">
        <v>770</v>
      </c>
      <c r="B343" s="81" t="s">
        <v>771</v>
      </c>
      <c r="C343" s="73" t="s">
        <v>185</v>
      </c>
      <c r="D343" s="1">
        <v>288</v>
      </c>
    </row>
    <row r="344" spans="1:4" ht="15" customHeight="1" x14ac:dyDescent="0.25">
      <c r="A344" s="73" t="s">
        <v>61</v>
      </c>
      <c r="B344" s="81" t="s">
        <v>772</v>
      </c>
      <c r="C344" s="73" t="s">
        <v>185</v>
      </c>
      <c r="D344" s="1">
        <v>289</v>
      </c>
    </row>
    <row r="345" spans="1:4" ht="15" customHeight="1" x14ac:dyDescent="0.25">
      <c r="A345" s="73" t="s">
        <v>773</v>
      </c>
      <c r="B345" s="81" t="s">
        <v>774</v>
      </c>
      <c r="C345" s="73" t="s">
        <v>185</v>
      </c>
      <c r="D345" s="1">
        <v>290</v>
      </c>
    </row>
    <row r="346" spans="1:4" ht="15" customHeight="1" x14ac:dyDescent="0.25">
      <c r="A346" s="73" t="s">
        <v>775</v>
      </c>
      <c r="B346" s="74" t="s">
        <v>776</v>
      </c>
      <c r="C346" s="73" t="s">
        <v>181</v>
      </c>
      <c r="D346" s="1">
        <v>291</v>
      </c>
    </row>
    <row r="347" spans="1:4" ht="15" customHeight="1" x14ac:dyDescent="0.25">
      <c r="A347" s="73" t="s">
        <v>97</v>
      </c>
      <c r="B347" s="81" t="s">
        <v>777</v>
      </c>
      <c r="C347" s="73" t="s">
        <v>185</v>
      </c>
      <c r="D347" s="1">
        <v>292</v>
      </c>
    </row>
    <row r="348" spans="1:4" ht="15" customHeight="1" x14ac:dyDescent="0.25">
      <c r="A348" s="73" t="s">
        <v>778</v>
      </c>
      <c r="B348" s="81" t="s">
        <v>779</v>
      </c>
      <c r="C348" s="73"/>
      <c r="D348" s="1">
        <v>69</v>
      </c>
    </row>
    <row r="349" spans="1:4" ht="15" customHeight="1" x14ac:dyDescent="0.25">
      <c r="A349" s="73" t="s">
        <v>98</v>
      </c>
      <c r="B349" s="81" t="s">
        <v>780</v>
      </c>
      <c r="C349" s="73" t="s">
        <v>185</v>
      </c>
      <c r="D349" s="1">
        <v>240</v>
      </c>
    </row>
    <row r="350" spans="1:4" ht="15" customHeight="1" x14ac:dyDescent="0.25">
      <c r="A350" s="78" t="s">
        <v>781</v>
      </c>
      <c r="B350" s="81" t="s">
        <v>782</v>
      </c>
      <c r="C350" s="73" t="s">
        <v>181</v>
      </c>
      <c r="D350" s="1">
        <v>293</v>
      </c>
    </row>
    <row r="351" spans="1:4" ht="15" customHeight="1" x14ac:dyDescent="0.25">
      <c r="A351" s="73" t="s">
        <v>783</v>
      </c>
      <c r="B351" s="81" t="s">
        <v>784</v>
      </c>
      <c r="C351" s="73" t="s">
        <v>185</v>
      </c>
      <c r="D351" s="1">
        <v>294</v>
      </c>
    </row>
    <row r="352" spans="1:4" ht="15" customHeight="1" x14ac:dyDescent="0.25">
      <c r="A352" s="73" t="s">
        <v>131</v>
      </c>
      <c r="B352" s="81" t="s">
        <v>785</v>
      </c>
      <c r="C352" s="73" t="s">
        <v>185</v>
      </c>
      <c r="D352" s="1">
        <v>426</v>
      </c>
    </row>
    <row r="353" spans="1:4" ht="15" customHeight="1" x14ac:dyDescent="0.25">
      <c r="A353" s="73" t="s">
        <v>786</v>
      </c>
      <c r="B353" s="81" t="s">
        <v>787</v>
      </c>
      <c r="C353" s="73" t="s">
        <v>185</v>
      </c>
      <c r="D353" s="1">
        <v>570</v>
      </c>
    </row>
    <row r="354" spans="1:4" ht="15" customHeight="1" x14ac:dyDescent="0.25">
      <c r="A354" s="73" t="s">
        <v>788</v>
      </c>
      <c r="B354" s="81" t="s">
        <v>789</v>
      </c>
      <c r="C354" s="73"/>
      <c r="D354" s="1">
        <v>295</v>
      </c>
    </row>
    <row r="355" spans="1:4" ht="15" customHeight="1" x14ac:dyDescent="0.25">
      <c r="A355" s="73" t="s">
        <v>790</v>
      </c>
      <c r="B355" s="81" t="s">
        <v>791</v>
      </c>
      <c r="C355" s="73" t="s">
        <v>185</v>
      </c>
      <c r="D355" s="1">
        <v>300</v>
      </c>
    </row>
    <row r="356" spans="1:4" ht="15" customHeight="1" x14ac:dyDescent="0.25">
      <c r="A356" s="73" t="s">
        <v>792</v>
      </c>
      <c r="B356" s="81" t="s">
        <v>793</v>
      </c>
      <c r="C356" s="73"/>
      <c r="D356" s="1">
        <v>301</v>
      </c>
    </row>
    <row r="357" spans="1:4" ht="15" customHeight="1" x14ac:dyDescent="0.25">
      <c r="A357" s="73" t="s">
        <v>99</v>
      </c>
      <c r="B357" s="81" t="s">
        <v>794</v>
      </c>
      <c r="C357" s="73"/>
      <c r="D357" s="1">
        <v>302</v>
      </c>
    </row>
    <row r="358" spans="1:4" ht="15" customHeight="1" x14ac:dyDescent="0.25">
      <c r="A358" s="73" t="s">
        <v>100</v>
      </c>
      <c r="B358" s="81" t="s">
        <v>795</v>
      </c>
      <c r="C358" s="73" t="s">
        <v>185</v>
      </c>
      <c r="D358" s="1">
        <v>157</v>
      </c>
    </row>
    <row r="359" spans="1:4" ht="15" customHeight="1" x14ac:dyDescent="0.25">
      <c r="A359" s="73" t="s">
        <v>796</v>
      </c>
      <c r="B359" s="74" t="s">
        <v>797</v>
      </c>
      <c r="C359" s="73"/>
      <c r="D359" s="1">
        <v>304</v>
      </c>
    </row>
    <row r="360" spans="1:4" ht="15" customHeight="1" x14ac:dyDescent="0.25">
      <c r="A360" s="73" t="s">
        <v>62</v>
      </c>
      <c r="B360" s="81" t="s">
        <v>798</v>
      </c>
      <c r="C360" s="73" t="s">
        <v>185</v>
      </c>
      <c r="D360" s="1">
        <v>305</v>
      </c>
    </row>
    <row r="361" spans="1:4" ht="15" customHeight="1" x14ac:dyDescent="0.25">
      <c r="A361" s="73" t="s">
        <v>799</v>
      </c>
      <c r="B361" s="74" t="s">
        <v>800</v>
      </c>
      <c r="C361" s="73" t="s">
        <v>181</v>
      </c>
      <c r="D361" s="1">
        <v>306</v>
      </c>
    </row>
    <row r="362" spans="1:4" ht="15" customHeight="1" x14ac:dyDescent="0.25">
      <c r="A362" s="73" t="s">
        <v>801</v>
      </c>
      <c r="B362" s="81" t="s">
        <v>802</v>
      </c>
      <c r="C362" s="73" t="s">
        <v>185</v>
      </c>
      <c r="D362" s="1">
        <v>311</v>
      </c>
    </row>
    <row r="363" spans="1:4" ht="15" customHeight="1" x14ac:dyDescent="0.25">
      <c r="A363" s="73" t="s">
        <v>63</v>
      </c>
      <c r="B363" s="81" t="s">
        <v>803</v>
      </c>
      <c r="C363" s="73" t="s">
        <v>185</v>
      </c>
      <c r="D363" s="1">
        <v>312</v>
      </c>
    </row>
    <row r="364" spans="1:4" ht="15" customHeight="1" x14ac:dyDescent="0.25">
      <c r="A364" s="73" t="s">
        <v>804</v>
      </c>
      <c r="B364" s="81" t="s">
        <v>805</v>
      </c>
      <c r="C364" s="73" t="s">
        <v>185</v>
      </c>
      <c r="D364" s="1">
        <v>153</v>
      </c>
    </row>
    <row r="365" spans="1:4" ht="15" customHeight="1" x14ac:dyDescent="0.25">
      <c r="A365" s="73" t="s">
        <v>806</v>
      </c>
      <c r="B365" s="74" t="s">
        <v>807</v>
      </c>
      <c r="C365" s="73"/>
      <c r="D365" s="1">
        <v>314</v>
      </c>
    </row>
    <row r="366" spans="1:4" ht="15" customHeight="1" x14ac:dyDescent="0.25">
      <c r="A366" s="78" t="s">
        <v>808</v>
      </c>
      <c r="B366" s="74" t="s">
        <v>809</v>
      </c>
      <c r="C366" s="73"/>
      <c r="D366" s="1">
        <v>315</v>
      </c>
    </row>
    <row r="367" spans="1:4" ht="15" customHeight="1" x14ac:dyDescent="0.25">
      <c r="A367" s="73" t="s">
        <v>64</v>
      </c>
      <c r="B367" s="81" t="s">
        <v>810</v>
      </c>
      <c r="C367" s="73" t="s">
        <v>185</v>
      </c>
      <c r="D367" s="1">
        <v>316</v>
      </c>
    </row>
    <row r="368" spans="1:4" ht="15" customHeight="1" x14ac:dyDescent="0.25">
      <c r="A368" s="73" t="s">
        <v>101</v>
      </c>
      <c r="B368" s="81" t="s">
        <v>811</v>
      </c>
      <c r="C368" s="73" t="s">
        <v>185</v>
      </c>
      <c r="D368" s="1">
        <v>321</v>
      </c>
    </row>
    <row r="369" spans="1:4" ht="15" customHeight="1" x14ac:dyDescent="0.25">
      <c r="A369" s="73" t="s">
        <v>812</v>
      </c>
      <c r="B369" s="81" t="s">
        <v>813</v>
      </c>
      <c r="C369" s="73" t="s">
        <v>185</v>
      </c>
      <c r="D369" s="1">
        <v>322</v>
      </c>
    </row>
    <row r="370" spans="1:4" ht="15" customHeight="1" x14ac:dyDescent="0.25">
      <c r="A370" s="73" t="s">
        <v>814</v>
      </c>
      <c r="B370" s="81" t="s">
        <v>815</v>
      </c>
      <c r="C370" s="73" t="s">
        <v>185</v>
      </c>
      <c r="D370" s="1">
        <v>334</v>
      </c>
    </row>
    <row r="371" spans="1:4" ht="15" customHeight="1" x14ac:dyDescent="0.25">
      <c r="A371" s="73" t="s">
        <v>816</v>
      </c>
      <c r="B371" s="81" t="s">
        <v>817</v>
      </c>
      <c r="C371" s="73" t="s">
        <v>185</v>
      </c>
      <c r="D371" s="1">
        <v>336</v>
      </c>
    </row>
    <row r="372" spans="1:4" ht="15" customHeight="1" x14ac:dyDescent="0.25">
      <c r="A372" s="73" t="s">
        <v>102</v>
      </c>
      <c r="B372" s="81" t="s">
        <v>818</v>
      </c>
      <c r="C372" s="73" t="s">
        <v>185</v>
      </c>
      <c r="D372" s="1">
        <v>337</v>
      </c>
    </row>
    <row r="373" spans="1:4" ht="15" customHeight="1" x14ac:dyDescent="0.25">
      <c r="A373" s="73" t="s">
        <v>819</v>
      </c>
      <c r="B373" s="81" t="s">
        <v>820</v>
      </c>
      <c r="C373" s="73" t="s">
        <v>185</v>
      </c>
      <c r="D373" s="1">
        <v>299</v>
      </c>
    </row>
    <row r="374" spans="1:4" ht="15" customHeight="1" x14ac:dyDescent="0.25">
      <c r="A374" s="73" t="s">
        <v>821</v>
      </c>
      <c r="B374" s="81" t="s">
        <v>822</v>
      </c>
      <c r="C374" s="73" t="s">
        <v>185</v>
      </c>
      <c r="D374" s="1">
        <v>339</v>
      </c>
    </row>
    <row r="375" spans="1:4" ht="15" customHeight="1" x14ac:dyDescent="0.25">
      <c r="A375" s="73" t="s">
        <v>823</v>
      </c>
      <c r="B375" s="74" t="s">
        <v>824</v>
      </c>
      <c r="C375" s="73" t="s">
        <v>181</v>
      </c>
      <c r="D375" s="1">
        <v>340</v>
      </c>
    </row>
    <row r="376" spans="1:4" ht="15" customHeight="1" x14ac:dyDescent="0.25">
      <c r="A376" s="73" t="s">
        <v>825</v>
      </c>
      <c r="B376" s="81" t="s">
        <v>826</v>
      </c>
      <c r="C376" s="73" t="s">
        <v>185</v>
      </c>
      <c r="D376" s="1">
        <v>346</v>
      </c>
    </row>
    <row r="377" spans="1:4" ht="15" customHeight="1" x14ac:dyDescent="0.25">
      <c r="A377" s="73" t="s">
        <v>827</v>
      </c>
      <c r="B377" s="81" t="s">
        <v>828</v>
      </c>
      <c r="C377" s="73" t="s">
        <v>185</v>
      </c>
      <c r="D377" s="1">
        <v>298</v>
      </c>
    </row>
    <row r="378" spans="1:4" ht="15" customHeight="1" x14ac:dyDescent="0.25">
      <c r="A378" s="73" t="s">
        <v>829</v>
      </c>
      <c r="B378" s="81" t="s">
        <v>830</v>
      </c>
      <c r="C378" s="73" t="s">
        <v>181</v>
      </c>
      <c r="D378" s="1">
        <v>638</v>
      </c>
    </row>
    <row r="379" spans="1:4" ht="15" customHeight="1" x14ac:dyDescent="0.25">
      <c r="A379" s="73" t="s">
        <v>831</v>
      </c>
      <c r="B379" s="74" t="s">
        <v>832</v>
      </c>
      <c r="C379" s="73" t="s">
        <v>181</v>
      </c>
      <c r="D379" s="1">
        <v>347</v>
      </c>
    </row>
    <row r="380" spans="1:4" ht="15" customHeight="1" x14ac:dyDescent="0.25">
      <c r="A380" s="73" t="s">
        <v>833</v>
      </c>
      <c r="B380" s="81" t="s">
        <v>834</v>
      </c>
      <c r="C380" s="73" t="s">
        <v>181</v>
      </c>
      <c r="D380" s="1">
        <v>348</v>
      </c>
    </row>
    <row r="381" spans="1:4" ht="15" customHeight="1" x14ac:dyDescent="0.25">
      <c r="A381" s="73">
        <v>349</v>
      </c>
      <c r="B381" s="81" t="s">
        <v>835</v>
      </c>
      <c r="C381" s="73" t="s">
        <v>185</v>
      </c>
      <c r="D381" s="1">
        <v>349</v>
      </c>
    </row>
    <row r="382" spans="1:4" ht="15" customHeight="1" x14ac:dyDescent="0.25">
      <c r="A382" s="73">
        <v>350</v>
      </c>
      <c r="B382" s="81" t="s">
        <v>836</v>
      </c>
      <c r="C382" s="73" t="s">
        <v>181</v>
      </c>
      <c r="D382" s="1">
        <v>350</v>
      </c>
    </row>
    <row r="383" spans="1:4" ht="15" customHeight="1" x14ac:dyDescent="0.25">
      <c r="A383" s="73" t="s">
        <v>837</v>
      </c>
      <c r="B383" s="74" t="s">
        <v>838</v>
      </c>
      <c r="C383" s="73"/>
      <c r="D383" s="1">
        <v>359</v>
      </c>
    </row>
    <row r="384" spans="1:4" ht="15" customHeight="1" x14ac:dyDescent="0.25">
      <c r="A384" s="73" t="s">
        <v>839</v>
      </c>
      <c r="B384" s="74" t="s">
        <v>840</v>
      </c>
      <c r="C384" s="73"/>
      <c r="D384" s="1">
        <v>360</v>
      </c>
    </row>
    <row r="385" spans="1:4" ht="15" customHeight="1" x14ac:dyDescent="0.25">
      <c r="A385" s="73" t="s">
        <v>65</v>
      </c>
      <c r="B385" s="81" t="s">
        <v>841</v>
      </c>
      <c r="C385" s="73" t="s">
        <v>181</v>
      </c>
      <c r="D385" s="1">
        <v>361</v>
      </c>
    </row>
    <row r="386" spans="1:4" ht="15" customHeight="1" x14ac:dyDescent="0.25">
      <c r="A386" s="73" t="s">
        <v>842</v>
      </c>
      <c r="B386" s="74" t="s">
        <v>843</v>
      </c>
      <c r="C386" s="73"/>
      <c r="D386" s="1">
        <v>362</v>
      </c>
    </row>
    <row r="387" spans="1:4" ht="15" customHeight="1" x14ac:dyDescent="0.25">
      <c r="A387" s="73" t="s">
        <v>844</v>
      </c>
      <c r="B387" s="81" t="s">
        <v>845</v>
      </c>
      <c r="C387" s="73" t="s">
        <v>185</v>
      </c>
      <c r="D387" s="1">
        <v>629</v>
      </c>
    </row>
    <row r="388" spans="1:4" ht="15" customHeight="1" x14ac:dyDescent="0.25">
      <c r="A388" s="73" t="s">
        <v>846</v>
      </c>
      <c r="B388" s="76" t="s">
        <v>847</v>
      </c>
      <c r="C388" s="73"/>
      <c r="D388" s="1">
        <v>203</v>
      </c>
    </row>
    <row r="389" spans="1:4" ht="15" customHeight="1" x14ac:dyDescent="0.25">
      <c r="A389" s="73" t="s">
        <v>848</v>
      </c>
      <c r="B389" s="81" t="s">
        <v>849</v>
      </c>
      <c r="C389" s="73" t="s">
        <v>185</v>
      </c>
      <c r="D389" s="1">
        <v>208</v>
      </c>
    </row>
    <row r="390" spans="1:4" ht="15" customHeight="1" x14ac:dyDescent="0.25">
      <c r="A390" s="73" t="s">
        <v>850</v>
      </c>
      <c r="B390" s="74" t="s">
        <v>851</v>
      </c>
      <c r="C390" s="73"/>
      <c r="D390" s="1">
        <v>386</v>
      </c>
    </row>
    <row r="391" spans="1:4" ht="15" customHeight="1" x14ac:dyDescent="0.25">
      <c r="A391" s="73" t="s">
        <v>49</v>
      </c>
      <c r="B391" s="81" t="s">
        <v>852</v>
      </c>
      <c r="C391" s="73" t="s">
        <v>185</v>
      </c>
      <c r="D391" s="1">
        <v>428</v>
      </c>
    </row>
    <row r="392" spans="1:4" ht="15" customHeight="1" x14ac:dyDescent="0.25">
      <c r="A392" s="73" t="s">
        <v>853</v>
      </c>
      <c r="B392" s="81" t="s">
        <v>854</v>
      </c>
      <c r="C392" s="73"/>
      <c r="D392" s="1">
        <v>78</v>
      </c>
    </row>
    <row r="393" spans="1:4" ht="15" customHeight="1" x14ac:dyDescent="0.25">
      <c r="A393" s="73" t="s">
        <v>855</v>
      </c>
      <c r="B393" s="81" t="s">
        <v>856</v>
      </c>
      <c r="C393" s="73"/>
      <c r="D393" s="1">
        <v>369</v>
      </c>
    </row>
    <row r="394" spans="1:4" ht="15" customHeight="1" x14ac:dyDescent="0.25">
      <c r="A394" s="73" t="s">
        <v>66</v>
      </c>
      <c r="B394" s="81" t="s">
        <v>857</v>
      </c>
      <c r="C394" s="73" t="s">
        <v>185</v>
      </c>
      <c r="D394" s="1">
        <v>364</v>
      </c>
    </row>
    <row r="395" spans="1:4" ht="15" customHeight="1" x14ac:dyDescent="0.25">
      <c r="A395" s="73" t="s">
        <v>858</v>
      </c>
      <c r="B395" s="81" t="s">
        <v>859</v>
      </c>
      <c r="C395" s="73" t="s">
        <v>185</v>
      </c>
      <c r="D395" s="1">
        <v>370</v>
      </c>
    </row>
    <row r="396" spans="1:4" ht="15" customHeight="1" x14ac:dyDescent="0.25">
      <c r="A396" s="73" t="s">
        <v>860</v>
      </c>
      <c r="B396" s="81" t="s">
        <v>861</v>
      </c>
      <c r="C396" s="73" t="s">
        <v>185</v>
      </c>
      <c r="D396" s="1">
        <v>640</v>
      </c>
    </row>
    <row r="397" spans="1:4" ht="15" customHeight="1" x14ac:dyDescent="0.25">
      <c r="A397" s="73" t="s">
        <v>862</v>
      </c>
      <c r="B397" s="81" t="s">
        <v>863</v>
      </c>
      <c r="C397" s="73" t="s">
        <v>185</v>
      </c>
      <c r="D397" s="1">
        <v>371</v>
      </c>
    </row>
    <row r="398" spans="1:4" ht="15" customHeight="1" x14ac:dyDescent="0.25">
      <c r="A398" s="73" t="s">
        <v>864</v>
      </c>
      <c r="B398" s="81" t="s">
        <v>865</v>
      </c>
      <c r="C398" s="73" t="s">
        <v>185</v>
      </c>
      <c r="D398" s="1">
        <v>641</v>
      </c>
    </row>
    <row r="399" spans="1:4" ht="15" customHeight="1" x14ac:dyDescent="0.25">
      <c r="A399" s="73">
        <v>365</v>
      </c>
      <c r="B399" s="81" t="s">
        <v>866</v>
      </c>
      <c r="C399" s="73" t="s">
        <v>185</v>
      </c>
      <c r="D399" s="1">
        <v>365</v>
      </c>
    </row>
    <row r="400" spans="1:4" ht="15" customHeight="1" x14ac:dyDescent="0.25">
      <c r="A400" s="73">
        <v>368</v>
      </c>
      <c r="B400" s="81" t="s">
        <v>867</v>
      </c>
      <c r="C400" s="73" t="s">
        <v>185</v>
      </c>
      <c r="D400" s="1">
        <v>368</v>
      </c>
    </row>
    <row r="401" spans="1:4" ht="15" customHeight="1" x14ac:dyDescent="0.25">
      <c r="A401" s="73" t="s">
        <v>868</v>
      </c>
      <c r="B401" s="81" t="s">
        <v>869</v>
      </c>
      <c r="C401" s="73" t="s">
        <v>185</v>
      </c>
      <c r="D401" s="1">
        <v>372</v>
      </c>
    </row>
    <row r="402" spans="1:4" ht="15" customHeight="1" x14ac:dyDescent="0.25">
      <c r="A402" s="73" t="s">
        <v>870</v>
      </c>
      <c r="B402" s="81" t="s">
        <v>871</v>
      </c>
      <c r="C402" s="73" t="s">
        <v>185</v>
      </c>
      <c r="D402" s="1">
        <v>644</v>
      </c>
    </row>
    <row r="403" spans="1:4" ht="15" customHeight="1" x14ac:dyDescent="0.25">
      <c r="A403" s="73" t="s">
        <v>872</v>
      </c>
      <c r="B403" s="81" t="s">
        <v>873</v>
      </c>
      <c r="C403" s="73" t="s">
        <v>185</v>
      </c>
      <c r="D403" s="1">
        <v>366</v>
      </c>
    </row>
    <row r="404" spans="1:4" ht="15" customHeight="1" x14ac:dyDescent="0.25">
      <c r="A404" s="73" t="s">
        <v>874</v>
      </c>
      <c r="B404" s="81" t="s">
        <v>875</v>
      </c>
      <c r="C404" s="73" t="s">
        <v>185</v>
      </c>
      <c r="D404" s="1">
        <v>367</v>
      </c>
    </row>
    <row r="405" spans="1:4" ht="15" customHeight="1" x14ac:dyDescent="0.25">
      <c r="A405" s="73" t="s">
        <v>876</v>
      </c>
      <c r="B405" s="81" t="s">
        <v>877</v>
      </c>
      <c r="C405" s="73" t="s">
        <v>185</v>
      </c>
      <c r="D405" s="1">
        <v>642</v>
      </c>
    </row>
    <row r="406" spans="1:4" ht="15" customHeight="1" x14ac:dyDescent="0.25">
      <c r="A406" s="73" t="s">
        <v>878</v>
      </c>
      <c r="B406" s="81" t="s">
        <v>879</v>
      </c>
      <c r="C406" s="73" t="s">
        <v>185</v>
      </c>
      <c r="D406" s="1">
        <v>643</v>
      </c>
    </row>
    <row r="407" spans="1:4" ht="15" customHeight="1" x14ac:dyDescent="0.25">
      <c r="A407" s="73" t="s">
        <v>880</v>
      </c>
      <c r="B407" s="81" t="s">
        <v>881</v>
      </c>
      <c r="C407" s="73" t="s">
        <v>185</v>
      </c>
      <c r="D407" s="1">
        <v>639</v>
      </c>
    </row>
    <row r="408" spans="1:4" ht="15" customHeight="1" x14ac:dyDescent="0.25">
      <c r="A408" s="73" t="s">
        <v>882</v>
      </c>
      <c r="B408" s="81" t="s">
        <v>883</v>
      </c>
      <c r="C408" s="73" t="s">
        <v>185</v>
      </c>
      <c r="D408" s="1">
        <v>373</v>
      </c>
    </row>
    <row r="409" spans="1:4" ht="15" customHeight="1" x14ac:dyDescent="0.25">
      <c r="A409" s="73" t="s">
        <v>884</v>
      </c>
      <c r="B409" s="74" t="s">
        <v>885</v>
      </c>
      <c r="C409" s="73" t="s">
        <v>181</v>
      </c>
      <c r="D409" s="1">
        <v>376</v>
      </c>
    </row>
    <row r="410" spans="1:4" ht="15" customHeight="1" x14ac:dyDescent="0.25">
      <c r="A410" s="73" t="s">
        <v>886</v>
      </c>
      <c r="B410" s="81" t="s">
        <v>887</v>
      </c>
      <c r="C410" s="73" t="s">
        <v>181</v>
      </c>
      <c r="D410" s="1">
        <v>377</v>
      </c>
    </row>
    <row r="411" spans="1:4" ht="15" customHeight="1" x14ac:dyDescent="0.25">
      <c r="A411" s="73" t="s">
        <v>888</v>
      </c>
      <c r="B411" s="81" t="s">
        <v>889</v>
      </c>
      <c r="C411" s="73" t="s">
        <v>181</v>
      </c>
      <c r="D411" s="1">
        <v>378</v>
      </c>
    </row>
    <row r="412" spans="1:4" ht="15" customHeight="1" x14ac:dyDescent="0.25">
      <c r="A412" s="73" t="s">
        <v>890</v>
      </c>
      <c r="B412" s="74" t="s">
        <v>891</v>
      </c>
      <c r="C412" s="73" t="s">
        <v>181</v>
      </c>
      <c r="D412" s="1">
        <v>379</v>
      </c>
    </row>
    <row r="413" spans="1:4" ht="15" customHeight="1" x14ac:dyDescent="0.25">
      <c r="A413" s="73" t="s">
        <v>892</v>
      </c>
      <c r="B413" s="81" t="s">
        <v>893</v>
      </c>
      <c r="C413" s="73" t="s">
        <v>185</v>
      </c>
      <c r="D413" s="1">
        <v>381</v>
      </c>
    </row>
    <row r="414" spans="1:4" ht="15" customHeight="1" x14ac:dyDescent="0.25">
      <c r="A414" s="73" t="s">
        <v>894</v>
      </c>
      <c r="B414" s="74" t="s">
        <v>895</v>
      </c>
      <c r="C414" s="73" t="s">
        <v>181</v>
      </c>
      <c r="D414" s="1">
        <v>383</v>
      </c>
    </row>
    <row r="415" spans="1:4" ht="15" customHeight="1" x14ac:dyDescent="0.25">
      <c r="A415" s="73" t="s">
        <v>896</v>
      </c>
      <c r="B415" s="74" t="s">
        <v>897</v>
      </c>
      <c r="C415" s="73"/>
      <c r="D415" s="1">
        <v>384</v>
      </c>
    </row>
    <row r="416" spans="1:4" ht="15" customHeight="1" x14ac:dyDescent="0.25">
      <c r="A416" s="73" t="s">
        <v>898</v>
      </c>
      <c r="B416" s="81" t="s">
        <v>899</v>
      </c>
      <c r="C416" s="73" t="s">
        <v>181</v>
      </c>
      <c r="D416" s="1">
        <v>387</v>
      </c>
    </row>
    <row r="417" spans="1:4" ht="15" customHeight="1" x14ac:dyDescent="0.25">
      <c r="A417" s="73" t="s">
        <v>900</v>
      </c>
      <c r="B417" s="74" t="s">
        <v>901</v>
      </c>
      <c r="C417" s="73" t="s">
        <v>181</v>
      </c>
      <c r="D417" s="1">
        <v>342</v>
      </c>
    </row>
    <row r="418" spans="1:4" ht="15" customHeight="1" x14ac:dyDescent="0.25">
      <c r="A418" s="73" t="s">
        <v>902</v>
      </c>
      <c r="B418" s="81" t="s">
        <v>903</v>
      </c>
      <c r="C418" s="73" t="s">
        <v>181</v>
      </c>
      <c r="D418" s="1">
        <v>178</v>
      </c>
    </row>
    <row r="419" spans="1:4" ht="15" customHeight="1" x14ac:dyDescent="0.25">
      <c r="A419" s="73" t="s">
        <v>904</v>
      </c>
      <c r="B419" s="81" t="s">
        <v>905</v>
      </c>
      <c r="C419" s="73" t="s">
        <v>181</v>
      </c>
      <c r="D419" s="1">
        <v>179</v>
      </c>
    </row>
    <row r="420" spans="1:4" ht="15" customHeight="1" x14ac:dyDescent="0.25">
      <c r="A420" s="73" t="s">
        <v>906</v>
      </c>
      <c r="B420" s="81" t="s">
        <v>907</v>
      </c>
      <c r="C420" s="73" t="s">
        <v>185</v>
      </c>
      <c r="D420" s="1">
        <v>180</v>
      </c>
    </row>
    <row r="421" spans="1:4" ht="15" customHeight="1" x14ac:dyDescent="0.25">
      <c r="A421" s="73" t="s">
        <v>908</v>
      </c>
      <c r="B421" s="81" t="s">
        <v>909</v>
      </c>
      <c r="C421" s="73" t="s">
        <v>181</v>
      </c>
      <c r="D421" s="1">
        <v>177</v>
      </c>
    </row>
    <row r="422" spans="1:4" ht="15" customHeight="1" x14ac:dyDescent="0.25">
      <c r="A422" s="73" t="s">
        <v>910</v>
      </c>
      <c r="B422" s="81" t="s">
        <v>911</v>
      </c>
      <c r="C422" s="73"/>
      <c r="D422" s="1">
        <v>390</v>
      </c>
    </row>
    <row r="423" spans="1:4" ht="15" customHeight="1" x14ac:dyDescent="0.25">
      <c r="A423" s="73" t="s">
        <v>912</v>
      </c>
      <c r="B423" s="81" t="s">
        <v>913</v>
      </c>
      <c r="C423" s="73"/>
      <c r="D423" s="1">
        <v>181</v>
      </c>
    </row>
    <row r="424" spans="1:4" ht="15" customHeight="1" x14ac:dyDescent="0.25">
      <c r="A424" s="73" t="s">
        <v>914</v>
      </c>
      <c r="B424" s="81" t="s">
        <v>915</v>
      </c>
      <c r="C424" s="73" t="s">
        <v>181</v>
      </c>
      <c r="D424" s="1">
        <v>182</v>
      </c>
    </row>
    <row r="425" spans="1:4" ht="15" customHeight="1" x14ac:dyDescent="0.25">
      <c r="A425" s="73" t="s">
        <v>916</v>
      </c>
      <c r="B425" s="81" t="s">
        <v>917</v>
      </c>
      <c r="C425" s="73" t="s">
        <v>185</v>
      </c>
      <c r="D425" s="1">
        <v>395</v>
      </c>
    </row>
    <row r="426" spans="1:4" ht="15" customHeight="1" x14ac:dyDescent="0.25">
      <c r="A426" s="73" t="s">
        <v>918</v>
      </c>
      <c r="B426" s="74" t="s">
        <v>919</v>
      </c>
      <c r="C426" s="73" t="s">
        <v>181</v>
      </c>
      <c r="D426" s="1">
        <v>392</v>
      </c>
    </row>
    <row r="427" spans="1:4" ht="15" customHeight="1" x14ac:dyDescent="0.25">
      <c r="A427" s="73" t="s">
        <v>920</v>
      </c>
      <c r="B427" s="81" t="s">
        <v>921</v>
      </c>
      <c r="C427" s="73" t="s">
        <v>185</v>
      </c>
      <c r="D427" s="1">
        <v>394</v>
      </c>
    </row>
    <row r="428" spans="1:4" ht="15" customHeight="1" x14ac:dyDescent="0.25">
      <c r="A428" s="73" t="s">
        <v>922</v>
      </c>
      <c r="B428" s="74" t="s">
        <v>923</v>
      </c>
      <c r="C428" s="73"/>
      <c r="D428" s="1">
        <v>393</v>
      </c>
    </row>
    <row r="429" spans="1:4" ht="15" customHeight="1" x14ac:dyDescent="0.25">
      <c r="A429" s="73" t="s">
        <v>924</v>
      </c>
      <c r="B429" s="74" t="s">
        <v>925</v>
      </c>
      <c r="C429" s="73" t="s">
        <v>181</v>
      </c>
      <c r="D429" s="1">
        <v>396</v>
      </c>
    </row>
    <row r="430" spans="1:4" ht="15" customHeight="1" x14ac:dyDescent="0.25">
      <c r="A430" s="73" t="s">
        <v>926</v>
      </c>
      <c r="B430" s="81" t="s">
        <v>927</v>
      </c>
      <c r="C430" s="73"/>
      <c r="D430" s="1">
        <v>397</v>
      </c>
    </row>
    <row r="431" spans="1:4" ht="15" customHeight="1" x14ac:dyDescent="0.25">
      <c r="A431" s="73" t="s">
        <v>928</v>
      </c>
      <c r="B431" s="81" t="s">
        <v>929</v>
      </c>
      <c r="C431" s="73"/>
      <c r="D431" s="1">
        <v>398</v>
      </c>
    </row>
    <row r="432" spans="1:4" ht="15" customHeight="1" x14ac:dyDescent="0.25">
      <c r="A432" s="73" t="s">
        <v>930</v>
      </c>
      <c r="B432" s="81" t="s">
        <v>931</v>
      </c>
      <c r="C432" s="73" t="s">
        <v>185</v>
      </c>
      <c r="D432" s="1">
        <v>31</v>
      </c>
    </row>
    <row r="433" spans="1:4" ht="15" customHeight="1" x14ac:dyDescent="0.25">
      <c r="A433" s="73" t="s">
        <v>932</v>
      </c>
      <c r="B433" s="74" t="s">
        <v>933</v>
      </c>
      <c r="C433" s="73" t="s">
        <v>181</v>
      </c>
      <c r="D433" s="1">
        <v>32</v>
      </c>
    </row>
    <row r="434" spans="1:4" ht="15" customHeight="1" x14ac:dyDescent="0.25">
      <c r="A434" s="73" t="s">
        <v>934</v>
      </c>
      <c r="B434" s="81" t="s">
        <v>935</v>
      </c>
      <c r="C434" s="73" t="s">
        <v>185</v>
      </c>
      <c r="D434" s="1">
        <v>154</v>
      </c>
    </row>
    <row r="435" spans="1:4" ht="15" customHeight="1" x14ac:dyDescent="0.25">
      <c r="A435" s="73" t="s">
        <v>151</v>
      </c>
      <c r="B435" s="81" t="s">
        <v>936</v>
      </c>
      <c r="C435" s="73" t="s">
        <v>185</v>
      </c>
      <c r="D435" s="1">
        <v>548</v>
      </c>
    </row>
    <row r="436" spans="1:4" ht="15" customHeight="1" x14ac:dyDescent="0.25">
      <c r="A436" s="73" t="s">
        <v>141</v>
      </c>
      <c r="B436" s="81" t="s">
        <v>937</v>
      </c>
      <c r="C436" s="73" t="s">
        <v>185</v>
      </c>
      <c r="D436" s="1">
        <v>533</v>
      </c>
    </row>
    <row r="437" spans="1:4" ht="15" customHeight="1" x14ac:dyDescent="0.25">
      <c r="A437" s="73" t="s">
        <v>938</v>
      </c>
      <c r="B437" s="81" t="s">
        <v>939</v>
      </c>
      <c r="C437" s="73"/>
      <c r="D437" s="1">
        <v>589</v>
      </c>
    </row>
    <row r="438" spans="1:4" ht="15" customHeight="1" x14ac:dyDescent="0.25">
      <c r="A438" s="73" t="s">
        <v>940</v>
      </c>
      <c r="B438" s="74" t="s">
        <v>941</v>
      </c>
      <c r="C438" s="73"/>
      <c r="D438" s="1">
        <v>501</v>
      </c>
    </row>
    <row r="439" spans="1:4" ht="15" customHeight="1" x14ac:dyDescent="0.25">
      <c r="A439" s="73" t="s">
        <v>942</v>
      </c>
      <c r="B439" s="74" t="s">
        <v>943</v>
      </c>
      <c r="C439" s="73" t="s">
        <v>181</v>
      </c>
      <c r="D439" s="1">
        <v>16</v>
      </c>
    </row>
    <row r="440" spans="1:4" ht="15" customHeight="1" x14ac:dyDescent="0.25">
      <c r="A440" s="73" t="s">
        <v>944</v>
      </c>
      <c r="B440" s="81" t="s">
        <v>945</v>
      </c>
      <c r="C440" s="73" t="s">
        <v>185</v>
      </c>
      <c r="D440" s="1">
        <v>604</v>
      </c>
    </row>
    <row r="441" spans="1:4" ht="15" customHeight="1" x14ac:dyDescent="0.25">
      <c r="A441" s="73" t="s">
        <v>946</v>
      </c>
      <c r="B441" s="74" t="s">
        <v>947</v>
      </c>
      <c r="C441" s="73" t="s">
        <v>181</v>
      </c>
      <c r="D441" s="1">
        <v>605</v>
      </c>
    </row>
    <row r="442" spans="1:4" ht="15" customHeight="1" x14ac:dyDescent="0.25">
      <c r="A442" s="73" t="s">
        <v>948</v>
      </c>
      <c r="B442" s="81" t="s">
        <v>949</v>
      </c>
      <c r="C442" s="73" t="s">
        <v>185</v>
      </c>
      <c r="D442" s="1">
        <v>630</v>
      </c>
    </row>
    <row r="443" spans="1:4" ht="15" customHeight="1" x14ac:dyDescent="0.25">
      <c r="A443" s="73" t="s">
        <v>950</v>
      </c>
      <c r="B443" s="81" t="s">
        <v>951</v>
      </c>
      <c r="C443" s="73" t="s">
        <v>185</v>
      </c>
      <c r="D443" s="1">
        <v>446</v>
      </c>
    </row>
    <row r="444" spans="1:4" ht="15" customHeight="1" x14ac:dyDescent="0.25">
      <c r="A444" s="73" t="s">
        <v>952</v>
      </c>
      <c r="B444" s="76" t="s">
        <v>953</v>
      </c>
      <c r="C444" s="73" t="s">
        <v>181</v>
      </c>
      <c r="D444" s="1">
        <v>450</v>
      </c>
    </row>
    <row r="445" spans="1:4" ht="15" customHeight="1" x14ac:dyDescent="0.25">
      <c r="A445" s="73" t="s">
        <v>954</v>
      </c>
      <c r="B445" s="76" t="s">
        <v>955</v>
      </c>
      <c r="C445" s="73" t="s">
        <v>181</v>
      </c>
      <c r="D445" s="1">
        <v>451</v>
      </c>
    </row>
    <row r="446" spans="1:4" ht="15" customHeight="1" x14ac:dyDescent="0.25">
      <c r="A446" s="73" t="s">
        <v>956</v>
      </c>
      <c r="B446" s="76" t="s">
        <v>957</v>
      </c>
      <c r="C446" s="73" t="s">
        <v>181</v>
      </c>
      <c r="D446" s="1">
        <v>452</v>
      </c>
    </row>
    <row r="447" spans="1:4" ht="15" customHeight="1" x14ac:dyDescent="0.25">
      <c r="A447" s="73" t="s">
        <v>958</v>
      </c>
      <c r="B447" s="76" t="s">
        <v>959</v>
      </c>
      <c r="C447" s="73"/>
      <c r="D447" s="1">
        <v>453</v>
      </c>
    </row>
    <row r="448" spans="1:4" ht="15" customHeight="1" x14ac:dyDescent="0.25">
      <c r="A448" s="73" t="s">
        <v>960</v>
      </c>
      <c r="B448" s="76" t="s">
        <v>961</v>
      </c>
      <c r="C448" s="73"/>
      <c r="D448" s="1">
        <v>454</v>
      </c>
    </row>
    <row r="449" spans="1:4" ht="15" customHeight="1" x14ac:dyDescent="0.25">
      <c r="A449" s="73" t="s">
        <v>962</v>
      </c>
      <c r="B449" s="76" t="s">
        <v>963</v>
      </c>
      <c r="C449" s="73"/>
      <c r="D449" s="1">
        <v>455</v>
      </c>
    </row>
    <row r="450" spans="1:4" ht="15" customHeight="1" x14ac:dyDescent="0.25">
      <c r="A450" s="73" t="s">
        <v>964</v>
      </c>
      <c r="B450" s="76" t="s">
        <v>965</v>
      </c>
      <c r="C450" s="73"/>
      <c r="D450" s="1">
        <v>448</v>
      </c>
    </row>
    <row r="451" spans="1:4" ht="15" customHeight="1" x14ac:dyDescent="0.25">
      <c r="A451" s="73" t="s">
        <v>966</v>
      </c>
      <c r="B451" s="76" t="s">
        <v>967</v>
      </c>
      <c r="C451" s="73"/>
      <c r="D451" s="1">
        <v>449</v>
      </c>
    </row>
    <row r="452" spans="1:4" ht="15" customHeight="1" x14ac:dyDescent="0.25">
      <c r="A452" s="73" t="s">
        <v>968</v>
      </c>
      <c r="B452" s="81" t="s">
        <v>969</v>
      </c>
      <c r="C452" s="73" t="s">
        <v>185</v>
      </c>
      <c r="D452" s="1">
        <v>466</v>
      </c>
    </row>
    <row r="453" spans="1:4" ht="15" customHeight="1" x14ac:dyDescent="0.25">
      <c r="A453" s="73" t="s">
        <v>970</v>
      </c>
      <c r="B453" s="81" t="s">
        <v>971</v>
      </c>
      <c r="C453" s="73" t="s">
        <v>185</v>
      </c>
      <c r="D453" s="1">
        <v>467</v>
      </c>
    </row>
    <row r="454" spans="1:4" ht="15" customHeight="1" x14ac:dyDescent="0.25">
      <c r="A454" s="73" t="s">
        <v>972</v>
      </c>
      <c r="B454" s="81" t="s">
        <v>973</v>
      </c>
      <c r="C454" s="73" t="s">
        <v>185</v>
      </c>
      <c r="D454" s="1">
        <v>468</v>
      </c>
    </row>
    <row r="455" spans="1:4" ht="15" customHeight="1" x14ac:dyDescent="0.25">
      <c r="A455" s="73" t="s">
        <v>974</v>
      </c>
      <c r="B455" s="81" t="s">
        <v>975</v>
      </c>
      <c r="C455" s="73" t="s">
        <v>185</v>
      </c>
      <c r="D455" s="1">
        <v>469</v>
      </c>
    </row>
    <row r="456" spans="1:4" ht="15" customHeight="1" x14ac:dyDescent="0.25">
      <c r="A456" s="73" t="s">
        <v>976</v>
      </c>
      <c r="B456" s="81" t="s">
        <v>977</v>
      </c>
      <c r="C456" s="73" t="s">
        <v>185</v>
      </c>
      <c r="D456" s="1">
        <v>470</v>
      </c>
    </row>
    <row r="457" spans="1:4" ht="15" customHeight="1" x14ac:dyDescent="0.25">
      <c r="A457" s="73" t="s">
        <v>978</v>
      </c>
      <c r="B457" s="81" t="s">
        <v>979</v>
      </c>
      <c r="C457" s="73" t="s">
        <v>185</v>
      </c>
      <c r="D457" s="1">
        <v>474</v>
      </c>
    </row>
    <row r="458" spans="1:4" ht="15" customHeight="1" x14ac:dyDescent="0.25">
      <c r="A458" s="73" t="s">
        <v>980</v>
      </c>
      <c r="B458" s="81" t="s">
        <v>981</v>
      </c>
      <c r="C458" s="73" t="s">
        <v>185</v>
      </c>
      <c r="D458" s="1">
        <v>475</v>
      </c>
    </row>
    <row r="459" spans="1:4" ht="15" customHeight="1" x14ac:dyDescent="0.25">
      <c r="A459" s="73" t="s">
        <v>982</v>
      </c>
      <c r="B459" s="81" t="s">
        <v>983</v>
      </c>
      <c r="C459" s="73" t="s">
        <v>185</v>
      </c>
      <c r="D459" s="1">
        <v>476</v>
      </c>
    </row>
    <row r="460" spans="1:4" ht="15" customHeight="1" x14ac:dyDescent="0.25">
      <c r="A460" s="73" t="s">
        <v>984</v>
      </c>
      <c r="B460" s="81" t="s">
        <v>985</v>
      </c>
      <c r="C460" s="73" t="s">
        <v>185</v>
      </c>
      <c r="D460" s="1">
        <v>477</v>
      </c>
    </row>
    <row r="461" spans="1:4" ht="15" customHeight="1" x14ac:dyDescent="0.25">
      <c r="A461" s="73" t="s">
        <v>986</v>
      </c>
      <c r="B461" s="76" t="s">
        <v>987</v>
      </c>
      <c r="C461" s="73" t="s">
        <v>185</v>
      </c>
      <c r="D461" s="1">
        <v>458</v>
      </c>
    </row>
    <row r="462" spans="1:4" ht="15" customHeight="1" x14ac:dyDescent="0.25">
      <c r="A462" s="73" t="s">
        <v>988</v>
      </c>
      <c r="B462" s="81" t="s">
        <v>989</v>
      </c>
      <c r="C462" s="73" t="s">
        <v>185</v>
      </c>
      <c r="D462" s="1">
        <v>481</v>
      </c>
    </row>
    <row r="463" spans="1:4" ht="15" customHeight="1" x14ac:dyDescent="0.25">
      <c r="A463" s="73" t="s">
        <v>990</v>
      </c>
      <c r="B463" s="81" t="s">
        <v>991</v>
      </c>
      <c r="C463" s="73" t="s">
        <v>185</v>
      </c>
      <c r="D463" s="1">
        <v>463</v>
      </c>
    </row>
    <row r="464" spans="1:4" ht="15" customHeight="1" x14ac:dyDescent="0.25">
      <c r="A464" s="73" t="s">
        <v>992</v>
      </c>
      <c r="B464" s="81" t="s">
        <v>993</v>
      </c>
      <c r="C464" s="73" t="s">
        <v>185</v>
      </c>
      <c r="D464" s="1">
        <v>464</v>
      </c>
    </row>
    <row r="465" spans="1:4" ht="15" customHeight="1" x14ac:dyDescent="0.25">
      <c r="A465" s="73" t="s">
        <v>994</v>
      </c>
      <c r="B465" s="76" t="s">
        <v>995</v>
      </c>
      <c r="C465" s="73" t="s">
        <v>185</v>
      </c>
      <c r="D465" s="1">
        <v>465</v>
      </c>
    </row>
    <row r="466" spans="1:4" ht="15" customHeight="1" x14ac:dyDescent="0.25">
      <c r="A466" s="73" t="s">
        <v>996</v>
      </c>
      <c r="B466" s="76" t="s">
        <v>997</v>
      </c>
      <c r="C466" s="73" t="s">
        <v>185</v>
      </c>
      <c r="D466" s="1">
        <v>471</v>
      </c>
    </row>
    <row r="467" spans="1:4" ht="15" customHeight="1" x14ac:dyDescent="0.25">
      <c r="A467" s="73" t="s">
        <v>998</v>
      </c>
      <c r="B467" s="76" t="s">
        <v>999</v>
      </c>
      <c r="C467" s="73" t="s">
        <v>185</v>
      </c>
      <c r="D467" s="1">
        <v>472</v>
      </c>
    </row>
    <row r="468" spans="1:4" ht="15" customHeight="1" x14ac:dyDescent="0.25">
      <c r="A468" s="73" t="s">
        <v>1000</v>
      </c>
      <c r="B468" s="76" t="s">
        <v>1001</v>
      </c>
      <c r="C468" s="73" t="s">
        <v>185</v>
      </c>
      <c r="D468" s="1">
        <v>473</v>
      </c>
    </row>
    <row r="469" spans="1:4" ht="15" customHeight="1" x14ac:dyDescent="0.25">
      <c r="A469" s="73" t="s">
        <v>1002</v>
      </c>
      <c r="B469" s="76" t="s">
        <v>1003</v>
      </c>
      <c r="C469" s="73" t="s">
        <v>185</v>
      </c>
      <c r="D469" s="1">
        <v>478</v>
      </c>
    </row>
    <row r="470" spans="1:4" ht="15" customHeight="1" x14ac:dyDescent="0.25">
      <c r="A470" s="73" t="s">
        <v>1004</v>
      </c>
      <c r="B470" s="76" t="s">
        <v>1005</v>
      </c>
      <c r="C470" s="73" t="s">
        <v>185</v>
      </c>
      <c r="D470" s="1">
        <v>479</v>
      </c>
    </row>
    <row r="471" spans="1:4" ht="15" customHeight="1" x14ac:dyDescent="0.25">
      <c r="A471" s="73" t="s">
        <v>1006</v>
      </c>
      <c r="B471" s="76" t="s">
        <v>1007</v>
      </c>
      <c r="C471" s="73" t="s">
        <v>185</v>
      </c>
      <c r="D471" s="1">
        <v>480</v>
      </c>
    </row>
    <row r="472" spans="1:4" ht="15" customHeight="1" x14ac:dyDescent="0.25">
      <c r="A472" s="73" t="s">
        <v>1008</v>
      </c>
      <c r="B472" s="76" t="s">
        <v>1009</v>
      </c>
      <c r="C472" s="73" t="s">
        <v>185</v>
      </c>
      <c r="D472" s="1">
        <v>482</v>
      </c>
    </row>
    <row r="473" spans="1:4" ht="15" customHeight="1" x14ac:dyDescent="0.25">
      <c r="A473" s="73" t="s">
        <v>1010</v>
      </c>
      <c r="B473" s="76" t="s">
        <v>1011</v>
      </c>
      <c r="C473" s="73" t="s">
        <v>185</v>
      </c>
      <c r="D473" s="1">
        <v>483</v>
      </c>
    </row>
    <row r="474" spans="1:4" ht="15" customHeight="1" x14ac:dyDescent="0.25">
      <c r="A474" s="73" t="s">
        <v>1012</v>
      </c>
      <c r="B474" s="76" t="s">
        <v>1013</v>
      </c>
      <c r="C474" s="73" t="s">
        <v>185</v>
      </c>
      <c r="D474" s="1">
        <v>484</v>
      </c>
    </row>
    <row r="475" spans="1:4" ht="15" customHeight="1" x14ac:dyDescent="0.25">
      <c r="A475" s="73" t="s">
        <v>1014</v>
      </c>
      <c r="B475" s="76" t="s">
        <v>1015</v>
      </c>
      <c r="C475" s="73" t="s">
        <v>185</v>
      </c>
      <c r="D475" s="1">
        <v>459</v>
      </c>
    </row>
    <row r="476" spans="1:4" ht="15" customHeight="1" x14ac:dyDescent="0.25">
      <c r="A476" s="73" t="s">
        <v>1016</v>
      </c>
      <c r="B476" s="76" t="s">
        <v>1017</v>
      </c>
      <c r="C476" s="73" t="s">
        <v>185</v>
      </c>
      <c r="D476" s="1">
        <v>460</v>
      </c>
    </row>
    <row r="477" spans="1:4" ht="15" customHeight="1" x14ac:dyDescent="0.25">
      <c r="A477" s="73" t="s">
        <v>1018</v>
      </c>
      <c r="B477" s="76" t="s">
        <v>1019</v>
      </c>
      <c r="C477" s="73" t="s">
        <v>185</v>
      </c>
      <c r="D477" s="1">
        <v>461</v>
      </c>
    </row>
    <row r="478" spans="1:4" ht="15" customHeight="1" x14ac:dyDescent="0.25">
      <c r="A478" s="73" t="s">
        <v>1020</v>
      </c>
      <c r="B478" s="76" t="s">
        <v>1021</v>
      </c>
      <c r="C478" s="73" t="s">
        <v>185</v>
      </c>
      <c r="D478" s="1">
        <v>462</v>
      </c>
    </row>
    <row r="479" spans="1:4" ht="15" customHeight="1" x14ac:dyDescent="0.25">
      <c r="A479" s="73" t="s">
        <v>1022</v>
      </c>
      <c r="B479" s="76" t="s">
        <v>1023</v>
      </c>
      <c r="C479" s="73" t="s">
        <v>185</v>
      </c>
      <c r="D479" s="1">
        <v>457</v>
      </c>
    </row>
    <row r="480" spans="1:4" ht="15" customHeight="1" x14ac:dyDescent="0.25">
      <c r="A480" s="73" t="s">
        <v>1024</v>
      </c>
      <c r="B480" s="81" t="s">
        <v>1025</v>
      </c>
      <c r="C480" s="73" t="s">
        <v>181</v>
      </c>
      <c r="D480" s="1">
        <v>106</v>
      </c>
    </row>
    <row r="481" spans="1:4" ht="15" customHeight="1" x14ac:dyDescent="0.25">
      <c r="A481" s="73" t="s">
        <v>1026</v>
      </c>
      <c r="B481" s="81" t="s">
        <v>1027</v>
      </c>
      <c r="C481" s="73"/>
      <c r="D481" s="1">
        <v>133</v>
      </c>
    </row>
    <row r="482" spans="1:4" ht="15" customHeight="1" x14ac:dyDescent="0.25">
      <c r="A482" s="73" t="s">
        <v>1028</v>
      </c>
      <c r="B482" s="81" t="s">
        <v>1029</v>
      </c>
      <c r="C482" s="73"/>
      <c r="D482" s="1">
        <v>151</v>
      </c>
    </row>
    <row r="483" spans="1:4" ht="15" customHeight="1" x14ac:dyDescent="0.25">
      <c r="A483" s="73" t="s">
        <v>1030</v>
      </c>
      <c r="B483" s="81" t="s">
        <v>1031</v>
      </c>
      <c r="C483" s="73" t="s">
        <v>185</v>
      </c>
      <c r="D483" s="1">
        <v>155</v>
      </c>
    </row>
    <row r="484" spans="1:4" ht="15" customHeight="1" x14ac:dyDescent="0.25">
      <c r="A484" s="73" t="s">
        <v>103</v>
      </c>
      <c r="B484" s="81" t="s">
        <v>1032</v>
      </c>
      <c r="C484" s="73" t="s">
        <v>185</v>
      </c>
      <c r="D484" s="1">
        <v>112</v>
      </c>
    </row>
    <row r="485" spans="1:4" ht="15" customHeight="1" x14ac:dyDescent="0.25">
      <c r="A485" s="73" t="s">
        <v>1033</v>
      </c>
      <c r="B485" s="74" t="s">
        <v>1034</v>
      </c>
      <c r="C485" s="73" t="s">
        <v>181</v>
      </c>
      <c r="D485" s="1">
        <v>485</v>
      </c>
    </row>
    <row r="486" spans="1:4" ht="15" customHeight="1" x14ac:dyDescent="0.25">
      <c r="A486" s="73" t="s">
        <v>1035</v>
      </c>
      <c r="B486" s="81" t="s">
        <v>1036</v>
      </c>
      <c r="C486" s="73" t="s">
        <v>185</v>
      </c>
      <c r="D486" s="1">
        <v>486</v>
      </c>
    </row>
    <row r="487" spans="1:4" ht="15" customHeight="1" x14ac:dyDescent="0.25">
      <c r="A487" s="73" t="s">
        <v>104</v>
      </c>
      <c r="B487" s="81" t="s">
        <v>1037</v>
      </c>
      <c r="C487" s="73" t="s">
        <v>185</v>
      </c>
      <c r="D487" s="1">
        <v>124</v>
      </c>
    </row>
    <row r="488" spans="1:4" ht="15" customHeight="1" x14ac:dyDescent="0.25">
      <c r="A488" s="73" t="s">
        <v>1038</v>
      </c>
      <c r="B488" s="81" t="s">
        <v>1039</v>
      </c>
      <c r="C488" s="73" t="s">
        <v>181</v>
      </c>
      <c r="D488" s="1">
        <v>487</v>
      </c>
    </row>
    <row r="489" spans="1:4" ht="15" customHeight="1" x14ac:dyDescent="0.25">
      <c r="A489" s="73">
        <v>489</v>
      </c>
      <c r="B489" s="81" t="s">
        <v>1040</v>
      </c>
      <c r="C489" s="73"/>
      <c r="D489" s="1">
        <v>489</v>
      </c>
    </row>
    <row r="490" spans="1:4" ht="15" customHeight="1" x14ac:dyDescent="0.25">
      <c r="A490" s="73" t="s">
        <v>1041</v>
      </c>
      <c r="B490" s="81" t="s">
        <v>1042</v>
      </c>
      <c r="C490" s="73" t="s">
        <v>181</v>
      </c>
      <c r="D490" s="1">
        <v>491</v>
      </c>
    </row>
    <row r="491" spans="1:4" ht="15" customHeight="1" x14ac:dyDescent="0.25">
      <c r="A491" s="73" t="s">
        <v>1043</v>
      </c>
      <c r="B491" s="81" t="s">
        <v>1044</v>
      </c>
      <c r="C491" s="73" t="s">
        <v>181</v>
      </c>
      <c r="D491" s="1">
        <v>490</v>
      </c>
    </row>
    <row r="492" spans="1:4" ht="15" customHeight="1" x14ac:dyDescent="0.25">
      <c r="A492" s="73" t="s">
        <v>132</v>
      </c>
      <c r="B492" s="81" t="s">
        <v>1045</v>
      </c>
      <c r="C492" s="73" t="s">
        <v>185</v>
      </c>
      <c r="D492" s="1">
        <v>429</v>
      </c>
    </row>
    <row r="493" spans="1:4" ht="15" customHeight="1" x14ac:dyDescent="0.25">
      <c r="A493" s="73" t="s">
        <v>1046</v>
      </c>
      <c r="B493" s="74" t="s">
        <v>1047</v>
      </c>
      <c r="C493" s="73" t="s">
        <v>181</v>
      </c>
      <c r="D493" s="1">
        <v>492</v>
      </c>
    </row>
    <row r="494" spans="1:4" ht="15" customHeight="1" x14ac:dyDescent="0.25">
      <c r="A494" s="73" t="s">
        <v>133</v>
      </c>
      <c r="B494" s="81" t="s">
        <v>1048</v>
      </c>
      <c r="C494" s="73" t="s">
        <v>185</v>
      </c>
      <c r="D494" s="1">
        <v>430</v>
      </c>
    </row>
    <row r="495" spans="1:4" ht="15" customHeight="1" x14ac:dyDescent="0.25">
      <c r="A495" s="73" t="s">
        <v>1049</v>
      </c>
      <c r="B495" s="74" t="s">
        <v>1050</v>
      </c>
      <c r="C495" s="73" t="s">
        <v>181</v>
      </c>
      <c r="D495" s="1">
        <v>493</v>
      </c>
    </row>
    <row r="496" spans="1:4" ht="15" customHeight="1" x14ac:dyDescent="0.25">
      <c r="A496" s="73" t="s">
        <v>1051</v>
      </c>
      <c r="B496" s="74" t="s">
        <v>1052</v>
      </c>
      <c r="C496" s="73" t="s">
        <v>181</v>
      </c>
      <c r="D496" s="1">
        <v>494</v>
      </c>
    </row>
    <row r="497" spans="1:4" ht="15" customHeight="1" x14ac:dyDescent="0.25">
      <c r="A497" s="78" t="s">
        <v>1053</v>
      </c>
      <c r="B497" s="74" t="s">
        <v>1054</v>
      </c>
      <c r="C497" s="73"/>
      <c r="D497" s="1">
        <v>495</v>
      </c>
    </row>
    <row r="498" spans="1:4" ht="15" customHeight="1" x14ac:dyDescent="0.25">
      <c r="A498" s="73" t="s">
        <v>1055</v>
      </c>
      <c r="B498" s="74" t="s">
        <v>1056</v>
      </c>
      <c r="C498" s="73"/>
      <c r="D498" s="1">
        <v>496</v>
      </c>
    </row>
    <row r="499" spans="1:4" ht="15" customHeight="1" x14ac:dyDescent="0.25">
      <c r="A499" s="73" t="s">
        <v>105</v>
      </c>
      <c r="B499" s="81" t="s">
        <v>1057</v>
      </c>
      <c r="C499" s="73" t="s">
        <v>185</v>
      </c>
      <c r="D499" s="1">
        <v>497</v>
      </c>
    </row>
    <row r="500" spans="1:4" ht="15" customHeight="1" x14ac:dyDescent="0.25">
      <c r="A500" s="73" t="s">
        <v>1058</v>
      </c>
      <c r="B500" s="74" t="s">
        <v>1059</v>
      </c>
      <c r="C500" s="73"/>
      <c r="D500" s="1">
        <v>498</v>
      </c>
    </row>
    <row r="501" spans="1:4" ht="15" customHeight="1" x14ac:dyDescent="0.25">
      <c r="A501" s="73" t="s">
        <v>1060</v>
      </c>
      <c r="B501" s="74" t="s">
        <v>1061</v>
      </c>
      <c r="C501" s="73"/>
      <c r="D501" s="1">
        <v>499</v>
      </c>
    </row>
    <row r="502" spans="1:4" ht="15" customHeight="1" x14ac:dyDescent="0.25">
      <c r="A502" s="73" t="s">
        <v>1062</v>
      </c>
      <c r="B502" s="81" t="s">
        <v>1063</v>
      </c>
      <c r="C502" s="73" t="s">
        <v>185</v>
      </c>
      <c r="D502" s="1">
        <v>503</v>
      </c>
    </row>
    <row r="503" spans="1:4" ht="15" customHeight="1" x14ac:dyDescent="0.25">
      <c r="A503" s="73" t="s">
        <v>1064</v>
      </c>
      <c r="B503" s="81" t="s">
        <v>1065</v>
      </c>
      <c r="C503" s="73" t="s">
        <v>185</v>
      </c>
      <c r="D503" s="1">
        <v>506</v>
      </c>
    </row>
    <row r="504" spans="1:4" ht="15" customHeight="1" x14ac:dyDescent="0.25">
      <c r="A504" s="73" t="s">
        <v>1066</v>
      </c>
      <c r="B504" s="81" t="s">
        <v>1067</v>
      </c>
      <c r="C504" s="73"/>
      <c r="D504" s="1">
        <v>507</v>
      </c>
    </row>
    <row r="505" spans="1:4" ht="15" customHeight="1" x14ac:dyDescent="0.25">
      <c r="A505" s="73">
        <v>504</v>
      </c>
      <c r="B505" s="81" t="s">
        <v>1068</v>
      </c>
      <c r="C505" s="73" t="s">
        <v>185</v>
      </c>
      <c r="D505" s="1">
        <v>504</v>
      </c>
    </row>
    <row r="506" spans="1:4" ht="15" customHeight="1" x14ac:dyDescent="0.25">
      <c r="A506" s="73" t="s">
        <v>1069</v>
      </c>
      <c r="B506" s="81" t="s">
        <v>1070</v>
      </c>
      <c r="C506" s="73"/>
      <c r="D506" s="1">
        <v>508</v>
      </c>
    </row>
    <row r="507" spans="1:4" ht="15" customHeight="1" x14ac:dyDescent="0.25">
      <c r="A507" s="73" t="s">
        <v>1071</v>
      </c>
      <c r="B507" s="81" t="s">
        <v>1072</v>
      </c>
      <c r="C507" s="73"/>
      <c r="D507" s="1">
        <v>509</v>
      </c>
    </row>
    <row r="508" spans="1:4" ht="15" customHeight="1" x14ac:dyDescent="0.25">
      <c r="A508" s="73" t="s">
        <v>1073</v>
      </c>
      <c r="B508" s="81" t="s">
        <v>1074</v>
      </c>
      <c r="C508" s="73" t="s">
        <v>181</v>
      </c>
      <c r="D508" s="1">
        <v>510</v>
      </c>
    </row>
    <row r="509" spans="1:4" ht="15" customHeight="1" x14ac:dyDescent="0.25">
      <c r="A509" s="78" t="s">
        <v>1075</v>
      </c>
      <c r="B509" s="81" t="s">
        <v>1076</v>
      </c>
      <c r="C509" s="73" t="s">
        <v>181</v>
      </c>
      <c r="D509" s="1">
        <v>511</v>
      </c>
    </row>
    <row r="510" spans="1:4" ht="15" customHeight="1" x14ac:dyDescent="0.25">
      <c r="A510" s="73" t="s">
        <v>1077</v>
      </c>
      <c r="B510" s="81" t="s">
        <v>1078</v>
      </c>
      <c r="C510" s="73"/>
      <c r="D510" s="1">
        <v>636</v>
      </c>
    </row>
    <row r="511" spans="1:4" ht="15" customHeight="1" x14ac:dyDescent="0.25">
      <c r="A511" s="73">
        <v>518</v>
      </c>
      <c r="B511" s="81" t="s">
        <v>1079</v>
      </c>
      <c r="C511" s="73"/>
      <c r="D511" s="1">
        <v>518</v>
      </c>
    </row>
    <row r="512" spans="1:4" ht="15" customHeight="1" x14ac:dyDescent="0.25">
      <c r="A512" s="73" t="s">
        <v>1080</v>
      </c>
      <c r="B512" s="81" t="s">
        <v>1081</v>
      </c>
      <c r="C512" s="73" t="s">
        <v>185</v>
      </c>
      <c r="D512" s="1">
        <v>525</v>
      </c>
    </row>
    <row r="513" spans="1:4" ht="15" customHeight="1" x14ac:dyDescent="0.25">
      <c r="A513" s="73" t="s">
        <v>1082</v>
      </c>
      <c r="B513" s="81" t="s">
        <v>1083</v>
      </c>
      <c r="C513" s="73"/>
      <c r="D513" s="1">
        <v>391</v>
      </c>
    </row>
    <row r="514" spans="1:4" ht="15" customHeight="1" x14ac:dyDescent="0.25">
      <c r="A514" s="73">
        <v>447</v>
      </c>
      <c r="B514" s="81" t="s">
        <v>1084</v>
      </c>
      <c r="C514" s="73"/>
      <c r="D514" s="1">
        <v>447</v>
      </c>
    </row>
    <row r="515" spans="1:4" ht="15" customHeight="1" x14ac:dyDescent="0.25">
      <c r="A515" s="73" t="s">
        <v>152</v>
      </c>
      <c r="B515" s="81" t="s">
        <v>1085</v>
      </c>
      <c r="C515" s="73" t="s">
        <v>185</v>
      </c>
      <c r="D515" s="1">
        <v>456</v>
      </c>
    </row>
    <row r="516" spans="1:4" ht="15" customHeight="1" x14ac:dyDescent="0.25">
      <c r="A516" s="73">
        <v>645</v>
      </c>
      <c r="B516" s="81" t="s">
        <v>1086</v>
      </c>
      <c r="C516" s="73" t="s">
        <v>181</v>
      </c>
      <c r="D516" s="1">
        <v>645</v>
      </c>
    </row>
    <row r="517" spans="1:4" ht="15" customHeight="1" x14ac:dyDescent="0.25">
      <c r="A517" s="73">
        <v>646</v>
      </c>
      <c r="B517" s="81" t="s">
        <v>1087</v>
      </c>
      <c r="C517" s="73" t="s">
        <v>185</v>
      </c>
      <c r="D517" s="1">
        <v>646</v>
      </c>
    </row>
    <row r="518" spans="1:4" ht="15" customHeight="1" x14ac:dyDescent="0.25">
      <c r="A518" s="73">
        <v>432</v>
      </c>
      <c r="B518" s="81" t="s">
        <v>1088</v>
      </c>
      <c r="C518" s="73" t="s">
        <v>185</v>
      </c>
      <c r="D518" s="1">
        <v>432</v>
      </c>
    </row>
    <row r="519" spans="1:4" ht="15" customHeight="1" x14ac:dyDescent="0.25">
      <c r="A519" s="73">
        <v>401</v>
      </c>
      <c r="B519" s="81" t="s">
        <v>1089</v>
      </c>
      <c r="C519" s="73" t="s">
        <v>185</v>
      </c>
      <c r="D519" s="1">
        <v>401</v>
      </c>
    </row>
    <row r="520" spans="1:4" ht="15" customHeight="1" x14ac:dyDescent="0.25">
      <c r="A520" s="78" t="s">
        <v>1090</v>
      </c>
      <c r="B520" s="74" t="s">
        <v>1091</v>
      </c>
      <c r="C520" s="73" t="s">
        <v>181</v>
      </c>
      <c r="D520" s="1">
        <v>553</v>
      </c>
    </row>
    <row r="521" spans="1:4" ht="15" customHeight="1" x14ac:dyDescent="0.25">
      <c r="A521" s="73" t="s">
        <v>1092</v>
      </c>
      <c r="B521" s="74" t="s">
        <v>1093</v>
      </c>
      <c r="C521" s="73"/>
      <c r="D521" s="1">
        <v>554</v>
      </c>
    </row>
    <row r="522" spans="1:4" ht="15" customHeight="1" x14ac:dyDescent="0.25">
      <c r="A522" s="78" t="s">
        <v>1094</v>
      </c>
      <c r="B522" s="81" t="s">
        <v>1095</v>
      </c>
      <c r="C522" s="73"/>
      <c r="D522" s="1">
        <v>70</v>
      </c>
    </row>
    <row r="523" spans="1:4" ht="15" customHeight="1" x14ac:dyDescent="0.25">
      <c r="A523" s="73" t="s">
        <v>1096</v>
      </c>
      <c r="B523" s="81" t="s">
        <v>1097</v>
      </c>
      <c r="C523" s="73" t="s">
        <v>185</v>
      </c>
      <c r="D523" s="1">
        <v>500</v>
      </c>
    </row>
    <row r="524" spans="1:4" ht="15" customHeight="1" x14ac:dyDescent="0.25">
      <c r="A524" s="73" t="s">
        <v>1098</v>
      </c>
      <c r="B524" s="74" t="s">
        <v>1099</v>
      </c>
      <c r="C524" s="73" t="s">
        <v>181</v>
      </c>
      <c r="D524" s="1">
        <v>555</v>
      </c>
    </row>
    <row r="525" spans="1:4" ht="15" customHeight="1" x14ac:dyDescent="0.25">
      <c r="A525" s="73" t="s">
        <v>1100</v>
      </c>
      <c r="B525" s="74" t="s">
        <v>1101</v>
      </c>
      <c r="C525" s="73" t="s">
        <v>181</v>
      </c>
      <c r="D525" s="1">
        <v>556</v>
      </c>
    </row>
    <row r="526" spans="1:4" ht="15" customHeight="1" x14ac:dyDescent="0.25">
      <c r="A526" s="73" t="s">
        <v>106</v>
      </c>
      <c r="B526" s="81" t="s">
        <v>1102</v>
      </c>
      <c r="C526" s="73" t="s">
        <v>185</v>
      </c>
      <c r="D526" s="1">
        <v>559</v>
      </c>
    </row>
    <row r="527" spans="1:4" ht="15" customHeight="1" x14ac:dyDescent="0.25">
      <c r="A527" s="73" t="s">
        <v>1103</v>
      </c>
      <c r="B527" s="81" t="s">
        <v>1104</v>
      </c>
      <c r="C527" s="73" t="s">
        <v>185</v>
      </c>
      <c r="D527" s="1">
        <v>560</v>
      </c>
    </row>
    <row r="528" spans="1:4" ht="15" customHeight="1" x14ac:dyDescent="0.25">
      <c r="A528" s="73" t="s">
        <v>1105</v>
      </c>
      <c r="B528" s="81" t="s">
        <v>1106</v>
      </c>
      <c r="C528" s="73" t="s">
        <v>181</v>
      </c>
      <c r="D528" s="1">
        <v>561</v>
      </c>
    </row>
    <row r="529" spans="1:4" ht="15" customHeight="1" x14ac:dyDescent="0.25">
      <c r="A529" s="73" t="s">
        <v>1107</v>
      </c>
      <c r="B529" s="74" t="s">
        <v>1108</v>
      </c>
      <c r="C529" s="73"/>
      <c r="D529" s="1">
        <v>562</v>
      </c>
    </row>
    <row r="530" spans="1:4" ht="15" customHeight="1" x14ac:dyDescent="0.25">
      <c r="A530" s="73" t="s">
        <v>1109</v>
      </c>
      <c r="B530" s="81" t="s">
        <v>1110</v>
      </c>
      <c r="C530" s="73"/>
      <c r="D530" s="1">
        <v>273</v>
      </c>
    </row>
    <row r="531" spans="1:4" ht="15" customHeight="1" x14ac:dyDescent="0.25">
      <c r="A531" s="73" t="s">
        <v>170</v>
      </c>
      <c r="B531" s="81" t="s">
        <v>1111</v>
      </c>
      <c r="C531" s="73" t="s">
        <v>181</v>
      </c>
      <c r="D531" s="1">
        <v>274</v>
      </c>
    </row>
    <row r="532" spans="1:4" ht="15" customHeight="1" x14ac:dyDescent="0.25">
      <c r="A532" s="73" t="s">
        <v>1112</v>
      </c>
      <c r="B532" s="81" t="s">
        <v>1113</v>
      </c>
      <c r="C532" s="73" t="s">
        <v>185</v>
      </c>
      <c r="D532" s="1">
        <v>563</v>
      </c>
    </row>
    <row r="533" spans="1:4" ht="15" customHeight="1" x14ac:dyDescent="0.25">
      <c r="A533" s="73" t="s">
        <v>1114</v>
      </c>
      <c r="B533" s="74" t="s">
        <v>1115</v>
      </c>
      <c r="C533" s="73"/>
      <c r="D533" s="1">
        <v>565</v>
      </c>
    </row>
    <row r="534" spans="1:4" ht="15" customHeight="1" x14ac:dyDescent="0.25">
      <c r="A534" s="73" t="s">
        <v>1116</v>
      </c>
      <c r="B534" s="81" t="s">
        <v>1117</v>
      </c>
      <c r="C534" s="73" t="s">
        <v>185</v>
      </c>
      <c r="D534" s="1">
        <v>631</v>
      </c>
    </row>
    <row r="535" spans="1:4" ht="15" customHeight="1" x14ac:dyDescent="0.25">
      <c r="A535" s="73" t="s">
        <v>134</v>
      </c>
      <c r="B535" s="81" t="s">
        <v>1118</v>
      </c>
      <c r="C535" s="73" t="s">
        <v>185</v>
      </c>
      <c r="D535" s="1">
        <v>431</v>
      </c>
    </row>
    <row r="536" spans="1:4" ht="15" customHeight="1" x14ac:dyDescent="0.25">
      <c r="A536" s="73" t="s">
        <v>1119</v>
      </c>
      <c r="B536" s="81" t="s">
        <v>1120</v>
      </c>
      <c r="C536" s="73" t="s">
        <v>181</v>
      </c>
      <c r="D536" s="1">
        <v>566</v>
      </c>
    </row>
    <row r="537" spans="1:4" ht="15" customHeight="1" x14ac:dyDescent="0.25">
      <c r="A537" s="73" t="s">
        <v>1121</v>
      </c>
      <c r="B537" s="81" t="s">
        <v>1122</v>
      </c>
      <c r="C537" s="73" t="s">
        <v>185</v>
      </c>
      <c r="D537" s="1">
        <v>567</v>
      </c>
    </row>
    <row r="538" spans="1:4" ht="15" customHeight="1" x14ac:dyDescent="0.25">
      <c r="A538" s="73" t="s">
        <v>1123</v>
      </c>
      <c r="B538" s="81" t="s">
        <v>1124</v>
      </c>
      <c r="C538" s="73" t="s">
        <v>185</v>
      </c>
      <c r="D538" s="1">
        <v>568</v>
      </c>
    </row>
    <row r="539" spans="1:4" ht="15" customHeight="1" x14ac:dyDescent="0.25">
      <c r="A539" s="73">
        <v>571</v>
      </c>
      <c r="B539" s="81" t="s">
        <v>1125</v>
      </c>
      <c r="C539" s="73" t="s">
        <v>185</v>
      </c>
      <c r="D539" s="1">
        <v>571</v>
      </c>
    </row>
    <row r="540" spans="1:4" ht="15" customHeight="1" x14ac:dyDescent="0.25">
      <c r="A540" s="73">
        <v>572</v>
      </c>
      <c r="B540" s="81" t="s">
        <v>1126</v>
      </c>
      <c r="C540" s="73"/>
      <c r="D540" s="1">
        <v>572</v>
      </c>
    </row>
    <row r="541" spans="1:4" ht="15" customHeight="1" x14ac:dyDescent="0.25">
      <c r="A541" s="73" t="s">
        <v>1127</v>
      </c>
      <c r="B541" s="81" t="s">
        <v>1128</v>
      </c>
      <c r="C541" s="73"/>
      <c r="D541" s="1">
        <v>573</v>
      </c>
    </row>
    <row r="542" spans="1:4" ht="15" customHeight="1" x14ac:dyDescent="0.25">
      <c r="A542" s="73">
        <v>353</v>
      </c>
      <c r="B542" s="81" t="s">
        <v>1129</v>
      </c>
      <c r="C542" s="73" t="s">
        <v>185</v>
      </c>
      <c r="D542" s="1">
        <v>353</v>
      </c>
    </row>
    <row r="543" spans="1:4" ht="15" customHeight="1" x14ac:dyDescent="0.25">
      <c r="A543" s="73" t="s">
        <v>1130</v>
      </c>
      <c r="B543" s="74" t="s">
        <v>1131</v>
      </c>
      <c r="C543" s="73" t="s">
        <v>181</v>
      </c>
      <c r="D543" s="1">
        <v>574</v>
      </c>
    </row>
    <row r="544" spans="1:4" ht="15" customHeight="1" x14ac:dyDescent="0.25">
      <c r="A544" s="73" t="s">
        <v>1132</v>
      </c>
      <c r="B544" s="81" t="s">
        <v>1133</v>
      </c>
      <c r="C544" s="73" t="s">
        <v>181</v>
      </c>
      <c r="D544" s="1">
        <v>79</v>
      </c>
    </row>
    <row r="545" spans="1:4" ht="15" customHeight="1" x14ac:dyDescent="0.25">
      <c r="A545" s="78" t="s">
        <v>1134</v>
      </c>
      <c r="B545" s="81" t="s">
        <v>1135</v>
      </c>
      <c r="C545" s="73" t="s">
        <v>181</v>
      </c>
      <c r="D545" s="1">
        <v>577</v>
      </c>
    </row>
    <row r="546" spans="1:4" ht="15" customHeight="1" x14ac:dyDescent="0.25">
      <c r="A546" s="73" t="s">
        <v>67</v>
      </c>
      <c r="B546" s="81" t="s">
        <v>1136</v>
      </c>
      <c r="C546" s="73" t="s">
        <v>185</v>
      </c>
      <c r="D546" s="1">
        <v>575</v>
      </c>
    </row>
    <row r="547" spans="1:4" ht="15" customHeight="1" x14ac:dyDescent="0.25">
      <c r="A547" s="73" t="s">
        <v>1137</v>
      </c>
      <c r="B547" s="81" t="s">
        <v>1138</v>
      </c>
      <c r="C547" s="73" t="s">
        <v>181</v>
      </c>
      <c r="D547" s="1">
        <v>578</v>
      </c>
    </row>
    <row r="548" spans="1:4" ht="15" customHeight="1" x14ac:dyDescent="0.25">
      <c r="A548" s="73" t="s">
        <v>1139</v>
      </c>
      <c r="B548" s="74" t="s">
        <v>1140</v>
      </c>
      <c r="C548" s="73" t="s">
        <v>181</v>
      </c>
      <c r="D548" s="1">
        <v>579</v>
      </c>
    </row>
    <row r="549" spans="1:4" ht="15" customHeight="1" x14ac:dyDescent="0.25">
      <c r="A549" s="73" t="s">
        <v>113</v>
      </c>
      <c r="B549" s="81" t="s">
        <v>1141</v>
      </c>
      <c r="C549" s="73"/>
      <c r="D549" s="1">
        <v>580</v>
      </c>
    </row>
    <row r="550" spans="1:4" ht="15" customHeight="1" x14ac:dyDescent="0.25">
      <c r="A550" s="73">
        <v>354</v>
      </c>
      <c r="B550" s="81" t="s">
        <v>1142</v>
      </c>
      <c r="C550" s="73" t="s">
        <v>185</v>
      </c>
      <c r="D550" s="1">
        <v>354</v>
      </c>
    </row>
    <row r="551" spans="1:4" ht="15" customHeight="1" x14ac:dyDescent="0.25">
      <c r="A551" s="73" t="s">
        <v>1143</v>
      </c>
      <c r="B551" s="81" t="s">
        <v>1144</v>
      </c>
      <c r="C551" s="73" t="s">
        <v>181</v>
      </c>
      <c r="D551" s="1">
        <v>582</v>
      </c>
    </row>
    <row r="552" spans="1:4" ht="15" customHeight="1" x14ac:dyDescent="0.25">
      <c r="A552" s="73" t="s">
        <v>1145</v>
      </c>
      <c r="B552" s="74" t="s">
        <v>1146</v>
      </c>
      <c r="C552" s="73" t="s">
        <v>181</v>
      </c>
      <c r="D552" s="1">
        <v>583</v>
      </c>
    </row>
    <row r="553" spans="1:4" ht="15" customHeight="1" x14ac:dyDescent="0.25">
      <c r="A553" s="73" t="s">
        <v>1147</v>
      </c>
      <c r="B553" s="74" t="s">
        <v>1148</v>
      </c>
      <c r="C553" s="73" t="s">
        <v>181</v>
      </c>
      <c r="D553" s="1">
        <v>584</v>
      </c>
    </row>
    <row r="554" spans="1:4" ht="15" customHeight="1" x14ac:dyDescent="0.25">
      <c r="A554" s="73" t="s">
        <v>107</v>
      </c>
      <c r="B554" s="81" t="s">
        <v>1149</v>
      </c>
      <c r="C554" s="73" t="s">
        <v>185</v>
      </c>
      <c r="D554" s="1">
        <v>585</v>
      </c>
    </row>
    <row r="555" spans="1:4" ht="15" customHeight="1" x14ac:dyDescent="0.25">
      <c r="A555" s="73" t="s">
        <v>1150</v>
      </c>
      <c r="B555" s="81" t="s">
        <v>1151</v>
      </c>
      <c r="C555" s="73" t="s">
        <v>185</v>
      </c>
      <c r="D555" s="1">
        <v>586</v>
      </c>
    </row>
    <row r="556" spans="1:4" ht="15" customHeight="1" x14ac:dyDescent="0.25">
      <c r="A556" s="73" t="s">
        <v>1152</v>
      </c>
      <c r="B556" s="74" t="s">
        <v>1153</v>
      </c>
      <c r="C556" s="73" t="s">
        <v>181</v>
      </c>
      <c r="D556" s="1">
        <v>587</v>
      </c>
    </row>
    <row r="557" spans="1:4" ht="15" customHeight="1" x14ac:dyDescent="0.25">
      <c r="A557" s="73" t="s">
        <v>1154</v>
      </c>
      <c r="B557" s="74" t="s">
        <v>1155</v>
      </c>
      <c r="C557" s="73"/>
      <c r="D557" s="1">
        <v>588</v>
      </c>
    </row>
    <row r="558" spans="1:4" ht="15" customHeight="1" x14ac:dyDescent="0.25">
      <c r="A558" s="78" t="s">
        <v>1156</v>
      </c>
      <c r="B558" s="81" t="s">
        <v>1157</v>
      </c>
      <c r="C558" s="73" t="s">
        <v>181</v>
      </c>
      <c r="D558" s="1">
        <v>590</v>
      </c>
    </row>
    <row r="559" spans="1:4" ht="15" customHeight="1" x14ac:dyDescent="0.25">
      <c r="A559" s="73" t="s">
        <v>1158</v>
      </c>
      <c r="B559" s="81" t="s">
        <v>1159</v>
      </c>
      <c r="C559" s="73" t="s">
        <v>181</v>
      </c>
      <c r="D559" s="1">
        <v>591</v>
      </c>
    </row>
    <row r="560" spans="1:4" ht="15" customHeight="1" x14ac:dyDescent="0.25">
      <c r="A560" s="73">
        <v>358</v>
      </c>
      <c r="B560" s="81" t="s">
        <v>1160</v>
      </c>
      <c r="C560" s="73"/>
      <c r="D560" s="1">
        <v>358</v>
      </c>
    </row>
    <row r="561" spans="1:4" ht="15" customHeight="1" x14ac:dyDescent="0.25">
      <c r="A561" s="73" t="s">
        <v>1161</v>
      </c>
      <c r="B561" s="81" t="s">
        <v>1162</v>
      </c>
      <c r="C561" s="73" t="s">
        <v>185</v>
      </c>
      <c r="D561" s="1">
        <v>76</v>
      </c>
    </row>
    <row r="562" spans="1:4" ht="15" customHeight="1" x14ac:dyDescent="0.25">
      <c r="A562" s="73" t="s">
        <v>1163</v>
      </c>
      <c r="B562" s="81" t="s">
        <v>1164</v>
      </c>
      <c r="C562" s="73" t="s">
        <v>181</v>
      </c>
      <c r="D562" s="1">
        <v>592</v>
      </c>
    </row>
    <row r="563" spans="1:4" ht="15" customHeight="1" x14ac:dyDescent="0.25">
      <c r="A563" s="73" t="s">
        <v>1165</v>
      </c>
      <c r="B563" s="81" t="s">
        <v>1166</v>
      </c>
      <c r="C563" s="73" t="s">
        <v>181</v>
      </c>
      <c r="D563" s="1">
        <v>80</v>
      </c>
    </row>
    <row r="564" spans="1:4" ht="15" customHeight="1" x14ac:dyDescent="0.25">
      <c r="A564" s="73" t="s">
        <v>1167</v>
      </c>
      <c r="B564" s="74" t="s">
        <v>1168</v>
      </c>
      <c r="C564" s="73"/>
      <c r="D564" s="1">
        <v>593</v>
      </c>
    </row>
    <row r="565" spans="1:4" ht="15" customHeight="1" x14ac:dyDescent="0.25">
      <c r="A565" s="73" t="s">
        <v>108</v>
      </c>
      <c r="B565" s="81" t="s">
        <v>1169</v>
      </c>
      <c r="C565" s="73" t="s">
        <v>185</v>
      </c>
      <c r="D565" s="1">
        <v>488</v>
      </c>
    </row>
    <row r="566" spans="1:4" ht="15" customHeight="1" x14ac:dyDescent="0.25">
      <c r="A566" s="73" t="s">
        <v>114</v>
      </c>
      <c r="B566" s="81" t="s">
        <v>1170</v>
      </c>
      <c r="C566" s="73" t="s">
        <v>181</v>
      </c>
      <c r="D566" s="1">
        <v>595</v>
      </c>
    </row>
    <row r="567" spans="1:4" ht="15" customHeight="1" x14ac:dyDescent="0.25">
      <c r="A567" s="73" t="s">
        <v>1171</v>
      </c>
      <c r="B567" s="81" t="s">
        <v>1172</v>
      </c>
      <c r="C567" s="73"/>
      <c r="D567" s="1">
        <v>596</v>
      </c>
    </row>
    <row r="568" spans="1:4" ht="15" customHeight="1" x14ac:dyDescent="0.25">
      <c r="A568" s="73" t="s">
        <v>1173</v>
      </c>
      <c r="B568" s="81" t="s">
        <v>1174</v>
      </c>
      <c r="C568" s="73" t="s">
        <v>181</v>
      </c>
      <c r="D568" s="1">
        <v>598</v>
      </c>
    </row>
    <row r="569" spans="1:4" ht="15" customHeight="1" x14ac:dyDescent="0.25">
      <c r="A569" s="73" t="s">
        <v>1175</v>
      </c>
      <c r="B569" s="81" t="s">
        <v>1176</v>
      </c>
      <c r="C569" s="73" t="s">
        <v>185</v>
      </c>
      <c r="D569" s="1">
        <v>599</v>
      </c>
    </row>
    <row r="570" spans="1:4" ht="15" customHeight="1" x14ac:dyDescent="0.25">
      <c r="A570" s="73" t="s">
        <v>68</v>
      </c>
      <c r="B570" s="81" t="s">
        <v>1177</v>
      </c>
      <c r="C570" s="73" t="s">
        <v>185</v>
      </c>
      <c r="D570" s="1">
        <v>600</v>
      </c>
    </row>
    <row r="571" spans="1:4" ht="15" customHeight="1" x14ac:dyDescent="0.25">
      <c r="A571" s="73" t="s">
        <v>1178</v>
      </c>
      <c r="B571" s="81" t="s">
        <v>1179</v>
      </c>
      <c r="C571" s="73"/>
      <c r="D571" s="1">
        <v>601</v>
      </c>
    </row>
    <row r="572" spans="1:4" ht="15" customHeight="1" x14ac:dyDescent="0.25">
      <c r="A572" s="73" t="s">
        <v>1180</v>
      </c>
      <c r="B572" s="81" t="s">
        <v>1181</v>
      </c>
      <c r="C572" s="73" t="s">
        <v>185</v>
      </c>
      <c r="D572" s="1">
        <v>602</v>
      </c>
    </row>
    <row r="573" spans="1:4" ht="15" customHeight="1" x14ac:dyDescent="0.25">
      <c r="A573" s="73" t="s">
        <v>1182</v>
      </c>
      <c r="B573" s="81" t="s">
        <v>1183</v>
      </c>
      <c r="C573" s="73"/>
      <c r="D573" s="1">
        <v>603</v>
      </c>
    </row>
    <row r="574" spans="1:4" ht="15" customHeight="1" x14ac:dyDescent="0.25">
      <c r="A574" s="73" t="s">
        <v>1184</v>
      </c>
      <c r="B574" s="81" t="s">
        <v>1185</v>
      </c>
      <c r="C574" s="73"/>
      <c r="D574" s="1">
        <v>552</v>
      </c>
    </row>
    <row r="575" spans="1:4" ht="15" customHeight="1" x14ac:dyDescent="0.25">
      <c r="A575" s="73" t="s">
        <v>1186</v>
      </c>
      <c r="B575" s="81" t="s">
        <v>1187</v>
      </c>
      <c r="C575" s="73"/>
      <c r="D575" s="1">
        <v>537</v>
      </c>
    </row>
    <row r="576" spans="1:4" ht="15" customHeight="1" x14ac:dyDescent="0.25">
      <c r="A576" s="73" t="s">
        <v>1188</v>
      </c>
      <c r="B576" s="81" t="s">
        <v>1189</v>
      </c>
      <c r="C576" s="73"/>
      <c r="D576" s="1">
        <v>551</v>
      </c>
    </row>
    <row r="577" spans="1:4" ht="15" customHeight="1" x14ac:dyDescent="0.25">
      <c r="A577" s="73" t="s">
        <v>1190</v>
      </c>
      <c r="B577" s="81" t="s">
        <v>1191</v>
      </c>
      <c r="C577" s="73"/>
      <c r="D577" s="1">
        <v>536</v>
      </c>
    </row>
    <row r="578" spans="1:4" ht="15" customHeight="1" x14ac:dyDescent="0.25">
      <c r="A578" s="73" t="s">
        <v>1192</v>
      </c>
      <c r="B578" s="81" t="s">
        <v>1193</v>
      </c>
      <c r="C578" s="73" t="s">
        <v>181</v>
      </c>
      <c r="D578" s="1">
        <v>550</v>
      </c>
    </row>
    <row r="579" spans="1:4" ht="15" customHeight="1" x14ac:dyDescent="0.25">
      <c r="A579" s="73" t="s">
        <v>1194</v>
      </c>
      <c r="B579" s="81" t="s">
        <v>1195</v>
      </c>
      <c r="C579" s="73" t="s">
        <v>181</v>
      </c>
      <c r="D579" s="1">
        <v>535</v>
      </c>
    </row>
    <row r="580" spans="1:4" ht="15" customHeight="1" x14ac:dyDescent="0.25">
      <c r="A580" s="73" t="s">
        <v>1196</v>
      </c>
      <c r="B580" s="81" t="s">
        <v>1197</v>
      </c>
      <c r="C580" s="73" t="s">
        <v>181</v>
      </c>
      <c r="D580" s="1">
        <v>549</v>
      </c>
    </row>
    <row r="581" spans="1:4" ht="15" customHeight="1" x14ac:dyDescent="0.25">
      <c r="A581" s="73" t="s">
        <v>1198</v>
      </c>
      <c r="B581" s="81" t="s">
        <v>1199</v>
      </c>
      <c r="C581" s="73" t="s">
        <v>181</v>
      </c>
      <c r="D581" s="1">
        <v>534</v>
      </c>
    </row>
    <row r="582" spans="1:4" ht="15" customHeight="1" x14ac:dyDescent="0.25">
      <c r="A582" s="73" t="s">
        <v>1200</v>
      </c>
      <c r="B582" s="81" t="s">
        <v>1201</v>
      </c>
      <c r="C582" s="73" t="s">
        <v>185</v>
      </c>
      <c r="D582" s="1">
        <v>606</v>
      </c>
    </row>
    <row r="583" spans="1:4" ht="15" customHeight="1" x14ac:dyDescent="0.25">
      <c r="A583" s="73" t="s">
        <v>1202</v>
      </c>
      <c r="B583" s="74" t="s">
        <v>1203</v>
      </c>
      <c r="C583" s="73" t="s">
        <v>181</v>
      </c>
      <c r="D583" s="1">
        <v>116</v>
      </c>
    </row>
    <row r="584" spans="1:4" ht="15" customHeight="1" x14ac:dyDescent="0.25">
      <c r="A584" s="73" t="s">
        <v>1204</v>
      </c>
      <c r="B584" s="74" t="s">
        <v>1205</v>
      </c>
      <c r="C584" s="73" t="s">
        <v>181</v>
      </c>
      <c r="D584" s="1">
        <v>323</v>
      </c>
    </row>
    <row r="585" spans="1:4" ht="15" customHeight="1" x14ac:dyDescent="0.25">
      <c r="A585" s="73" t="s">
        <v>1206</v>
      </c>
      <c r="B585" s="76" t="s">
        <v>1207</v>
      </c>
      <c r="C585" s="73"/>
      <c r="D585" s="1">
        <v>399</v>
      </c>
    </row>
    <row r="586" spans="1:4" ht="15" customHeight="1" x14ac:dyDescent="0.25">
      <c r="A586" s="73" t="s">
        <v>1208</v>
      </c>
      <c r="B586" s="81" t="s">
        <v>1209</v>
      </c>
      <c r="C586" s="73"/>
      <c r="D586" s="1">
        <v>512</v>
      </c>
    </row>
    <row r="587" spans="1:4" ht="15" customHeight="1" x14ac:dyDescent="0.25">
      <c r="A587" s="73" t="s">
        <v>109</v>
      </c>
      <c r="B587" s="81" t="s">
        <v>1210</v>
      </c>
      <c r="C587" s="73" t="s">
        <v>185</v>
      </c>
      <c r="D587" s="1">
        <v>608</v>
      </c>
    </row>
    <row r="588" spans="1:4" ht="15" customHeight="1" x14ac:dyDescent="0.25">
      <c r="A588" s="73" t="s">
        <v>110</v>
      </c>
      <c r="B588" s="81" t="s">
        <v>1211</v>
      </c>
      <c r="C588" s="73" t="s">
        <v>181</v>
      </c>
      <c r="D588" s="1">
        <v>249</v>
      </c>
    </row>
    <row r="589" spans="1:4" ht="15" customHeight="1" x14ac:dyDescent="0.25">
      <c r="A589" s="73" t="s">
        <v>1212</v>
      </c>
      <c r="B589" s="81" t="s">
        <v>1213</v>
      </c>
      <c r="C589" s="73" t="s">
        <v>181</v>
      </c>
      <c r="D589" s="1">
        <v>513</v>
      </c>
    </row>
    <row r="590" spans="1:4" ht="15" customHeight="1" x14ac:dyDescent="0.25">
      <c r="A590" s="73" t="s">
        <v>1214</v>
      </c>
      <c r="B590" s="81" t="s">
        <v>1215</v>
      </c>
      <c r="C590" s="73" t="s">
        <v>185</v>
      </c>
      <c r="D590" s="1">
        <v>610</v>
      </c>
    </row>
    <row r="591" spans="1:4" ht="15" customHeight="1" x14ac:dyDescent="0.25">
      <c r="A591" s="73" t="s">
        <v>1216</v>
      </c>
      <c r="B591" s="81" t="s">
        <v>1217</v>
      </c>
      <c r="C591" s="73" t="s">
        <v>185</v>
      </c>
      <c r="D591" s="1">
        <v>275</v>
      </c>
    </row>
    <row r="592" spans="1:4" ht="15" customHeight="1" x14ac:dyDescent="0.25">
      <c r="A592" s="73" t="s">
        <v>1218</v>
      </c>
      <c r="B592" s="81" t="s">
        <v>1219</v>
      </c>
      <c r="C592" s="73" t="s">
        <v>185</v>
      </c>
      <c r="D592" s="1">
        <v>611</v>
      </c>
    </row>
    <row r="593" spans="1:4" ht="15" customHeight="1" x14ac:dyDescent="0.25">
      <c r="A593" s="73" t="s">
        <v>1220</v>
      </c>
      <c r="B593" s="81" t="s">
        <v>1221</v>
      </c>
      <c r="C593" s="73" t="s">
        <v>181</v>
      </c>
      <c r="D593" s="1">
        <v>514</v>
      </c>
    </row>
    <row r="594" spans="1:4" ht="15" customHeight="1" x14ac:dyDescent="0.25">
      <c r="A594" s="73" t="s">
        <v>1222</v>
      </c>
      <c r="B594" s="81" t="s">
        <v>1223</v>
      </c>
      <c r="C594" s="73" t="s">
        <v>181</v>
      </c>
      <c r="D594" s="1">
        <v>515</v>
      </c>
    </row>
    <row r="595" spans="1:4" ht="15" customHeight="1" x14ac:dyDescent="0.25">
      <c r="A595" s="73" t="s">
        <v>1224</v>
      </c>
      <c r="B595" s="81" t="s">
        <v>1225</v>
      </c>
      <c r="C595" s="73" t="s">
        <v>181</v>
      </c>
      <c r="D595" s="1">
        <v>516</v>
      </c>
    </row>
    <row r="596" spans="1:4" ht="15" customHeight="1" x14ac:dyDescent="0.25">
      <c r="A596" s="73" t="s">
        <v>1226</v>
      </c>
      <c r="B596" s="81" t="s">
        <v>1227</v>
      </c>
      <c r="C596" s="73"/>
      <c r="D596" s="1">
        <v>517</v>
      </c>
    </row>
    <row r="597" spans="1:4" ht="15" customHeight="1" x14ac:dyDescent="0.25">
      <c r="A597" s="73" t="s">
        <v>1228</v>
      </c>
      <c r="B597" s="74" t="s">
        <v>1229</v>
      </c>
      <c r="C597" s="73" t="s">
        <v>181</v>
      </c>
      <c r="D597" s="1">
        <v>43</v>
      </c>
    </row>
    <row r="598" spans="1:4" ht="15" customHeight="1" x14ac:dyDescent="0.25">
      <c r="A598" s="73" t="s">
        <v>1230</v>
      </c>
      <c r="B598" s="74" t="s">
        <v>1231</v>
      </c>
      <c r="C598" s="73" t="s">
        <v>181</v>
      </c>
      <c r="D598" s="1">
        <v>74</v>
      </c>
    </row>
    <row r="599" spans="1:4" ht="15" customHeight="1" x14ac:dyDescent="0.25">
      <c r="A599" s="73" t="s">
        <v>1232</v>
      </c>
      <c r="B599" s="74" t="s">
        <v>1233</v>
      </c>
      <c r="C599" s="73"/>
      <c r="D599" s="1">
        <v>617</v>
      </c>
    </row>
    <row r="600" spans="1:4" ht="15" customHeight="1" x14ac:dyDescent="0.25">
      <c r="A600" s="73" t="s">
        <v>1234</v>
      </c>
      <c r="B600" s="74" t="s">
        <v>1235</v>
      </c>
      <c r="C600" s="73"/>
      <c r="D600" s="1">
        <v>618</v>
      </c>
    </row>
    <row r="601" spans="1:4" ht="15" customHeight="1" x14ac:dyDescent="0.25">
      <c r="A601" s="73" t="s">
        <v>1236</v>
      </c>
      <c r="B601" s="81" t="s">
        <v>1237</v>
      </c>
      <c r="C601" s="73" t="s">
        <v>185</v>
      </c>
      <c r="D601" s="1">
        <v>619</v>
      </c>
    </row>
    <row r="602" spans="1:4" ht="15" customHeight="1" x14ac:dyDescent="0.25">
      <c r="A602" s="73" t="s">
        <v>69</v>
      </c>
      <c r="B602" s="81" t="s">
        <v>1238</v>
      </c>
      <c r="C602" s="73" t="s">
        <v>181</v>
      </c>
      <c r="D602" s="1">
        <v>620</v>
      </c>
    </row>
    <row r="603" spans="1:4" ht="15" customHeight="1" x14ac:dyDescent="0.25">
      <c r="A603" s="73" t="s">
        <v>1239</v>
      </c>
      <c r="B603" s="81" t="s">
        <v>1240</v>
      </c>
      <c r="C603" s="73"/>
      <c r="D603" s="1">
        <v>621</v>
      </c>
    </row>
    <row r="604" spans="1:4" ht="15" customHeight="1" x14ac:dyDescent="0.25">
      <c r="A604" s="73" t="s">
        <v>174</v>
      </c>
      <c r="B604" s="81" t="s">
        <v>1241</v>
      </c>
      <c r="C604" s="73" t="s">
        <v>185</v>
      </c>
      <c r="D604" s="1">
        <v>622</v>
      </c>
    </row>
    <row r="605" spans="1:4" ht="15" customHeight="1" x14ac:dyDescent="0.25">
      <c r="A605" s="73" t="s">
        <v>1242</v>
      </c>
      <c r="B605" s="81" t="s">
        <v>1243</v>
      </c>
      <c r="C605" s="73" t="s">
        <v>185</v>
      </c>
      <c r="D605" s="1">
        <v>623</v>
      </c>
    </row>
    <row r="606" spans="1:4" ht="15" customHeight="1" x14ac:dyDescent="0.25">
      <c r="A606" s="73" t="s">
        <v>111</v>
      </c>
      <c r="B606" s="81" t="s">
        <v>1244</v>
      </c>
      <c r="C606" s="73" t="s">
        <v>185</v>
      </c>
      <c r="D606" s="1">
        <v>624</v>
      </c>
    </row>
    <row r="607" spans="1:4" ht="15" customHeight="1" x14ac:dyDescent="0.25">
      <c r="A607" s="73" t="s">
        <v>1245</v>
      </c>
      <c r="B607" s="81" t="s">
        <v>1246</v>
      </c>
      <c r="C607" s="73" t="s">
        <v>181</v>
      </c>
      <c r="D607" s="1">
        <v>626</v>
      </c>
    </row>
    <row r="608" spans="1:4" ht="15" customHeight="1" x14ac:dyDescent="0.25">
      <c r="A608" s="73" t="s">
        <v>1247</v>
      </c>
      <c r="B608" s="81" t="s">
        <v>1248</v>
      </c>
      <c r="C608" s="73" t="s">
        <v>185</v>
      </c>
      <c r="D608" s="1">
        <v>627</v>
      </c>
    </row>
    <row r="609" spans="1:4" ht="15" customHeight="1" x14ac:dyDescent="0.25">
      <c r="A609" s="73" t="s">
        <v>70</v>
      </c>
      <c r="B609" s="81" t="s">
        <v>1249</v>
      </c>
      <c r="C609" s="73" t="s">
        <v>185</v>
      </c>
      <c r="D609" s="1">
        <v>628</v>
      </c>
    </row>
    <row r="610" spans="1:4" ht="15" customHeight="1" x14ac:dyDescent="0.25">
      <c r="A610" s="73" t="s">
        <v>71</v>
      </c>
      <c r="B610" s="81" t="s">
        <v>1250</v>
      </c>
      <c r="C610" s="73"/>
      <c r="D610" s="1">
        <v>632</v>
      </c>
    </row>
    <row r="611" spans="1:4" ht="15" customHeight="1" x14ac:dyDescent="0.25">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6"/>
    <col min="2" max="2" width="13.5703125" style="46" customWidth="1"/>
    <col min="3" max="3" width="24" style="3" customWidth="1"/>
    <col min="4" max="4" width="108.140625" style="3" customWidth="1"/>
    <col min="5" max="16384" width="9.140625" style="3"/>
  </cols>
  <sheetData>
    <row r="1" spans="1:4" ht="18.75" x14ac:dyDescent="0.25">
      <c r="A1" s="57" t="s">
        <v>1252</v>
      </c>
    </row>
    <row r="3" spans="1:4" s="9" customFormat="1" x14ac:dyDescent="0.25">
      <c r="A3" s="58" t="s">
        <v>1253</v>
      </c>
      <c r="B3" s="68" t="s">
        <v>1254</v>
      </c>
      <c r="C3" s="59" t="s">
        <v>0</v>
      </c>
      <c r="D3" s="59" t="s">
        <v>1255</v>
      </c>
    </row>
    <row r="4" spans="1:4" x14ac:dyDescent="0.25">
      <c r="A4" s="69">
        <v>0</v>
      </c>
      <c r="B4" s="61" t="s">
        <v>1256</v>
      </c>
      <c r="C4" s="60"/>
      <c r="D4" s="60" t="s">
        <v>1257</v>
      </c>
    </row>
    <row r="5" spans="1:4" ht="45" x14ac:dyDescent="0.25">
      <c r="A5" s="69">
        <v>1</v>
      </c>
      <c r="B5" s="61" t="s">
        <v>1258</v>
      </c>
      <c r="C5" s="60"/>
      <c r="D5" s="61" t="s">
        <v>1259</v>
      </c>
    </row>
    <row r="6" spans="1:4" ht="30" x14ac:dyDescent="0.25">
      <c r="A6" s="69">
        <v>1.2</v>
      </c>
      <c r="B6" s="61" t="s">
        <v>1258</v>
      </c>
      <c r="C6" s="60"/>
      <c r="D6" s="61" t="s">
        <v>1260</v>
      </c>
    </row>
    <row r="7" spans="1:4" ht="75" x14ac:dyDescent="0.25">
      <c r="A7" s="69">
        <v>1.3</v>
      </c>
      <c r="B7" s="61" t="s">
        <v>1261</v>
      </c>
      <c r="C7" s="60"/>
      <c r="D7" s="61" t="s">
        <v>1262</v>
      </c>
    </row>
    <row r="8" spans="1:4" x14ac:dyDescent="0.25">
      <c r="A8" s="69">
        <v>1.4</v>
      </c>
      <c r="B8" s="61" t="s">
        <v>1256</v>
      </c>
      <c r="C8" s="60"/>
      <c r="D8" s="61" t="s">
        <v>1263</v>
      </c>
    </row>
    <row r="9" spans="1:4" ht="45" x14ac:dyDescent="0.25">
      <c r="A9" s="62">
        <v>1.5</v>
      </c>
      <c r="B9" s="61" t="s">
        <v>1264</v>
      </c>
      <c r="C9" s="60"/>
      <c r="D9" s="61" t="s">
        <v>1265</v>
      </c>
    </row>
    <row r="10" spans="1:4" x14ac:dyDescent="0.25">
      <c r="A10" s="62">
        <v>1.51</v>
      </c>
      <c r="B10" s="61" t="s">
        <v>1256</v>
      </c>
      <c r="C10" s="60"/>
      <c r="D10" s="61" t="s">
        <v>1266</v>
      </c>
    </row>
    <row r="11" spans="1:4" x14ac:dyDescent="0.25">
      <c r="A11" s="62">
        <v>1.52</v>
      </c>
      <c r="B11" s="61" t="s">
        <v>1256</v>
      </c>
      <c r="C11" s="60"/>
      <c r="D11" s="61" t="s">
        <v>1267</v>
      </c>
    </row>
    <row r="12" spans="1:4" x14ac:dyDescent="0.25">
      <c r="A12" s="62">
        <v>1.53</v>
      </c>
      <c r="B12" s="61" t="s">
        <v>1256</v>
      </c>
      <c r="C12" s="60"/>
      <c r="D12" s="61" t="s">
        <v>1268</v>
      </c>
    </row>
    <row r="13" spans="1:4" x14ac:dyDescent="0.25">
      <c r="A13" s="62">
        <v>1.54</v>
      </c>
      <c r="B13" s="61" t="s">
        <v>1256</v>
      </c>
      <c r="C13" s="60"/>
      <c r="D13" s="61" t="s">
        <v>1269</v>
      </c>
    </row>
    <row r="14" spans="1:4" x14ac:dyDescent="0.25">
      <c r="A14" s="62">
        <v>1.55</v>
      </c>
      <c r="B14" s="61" t="s">
        <v>1270</v>
      </c>
      <c r="C14" s="60"/>
      <c r="D14" s="61" t="s">
        <v>1271</v>
      </c>
    </row>
    <row r="15" spans="1:4" ht="210" x14ac:dyDescent="0.25">
      <c r="A15" s="69">
        <v>1.6</v>
      </c>
      <c r="B15" s="61" t="s">
        <v>1272</v>
      </c>
      <c r="C15" s="60"/>
      <c r="D15" s="61" t="s">
        <v>1273</v>
      </c>
    </row>
    <row r="16" spans="1:4" x14ac:dyDescent="0.25">
      <c r="A16" s="201">
        <v>2</v>
      </c>
      <c r="B16" s="203" t="s">
        <v>1274</v>
      </c>
      <c r="C16" s="60" t="s">
        <v>1275</v>
      </c>
      <c r="D16" s="61" t="s">
        <v>1276</v>
      </c>
    </row>
    <row r="17" spans="1:4" ht="60" x14ac:dyDescent="0.25">
      <c r="A17" s="201"/>
      <c r="B17" s="203"/>
      <c r="C17" s="60" t="s">
        <v>1277</v>
      </c>
      <c r="D17" s="61" t="s">
        <v>1278</v>
      </c>
    </row>
    <row r="18" spans="1:4" x14ac:dyDescent="0.25">
      <c r="A18" s="201"/>
      <c r="B18" s="203"/>
      <c r="C18" s="202" t="s">
        <v>1279</v>
      </c>
      <c r="D18" s="63" t="s">
        <v>1280</v>
      </c>
    </row>
    <row r="19" spans="1:4" x14ac:dyDescent="0.25">
      <c r="A19" s="201"/>
      <c r="B19" s="203"/>
      <c r="C19" s="202"/>
      <c r="D19" s="64" t="s">
        <v>1281</v>
      </c>
    </row>
    <row r="20" spans="1:4" x14ac:dyDescent="0.25">
      <c r="A20" s="201"/>
      <c r="B20" s="203"/>
      <c r="C20" s="202"/>
      <c r="D20" s="65" t="s">
        <v>1282</v>
      </c>
    </row>
    <row r="21" spans="1:4" x14ac:dyDescent="0.25">
      <c r="A21" s="201"/>
      <c r="B21" s="203"/>
      <c r="C21" s="202" t="s">
        <v>1283</v>
      </c>
      <c r="D21" s="63" t="s">
        <v>1281</v>
      </c>
    </row>
    <row r="22" spans="1:4" x14ac:dyDescent="0.25">
      <c r="A22" s="201"/>
      <c r="B22" s="203"/>
      <c r="C22" s="202"/>
      <c r="D22" s="64" t="s">
        <v>1284</v>
      </c>
    </row>
    <row r="23" spans="1:4" x14ac:dyDescent="0.25">
      <c r="A23" s="201"/>
      <c r="B23" s="203"/>
      <c r="C23" s="202"/>
      <c r="D23" s="64" t="s">
        <v>1285</v>
      </c>
    </row>
    <row r="24" spans="1:4" x14ac:dyDescent="0.25">
      <c r="A24" s="201"/>
      <c r="B24" s="203"/>
      <c r="C24" s="202"/>
      <c r="D24" s="64" t="s">
        <v>1286</v>
      </c>
    </row>
    <row r="25" spans="1:4" x14ac:dyDescent="0.25">
      <c r="A25" s="201"/>
      <c r="B25" s="203"/>
      <c r="C25" s="202"/>
      <c r="D25" s="64" t="s">
        <v>1287</v>
      </c>
    </row>
    <row r="26" spans="1:4" x14ac:dyDescent="0.25">
      <c r="A26" s="201"/>
      <c r="B26" s="203"/>
      <c r="C26" s="202"/>
      <c r="D26" s="65" t="s">
        <v>1288</v>
      </c>
    </row>
    <row r="27" spans="1:4" x14ac:dyDescent="0.25">
      <c r="A27" s="201"/>
      <c r="B27" s="203"/>
      <c r="C27" s="202" t="s">
        <v>1289</v>
      </c>
      <c r="D27" s="66" t="s">
        <v>1290</v>
      </c>
    </row>
    <row r="28" spans="1:4" x14ac:dyDescent="0.25">
      <c r="A28" s="201"/>
      <c r="B28" s="203"/>
      <c r="C28" s="202"/>
      <c r="D28" s="64" t="s">
        <v>1281</v>
      </c>
    </row>
    <row r="29" spans="1:4" x14ac:dyDescent="0.25">
      <c r="A29" s="201"/>
      <c r="B29" s="203"/>
      <c r="C29" s="202"/>
      <c r="D29" s="65" t="s">
        <v>1282</v>
      </c>
    </row>
    <row r="30" spans="1:4" x14ac:dyDescent="0.25">
      <c r="A30" s="201"/>
      <c r="B30" s="203"/>
      <c r="C30" s="202" t="s">
        <v>1291</v>
      </c>
      <c r="D30" s="63" t="s">
        <v>1281</v>
      </c>
    </row>
    <row r="31" spans="1:4" x14ac:dyDescent="0.25">
      <c r="A31" s="201"/>
      <c r="B31" s="203"/>
      <c r="C31" s="202"/>
      <c r="D31" s="64" t="s">
        <v>1292</v>
      </c>
    </row>
    <row r="32" spans="1:4" x14ac:dyDescent="0.25">
      <c r="A32" s="201"/>
      <c r="B32" s="203"/>
      <c r="C32" s="202"/>
      <c r="D32" s="67" t="s">
        <v>1293</v>
      </c>
    </row>
    <row r="33" spans="1:4" x14ac:dyDescent="0.25">
      <c r="A33" s="201"/>
      <c r="B33" s="203"/>
      <c r="C33" s="202"/>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76d197-b432-4a89-8b9d-b97676e775aa">
      <Terms xmlns="http://schemas.microsoft.com/office/infopath/2007/PartnerControls"/>
    </lcf76f155ced4ddcb4097134ff3c332f>
    <TaxCatchAll xmlns="3f71e46e-dbdb-4936-a808-49fb891fc3e2" xsi:nil="true"/>
    <CAOProjectManager xmlns="6076d197-b432-4a89-8b9d-b97676e775aa">
      <UserInfo>
        <DisplayName/>
        <AccountId xsi:nil="true"/>
        <AccountType/>
      </UserInfo>
    </CAOProjectManag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E1D25C-5652-4766-B3BB-F0C689650283}"/>
</file>

<file path=customXml/itemProps2.xml><?xml version="1.0" encoding="utf-8"?>
<ds:datastoreItem xmlns:ds="http://schemas.openxmlformats.org/officeDocument/2006/customXml" ds:itemID="{B109E766-2BDA-4129-9A73-694C71718DF9}">
  <ds:schemaRefs>
    <ds:schemaRef ds:uri="0b512185-c195-4469-a12f-555902461e34"/>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c3a8d1a6-0167-4884-a8b2-3d72a0b3493c"/>
    <ds:schemaRef ds:uri="http://schemas.microsoft.com/office/2006/metadata/properties"/>
    <ds:schemaRef ds:uri="http://purl.org/dc/terms/"/>
    <ds:schemaRef ds:uri="164269a3-2867-4928-9b47-b5229c7f6fe7"/>
    <ds:schemaRef ds:uri="http://www.w3.org/XML/1998/namespace"/>
    <ds:schemaRef ds:uri="http://purl.org/dc/dcmitype/"/>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Kosta (US), Jeffrey D</cp:lastModifiedBy>
  <cp:revision/>
  <cp:lastPrinted>2025-06-04T17:12:07Z</cp:lastPrinted>
  <dcterms:created xsi:type="dcterms:W3CDTF">2018-11-29T22:27:46Z</dcterms:created>
  <dcterms:modified xsi:type="dcterms:W3CDTF">2026-02-11T14:33:11Z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MSIP_Label_fbc029f1-7b6e-4e10-8282-fc5331153e31_Enabled">
    <vt:lpwstr>true</vt:lpwstr>
  </property>
  <property fmtid="{D5CDD505-2E9C-101B-9397-08002B2CF9AE}" pid="12" name="MSIP_Label_fbc029f1-7b6e-4e10-8282-fc5331153e31_SetDate">
    <vt:lpwstr>2025-12-15T14:46:26Z</vt:lpwstr>
  </property>
  <property fmtid="{D5CDD505-2E9C-101B-9397-08002B2CF9AE}" pid="13" name="MSIP_Label_fbc029f1-7b6e-4e10-8282-fc5331153e31_Method">
    <vt:lpwstr>Privileged</vt:lpwstr>
  </property>
  <property fmtid="{D5CDD505-2E9C-101B-9397-08002B2CF9AE}" pid="14" name="MSIP_Label_fbc029f1-7b6e-4e10-8282-fc5331153e31_Name">
    <vt:lpwstr>fbc029f1-7b6e-4e10-8282-fc5331153e31</vt:lpwstr>
  </property>
  <property fmtid="{D5CDD505-2E9C-101B-9397-08002B2CF9AE}" pid="15" name="MSIP_Label_fbc029f1-7b6e-4e10-8282-fc5331153e31_SiteId">
    <vt:lpwstr>37247798-f42c-42fd-8a37-d49c7128d36b</vt:lpwstr>
  </property>
  <property fmtid="{D5CDD505-2E9C-101B-9397-08002B2CF9AE}" pid="16" name="MSIP_Label_fbc029f1-7b6e-4e10-8282-fc5331153e31_ActionId">
    <vt:lpwstr>2bd098e7-c1ed-4733-bf9b-c159caee2d7e</vt:lpwstr>
  </property>
  <property fmtid="{D5CDD505-2E9C-101B-9397-08002B2CF9AE}" pid="17" name="MSIP_Label_fbc029f1-7b6e-4e10-8282-fc5331153e31_ContentBits">
    <vt:lpwstr>0</vt:lpwstr>
  </property>
  <property fmtid="{D5CDD505-2E9C-101B-9397-08002B2CF9AE}" pid="18" name="MSIP_Label_fbc029f1-7b6e-4e10-8282-fc5331153e31_Tag">
    <vt:lpwstr>10, 0, 1, 1</vt:lpwstr>
  </property>
</Properties>
</file>