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New Facilities/Western Region/226009_Lacamas Labs Albany/Emissions Inventory/"/>
    </mc:Choice>
  </mc:AlternateContent>
  <xr:revisionPtr revIDLastSave="0" documentId="13_ncr:1_{25C35483-0DC2-4564-97F3-4205CC2BA8D7}" xr6:coauthVersionLast="47" xr6:coauthVersionMax="47" xr10:uidLastSave="{00000000-0000-0000-0000-000000000000}"/>
  <bookViews>
    <workbookView xWindow="-15660" yWindow="-16395" windowWidth="29040" windowHeight="15720" tabRatio="925" firstSheet="1"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2" l="1"/>
  <c r="K45" i="9" s="1"/>
  <c r="N56" i="9"/>
  <c r="M56" i="9"/>
  <c r="K56" i="9"/>
  <c r="J56" i="9"/>
  <c r="O50" i="9"/>
  <c r="O49" i="9"/>
  <c r="N49" i="9"/>
  <c r="N50" i="9"/>
  <c r="J52" i="9"/>
  <c r="K52" i="9"/>
  <c r="L52" i="9"/>
  <c r="M52" i="9"/>
  <c r="N52" i="9"/>
  <c r="O52" i="9"/>
  <c r="O51" i="9"/>
  <c r="N51" i="9"/>
  <c r="M51" i="9"/>
  <c r="L51" i="9"/>
  <c r="K51" i="9"/>
  <c r="J51" i="9"/>
  <c r="J50" i="9"/>
  <c r="K50" i="9"/>
  <c r="L50" i="9"/>
  <c r="M50" i="9"/>
  <c r="K25" i="2"/>
  <c r="H24" i="2"/>
  <c r="K24" i="2"/>
  <c r="M49" i="9"/>
  <c r="J49" i="9"/>
  <c r="M46" i="9"/>
  <c r="M47" i="9"/>
  <c r="M45" i="9"/>
  <c r="J47" i="9"/>
  <c r="J46" i="9"/>
  <c r="J45" i="9"/>
  <c r="H22" i="2"/>
  <c r="K47" i="9" l="1"/>
  <c r="K46" i="9"/>
  <c r="K29" i="2"/>
  <c r="K34" i="2"/>
  <c r="I29" i="2"/>
  <c r="H29" i="2"/>
  <c r="H34" i="2"/>
  <c r="N116" i="9"/>
  <c r="N115" i="9"/>
  <c r="N114" i="9"/>
  <c r="N113" i="9"/>
  <c r="N112" i="9"/>
  <c r="N111" i="9"/>
  <c r="N110" i="9"/>
  <c r="N109" i="9"/>
  <c r="N108" i="9"/>
  <c r="N107" i="9"/>
  <c r="N106" i="9"/>
  <c r="N105" i="9"/>
  <c r="N104" i="9"/>
  <c r="N103" i="9"/>
  <c r="N102" i="9"/>
  <c r="N101" i="9"/>
  <c r="N100" i="9"/>
  <c r="N99" i="9"/>
  <c r="N98" i="9"/>
  <c r="N97" i="9"/>
  <c r="N96" i="9"/>
  <c r="N95" i="9"/>
  <c r="N94" i="9"/>
  <c r="N93" i="9"/>
  <c r="N92" i="9"/>
  <c r="K116" i="9"/>
  <c r="K115" i="9"/>
  <c r="K114" i="9"/>
  <c r="K113" i="9"/>
  <c r="K112" i="9"/>
  <c r="K111" i="9"/>
  <c r="K110" i="9"/>
  <c r="K109" i="9"/>
  <c r="K108" i="9"/>
  <c r="K107" i="9"/>
  <c r="K106" i="9"/>
  <c r="K105" i="9"/>
  <c r="K104" i="9"/>
  <c r="K103" i="9"/>
  <c r="K102" i="9"/>
  <c r="K101" i="9"/>
  <c r="K100" i="9"/>
  <c r="K99" i="9"/>
  <c r="K98" i="9"/>
  <c r="K97" i="9"/>
  <c r="K96" i="9"/>
  <c r="K95" i="9"/>
  <c r="K94" i="9"/>
  <c r="K93" i="9"/>
  <c r="K92" i="9"/>
  <c r="N89" i="9" l="1"/>
  <c r="N88" i="9"/>
  <c r="N87" i="9"/>
  <c r="N86" i="9"/>
  <c r="N85" i="9"/>
  <c r="N84" i="9"/>
  <c r="N83" i="9"/>
  <c r="N82" i="9"/>
  <c r="N81" i="9"/>
  <c r="N80" i="9"/>
  <c r="N79" i="9"/>
  <c r="N78" i="9"/>
  <c r="N77" i="9"/>
  <c r="M89" i="9"/>
  <c r="M88" i="9"/>
  <c r="M87" i="9"/>
  <c r="M86" i="9"/>
  <c r="M85" i="9"/>
  <c r="M84" i="9"/>
  <c r="M83" i="9"/>
  <c r="M82" i="9"/>
  <c r="M81" i="9"/>
  <c r="M80" i="9"/>
  <c r="M79" i="9"/>
  <c r="M78" i="9"/>
  <c r="M77" i="9"/>
  <c r="K89" i="9"/>
  <c r="K88" i="9"/>
  <c r="K87" i="9"/>
  <c r="K86" i="9"/>
  <c r="K85" i="9"/>
  <c r="K84" i="9"/>
  <c r="K83" i="9"/>
  <c r="K82" i="9"/>
  <c r="K81" i="9"/>
  <c r="K80" i="9"/>
  <c r="K79" i="9"/>
  <c r="K78" i="9"/>
  <c r="K77" i="9"/>
  <c r="J89" i="9"/>
  <c r="J88" i="9"/>
  <c r="J87" i="9"/>
  <c r="J86" i="9"/>
  <c r="J85" i="9"/>
  <c r="J84" i="9"/>
  <c r="J83" i="9"/>
  <c r="J82" i="9"/>
  <c r="J81" i="9"/>
  <c r="J80" i="9"/>
  <c r="J79" i="9"/>
  <c r="J78" i="9"/>
  <c r="J77" i="9"/>
  <c r="N75" i="9"/>
  <c r="N74" i="9"/>
  <c r="M75" i="9"/>
  <c r="M74" i="9"/>
  <c r="K75" i="9"/>
  <c r="K74" i="9"/>
  <c r="J75" i="9"/>
  <c r="J74" i="9"/>
  <c r="N72" i="9"/>
  <c r="N71" i="9"/>
  <c r="N70" i="9"/>
  <c r="M72" i="9"/>
  <c r="M71" i="9"/>
  <c r="M70" i="9"/>
  <c r="K72" i="9"/>
  <c r="K71" i="9"/>
  <c r="K70" i="9"/>
  <c r="J72" i="9"/>
  <c r="J71" i="9"/>
  <c r="J70" i="9"/>
  <c r="N68" i="9"/>
  <c r="N67" i="9"/>
  <c r="N66" i="9"/>
  <c r="N65" i="9"/>
  <c r="N64" i="9"/>
  <c r="N63" i="9"/>
  <c r="N62" i="9"/>
  <c r="M68" i="9"/>
  <c r="M67" i="9"/>
  <c r="M66" i="9"/>
  <c r="M65" i="9"/>
  <c r="M64" i="9"/>
  <c r="M63" i="9"/>
  <c r="M62" i="9"/>
  <c r="K68" i="9"/>
  <c r="K67" i="9"/>
  <c r="K66" i="9"/>
  <c r="K65" i="9"/>
  <c r="K64" i="9"/>
  <c r="K63" i="9"/>
  <c r="K62" i="9"/>
  <c r="J68" i="9"/>
  <c r="J67" i="9"/>
  <c r="J66" i="9"/>
  <c r="J65" i="9"/>
  <c r="J64" i="9"/>
  <c r="J63" i="9"/>
  <c r="J62" i="9"/>
  <c r="L62" i="2"/>
  <c r="K62" i="2"/>
  <c r="L61" i="2"/>
  <c r="K61" i="2"/>
  <c r="L60" i="2"/>
  <c r="K60" i="2"/>
  <c r="L59" i="2"/>
  <c r="K59" i="2"/>
  <c r="I62" i="2"/>
  <c r="H62" i="2"/>
  <c r="I61" i="2"/>
  <c r="H61" i="2"/>
  <c r="I60" i="2"/>
  <c r="H60" i="2"/>
  <c r="I59" i="2"/>
  <c r="H59" i="2"/>
  <c r="L57" i="2"/>
  <c r="K57" i="2"/>
  <c r="I57" i="2"/>
  <c r="H57" i="2"/>
  <c r="K55" i="2"/>
  <c r="L55" i="2"/>
  <c r="L54" i="2"/>
  <c r="K54" i="2"/>
  <c r="H55" i="2"/>
  <c r="I55" i="2"/>
  <c r="I54" i="2"/>
  <c r="H54" i="2"/>
  <c r="I52" i="2"/>
  <c r="H52" i="2"/>
  <c r="I51" i="2"/>
  <c r="H51" i="2"/>
  <c r="I50" i="2"/>
  <c r="H50" i="2"/>
  <c r="I49" i="2"/>
  <c r="H49" i="2"/>
  <c r="L52" i="2"/>
  <c r="K52" i="2"/>
  <c r="L51" i="2"/>
  <c r="K51" i="2"/>
  <c r="L50" i="2"/>
  <c r="K50" i="2"/>
  <c r="L49" i="2"/>
  <c r="K49" i="2"/>
  <c r="L25" i="2" l="1"/>
  <c r="L24" i="2"/>
  <c r="I24" i="2"/>
  <c r="K49" i="9" s="1"/>
  <c r="N60" i="9" l="1"/>
  <c r="M60" i="9"/>
  <c r="N59" i="9"/>
  <c r="M59" i="9"/>
  <c r="N58" i="9"/>
  <c r="M58" i="9"/>
  <c r="K36" i="2"/>
  <c r="L36" i="2"/>
  <c r="L35" i="2"/>
  <c r="K35" i="2"/>
  <c r="L34" i="2"/>
  <c r="I36" i="2"/>
  <c r="H36" i="2"/>
  <c r="I35" i="2"/>
  <c r="K59" i="9" s="1"/>
  <c r="H35" i="2"/>
  <c r="I34" i="2"/>
  <c r="K58" i="9"/>
  <c r="K60" i="9"/>
  <c r="J60" i="9"/>
  <c r="J59" i="9"/>
  <c r="J58" i="9"/>
  <c r="C223" i="9" l="1"/>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57" i="9"/>
  <c r="C156" i="9"/>
  <c r="C155" i="9"/>
  <c r="C154" i="9"/>
  <c r="C153" i="9"/>
  <c r="C152" i="9"/>
  <c r="C151" i="9"/>
  <c r="C150" i="9"/>
  <c r="C149" i="9"/>
  <c r="C148" i="9"/>
  <c r="C147" i="9"/>
  <c r="K184" i="9" l="1"/>
  <c r="N184" i="9" s="1"/>
  <c r="K186" i="9"/>
  <c r="N186" i="9" s="1"/>
  <c r="K187" i="9"/>
  <c r="N187" i="9" s="1"/>
  <c r="K188" i="9"/>
  <c r="N188" i="9" s="1"/>
  <c r="K189" i="9"/>
  <c r="N189" i="9" s="1"/>
  <c r="K191" i="9"/>
  <c r="N191" i="9" s="1"/>
  <c r="K196" i="9"/>
  <c r="N196" i="9" s="1"/>
  <c r="K202" i="9"/>
  <c r="N202" i="9" s="1"/>
  <c r="K204" i="9"/>
  <c r="N204" i="9" s="1"/>
  <c r="K205" i="9"/>
  <c r="N205" i="9" s="1"/>
  <c r="K206" i="9"/>
  <c r="N206" i="9" s="1"/>
  <c r="K207" i="9"/>
  <c r="N207" i="9" s="1"/>
  <c r="K209" i="9"/>
  <c r="N209" i="9" s="1"/>
  <c r="K214" i="9"/>
  <c r="N214" i="9" s="1"/>
  <c r="K216" i="9"/>
  <c r="N216" i="9" s="1"/>
  <c r="K223" i="9"/>
  <c r="N223" i="9" s="1"/>
  <c r="K161" i="9"/>
  <c r="N161" i="9" s="1"/>
  <c r="K162" i="9"/>
  <c r="N162" i="9" s="1"/>
  <c r="K164" i="9"/>
  <c r="N164" i="9" s="1"/>
  <c r="K167" i="9"/>
  <c r="N167" i="9" s="1"/>
  <c r="K168" i="9"/>
  <c r="N168" i="9" s="1"/>
  <c r="K170" i="9"/>
  <c r="N170" i="9" s="1"/>
  <c r="K173" i="9"/>
  <c r="N173" i="9" s="1"/>
  <c r="K175" i="9"/>
  <c r="N175" i="9" s="1"/>
  <c r="C428" i="9"/>
  <c r="C427" i="9"/>
  <c r="C426" i="9"/>
  <c r="C425" i="9"/>
  <c r="C424" i="9"/>
  <c r="C423" i="9"/>
  <c r="C422" i="9"/>
  <c r="C421" i="9"/>
  <c r="C420" i="9"/>
  <c r="C419" i="9"/>
  <c r="C418" i="9"/>
  <c r="C417" i="9"/>
  <c r="C416" i="9"/>
  <c r="C415" i="9"/>
  <c r="C414" i="9"/>
  <c r="C413" i="9"/>
  <c r="C412" i="9"/>
  <c r="C411" i="9"/>
  <c r="C410" i="9"/>
  <c r="C409" i="9"/>
  <c r="C408" i="9"/>
  <c r="C407" i="9"/>
  <c r="C406" i="9"/>
  <c r="C405" i="9"/>
  <c r="C404" i="9"/>
  <c r="C403" i="9"/>
  <c r="C402" i="9"/>
  <c r="C401" i="9"/>
  <c r="C400" i="9"/>
  <c r="C399" i="9"/>
  <c r="C398" i="9"/>
  <c r="C397" i="9"/>
  <c r="C396" i="9"/>
  <c r="C395" i="9"/>
  <c r="C394" i="9"/>
  <c r="C393" i="9"/>
  <c r="C392" i="9"/>
  <c r="C391" i="9"/>
  <c r="C390" i="9"/>
  <c r="C389" i="9"/>
  <c r="C388" i="9"/>
  <c r="C387" i="9"/>
  <c r="C386" i="9"/>
  <c r="C385" i="9"/>
  <c r="C384" i="9"/>
  <c r="C383" i="9"/>
  <c r="C382" i="9"/>
  <c r="C381" i="9"/>
  <c r="C380" i="9"/>
  <c r="C379" i="9"/>
  <c r="C378" i="9"/>
  <c r="C377" i="9"/>
  <c r="C376" i="9"/>
  <c r="C375"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C340" i="9"/>
  <c r="C339" i="9"/>
  <c r="C338" i="9"/>
  <c r="C337" i="9"/>
  <c r="C336" i="9"/>
  <c r="C335" i="9"/>
  <c r="C334" i="9"/>
  <c r="C333" i="9"/>
  <c r="C332" i="9"/>
  <c r="C331" i="9"/>
  <c r="C330" i="9"/>
  <c r="C329" i="9"/>
  <c r="C328" i="9"/>
  <c r="C327" i="9"/>
  <c r="C326" i="9"/>
  <c r="C325" i="9"/>
  <c r="C324" i="9"/>
  <c r="C323" i="9"/>
  <c r="C322" i="9"/>
  <c r="C321" i="9"/>
  <c r="C320" i="9"/>
  <c r="C319" i="9"/>
  <c r="C318" i="9"/>
  <c r="C317" i="9"/>
  <c r="C316" i="9"/>
  <c r="C315"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232" i="9"/>
  <c r="C231" i="9"/>
  <c r="C230" i="9"/>
  <c r="C229" i="9"/>
  <c r="C228" i="9"/>
  <c r="C227" i="9"/>
  <c r="C226" i="9"/>
  <c r="C225" i="9"/>
  <c r="J20" i="11"/>
  <c r="M20" i="11" s="1"/>
  <c r="K20" i="11"/>
  <c r="N20" i="11" s="1"/>
  <c r="I20" i="11"/>
  <c r="L20" i="11" s="1"/>
  <c r="L17" i="6"/>
  <c r="K17" i="6"/>
  <c r="J17" i="6"/>
  <c r="I17" i="6"/>
  <c r="H17" i="6"/>
  <c r="K163" i="9"/>
  <c r="N163" i="9" s="1"/>
  <c r="K165" i="9"/>
  <c r="N165" i="9" s="1"/>
  <c r="K166" i="9"/>
  <c r="N166" i="9" s="1"/>
  <c r="K169" i="9"/>
  <c r="N169" i="9" s="1"/>
  <c r="K172" i="9"/>
  <c r="N172" i="9" s="1"/>
  <c r="K174" i="9"/>
  <c r="N174" i="9" s="1"/>
  <c r="K177" i="9"/>
  <c r="N177" i="9" s="1"/>
  <c r="K178" i="9"/>
  <c r="N178" i="9" s="1"/>
  <c r="K179" i="9"/>
  <c r="N179" i="9" s="1"/>
  <c r="K180" i="9"/>
  <c r="N180" i="9" s="1"/>
  <c r="K181" i="9"/>
  <c r="N181" i="9" s="1"/>
  <c r="K185" i="9"/>
  <c r="N185" i="9" s="1"/>
  <c r="K192" i="9"/>
  <c r="N192" i="9" s="1"/>
  <c r="K193" i="9"/>
  <c r="N193" i="9" s="1"/>
  <c r="K195" i="9"/>
  <c r="N195" i="9" s="1"/>
  <c r="K197" i="9"/>
  <c r="N197" i="9" s="1"/>
  <c r="K201" i="9"/>
  <c r="N201" i="9" s="1"/>
  <c r="K203" i="9"/>
  <c r="N203" i="9" s="1"/>
  <c r="K210" i="9"/>
  <c r="N210" i="9" s="1"/>
  <c r="K211" i="9"/>
  <c r="N211" i="9" s="1"/>
  <c r="K215" i="9"/>
  <c r="N215" i="9" s="1"/>
  <c r="K176" i="9"/>
  <c r="N176" i="9" s="1"/>
  <c r="K182" i="9"/>
  <c r="N182" i="9" s="1"/>
  <c r="K183" i="9"/>
  <c r="N183" i="9" s="1"/>
  <c r="K194" i="9"/>
  <c r="N194" i="9" s="1"/>
  <c r="K208" i="9"/>
  <c r="N208" i="9" s="1"/>
  <c r="K160" i="9"/>
  <c r="M103" i="9"/>
  <c r="M115" i="9"/>
  <c r="M111" i="9"/>
  <c r="M107" i="9"/>
  <c r="M105" i="9"/>
  <c r="M102" i="9"/>
  <c r="M101" i="9"/>
  <c r="M99" i="9"/>
  <c r="M92" i="9"/>
  <c r="N160" i="9" l="1"/>
  <c r="K54" i="9"/>
  <c r="L27" i="2"/>
  <c r="N54" i="9" s="1"/>
  <c r="J27" i="2"/>
  <c r="L54" i="9" s="1"/>
  <c r="M25" i="2"/>
  <c r="M24" i="2"/>
  <c r="K22" i="2"/>
  <c r="J22" i="2"/>
  <c r="J15" i="2"/>
  <c r="L15" i="2"/>
  <c r="M15" i="2" s="1"/>
  <c r="K15" i="2"/>
  <c r="M22" i="2" l="1"/>
  <c r="L46" i="9"/>
  <c r="L47" i="9"/>
  <c r="L45" i="9"/>
  <c r="K213" i="9"/>
  <c r="N213" i="9" s="1"/>
  <c r="K212" i="9"/>
  <c r="N212" i="9" s="1"/>
  <c r="L22" i="2"/>
  <c r="M27" i="2"/>
  <c r="O54" i="9" s="1"/>
  <c r="J54" i="9"/>
  <c r="C54" i="9"/>
  <c r="K27" i="2"/>
  <c r="M54" i="9" s="1"/>
  <c r="N45" i="9" l="1"/>
  <c r="N47" i="9"/>
  <c r="N46" i="9"/>
  <c r="O45" i="9"/>
  <c r="O46" i="9"/>
  <c r="O47" i="9"/>
  <c r="C113" i="9"/>
  <c r="C112" i="9"/>
  <c r="C95" i="9"/>
  <c r="C104" i="9"/>
  <c r="C109" i="9"/>
  <c r="C51" i="9" l="1"/>
  <c r="C52" i="9"/>
  <c r="H25" i="2"/>
  <c r="C50" i="9"/>
  <c r="C49" i="9"/>
  <c r="G20" i="11"/>
  <c r="G17" i="6"/>
  <c r="C47" i="9"/>
  <c r="C46" i="9"/>
  <c r="C45" i="9"/>
  <c r="I25" i="2" l="1"/>
  <c r="J25" i="2" s="1"/>
  <c r="C60" i="9"/>
  <c r="J24" i="2" l="1"/>
  <c r="L49" i="9" s="1"/>
  <c r="M93" i="9"/>
  <c r="M94" i="9"/>
  <c r="M96" i="9"/>
  <c r="M97" i="9"/>
  <c r="M98" i="9"/>
  <c r="M100" i="9"/>
  <c r="M106" i="9"/>
  <c r="M108" i="9"/>
  <c r="M114" i="9"/>
  <c r="M116" i="9"/>
  <c r="C58" i="9"/>
  <c r="K221" i="9"/>
  <c r="N221" i="9" s="1"/>
  <c r="C57" i="9"/>
  <c r="C59" i="9"/>
  <c r="C61" i="9"/>
  <c r="K198" i="9"/>
  <c r="N198" i="9" s="1"/>
  <c r="L29" i="2"/>
  <c r="K218" i="9" l="1"/>
  <c r="N218" i="9" s="1"/>
  <c r="K217" i="9"/>
  <c r="N217" i="9" s="1"/>
  <c r="K220" i="9"/>
  <c r="N220" i="9" s="1"/>
  <c r="K219" i="9"/>
  <c r="N219" i="9" s="1"/>
  <c r="K190" i="9"/>
  <c r="N190" i="9" s="1"/>
  <c r="K171" i="9"/>
  <c r="K200" i="9"/>
  <c r="N200" i="9" s="1"/>
  <c r="K222" i="9"/>
  <c r="N222" i="9" s="1"/>
  <c r="K199" i="9"/>
  <c r="N199" i="9" s="1"/>
  <c r="M29" i="2"/>
  <c r="C75" i="9"/>
  <c r="C72" i="9"/>
  <c r="K227" i="9" l="1"/>
  <c r="N171" i="9"/>
  <c r="N227" i="9" s="1"/>
  <c r="J17" i="9"/>
  <c r="K17" i="9"/>
  <c r="L17" i="9"/>
  <c r="M17" i="9"/>
  <c r="N17" i="9"/>
  <c r="O17" i="9"/>
  <c r="J18" i="9"/>
  <c r="K18" i="9"/>
  <c r="L18" i="9"/>
  <c r="M18" i="9"/>
  <c r="N18" i="9"/>
  <c r="O18" i="9"/>
  <c r="J19" i="9"/>
  <c r="K19" i="9"/>
  <c r="L19" i="9"/>
  <c r="M19" i="9"/>
  <c r="N19" i="9"/>
  <c r="O19" i="9"/>
  <c r="J20" i="9"/>
  <c r="K20" i="9"/>
  <c r="L20" i="9"/>
  <c r="M20" i="9"/>
  <c r="N20" i="9"/>
  <c r="O20" i="9"/>
  <c r="J21" i="9"/>
  <c r="K21" i="9"/>
  <c r="L21" i="9"/>
  <c r="M21" i="9"/>
  <c r="N21" i="9"/>
  <c r="O21" i="9"/>
  <c r="J22" i="9"/>
  <c r="K22" i="9"/>
  <c r="L22" i="9"/>
  <c r="M22" i="9"/>
  <c r="N22" i="9"/>
  <c r="O22" i="9"/>
  <c r="J23" i="9"/>
  <c r="K23" i="9"/>
  <c r="L23" i="9"/>
  <c r="M23" i="9"/>
  <c r="N23" i="9"/>
  <c r="O23" i="9"/>
  <c r="J24" i="9"/>
  <c r="K24" i="9"/>
  <c r="L24" i="9"/>
  <c r="M24" i="9"/>
  <c r="N24" i="9"/>
  <c r="O24" i="9"/>
  <c r="J25" i="9"/>
  <c r="K25" i="9"/>
  <c r="L25" i="9"/>
  <c r="M25" i="9"/>
  <c r="N25" i="9"/>
  <c r="O25" i="9"/>
  <c r="J26" i="9"/>
  <c r="K26" i="9"/>
  <c r="L26" i="9"/>
  <c r="M26" i="9"/>
  <c r="N26" i="9"/>
  <c r="O26" i="9"/>
  <c r="J27" i="9"/>
  <c r="K27" i="9"/>
  <c r="L27" i="9"/>
  <c r="M27" i="9"/>
  <c r="N27" i="9"/>
  <c r="O27" i="9"/>
  <c r="J28" i="9"/>
  <c r="K28" i="9"/>
  <c r="L28" i="9"/>
  <c r="M28" i="9"/>
  <c r="N28" i="9"/>
  <c r="O28" i="9"/>
  <c r="J29" i="9"/>
  <c r="K29" i="9"/>
  <c r="L29" i="9"/>
  <c r="M29" i="9"/>
  <c r="N29" i="9"/>
  <c r="O29" i="9"/>
  <c r="J30" i="9"/>
  <c r="K30" i="9"/>
  <c r="L30" i="9"/>
  <c r="M30" i="9"/>
  <c r="N30" i="9"/>
  <c r="O30" i="9"/>
  <c r="J31" i="9"/>
  <c r="K31" i="9"/>
  <c r="L31" i="9"/>
  <c r="M31" i="9"/>
  <c r="N31" i="9"/>
  <c r="O31" i="9"/>
  <c r="J32" i="9"/>
  <c r="K32" i="9"/>
  <c r="L32" i="9"/>
  <c r="M32" i="9"/>
  <c r="N32" i="9"/>
  <c r="O32" i="9"/>
  <c r="J33" i="9"/>
  <c r="K33" i="9"/>
  <c r="L33" i="9"/>
  <c r="M33" i="9"/>
  <c r="N33" i="9"/>
  <c r="O33" i="9"/>
  <c r="J34" i="9"/>
  <c r="K34" i="9"/>
  <c r="L34" i="9"/>
  <c r="M34" i="9"/>
  <c r="N34" i="9"/>
  <c r="O34" i="9"/>
  <c r="J35" i="9"/>
  <c r="K35" i="9"/>
  <c r="L35" i="9"/>
  <c r="M35" i="9"/>
  <c r="N35" i="9"/>
  <c r="O35" i="9"/>
  <c r="J36" i="9"/>
  <c r="K36" i="9"/>
  <c r="L36" i="9"/>
  <c r="M36" i="9"/>
  <c r="N36" i="9"/>
  <c r="O36" i="9"/>
  <c r="J37" i="9"/>
  <c r="K37" i="9"/>
  <c r="L37" i="9"/>
  <c r="M37" i="9"/>
  <c r="N37" i="9"/>
  <c r="O37" i="9"/>
  <c r="J38" i="9"/>
  <c r="K38" i="9"/>
  <c r="L38" i="9"/>
  <c r="M38" i="9"/>
  <c r="N38" i="9"/>
  <c r="O38" i="9"/>
  <c r="J39" i="9"/>
  <c r="K39" i="9"/>
  <c r="L39" i="9"/>
  <c r="M39" i="9"/>
  <c r="N39" i="9"/>
  <c r="O39" i="9"/>
  <c r="J40" i="9"/>
  <c r="K40" i="9"/>
  <c r="L40" i="9"/>
  <c r="M40" i="9"/>
  <c r="N40" i="9"/>
  <c r="O40" i="9"/>
  <c r="J41" i="9"/>
  <c r="K41" i="9"/>
  <c r="L41" i="9"/>
  <c r="M41" i="9"/>
  <c r="N41" i="9"/>
  <c r="O41" i="9"/>
  <c r="O16" i="9"/>
  <c r="N16" i="9"/>
  <c r="M16" i="9"/>
  <c r="L16" i="9"/>
  <c r="K16" i="9"/>
  <c r="J16" i="9"/>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C42" i="9"/>
  <c r="D42" i="9" s="1"/>
  <c r="C56" i="9"/>
  <c r="D93" i="9" s="1"/>
  <c r="D94" i="9"/>
  <c r="C62" i="9"/>
  <c r="D99" i="9" s="1"/>
  <c r="C63" i="9"/>
  <c r="D100" i="9" s="1"/>
  <c r="C64" i="9"/>
  <c r="D101" i="9" s="1"/>
  <c r="C65" i="9"/>
  <c r="D102" i="9" s="1"/>
  <c r="C66" i="9"/>
  <c r="D103" i="9" s="1"/>
  <c r="C67" i="9"/>
  <c r="D104" i="9" s="1"/>
  <c r="C68" i="9"/>
  <c r="D105" i="9" s="1"/>
  <c r="D106" i="9"/>
  <c r="C70" i="9"/>
  <c r="D107" i="9" s="1"/>
  <c r="C71" i="9"/>
  <c r="D108" i="9" s="1"/>
  <c r="D110" i="9"/>
  <c r="C74" i="9"/>
  <c r="D111" i="9" s="1"/>
  <c r="D112" i="9"/>
  <c r="C76" i="9"/>
  <c r="D113" i="9" s="1"/>
  <c r="C77" i="9"/>
  <c r="D114" i="9" s="1"/>
  <c r="C78" i="9"/>
  <c r="D115" i="9" s="1"/>
  <c r="C79" i="9"/>
  <c r="D116" i="9" s="1"/>
  <c r="C80" i="9"/>
  <c r="D117" i="9" s="1"/>
  <c r="C81" i="9"/>
  <c r="D118" i="9" s="1"/>
  <c r="C82" i="9"/>
  <c r="D119" i="9" s="1"/>
  <c r="C83" i="9"/>
  <c r="D120" i="9" s="1"/>
  <c r="C84" i="9"/>
  <c r="D121" i="9" s="1"/>
  <c r="C85" i="9"/>
  <c r="D122" i="9" s="1"/>
  <c r="C86" i="9"/>
  <c r="D123" i="9" s="1"/>
  <c r="C87" i="9"/>
  <c r="D124" i="9" s="1"/>
  <c r="C88" i="9"/>
  <c r="D125" i="9" s="1"/>
  <c r="C89" i="9"/>
  <c r="D126" i="9" s="1"/>
  <c r="C90" i="9"/>
  <c r="D127" i="9" s="1"/>
  <c r="C92" i="9"/>
  <c r="D129" i="9" s="1"/>
  <c r="C93" i="9"/>
  <c r="D130" i="9" s="1"/>
  <c r="C94" i="9"/>
  <c r="D131" i="9" s="1"/>
  <c r="C96" i="9"/>
  <c r="D134" i="9" s="1"/>
  <c r="C97" i="9"/>
  <c r="D135" i="9" s="1"/>
  <c r="C98" i="9"/>
  <c r="D136" i="9" s="1"/>
  <c r="C99" i="9"/>
  <c r="D137" i="9" s="1"/>
  <c r="C100" i="9"/>
  <c r="D138" i="9" s="1"/>
  <c r="C101" i="9"/>
  <c r="D139" i="9" s="1"/>
  <c r="C102" i="9"/>
  <c r="D140" i="9" s="1"/>
  <c r="C103" i="9"/>
  <c r="D141" i="9" s="1"/>
  <c r="C105" i="9"/>
  <c r="D143" i="9" s="1"/>
  <c r="C106" i="9"/>
  <c r="D144" i="9" s="1"/>
  <c r="C107" i="9"/>
  <c r="D145" i="9" s="1"/>
  <c r="C108" i="9"/>
  <c r="D146" i="9" s="1"/>
  <c r="C110" i="9"/>
  <c r="D148" i="9" s="1"/>
  <c r="C111" i="9"/>
  <c r="D150" i="9" s="1"/>
  <c r="C114" i="9"/>
  <c r="D153" i="9" s="1"/>
  <c r="C115" i="9"/>
  <c r="D154" i="9" s="1"/>
  <c r="C116" i="9"/>
  <c r="D156" i="9" s="1"/>
  <c r="D157" i="9"/>
  <c r="C118" i="9"/>
  <c r="D158" i="9" s="1"/>
  <c r="C119" i="9"/>
  <c r="D159" i="9" s="1"/>
  <c r="C120" i="9"/>
  <c r="D160" i="9" s="1"/>
  <c r="C121" i="9"/>
  <c r="D161" i="9" s="1"/>
  <c r="C122" i="9"/>
  <c r="D162" i="9" s="1"/>
  <c r="C123" i="9"/>
  <c r="D163" i="9" s="1"/>
  <c r="C124" i="9"/>
  <c r="D164" i="9" s="1"/>
  <c r="C125" i="9"/>
  <c r="D165" i="9" s="1"/>
  <c r="C126" i="9"/>
  <c r="D166" i="9" s="1"/>
  <c r="C127" i="9"/>
  <c r="D167" i="9" s="1"/>
  <c r="C128" i="9"/>
  <c r="D168" i="9" s="1"/>
  <c r="C129" i="9"/>
  <c r="D169" i="9" s="1"/>
  <c r="C130" i="9"/>
  <c r="D170" i="9" s="1"/>
  <c r="C131" i="9"/>
  <c r="D171" i="9" s="1"/>
  <c r="C132" i="9"/>
  <c r="D172" i="9" s="1"/>
  <c r="C133" i="9"/>
  <c r="D173" i="9" s="1"/>
  <c r="C134" i="9"/>
  <c r="D174" i="9" s="1"/>
  <c r="C135" i="9"/>
  <c r="D175" i="9" s="1"/>
  <c r="C136" i="9"/>
  <c r="D176" i="9" s="1"/>
  <c r="C137" i="9"/>
  <c r="D177" i="9" s="1"/>
  <c r="C138" i="9"/>
  <c r="D178" i="9" s="1"/>
  <c r="C139" i="9"/>
  <c r="D179" i="9" s="1"/>
  <c r="C140" i="9"/>
  <c r="D180" i="9" s="1"/>
  <c r="C141" i="9"/>
  <c r="D181" i="9" s="1"/>
  <c r="D182" i="9"/>
  <c r="D183" i="9"/>
  <c r="C142" i="9"/>
  <c r="D184" i="9" s="1"/>
  <c r="C143" i="9"/>
  <c r="D185" i="9" s="1"/>
  <c r="C144" i="9"/>
  <c r="D186" i="9" s="1"/>
  <c r="C145" i="9"/>
  <c r="D187" i="9" s="1"/>
  <c r="C146" i="9"/>
  <c r="D188" i="9" s="1"/>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F14" i="11"/>
  <c r="J14" i="11" s="1"/>
  <c r="K14" i="11"/>
  <c r="I14" i="11"/>
  <c r="N14" i="11"/>
  <c r="L14" i="11"/>
  <c r="M14" i="11"/>
  <c r="C15" i="9"/>
  <c r="D15" i="9" s="1"/>
  <c r="J17" i="11" l="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tc={68D99424-A89B-4C4D-8559-FAB061D923A0}</author>
    <author>tc={687A2E96-AD24-3349-9FDD-F156B9FB5329}</author>
    <author>tc={12159F83-2E0D-0249-8AC9-2FB724743455}</author>
    <author>tc={A3E99852-3B49-F94C-90E2-1CFEC05DDE1B}</author>
    <author>tc={7ECD48BC-4BE8-AD4A-A7A9-48CC9BF8752B}</author>
    <author>tc={6030BA5A-9F1E-7E45-8C93-FFE000CA013F}</author>
    <author>tc={CA44A630-8B29-4DB2-8403-418E6D9EAD9A}</author>
    <author>tc={74A732AF-6E4C-4BCC-ACB9-9C6A5B8A303B}</author>
    <author>tc={154476D9-2062-414C-A096-0D0FF4E856ED}</author>
    <author>tc={EFB60387-A55C-43F6-81DE-2239B6491917}</author>
    <author>tc={CC729BF5-F21E-4932-9795-DE4A907605EB}</author>
    <author>tc={C656CA7E-2719-4BCC-BDE3-FD74E094F9FB}</author>
    <author>tc={A2EC7590-8D6C-4D05-8192-9E6BA500E44E}</author>
    <author>tc={7B42F9FE-DAA4-4962-B761-F97872CC690E}</author>
    <author>tc={12070290-628D-42E8-8959-EC417E232012}</author>
    <author>tc={F96AF8E9-23CF-48FC-9EDF-98FC6826B679}</author>
    <author>tc={93FCC750-50BA-4B07-9217-3E52D25E3C0D}</author>
    <author>tc={457CFB9D-A21C-4E1E-84D7-DDB8234EF45B}</author>
    <author>tc={42E9F47F-1096-426C-87B2-0D83CAB546BB}</author>
    <author>tc={26EEA911-4698-4860-B9CF-5434A992BE6B}</author>
    <author>tc={3440E446-0FDB-434A-8329-735E393C40C9}</author>
    <author>tc={F896E60E-5C91-4763-B581-8EC62790DA95}</author>
    <author>tc={84A0FAF6-2D73-4363-A480-E3565FABAF99}</author>
    <author>tc={8D91119A-970C-441B-84AB-1F7F6906649E}</author>
    <author>tc={D85B4250-ED1B-47E3-8FFF-EC7506303844}</author>
    <author>tc={FC9FEC9B-6D8D-4658-8663-2CFFEB1BA8FA}</author>
    <author>tc={B7328C24-1476-4428-955B-07B6AAC19A51}</author>
    <author>tc={D274D456-C4EF-493F-A8F1-1C08726B3CDA}</author>
    <author>tc={A7256B7C-0CEC-4355-9EE7-6B31A3240E00}</author>
    <author>tc={AB3CB902-5DB1-4EEC-BC66-0BBA41DAA972}</author>
    <author>tc={5BC0FA8D-6E80-4AFF-9B8D-F4D93C69D331}</author>
    <author>tc={EEB635B5-56A9-43CE-B7E1-C23825EBE52F}</author>
    <author>tc={E487345A-5A68-42A7-BB6F-19999916BE87}</author>
    <author>tc={006F25AF-358E-4998-8FDA-5391A5FB3C1C}</author>
    <author>tc={01C1CCC9-2894-4CEF-AC7A-19616FFF84B6}</author>
    <author>tc={979601E2-A362-409F-9C2E-EB2DC7B7A6B9}</author>
    <author>tc={360C8BCF-F9C9-D749-B6B8-9D037186036A}</author>
    <author>tc={82443FE3-DDB4-4F96-9617-02E577B53904}</author>
    <author>tc={56E4F891-9C5C-46E8-94A2-6A58EA5F431A}</author>
    <author>tc={A69F3BCB-9C84-47C7-A223-C8431CB069F0}</author>
    <author>tc={B3B29921-D0DA-4559-8D64-7FE18A37BD3F}</author>
    <author>tc={07FD7926-7A7C-438B-8B9F-368A2CB0947D}</author>
    <author>tc={1D8A78C2-69D6-426A-9EF4-33183AF655C6}</author>
    <author>tc={2732DD1E-A220-4FCF-8ABE-158E3CCA372E}</author>
    <author>tc={35EDE691-1716-4BF2-AEDB-E4C3FEB600EE}</author>
    <author>tc={A44B821A-27B1-4EA5-B52A-67A5629A5128}</author>
    <author>tc={418F8CCC-9052-4BC8-8D42-264FE6A2FEE6}</author>
    <author>tc={BEF33699-0360-493D-BD89-DE611B0F1BE9}</author>
    <author>tc={5462664C-B69B-4F65-8F64-FEFFA8781D04}</author>
    <author>tc={FEE12CC9-C71C-4EF5-AAC1-2F11D23503A0}</author>
    <author>tc={66C66A0E-E78F-6F4E-930A-1909C4B5B49E}</author>
    <author>tc={C03E838F-EA14-40E3-A722-BB26AA7547A8}</author>
    <author>tc={C70A0D7C-97D7-42F1-9349-D9444D5C075F}</author>
    <author>tc={8B64FF6D-DDCC-41E8-9F5C-B2B12FB6190A}</author>
    <author>tc={8B54BFCD-F6BB-496E-9AA8-448C95A69CCE}</author>
    <author>tc={287DEB4A-E420-4545-A5E0-4541C12F490D}</author>
    <author>tc={BDBB2E11-684D-46F9-BF52-CCEDBBF5D0CE}</author>
    <author>tc={C1E7EE23-54D4-4B29-83C6-85D0D8283AC3}</author>
    <author>tc={28C93F1C-25C6-452C-B1FD-2F98BD9EF004}</author>
    <author>tc={6A6A7755-E9FE-4677-AACC-39C8B7D77DB2}</author>
    <author>tc={D9720258-5026-4A6B-A070-159E1654A199}</author>
    <author>tc={6336E281-5B5A-4504-A4A4-4F7AE771983E}</author>
    <author>tc={48776EA6-A2C7-4D46-A0A2-4796C4BF55BE}</author>
    <author>tc={DC40282D-E7DB-704E-BB21-00E65D4ABA29}</author>
    <author>tc={A97CF459-0E56-4DAE-AE22-A1794F439A10}</author>
  </authors>
  <commentList>
    <comment ref="K22" authorId="0" shapeId="0" xr:uid="{68D99424-A89B-4C4D-8559-FAB061D923A0}">
      <text>
        <t>[Threaded comment]
Your version of Excel allows you to read this threaded comment; however, any edits to it will get removed if the file is opened in a newer version of Excel. Learn more: https://go.microsoft.com/fwlink/?linkid=870924
Comment:
    Welding is estimated to occur approximately once a week.</t>
      </text>
    </comment>
    <comment ref="I24" authorId="1" shapeId="0" xr:uid="{687A2E96-AD24-3349-9FDD-F156B9FB5329}">
      <text>
        <t>[Threaded comment]
Your version of Excel allows you to read this threaded comment; however, any edits to it will get removed if the file is opened in a newer version of Excel. Learn more: https://go.microsoft.com/fwlink/?linkid=870924
Comment:
    Batches occur once per day, added a safety factor of 1.2 to be conservative.
Reply:
    Updated SF to 2</t>
      </text>
    </comment>
    <comment ref="H27" authorId="2" shapeId="0" xr:uid="{12159F83-2E0D-0249-8AC9-2FB724743455}">
      <text>
        <t xml:space="preserve">[Threaded comment]
Your version of Excel allows you to read this threaded comment; however, any edits to it will get removed if the file is opened in a newer version of Excel. Learn more: https://go.microsoft.com/fwlink/?linkid=870924
Comment:
    2023 volume
</t>
      </text>
    </comment>
    <comment ref="I27" authorId="3" shapeId="0" xr:uid="{A3E99852-3B49-F94C-90E2-1CFEC05DDE1B}">
      <text>
        <t>[Threaded comment]
Your version of Excel allows you to read this threaded comment; however, any edits to it will get removed if the file is opened in a newer version of Excel. Learn more: https://go.microsoft.com/fwlink/?linkid=870924
Comment:
    2023 volume + 20%</t>
      </text>
    </comment>
    <comment ref="H29" authorId="4" shapeId="0" xr:uid="{7ECD48BC-4BE8-AD4A-A7A9-48CC9BF8752B}">
      <text>
        <t>[Threaded comment]
Your version of Excel allows you to read this threaded comment; however, any edits to it will get removed if the file is opened in a newer version of Excel. Learn more: https://go.microsoft.com/fwlink/?linkid=870924
Comment:
    Assumes 6 batches per year</t>
      </text>
    </comment>
    <comment ref="K29" authorId="5" shapeId="0" xr:uid="{6030BA5A-9F1E-7E45-8C93-FFE000CA013F}">
      <text>
        <t>[Threaded comment]
Your version of Excel allows you to read this threaded comment; however, any edits to it will get removed if the file is opened in a newer version of Excel. Learn more: https://go.microsoft.com/fwlink/?linkid=870924
Comment:
    Cycle Time = 168 hours
= 7 days</t>
      </text>
    </comment>
    <comment ref="H34" authorId="6" shapeId="0" xr:uid="{CA44A630-8B29-4DB2-8403-418E6D9EAD9A}">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I34" authorId="7" shapeId="0" xr:uid="{74A732AF-6E4C-4BCC-ACB9-9C6A5B8A303B}">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K34" authorId="8" shapeId="0" xr:uid="{154476D9-2062-414C-A096-0D0FF4E856ED}">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L34" authorId="9" shapeId="0" xr:uid="{EFB60387-A55C-43F6-81DE-2239B6491917}">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H35" authorId="10" shapeId="0" xr:uid="{CC729BF5-F21E-4932-9795-DE4A907605EB}">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I35" authorId="11" shapeId="0" xr:uid="{C656CA7E-2719-4BCC-BDE3-FD74E094F9FB}">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K35" authorId="12" shapeId="0" xr:uid="{A2EC7590-8D6C-4D05-8192-9E6BA500E44E}">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L35" authorId="13" shapeId="0" xr:uid="{7B42F9FE-DAA4-4962-B761-F97872CC690E}">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H36" authorId="14" shapeId="0" xr:uid="{12070290-628D-42E8-8959-EC417E232012}">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I36" authorId="15" shapeId="0" xr:uid="{F96AF8E9-23CF-48FC-9EDF-98FC6826B679}">
      <text>
        <t>[Threaded comment]
Your version of Excel allows you to read this threaded comment; however, any edits to it will get removed if the file is opened in a newer version of Excel. Learn more: https://go.microsoft.com/fwlink/?linkid=870924
Comment:
    Assumes 20 batches per year</t>
      </text>
    </comment>
    <comment ref="K36" authorId="16" shapeId="0" xr:uid="{93FCC750-50BA-4B07-9217-3E52D25E3C0D}">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L36" authorId="17" shapeId="0" xr:uid="{457CFB9D-A21C-4E1E-84D7-DDB8234EF45B}">
      <text>
        <t>[Threaded comment]
Your version of Excel allows you to read this threaded comment; however, any edits to it will get removed if the file is opened in a newer version of Excel. Learn more: https://go.microsoft.com/fwlink/?linkid=870924
Comment:
    Cycle Time = 240 hours
= 10 days</t>
      </text>
    </comment>
    <comment ref="H49" authorId="18" shapeId="0" xr:uid="{42E9F47F-1096-426C-87B2-0D83CAB546BB}">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I49" authorId="19" shapeId="0" xr:uid="{26EEA911-4698-4860-B9CF-5434A992BE6B}">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K49" authorId="20" shapeId="0" xr:uid="{3440E446-0FDB-434A-8329-735E393C40C9}">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L49" authorId="21" shapeId="0" xr:uid="{F896E60E-5C91-4763-B581-8EC62790DA95}">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H50" authorId="22" shapeId="0" xr:uid="{84A0FAF6-2D73-4363-A480-E3565FABAF99}">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I50" authorId="23" shapeId="0" xr:uid="{8D91119A-970C-441B-84AB-1F7F6906649E}">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K50" authorId="24" shapeId="0" xr:uid="{D85B4250-ED1B-47E3-8FFF-EC7506303844}">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L50" authorId="25" shapeId="0" xr:uid="{FC9FEC9B-6D8D-4658-8663-2CFFEB1BA8FA}">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H51" authorId="26" shapeId="0" xr:uid="{B7328C24-1476-4428-955B-07B6AAC19A51}">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I51" authorId="27" shapeId="0" xr:uid="{D274D456-C4EF-493F-A8F1-1C08726B3CDA}">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K51" authorId="28" shapeId="0" xr:uid="{A7256B7C-0CEC-4355-9EE7-6B31A3240E00}">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L51" authorId="29" shapeId="0" xr:uid="{AB3CB902-5DB1-4EEC-BC66-0BBA41DAA972}">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H52" authorId="30" shapeId="0" xr:uid="{5BC0FA8D-6E80-4AFF-9B8D-F4D93C69D331}">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I52" authorId="31" shapeId="0" xr:uid="{EEB635B5-56A9-43CE-B7E1-C23825EBE52F}">
      <text>
        <t>[Threaded comment]
Your version of Excel allows you to read this threaded comment; however, any edits to it will get removed if the file is opened in a newer version of Excel. Learn more: https://go.microsoft.com/fwlink/?linkid=870924
Comment:
    95 batches
Reply:
    Assumes 95 batches</t>
      </text>
    </comment>
    <comment ref="K52" authorId="32" shapeId="0" xr:uid="{E487345A-5A68-42A7-BB6F-19999916BE87}">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L52" authorId="33" shapeId="0" xr:uid="{006F25AF-358E-4998-8FDA-5391A5FB3C1C}">
      <text>
        <t>[Threaded comment]
Your version of Excel allows you to read this threaded comment; however, any edits to it will get removed if the file is opened in a newer version of Excel. Learn more: https://go.microsoft.com/fwlink/?linkid=870924
Comment:
    Cycle Time = 148 hours
= 6.17 days</t>
      </text>
    </comment>
    <comment ref="H54" authorId="34" shapeId="0" xr:uid="{01C1CCC9-2894-4CEF-AC7A-19616FFF84B6}">
      <text>
        <t>[Threaded comment]
Your version of Excel allows you to read this threaded comment; however, any edits to it will get removed if the file is opened in a newer version of Excel. Learn more: https://go.microsoft.com/fwlink/?linkid=870924
Comment:
    Assumes 2 batches</t>
      </text>
    </comment>
    <comment ref="I54" authorId="35" shapeId="0" xr:uid="{979601E2-A362-409F-9C2E-EB2DC7B7A6B9}">
      <text>
        <t>[Threaded comment]
Your version of Excel allows you to read this threaded comment; however, any edits to it will get removed if the file is opened in a newer version of Excel. Learn more: https://go.microsoft.com/fwlink/?linkid=870924
Comment:
    Assumes 2 batches</t>
      </text>
    </comment>
    <comment ref="K54" authorId="36" shapeId="0" xr:uid="{360C8BCF-F9C9-D749-B6B8-9D037186036A}">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L54" authorId="37" shapeId="0" xr:uid="{82443FE3-DDB4-4F96-9617-02E577B53904}">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H55" authorId="38" shapeId="0" xr:uid="{56E4F891-9C5C-46E8-94A2-6A58EA5F431A}">
      <text>
        <t>[Threaded comment]
Your version of Excel allows you to read this threaded comment; however, any edits to it will get removed if the file is opened in a newer version of Excel. Learn more: https://go.microsoft.com/fwlink/?linkid=870924
Comment:
    Assumes 2 batches</t>
      </text>
    </comment>
    <comment ref="I55" authorId="39" shapeId="0" xr:uid="{A69F3BCB-9C84-47C7-A223-C8431CB069F0}">
      <text>
        <t>[Threaded comment]
Your version of Excel allows you to read this threaded comment; however, any edits to it will get removed if the file is opened in a newer version of Excel. Learn more: https://go.microsoft.com/fwlink/?linkid=870924
Comment:
    Assumes 2 batches</t>
      </text>
    </comment>
    <comment ref="K55" authorId="40" shapeId="0" xr:uid="{B3B29921-D0DA-4559-8D64-7FE18A37BD3F}">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L55" authorId="41" shapeId="0" xr:uid="{07FD7926-7A7C-438B-8B9F-368A2CB0947D}">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H57" authorId="42" shapeId="0" xr:uid="{1D8A78C2-69D6-426A-9EF4-33183AF655C6}">
      <text>
        <t>[Threaded comment]
Your version of Excel allows you to read this threaded comment; however, any edits to it will get removed if the file is opened in a newer version of Excel. Learn more: https://go.microsoft.com/fwlink/?linkid=870924
Comment:
    Assumes 2 batches</t>
      </text>
    </comment>
    <comment ref="I57" authorId="43" shapeId="0" xr:uid="{2732DD1E-A220-4FCF-8ABE-158E3CCA372E}">
      <text>
        <t>[Threaded comment]
Your version of Excel allows you to read this threaded comment; however, any edits to it will get removed if the file is opened in a newer version of Excel. Learn more: https://go.microsoft.com/fwlink/?linkid=870924
Comment:
    Assumes 2 batches</t>
      </text>
    </comment>
    <comment ref="K57" authorId="44" shapeId="0" xr:uid="{35EDE691-1716-4BF2-AEDB-E4C3FEB600EE}">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L57" authorId="45" shapeId="0" xr:uid="{A44B821A-27B1-4EA5-B52A-67A5629A5128}">
      <text>
        <t>[Threaded comment]
Your version of Excel allows you to read this threaded comment; however, any edits to it will get removed if the file is opened in a newer version of Excel. Learn more: https://go.microsoft.com/fwlink/?linkid=870924
Comment:
    Cycle Time = 480 hours
= 20 days</t>
      </text>
    </comment>
    <comment ref="H59" authorId="46" shapeId="0" xr:uid="{418F8CCC-9052-4BC8-8D42-264FE6A2FEE6}">
      <text>
        <t>[Threaded comment]
Your version of Excel allows you to read this threaded comment; however, any edits to it will get removed if the file is opened in a newer version of Excel. Learn more: https://go.microsoft.com/fwlink/?linkid=870924
Comment:
    Assumes 10 batches</t>
      </text>
    </comment>
    <comment ref="I59" authorId="47" shapeId="0" xr:uid="{BEF33699-0360-493D-BD89-DE611B0F1BE9}">
      <text>
        <t>[Threaded comment]
Your version of Excel allows you to read this threaded comment; however, any edits to it will get removed if the file is opened in a newer version of Excel. Learn more: https://go.microsoft.com/fwlink/?linkid=870924
Comment:
    Assumes 10 batches</t>
      </text>
    </comment>
    <comment ref="K59" authorId="48" shapeId="0" xr:uid="{5462664C-B69B-4F65-8F64-FEFFA8781D04}">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L59" authorId="49" shapeId="0" xr:uid="{FEE12CC9-C71C-4EF5-AAC1-2F11D23503A0}">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C60" authorId="50" shapeId="0" xr:uid="{66C66A0E-E78F-6F4E-930A-1909C4B5B49E}">
      <text>
        <t>[Threaded comment]
Your version of Excel allows you to read this threaded comment; however, any edits to it will get removed if the file is opened in a newer version of Excel. Learn more: https://go.microsoft.com/fwlink/?linkid=870924
Comment:
    E.M. emission factors for this TEU include both control and non-controlled emissions, so left combined.</t>
      </text>
    </comment>
    <comment ref="H60" authorId="51" shapeId="0" xr:uid="{C03E838F-EA14-40E3-A722-BB26AA7547A8}">
      <text>
        <t>[Threaded comment]
Your version of Excel allows you to read this threaded comment; however, any edits to it will get removed if the file is opened in a newer version of Excel. Learn more: https://go.microsoft.com/fwlink/?linkid=870924
Comment:
    Assumes 10 batches</t>
      </text>
    </comment>
    <comment ref="I60" authorId="52" shapeId="0" xr:uid="{C70A0D7C-97D7-42F1-9349-D9444D5C075F}">
      <text>
        <t>[Threaded comment]
Your version of Excel allows you to read this threaded comment; however, any edits to it will get removed if the file is opened in a newer version of Excel. Learn more: https://go.microsoft.com/fwlink/?linkid=870924
Comment:
    Assumes 10 batches</t>
      </text>
    </comment>
    <comment ref="K60" authorId="53" shapeId="0" xr:uid="{8B64FF6D-DDCC-41E8-9F5C-B2B12FB6190A}">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L60" authorId="54" shapeId="0" xr:uid="{8B54BFCD-F6BB-496E-9AA8-448C95A69CCE}">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H61" authorId="55" shapeId="0" xr:uid="{287DEB4A-E420-4545-A5E0-4541C12F490D}">
      <text>
        <t>[Threaded comment]
Your version of Excel allows you to read this threaded comment; however, any edits to it will get removed if the file is opened in a newer version of Excel. Learn more: https://go.microsoft.com/fwlink/?linkid=870924
Comment:
    Assumes 10 batches</t>
      </text>
    </comment>
    <comment ref="I61" authorId="56" shapeId="0" xr:uid="{BDBB2E11-684D-46F9-BF52-CCEDBBF5D0CE}">
      <text>
        <t>[Threaded comment]
Your version of Excel allows you to read this threaded comment; however, any edits to it will get removed if the file is opened in a newer version of Excel. Learn more: https://go.microsoft.com/fwlink/?linkid=870924
Comment:
    Assumes 10 batches</t>
      </text>
    </comment>
    <comment ref="K61" authorId="57" shapeId="0" xr:uid="{C1E7EE23-54D4-4B29-83C6-85D0D8283AC3}">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L61" authorId="58" shapeId="0" xr:uid="{28C93F1C-25C6-452C-B1FD-2F98BD9EF004}">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H62" authorId="59" shapeId="0" xr:uid="{6A6A7755-E9FE-4677-AACC-39C8B7D77DB2}">
      <text>
        <t>[Threaded comment]
Your version of Excel allows you to read this threaded comment; however, any edits to it will get removed if the file is opened in a newer version of Excel. Learn more: https://go.microsoft.com/fwlink/?linkid=870924
Comment:
    Assumes 10 batches</t>
      </text>
    </comment>
    <comment ref="I62" authorId="60" shapeId="0" xr:uid="{D9720258-5026-4A6B-A070-159E1654A199}">
      <text>
        <t>[Threaded comment]
Your version of Excel allows you to read this threaded comment; however, any edits to it will get removed if the file is opened in a newer version of Excel. Learn more: https://go.microsoft.com/fwlink/?linkid=870924
Comment:
    Assumes 10 batches</t>
      </text>
    </comment>
    <comment ref="K62" authorId="61" shapeId="0" xr:uid="{6336E281-5B5A-4504-A4A4-4F7AE771983E}">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L62" authorId="62" shapeId="0" xr:uid="{48776EA6-A2C7-4D46-A0A2-4796C4BF55BE}">
      <text>
        <t>[Threaded comment]
Your version of Excel allows you to read this threaded comment; however, any edits to it will get removed if the file is opened in a newer version of Excel. Learn more: https://go.microsoft.com/fwlink/?linkid=870924
Comment:
    Cycle Time = 360 hours
= 15 days</t>
      </text>
    </comment>
    <comment ref="I64" authorId="63" shapeId="0" xr:uid="{DC40282D-E7DB-704E-BB21-00E65D4ABA29}">
      <text>
        <t>[Threaded comment]
Your version of Excel allows you to read this threaded comment; however, any edits to it will get removed if the file is opened in a newer version of Excel. Learn more: https://go.microsoft.com/fwlink/?linkid=870924
Comment:
    Added a 2.4x SF since future processes are not currently known</t>
      </text>
    </comment>
    <comment ref="I66" authorId="64" shapeId="0" xr:uid="{A97CF459-0E56-4DAE-AE22-A1794F439A10}">
      <text>
        <t>[Threaded comment]
Your version of Excel allows you to read this threaded comment; however, any edits to it will get removed if the file is opened in a newer version of Excel. Learn more: https://go.microsoft.com/fwlink/?linkid=870924
Comment:
    Added a 20x SF since future processes are not currently known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tc={7DEAB2F7-A426-744F-9230-695E785A245F}</author>
    <author>tc={5D55876C-B80C-AE48-8E81-A4CC648B0132}</author>
    <author>tc={9F557E9D-934F-F94A-863B-74601B52336D}</author>
    <author>tc={3214EE33-0338-F649-B6A7-B59705424730}</author>
    <author>tc={1438B16B-86AF-E04D-9524-16967744E236}</author>
    <author>tc={B7E8056A-D787-E248-9D56-616F2B3D0A7B}</author>
    <author>tc={92586EBE-DF5E-5140-AF31-D247D86012B7}</author>
    <author>tc={E98E01AE-35A3-0040-B1CD-E0F7AC2CD10A}</author>
    <author>tc={E3D0E7AB-F86D-4343-B8A8-12F945604766}</author>
    <author>tc={70982DA7-1D78-804B-8E29-F0073F7D912F}</author>
    <author>tc={3CE4390E-016D-AA4C-8C6F-A14B191BE635}</author>
    <author>tc={BF52FBD3-DDEF-A240-8219-CC307C57AFF0}</author>
    <author>tc={6B85F0F7-C588-3C43-9D91-8114C1413B6D}</author>
    <author>tc={8E55AAD3-6F77-FE45-BC0E-E315C10B3FFC}</author>
    <author>tc={B42795CB-193C-A043-8DED-6B19B1AE366A}</author>
    <author>tc={6A1D4BE9-E1BD-6647-930D-B5A47963F4A0}</author>
    <author>tc={E1FE5BA6-EC9C-E74F-AB10-5E4FF8E67A53}</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18" authorId="1" shapeId="0" xr:uid="{7DEAB2F7-A426-744F-9230-695E785A245F}">
      <text>
        <t>[Threaded comment]
Your version of Excel allows you to read this threaded comment; however, any edits to it will get removed if the file is opened in a newer version of Excel. Learn more: https://go.microsoft.com/fwlink/?linkid=870924
Comment:
    Boiler equipment does not use SNCR or SCR</t>
      </text>
    </comment>
    <comment ref="G18" authorId="2" shapeId="0" xr:uid="{5D55876C-B80C-AE48-8E81-A4CC648B0132}">
      <text>
        <t>[Threaded comment]
Your version of Excel allows you to read this threaded comment; however, any edits to it will get removed if the file is opened in a newer version of Excel. Learn more: https://go.microsoft.com/fwlink/?linkid=870924
Comment:
    Boiler equipment does not use SNCR or SCR</t>
      </text>
    </comment>
    <comment ref="E62" authorId="3" shapeId="0" xr:uid="{9F557E9D-934F-F94A-863B-74601B52336D}">
      <text>
        <t>[Threaded comment]
Your version of Excel allows you to read this threaded comment; however, any edits to it will get removed if the file is opened in a newer version of Excel. Learn more: https://go.microsoft.com/fwlink/?linkid=870924
Comment:
    Scrubber control modeled in Emission Master and reflected in EF.</t>
      </text>
    </comment>
    <comment ref="E63" authorId="4" shapeId="0" xr:uid="{3214EE33-0338-F649-B6A7-B59705424730}">
      <text>
        <t>[Threaded comment]
Your version of Excel allows you to read this threaded comment; however, any edits to it will get removed if the file is opened in a newer version of Excel. Learn more: https://go.microsoft.com/fwlink/?linkid=870924
Comment:
    Scrubber control modeled in Emission Master and reflected in EF.</t>
      </text>
    </comment>
    <comment ref="E80" authorId="5" shapeId="0" xr:uid="{1438B16B-86AF-E04D-9524-16967744E236}">
      <text>
        <t>[Threaded comment]
Your version of Excel allows you to read this threaded comment; however, any edits to it will get removed if the file is opened in a newer version of Excel. Learn more: https://go.microsoft.com/fwlink/?linkid=870924
Comment:
    Emission factor calculated by Emission Model for this TEU includes both control and non-controlled emissions.</t>
      </text>
    </comment>
    <comment ref="E81" authorId="6" shapeId="0" xr:uid="{B7E8056A-D787-E248-9D56-616F2B3D0A7B}">
      <text>
        <t>[Threaded comment]
Your version of Excel allows you to read this threaded comment; however, any edits to it will get removed if the file is opened in a newer version of Excel. Learn more: https://go.microsoft.com/fwlink/?linkid=870924
Comment:
    Emission factor calculated by Emission Model for this TEU includes both control and non-controlled emissions.</t>
      </text>
    </comment>
    <comment ref="E82" authorId="7" shapeId="0" xr:uid="{92586EBE-DF5E-5140-AF31-D247D86012B7}">
      <text>
        <t>[Threaded comment]
Your version of Excel allows you to read this threaded comment; however, any edits to it will get removed if the file is opened in a newer version of Excel. Learn more: https://go.microsoft.com/fwlink/?linkid=870924
Comment:
    Emission factor calculated by Emission Model for this TEU includes both control and non-controlled emissions.</t>
      </text>
    </comment>
    <comment ref="E83" authorId="8" shapeId="0" xr:uid="{E98E01AE-35A3-0040-B1CD-E0F7AC2CD10A}">
      <text>
        <t>[Threaded comment]
Your version of Excel allows you to read this threaded comment; however, any edits to it will get removed if the file is opened in a newer version of Excel. Learn more: https://go.microsoft.com/fwlink/?linkid=870924
Comment:
    Emission factor calculated by Emission Model for this TEU includes both control and non-controlled emissions.</t>
      </text>
    </comment>
    <comment ref="M92" authorId="9" shapeId="0" xr:uid="{E3D0E7AB-F86D-4343-B8A8-12F945604766}">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are emitted in one day.</t>
      </text>
    </comment>
    <comment ref="M99" authorId="10" shapeId="0" xr:uid="{70982DA7-1D78-804B-8E29-F0073F7D912F}">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01" authorId="11" shapeId="0" xr:uid="{3CE4390E-016D-AA4C-8C6F-A14B191BE635}">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02" authorId="12" shapeId="0" xr:uid="{BF52FBD3-DDEF-A240-8219-CC307C57AFF0}">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03" authorId="13" shapeId="0" xr:uid="{6B85F0F7-C588-3C43-9D91-8114C1413B6D}">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05" authorId="14" shapeId="0" xr:uid="{8E55AAD3-6F77-FE45-BC0E-E315C10B3FFC}">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07" authorId="15" shapeId="0" xr:uid="{B42795CB-193C-A043-8DED-6B19B1AE366A}">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11" authorId="16" shapeId="0" xr:uid="{6A1D4BE9-E1BD-6647-930D-B5A47963F4A0}">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 ref="M115" authorId="17" shapeId="0" xr:uid="{E1FE5BA6-EC9C-E74F-AB10-5E4FF8E67A53}">
      <text>
        <t>[Threaded comment]
Your version of Excel allows you to read this threaded comment; however, any edits to it will get removed if the file is opened in a newer version of Excel. Learn more: https://go.microsoft.com/fwlink/?linkid=870924
Comment:
    Assumes: 1) process cycle is 7 days, 2) process runs consistently, 3) all emissions from a cycle is emitted in one day.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tc={79FE8DB4-3136-D14C-81CE-FB2E28A0848D}</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G17" authorId="1" shapeId="0" xr:uid="{79FE8DB4-3136-D14C-81CE-FB2E28A0848D}">
      <text>
        <t>[Threaded comment]
Your version of Excel allows you to read this threaded comment; however, any edits to it will get removed if the file is opened in a newer version of Excel. Learn more: https://go.microsoft.com/fwlink/?linkid=870924
Comment:
    55 gallons per year*10.35 lbs/gal
Density from SDS is 1.24 g/ml
The formula used is: (1.24 g/ml) × (3,785.41178 ml/gallon) ÷ (453.59237 g/pound)=10.348 lbs/gal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tc={68BE10C3-736E-BE4E-9B5D-F3A67BF3C10E}</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 ref="H20" authorId="1" shapeId="0" xr:uid="{68BE10C3-736E-BE4E-9B5D-F3A67BF3C10E}">
      <text>
        <t>[Threaded comment]
Your version of Excel allows you to read this threaded comment; however, any edits to it will get removed if the file is opened in a newer version of Excel. Learn more: https://go.microsoft.com/fwlink/?linkid=870924
Comment:
    Technical Reference: https://www.sciencedirect.com/science/article/abs/pii/0043135484900137?via%3Dihub</t>
      </text>
    </comment>
  </commentList>
</comments>
</file>

<file path=xl/sharedStrings.xml><?xml version="1.0" encoding="utf-8"?>
<sst xmlns="http://schemas.openxmlformats.org/spreadsheetml/2006/main" count="2815" uniqueCount="1489">
  <si>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</si>
  <si>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</si>
  <si>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</si>
  <si>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</si>
  <si>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</si>
  <si>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</si>
  <si>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</si>
  <si>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</si>
  <si>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</si>
  <si>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</si>
  <si>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</si>
  <si>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</si>
  <si>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</si>
  <si>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</si>
  <si>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</si>
  <si>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</si>
  <si>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</si>
  <si>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</si>
  <si>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</si>
  <si>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</si>
  <si>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</si>
  <si>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</si>
  <si>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</si>
  <si>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</si>
  <si>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</si>
  <si>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</si>
  <si>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</si>
  <si>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</si>
  <si>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</si>
  <si>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</si>
  <si>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</si>
  <si>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</si>
  <si>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</si>
  <si>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</si>
  <si>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</si>
  <si>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</si>
  <si>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</si>
  <si>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</si>
  <si>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</si>
  <si>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</si>
  <si>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</si>
  <si>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</si>
  <si>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</si>
  <si>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</si>
  <si>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</si>
  <si>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</si>
  <si>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</si>
  <si>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</si>
  <si>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</si>
  <si>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</si>
  <si>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</si>
  <si>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</si>
  <si>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</si>
  <si>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</si>
  <si>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</si>
  <si>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</si>
  <si>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</si>
  <si>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</si>
  <si>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</si>
  <si>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</si>
  <si>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</si>
  <si>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</si>
  <si>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</si>
  <si>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</si>
  <si>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</si>
  <si>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</si>
  <si>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</si>
  <si>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</si>
  <si>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</si>
  <si>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</si>
  <si>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</si>
  <si>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</si>
  <si>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</si>
  <si>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</si>
  <si>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</si>
  <si>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</si>
  <si>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</si>
  <si>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</si>
  <si>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</si>
  <si>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</si>
  <si>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</si>
  <si>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</si>
  <si>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</si>
  <si>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</si>
  <si>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</si>
  <si>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</si>
  <si>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</si>
  <si>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</si>
  <si>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</si>
  <si>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</si>
  <si>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</si>
  <si>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</si>
  <si>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</si>
  <si>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</si>
  <si>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</si>
  <si>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</si>
  <si>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</si>
  <si>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</si>
  <si>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</si>
  <si>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</si>
  <si>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</si>
  <si>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</si>
  <si>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</si>
  <si>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</si>
  <si>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</si>
  <si>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</si>
  <si>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</si>
  <si>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</si>
  <si>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</si>
  <si>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</si>
  <si>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</si>
  <si>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</si>
  <si>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</si>
  <si>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</si>
  <si>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</si>
  <si>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</si>
  <si>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</si>
  <si>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</si>
  <si>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</si>
  <si>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</si>
  <si>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</si>
  <si>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</si>
  <si>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</si>
  <si>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</si>
  <si>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</si>
  <si>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</si>
  <si>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</si>
  <si>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</si>
  <si>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</si>
  <si>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</si>
  <si>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</si>
  <si>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</si>
  <si>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</si>
  <si>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</si>
  <si>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</si>
  <si>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</si>
  <si>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</si>
  <si>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</si>
  <si>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</si>
  <si>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</si>
  <si>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</si>
  <si>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</si>
  <si>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</si>
  <si>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</si>
  <si>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</si>
  <si>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</si>
  <si>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</si>
  <si>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</si>
  <si>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</si>
  <si>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</si>
  <si>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</si>
  <si>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</si>
  <si>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</si>
  <si>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</si>
  <si>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</si>
  <si>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</si>
  <si>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</si>
  <si>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</si>
  <si>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</si>
  <si>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</si>
  <si>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</si>
  <si>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</si>
  <si>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</si>
  <si>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</si>
  <si>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</si>
  <si>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</si>
  <si>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</si>
  <si>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</si>
  <si>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</si>
  <si>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</si>
  <si>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</si>
  <si>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</si>
  <si>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</si>
  <si>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</si>
  <si>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</si>
  <si>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</si>
  <si>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</si>
  <si>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</si>
  <si>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</si>
  <si>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</si>
  <si>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</si>
  <si>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</si>
  <si>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</si>
  <si>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</si>
  <si>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</si>
  <si>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</si>
  <si>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</si>
  <si>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</si>
  <si>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</si>
  <si>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</si>
  <si>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</si>
  <si>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</si>
  <si>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</si>
  <si>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</si>
  <si>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</si>
  <si>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</si>
  <si>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</si>
  <si>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</si>
  <si>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</si>
  <si>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</si>
  <si>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</si>
  <si>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</si>
  <si>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</si>
  <si>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</si>
  <si>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</si>
  <si>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</si>
  <si>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</si>
  <si>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</si>
  <si>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</si>
  <si>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</si>
  <si>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</si>
  <si>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</si>
  <si>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</si>
  <si>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</si>
  <si>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</si>
  <si>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</si>
  <si>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</si>
  <si>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</si>
  <si>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</si>
  <si>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</si>
  <si>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</si>
  <si>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</si>
  <si>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</si>
  <si>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</si>
  <si>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</si>
  <si>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</si>
  <si>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</si>
  <si>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</si>
  <si>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</si>
  <si>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</si>
  <si>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</si>
  <si>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</si>
  <si>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</si>
  <si>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</si>
  <si>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</si>
  <si>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</si>
  <si>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</si>
  <si>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</si>
  <si>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</si>
  <si>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</si>
  <si>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</si>
  <si>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</si>
  <si>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</si>
  <si>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</si>
  <si>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</si>
  <si>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</si>
  <si>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</si>
  <si>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</si>
  <si>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</si>
  <si>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</si>
  <si>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</si>
  <si>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</si>
  <si>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</si>
  <si>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</si>
  <si>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</si>
  <si>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</si>
  <si>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</si>
  <si>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</si>
  <si>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</si>
  <si>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</si>
  <si>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</si>
  <si>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</si>
  <si>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</si>
  <si>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</si>
  <si>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</si>
  <si>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</si>
  <si>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</si>
  <si>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</si>
  <si>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</si>
  <si>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</si>
  <si>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</si>
  <si>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</si>
  <si>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</si>
  <si>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</si>
  <si>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</si>
  <si>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</si>
  <si>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</si>
  <si>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</si>
  <si>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</si>
  <si>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</si>
  <si>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</si>
  <si>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</si>
  <si>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</si>
  <si>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</si>
  <si>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</si>
  <si>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</si>
  <si>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</si>
  <si>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</si>
  <si>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</si>
  <si>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</si>
  <si>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</si>
  <si>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</si>
  <si>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</si>
  <si>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</si>
  <si>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</si>
  <si>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</si>
  <si>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</si>
  <si>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</si>
  <si>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</si>
  <si>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</si>
  <si>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</si>
  <si>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</si>
  <si>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</si>
  <si>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</si>
  <si>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</si>
  <si>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</si>
  <si>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</si>
  <si>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</si>
  <si>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</si>
  <si>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</si>
  <si>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</si>
  <si>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</si>
  <si>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</si>
  <si>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</si>
  <si>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</si>
  <si>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</si>
  <si>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</si>
  <si>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</si>
  <si>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</si>
  <si>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</si>
  <si>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</si>
  <si>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</si>
  <si>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</si>
  <si>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</si>
  <si>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</si>
  <si>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</si>
  <si>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</si>
  <si>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</si>
  <si>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</si>
  <si>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</si>
  <si>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</si>
  <si>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</si>
  <si>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</si>
  <si>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</si>
  <si>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</si>
  <si>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</si>
  <si>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</si>
  <si>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</si>
  <si>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</si>
  <si>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</si>
  <si>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</si>
  <si>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</si>
  <si>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</si>
  <si>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</si>
  <si>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</si>
  <si>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</si>
  <si>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</si>
  <si>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</si>
  <si>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</si>
  <si>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</si>
  <si>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</si>
  <si>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</si>
  <si>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</si>
  <si>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</si>
  <si>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</si>
  <si>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</si>
  <si>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</si>
  <si>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</si>
  <si>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</si>
  <si>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</si>
  <si>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</si>
  <si>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</si>
  <si>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</si>
  <si>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</si>
  <si>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</si>
  <si>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</si>
  <si>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</si>
  <si>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</si>
  <si>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</si>
  <si>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</si>
  <si>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</si>
  <si>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</si>
  <si>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</si>
  <si>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</si>
  <si>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</si>
  <si>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</si>
  <si>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</si>
  <si>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</si>
  <si>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</si>
  <si>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</si>
  <si>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</si>
  <si>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</si>
  <si>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</si>
  <si>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</si>
  <si>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</si>
  <si>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</si>
  <si>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</si>
  <si>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</si>
  <si>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</si>
  <si>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</si>
  <si>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</si>
  <si>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</si>
  <si>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</si>
  <si>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</si>
  <si>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</si>
  <si>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</si>
  <si>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</si>
  <si>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</si>
  <si>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</si>
  <si>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</si>
  <si>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</si>
  <si>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</si>
  <si>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</si>
  <si>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</si>
  <si>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</si>
  <si>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</si>
  <si>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</si>
  <si>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</si>
  <si>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</si>
  <si>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</si>
  <si>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</si>
  <si>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</si>
  <si>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</si>
  <si>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</si>
  <si>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</si>
  <si>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</si>
  <si>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</si>
  <si>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</si>
  <si>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</si>
  <si>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</si>
  <si>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</si>
  <si>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</si>
  <si>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</si>
  <si>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</si>
  <si>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</si>
  <si>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</si>
  <si>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</si>
  <si>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</si>
  <si>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</si>
  <si>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</si>
  <si>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</si>
  <si>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</si>
  <si>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</si>
  <si>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</si>
  <si>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</si>
  <si>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</si>
  <si>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</si>
  <si>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</si>
  <si>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</si>
  <si>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</si>
  <si>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</si>
  <si>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</si>
  <si>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</si>
  <si>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</si>
  <si>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</si>
  <si>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</si>
  <si>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</si>
  <si>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</si>
  <si>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</si>
  <si>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</si>
  <si>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</si>
  <si>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</si>
  <si>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</si>
  <si>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</si>
  <si>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</si>
  <si>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</si>
  <si>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</si>
  <si>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</si>
  <si>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</si>
  <si>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</si>
  <si>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</si>
  <si>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</si>
  <si>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</si>
  <si>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</si>
  <si>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</si>
  <si>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</si>
  <si>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</si>
  <si>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</si>
  <si>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</si>
  <si>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</si>
  <si>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</si>
  <si>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</si>
  <si>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</si>
  <si>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</si>
  <si>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</si>
  <si>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</si>
  <si>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</si>
  <si>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</si>
  <si>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</si>
  <si>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</si>
  <si>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</si>
  <si>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</si>
  <si>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</si>
  <si>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</si>
  <si>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</si>
  <si>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</si>
  <si>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</si>
  <si>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</si>
  <si>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</si>
  <si>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</si>
  <si>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</si>
  <si>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</si>
  <si>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</si>
  <si>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</si>
  <si>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</si>
  <si>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</si>
  <si>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</si>
  <si>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</si>
  <si>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</si>
  <si>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</si>
  <si>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</si>
  <si>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</si>
  <si>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</si>
  <si>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</si>
  <si>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</si>
  <si>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</si>
  <si>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</si>
  <si>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</si>
  <si>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</si>
  <si>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</si>
  <si>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</si>
  <si>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</si>
  <si>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</si>
  <si>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</si>
  <si>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</si>
  <si>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</si>
  <si>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</si>
  <si>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</si>
  <si>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</si>
  <si>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</si>
  <si>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</si>
  <si>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</si>
  <si>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</si>
  <si>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</si>
  <si>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</si>
  <si>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</si>
  <si>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</si>
  <si>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</si>
  <si>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</si>
  <si>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</si>
  <si>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</si>
  <si>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</si>
  <si>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</si>
  <si>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</si>
  <si>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</si>
  <si>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</si>
  <si>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</si>
  <si>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</si>
  <si>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</si>
  <si>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</si>
  <si>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</si>
  <si>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</si>
  <si>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</si>
  <si>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</si>
  <si>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</si>
  <si>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</si>
  <si>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</si>
  <si>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</si>
  <si>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</si>
  <si>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</si>
  <si>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</si>
  <si>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</si>
  <si>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</si>
  <si>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</si>
  <si>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</si>
  <si>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</si>
  <si>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</si>
  <si>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</si>
  <si>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</si>
  <si>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</si>
  <si>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</si>
  <si>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</si>
  <si>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</si>
  <si>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</si>
  <si>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</si>
  <si>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</si>
  <si>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</si>
  <si>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</si>
  <si>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</si>
  <si>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</si>
  <si>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</si>
  <si>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</si>
  <si>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</si>
  <si>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</si>
  <si>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</si>
  <si>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</si>
  <si>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</si>
  <si>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</si>
  <si>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</si>
  <si>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</si>
  <si>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</si>
  <si>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</si>
  <si>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</si>
  <si>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</si>
  <si>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</si>
  <si>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</si>
  <si>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</si>
  <si>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</si>
  <si>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</si>
  <si>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</si>
  <si>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</si>
  <si>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</si>
  <si>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</si>
  <si>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</si>
  <si>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</si>
  <si>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</si>
  <si>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</si>
  <si>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</si>
  <si>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</si>
  <si>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</si>
  <si>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</si>
  <si>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</si>
  <si>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</si>
  <si>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</si>
  <si>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</si>
  <si>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</si>
  <si>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</si>
  <si>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</si>
  <si>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</si>
  <si>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</si>
  <si>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</si>
  <si>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</si>
  <si>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</si>
  <si>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</si>
  <si>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</si>
  <si>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</si>
  <si>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</si>
  <si>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</si>
  <si>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</si>
  <si>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</si>
  <si>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</si>
  <si>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</si>
  <si>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</si>
  <si>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</si>
  <si>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</si>
  <si>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</si>
  <si>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</si>
  <si>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</si>
  <si>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</si>
  <si>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</si>
  <si>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</si>
  <si>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</si>
  <si>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</si>
  <si>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</si>
  <si>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</si>
  <si>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</si>
  <si>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</si>
  <si>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</si>
  <si>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</si>
  <si>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</si>
  <si>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</si>
  <si>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</si>
  <si>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</si>
  <si>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</si>
  <si>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</si>
  <si>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</si>
  <si>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</si>
  <si>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</si>
  <si>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</si>
  <si>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</si>
  <si>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</si>
  <si>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</si>
  <si>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</si>
  <si>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</si>
  <si>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</si>
  <si>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</si>
  <si>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</si>
  <si>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</si>
  <si>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</si>
  <si>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</si>
  <si>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</si>
  <si>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</si>
  <si>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</si>
  <si>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</si>
  <si>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</si>
  <si>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</si>
  <si>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</si>
  <si>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</si>
  <si>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</si>
  <si>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</si>
  <si>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</si>
  <si>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</si>
  <si>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</si>
  <si>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</si>
  <si>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</si>
  <si>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</si>
  <si>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</si>
  <si>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</si>
  <si>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</si>
  <si>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</si>
  <si>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</si>
  <si>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</si>
  <si>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</si>
  <si>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</si>
  <si>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</si>
  <si>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</si>
  <si>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</si>
  <si>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</si>
  <si>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</si>
  <si>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</si>
  <si>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</si>
  <si>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</si>
  <si>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</si>
  <si>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</si>
  <si>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</si>
  <si>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</si>
  <si>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</si>
  <si>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</si>
  <si>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</si>
  <si>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</si>
  <si>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</si>
  <si>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</si>
  <si>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</si>
  <si>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</si>
  <si>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</si>
  <si>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</si>
  <si>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</si>
  <si>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</si>
  <si>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</si>
  <si>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</si>
  <si>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</si>
  <si>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</si>
  <si>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</si>
  <si>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</si>
  <si>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</si>
  <si>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</si>
  <si>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</si>
  <si>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</si>
  <si>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</si>
  <si>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</si>
  <si>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</si>
  <si>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</si>
  <si>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</si>
  <si>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</si>
  <si>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</si>
  <si>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</si>
  <si>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</si>
  <si>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</si>
  <si>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</si>
  <si>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</si>
  <si>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</si>
  <si>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</si>
  <si>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</si>
  <si>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</si>
  <si>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</si>
  <si>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</si>
  <si>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</si>
  <si>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</si>
  <si>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</si>
  <si>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</si>
  <si>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</si>
  <si>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</si>
  <si>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</si>
  <si>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</si>
  <si>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</si>
  <si>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</si>
  <si>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</si>
  <si>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</si>
  <si>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</si>
  <si>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</si>
  <si>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</si>
  <si>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</si>
  <si>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</si>
  <si>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</si>
  <si>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</si>
  <si>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</si>
  <si>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</si>
  <si>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</si>
  <si>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</si>
  <si>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</si>
  <si>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</si>
  <si>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</si>
  <si>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</si>
  <si>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</si>
  <si>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</si>
  <si>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</si>
  <si>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</si>
  <si>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</si>
  <si>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</si>
  <si>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</si>
  <si>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</si>
  <si>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</si>
  <si>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</si>
  <si>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</si>
  <si>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</si>
  <si>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</si>
  <si>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</si>
  <si>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</si>
  <si>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</si>
  <si>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</si>
  <si>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</si>
  <si>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</si>
  <si>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</si>
  <si>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</si>
  <si>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</si>
  <si>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</si>
  <si>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</si>
  <si>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</si>
  <si>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</si>
  <si>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</si>
  <si>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</si>
  <si>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</si>
  <si>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</si>
  <si>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</si>
  <si>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</si>
  <si>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</si>
  <si>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</si>
  <si>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</si>
  <si>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</si>
  <si>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</si>
  <si>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</si>
  <si>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</si>
  <si>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</si>
  <si>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</si>
  <si>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</si>
  <si>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</si>
  <si>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</si>
  <si>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</si>
  <si>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</si>
  <si>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</si>
  <si>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</si>
  <si>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</si>
  <si>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</si>
  <si>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</si>
  <si>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</si>
  <si>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</si>
  <si>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</si>
  <si>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</si>
  <si>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</si>
  <si>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</si>
  <si>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</si>
  <si>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</si>
  <si>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</si>
  <si>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</si>
  <si>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</si>
  <si>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</si>
  <si>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</si>
  <si>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</si>
  <si>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</si>
  <si>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</si>
  <si>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</si>
  <si>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</si>
  <si>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</si>
  <si>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</si>
  <si>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</si>
  <si>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</si>
  <si>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</si>
  <si>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</si>
  <si>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</si>
  <si>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</si>
  <si>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</si>
  <si>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</si>
  <si>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</si>
  <si>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</si>
  <si>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</si>
  <si>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</si>
  <si>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</si>
  <si>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</si>
  <si>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</si>
  <si>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</si>
  <si>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</si>
  <si>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</si>
  <si>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</si>
  <si>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</si>
  <si>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</si>
  <si>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</si>
  <si>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</si>
  <si>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</si>
  <si>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</si>
  <si>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</si>
  <si>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</si>
  <si>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</si>
  <si>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</si>
  <si>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</si>
  <si>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</si>
  <si>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</si>
  <si>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</si>
  <si>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</si>
  <si>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</si>
  <si>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</si>
  <si>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</si>
  <si>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</si>
  <si>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</si>
  <si>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</si>
  <si>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</si>
  <si>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</si>
  <si>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</si>
  <si>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</si>
  <si>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</si>
  <si>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</si>
  <si>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</si>
  <si>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</si>
  <si>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</si>
  <si>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</si>
  <si>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</si>
  <si>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</si>
  <si>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</si>
  <si>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</si>
  <si>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</si>
  <si>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</si>
  <si>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</si>
  <si>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</si>
  <si>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</si>
  <si>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</si>
  <si>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</si>
  <si>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</si>
  <si>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</si>
  <si>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</si>
  <si>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</si>
  <si>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</si>
  <si>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</si>
  <si>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</si>
  <si>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</si>
  <si>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</si>
  <si>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</si>
  <si>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</si>
  <si>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</si>
  <si>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</si>
  <si>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</si>
  <si>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</si>
  <si>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</si>
  <si>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</si>
  <si>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</si>
  <si>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</si>
  <si>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</si>
  <si>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</si>
  <si>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</si>
  <si>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</si>
  <si>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</si>
  <si>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</si>
  <si>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</si>
  <si>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</si>
  <si>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</si>
  <si>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</si>
  <si>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</si>
  <si>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</si>
  <si>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</si>
  <si>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</si>
  <si>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</si>
  <si>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</si>
  <si>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</si>
  <si>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</si>
  <si>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</si>
  <si>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</si>
  <si>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</si>
  <si>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</si>
  <si>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</si>
  <si>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</si>
  <si>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</si>
  <si>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</si>
  <si>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</si>
  <si>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</si>
  <si>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</si>
  <si>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</si>
  <si>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</si>
  <si>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</si>
  <si>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</si>
  <si>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</si>
  <si>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</si>
  <si>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</si>
  <si>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</si>
  <si>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</si>
  <si>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</si>
  <si>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</si>
  <si>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</si>
  <si>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</si>
  <si>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</si>
  <si>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</si>
  <si>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</si>
  <si>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</si>
  <si>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</si>
  <si>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</si>
  <si>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</si>
  <si>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</si>
  <si>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</si>
  <si>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</si>
  <si>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</si>
  <si>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</si>
  <si>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</si>
  <si>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</si>
  <si>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</si>
  <si>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</si>
  <si>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</si>
  <si>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</si>
  <si>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</si>
  <si>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</si>
  <si>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</si>
  <si>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</si>
  <si>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</si>
  <si>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</si>
  <si>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</si>
  <si>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</si>
  <si>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</si>
  <si>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</si>
  <si>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</si>
  <si>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</si>
  <si>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</si>
  <si>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</si>
  <si>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</si>
  <si>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</si>
  <si>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</si>
  <si>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</si>
  <si>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</si>
  <si>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</si>
  <si>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</si>
  <si>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</si>
  <si>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</si>
  <si>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</si>
  <si>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</si>
  <si>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</si>
  <si>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</si>
  <si>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</si>
  <si>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</si>
  <si>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</si>
  <si>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</si>
  <si>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</si>
  <si>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</si>
  <si>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</si>
  <si>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</si>
  <si>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</si>
  <si>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</si>
  <si>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</si>
  <si>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</si>
  <si>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</si>
  <si>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</si>
  <si>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</si>
  <si>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</si>
  <si>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</si>
  <si>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</si>
  <si>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</si>
  <si>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</si>
  <si>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</si>
  <si>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</si>
  <si>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</si>
  <si>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</si>
  <si>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</si>
  <si>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</si>
  <si>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</si>
  <si>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</si>
  <si>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</si>
  <si>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</si>
  <si>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</si>
  <si>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</si>
  <si>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</si>
  <si>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</si>
  <si>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</si>
  <si>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</si>
  <si>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</si>
  <si>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</si>
  <si>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</si>
  <si>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</si>
  <si>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</si>
  <si>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</si>
  <si>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</si>
  <si>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</si>
  <si>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</si>
  <si>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</si>
  <si>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</si>
  <si>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</si>
  <si>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</si>
  <si>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</si>
  <si>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</si>
  <si>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</si>
  <si>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</si>
  <si>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</si>
  <si>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</si>
  <si>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</si>
  <si>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</si>
  <si>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</si>
  <si>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</si>
  <si>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</si>
  <si>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</si>
  <si>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</si>
  <si>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</si>
  <si>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</si>
  <si>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</si>
  <si>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</si>
  <si>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</si>
  <si>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</si>
  <si>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</si>
  <si>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</si>
  <si>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</si>
  <si>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</si>
  <si>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</si>
  <si>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</si>
  <si>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</si>
  <si>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</si>
  <si>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</si>
  <si>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</si>
  <si>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</si>
  <si>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</si>
  <si>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</si>
  <si>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</si>
  <si>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</si>
  <si>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</si>
  <si>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</si>
  <si>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</si>
  <si>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</si>
  <si>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</si>
  <si>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</si>
  <si>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</si>
  <si>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</si>
  <si>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</si>
  <si>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</si>
  <si>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</si>
  <si>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</si>
  <si>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</si>
  <si>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</si>
  <si>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</si>
  <si>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</si>
  <si>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</si>
  <si>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</si>
  <si>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</si>
  <si>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</si>
  <si>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</si>
  <si>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</si>
  <si>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</si>
  <si>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</si>
  <si>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</si>
  <si>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</si>
  <si>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</si>
  <si>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</si>
  <si>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</si>
  <si>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</si>
  <si>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</si>
  <si>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</si>
  <si>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</si>
  <si>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</si>
  <si>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</si>
  <si>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</si>
  <si>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</si>
  <si>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</si>
  <si>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</si>
  <si>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</si>
  <si>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</si>
  <si>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</si>
  <si>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</si>
  <si>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</si>
  <si>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</si>
  <si>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</si>
  <si>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</si>
  <si>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</si>
  <si>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</si>
  <si>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</si>
  <si>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</si>
  <si>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</si>
  <si>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</si>
  <si>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</si>
  <si>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</si>
  <si>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</si>
  <si>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</si>
  <si>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</si>
  <si>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</si>
  <si>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</si>
  <si>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</si>
  <si>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</si>
  <si>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</si>
  <si>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</si>
  <si>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</si>
  <si>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</si>
  <si>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</si>
  <si>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</si>
  <si>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</si>
  <si>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</si>
  <si>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</si>
  <si>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</si>
  <si>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</si>
  <si>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</si>
  <si>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</si>
  <si>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</si>
  <si>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</si>
  <si>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</si>
  <si>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</si>
  <si>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</si>
  <si>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</si>
  <si>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</si>
  <si>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</si>
  <si>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</si>
  <si>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</si>
  <si>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</si>
  <si>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</si>
  <si>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</si>
  <si>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</si>
  <si>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</si>
  <si>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</si>
  <si>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</si>
  <si>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</si>
  <si>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</si>
  <si>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</si>
  <si>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</si>
  <si>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</si>
  <si>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</si>
  <si>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</si>
  <si>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</si>
  <si>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</si>
  <si>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</si>
  <si>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</si>
  <si>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</si>
  <si>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</si>
  <si>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</si>
  <si>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</si>
  <si>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</si>
  <si>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</si>
  <si>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</si>
  <si>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</si>
  <si>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</si>
  <si>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</si>
  <si>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</si>
  <si>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</si>
  <si>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</si>
  <si>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</si>
  <si>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</si>
  <si>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</si>
  <si>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</si>
  <si>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</si>
  <si>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</si>
  <si>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</si>
  <si>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</si>
  <si>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</si>
  <si>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</si>
  <si>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</si>
  <si>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</si>
  <si>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</si>
  <si>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</si>
  <si>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</si>
  <si>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</si>
  <si>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</si>
  <si>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</si>
  <si>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</si>
  <si>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</si>
  <si>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</si>
  <si>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</si>
  <si>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</si>
  <si>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</si>
  <si>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</si>
  <si>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</si>
  <si>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</si>
  <si>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</si>
  <si>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</si>
  <si>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</si>
  <si>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</si>
  <si>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</si>
  <si>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</si>
  <si>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</si>
  <si>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</si>
  <si>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</si>
  <si>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</si>
  <si>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</si>
  <si>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</si>
  <si>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</si>
  <si>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</si>
  <si>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</si>
  <si>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</si>
  <si>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</si>
  <si>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</si>
  <si>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</si>
  <si>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</si>
  <si>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</si>
  <si>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</si>
  <si>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</si>
  <si>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</si>
  <si>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</si>
  <si>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</si>
  <si>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</si>
  <si>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</si>
  <si>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</si>
  <si>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</si>
  <si>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</si>
  <si>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</si>
  <si>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</si>
  <si>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</si>
  <si>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</si>
  <si>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</si>
  <si>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</si>
  <si>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</si>
  <si>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</si>
  <si>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</si>
  <si>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</si>
  <si>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</si>
  <si>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</si>
  <si>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</si>
  <si>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</si>
  <si>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</si>
  <si>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</si>
  <si>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</si>
  <si>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</si>
  <si>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</si>
  <si>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</si>
  <si>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</si>
  <si>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</si>
  <si>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</si>
  <si>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</si>
  <si>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</si>
  <si>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</si>
  <si>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</si>
  <si>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</si>
  <si>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</si>
  <si>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</si>
  <si>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</si>
  <si>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</si>
  <si>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</si>
  <si>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</si>
  <si>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</si>
  <si>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</si>
  <si>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</si>
  <si>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</si>
  <si>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</si>
  <si>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</si>
  <si>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</si>
  <si>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</si>
  <si>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</si>
  <si>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</si>
  <si>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</si>
  <si>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</si>
  <si>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</si>
  <si>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</si>
  <si>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</si>
  <si>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</si>
  <si>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</si>
  <si>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</si>
  <si>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</si>
  <si>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</si>
  <si>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</si>
  <si>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</si>
  <si>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</si>
  <si>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</si>
  <si>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</si>
  <si>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</si>
  <si>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</si>
  <si>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</si>
  <si>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</si>
  <si>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</si>
  <si>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</si>
  <si>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</si>
  <si>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</si>
  <si>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</si>
  <si>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</si>
  <si>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</si>
  <si>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</si>
  <si>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</si>
  <si>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</si>
  <si>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</si>
  <si>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</si>
  <si>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</si>
  <si>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</si>
  <si>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</si>
  <si>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</si>
  <si>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</si>
  <si>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</si>
  <si>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</si>
  <si>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</si>
  <si>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</si>
  <si>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</si>
  <si>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</si>
  <si>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</si>
  <si>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</si>
  <si>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</si>
  <si>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</si>
  <si>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</si>
  <si>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</si>
  <si>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</si>
  <si>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</si>
  <si>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</si>
  <si>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</si>
  <si>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</si>
  <si>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</si>
  <si>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</si>
  <si>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</si>
  <si>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</si>
  <si>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</si>
  <si>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</si>
  <si>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NatGas</t>
  </si>
  <si>
    <t>Facility-wide natural gas use (including Boilers)</t>
  </si>
  <si>
    <t>None</t>
  </si>
  <si>
    <t>BOILER1, BOILER2 &amp; Fugitive</t>
  </si>
  <si>
    <t>MMscf</t>
  </si>
  <si>
    <t>Natural Gas</t>
  </si>
  <si>
    <t>lb/MMSCF</t>
  </si>
  <si>
    <t>CAO NG Ext. Comb. (a)</t>
  </si>
  <si>
    <t>P001-A</t>
  </si>
  <si>
    <t>Process P001 emissions through stack R212</t>
  </si>
  <si>
    <t>R212</t>
  </si>
  <si>
    <t>P001 (11,500 Kg/Batch)</t>
  </si>
  <si>
    <t>P001-B</t>
  </si>
  <si>
    <t>P001-ETS</t>
  </si>
  <si>
    <t>P001-FE</t>
  </si>
  <si>
    <t>B295 &amp; B299</t>
  </si>
  <si>
    <t>B298</t>
  </si>
  <si>
    <t>P003-A</t>
  </si>
  <si>
    <t>P003-B</t>
  </si>
  <si>
    <t>P003-ETS</t>
  </si>
  <si>
    <t>B295</t>
  </si>
  <si>
    <t>B296</t>
  </si>
  <si>
    <t>P004-A</t>
  </si>
  <si>
    <t>P004-B</t>
  </si>
  <si>
    <t>P004-ETS</t>
  </si>
  <si>
    <t>P005-A</t>
  </si>
  <si>
    <t>P005-B</t>
  </si>
  <si>
    <t>P005-C</t>
  </si>
  <si>
    <t>P005-ETS</t>
  </si>
  <si>
    <t>B299</t>
  </si>
  <si>
    <t>P006-A</t>
  </si>
  <si>
    <t>P006-B</t>
  </si>
  <si>
    <t>P006-C</t>
  </si>
  <si>
    <t>P006-ETS</t>
  </si>
  <si>
    <t>P007-A</t>
  </si>
  <si>
    <t>P007-B</t>
  </si>
  <si>
    <t>P007-C</t>
  </si>
  <si>
    <t>P007-ETS</t>
  </si>
  <si>
    <t>Scrubber S267</t>
  </si>
  <si>
    <t>Scrubber S267 (T202 &amp; T256 Emissions only)</t>
  </si>
  <si>
    <t>Process P005 emissions through stack B296</t>
  </si>
  <si>
    <t>Process P005 emissions through stack B299</t>
  </si>
  <si>
    <t>Process P005 emissions through stack B295</t>
  </si>
  <si>
    <t>Process P006 emissions through stack B295</t>
  </si>
  <si>
    <t>Process P006 emissions from tote transfers (Elephant Trunk System)</t>
  </si>
  <si>
    <t>Process P005 emissions from tote transfers (Elephant Trunk System)</t>
  </si>
  <si>
    <t>Process P007 emissions through stack B295</t>
  </si>
  <si>
    <t>Process P007 emissions through stack B296</t>
  </si>
  <si>
    <t>Process P007 emissions through stack B299</t>
  </si>
  <si>
    <t>Process P007 emissions from tote transfers (Elephant Trunk System)</t>
  </si>
  <si>
    <t>lb/ton product</t>
  </si>
  <si>
    <t>Emission Master Software Modeling</t>
  </si>
  <si>
    <t>No TAC emissions - Process P001 emissions through stack B298</t>
  </si>
  <si>
    <t>No TAC emissions - Process P001 emissions from tote transfers (Elephant Trunk System)</t>
  </si>
  <si>
    <t>No TAC emissions - Process P001 fugitive emissions (at Tank Farm)</t>
  </si>
  <si>
    <t>No TAC emissions - Process P003 emissions through stack B295</t>
  </si>
  <si>
    <t>No TAC emissions - Process P003 emissions through stack B296</t>
  </si>
  <si>
    <t>No TAC emissions - Process P003 emissions from tote transfers (Elephant Trunk System)</t>
  </si>
  <si>
    <t>No TAC emissions - Process P004 emissions through stack B295</t>
  </si>
  <si>
    <t>No TAC emissions - Process P004 emissions through stack B296</t>
  </si>
  <si>
    <t>No TAC emissions - Process P004 emissions from tote transfers (Elephant Trunk System)</t>
  </si>
  <si>
    <t>No TAC emissions - Process P006 emissions through stack B299</t>
  </si>
  <si>
    <t>Process P006 emissions through stack B298</t>
  </si>
  <si>
    <t>P002-A</t>
  </si>
  <si>
    <t>P002-B</t>
  </si>
  <si>
    <t>Process P002 emissions through stack B295</t>
  </si>
  <si>
    <t>Process P002 emissions through stack B299</t>
  </si>
  <si>
    <t>P002 (420 Kg/Batch)</t>
  </si>
  <si>
    <t>P006 (250 Kg/Batch)</t>
  </si>
  <si>
    <t>P007 (280 Kg/Batch)</t>
  </si>
  <si>
    <t>P005 (1,061 Kg/Batch)</t>
  </si>
  <si>
    <t>2023 Product Processes</t>
  </si>
  <si>
    <t>Summary of 12-month 2023 TAC Emissions</t>
  </si>
  <si>
    <t>Most Conservative</t>
  </si>
  <si>
    <t>pounds</t>
  </si>
  <si>
    <t>Emissions per Year</t>
  </si>
  <si>
    <t>EF not applicable; based on reported 2023 12-month rolling emissions</t>
  </si>
  <si>
    <t>Fugitive</t>
  </si>
  <si>
    <t>P002-ETS</t>
  </si>
  <si>
    <t>Process P002 emissions from tote transfers (Elephant Trunk System)</t>
  </si>
  <si>
    <t>Lacamas Laboratories, Inc.</t>
  </si>
  <si>
    <t xml:space="preserve">1290 Industrial Way </t>
  </si>
  <si>
    <t>Albany</t>
  </si>
  <si>
    <t>Chris Renfro</t>
  </si>
  <si>
    <t>503-877-9600</t>
  </si>
  <si>
    <t>Weld</t>
  </si>
  <si>
    <t>SMAW E316 Rod</t>
  </si>
  <si>
    <t>lb/1000 lbs rod</t>
  </si>
  <si>
    <t>ATEIAQ104BweldTool.xlsx (AP-42 12.19)</t>
  </si>
  <si>
    <t>CoolTower</t>
  </si>
  <si>
    <t>Justeq07</t>
  </si>
  <si>
    <t>Justeq, LLC</t>
  </si>
  <si>
    <t xml:space="preserve">Fugitive </t>
  </si>
  <si>
    <t>Wastewater</t>
  </si>
  <si>
    <t>lb/ton wastewater</t>
  </si>
  <si>
    <t>PACT</t>
  </si>
  <si>
    <t>Powder activated carbon treatment (PACT) wastewater treatment system</t>
  </si>
  <si>
    <t>Tons</t>
  </si>
  <si>
    <t>ton/ton wastewater</t>
  </si>
  <si>
    <t>Historic EF from past AQDP</t>
  </si>
  <si>
    <t>Likely Future Batch TACs</t>
  </si>
  <si>
    <t>Potential Future Batch TACs</t>
  </si>
  <si>
    <t>EF not applicable; if emitted by a future batch process, Emission Master will calculate based on process specific variables.</t>
  </si>
  <si>
    <t>TACs that are likely to be present in future product processes</t>
  </si>
  <si>
    <t>TACs that could potentially be present in future product processes</t>
  </si>
  <si>
    <t>Emissions from fume hoods and equipment in labs</t>
  </si>
  <si>
    <t>Not applicable</t>
  </si>
  <si>
    <t>PILOT (Kilo Lab)</t>
  </si>
  <si>
    <t>B100 (conservative)</t>
  </si>
  <si>
    <t>TOTAL for LABS</t>
  </si>
  <si>
    <t>R&amp;D+QC LABS</t>
  </si>
  <si>
    <t>1% of Product Process Emissions</t>
  </si>
  <si>
    <t>cGMP Suite Lab</t>
  </si>
  <si>
    <t>Including TEU for completeness. Location of small production runs (emission will be covered under future batch emission)</t>
  </si>
  <si>
    <t>GMP Lab Suite</t>
  </si>
  <si>
    <t xml:space="preserve">Welding during equipment repair or replacement </t>
  </si>
  <si>
    <t>Including TEU for completeness. Distillation column for a specific process, not currently used but may be in the future.</t>
  </si>
  <si>
    <t>DC505</t>
  </si>
  <si>
    <t>DC504-A</t>
  </si>
  <si>
    <t>DC504-ETS</t>
  </si>
  <si>
    <t>Annual</t>
  </si>
  <si>
    <t>Max Daily</t>
  </si>
  <si>
    <t>sodium hypochlorite, solution, conc active chlorine=12.5% (40 to 70%; average of 55% used). Very conservative control efficiency; technical reference measured 10% of chlorine in solution will be emitted. We are using a 4x safety factor and assuming 1) twice the annual use, 2) twice the emissions (20% of what is in solution).</t>
  </si>
  <si>
    <t>Distillation Column (wastewater separation process) emissions through stack B295</t>
  </si>
  <si>
    <t>Distillation Column (wastewater separation process) emissions from tote transfers (Elephant Trunk System)</t>
  </si>
  <si>
    <t>Biocide use in cooling tower water</t>
  </si>
  <si>
    <t>EF: Annual = 1% of all product process emissions of individual TAC, Max daily assumes 10% of annual</t>
  </si>
  <si>
    <t>1000 Pounds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</si>
</sst>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1"/>
      <color rgb="FF000000"/>
      <name val="Arial"/>
      <family val="2"/>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5">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Alignment="1" applyProtection="1">
      <alignment horizontal="center"/>
      <protection locked="0"/>
    </xf>
    <xf numFmtId="0" fontId="0" fillId="0" borderId="0" xfId="0" applyProtection="1">
      <protection locked="0"/>
    </xf>
    <xf numFmtId="0" fontId="47" fillId="0" borderId="13" xfId="0" applyFont="1" applyBorder="1" applyProtection="1">
      <protection locked="0"/>
    </xf>
    <xf numFmtId="0" fontId="19" fillId="0" borderId="36" xfId="0" applyFont="1" applyBorder="1" applyProtection="1">
      <protection locked="0"/>
    </xf>
    <xf numFmtId="49" fontId="0" fillId="0" borderId="0" xfId="0" applyNumberFormat="1" applyAlignment="1" applyProtection="1">
      <alignment horizontal="center"/>
      <protection locked="0"/>
    </xf>
    <xf numFmtId="10" fontId="0" fillId="0" borderId="0" xfId="3" applyNumberFormat="1" applyFont="1" applyAlignment="1" applyProtection="1">
      <alignment horizontal="center"/>
      <protection locked="0"/>
    </xf>
    <xf numFmtId="49" fontId="19" fillId="0" borderId="31" xfId="0" applyNumberFormat="1" applyFont="1" applyBorder="1" applyAlignment="1" applyProtection="1">
      <alignment horizontal="center"/>
      <protection locked="0"/>
    </xf>
    <xf numFmtId="49" fontId="19" fillId="0" borderId="34" xfId="0" applyNumberFormat="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Lisa Simmons" id="{9BAC8A8A-2E26-334B-98FD-F0A472612A24}" userId="c66913ddc8220625" providerId="Windows Live"/>
  <person displayName="Lisa Kelly Simmons" id="{F0F8A3F2-DF6F-EC4A-92C7-506A628A3B2A}" userId="S::lisak@evren-nw.com::7e954192-49b4-4d6b-be21-d2e44a68058f" providerId="AD"/>
  <person displayName="Lynn Green" id="{6D30D185-FDF2-4CDB-9391-62F90CA1D805}" userId="S::lynng@evren-nw.com::eb67423f-805a-4eee-914f-9f193e3dd81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2" dT="2025-04-15T20:10:13.59" personId="{9BAC8A8A-2E26-334B-98FD-F0A472612A24}" id="{68D99424-A89B-4C4D-8559-FAB061D923A0}">
    <text>Welding is estimated to occur approximately once a week.</text>
  </threadedComment>
  <threadedComment ref="I24" dT="2025-04-15T20:11:46.77" personId="{9BAC8A8A-2E26-334B-98FD-F0A472612A24}" id="{687A2E96-AD24-3349-9FDD-F156B9FB5329}">
    <text xml:space="preserve">Batches occur once per day, added a safety factor of 1.2 to be conservative.
</text>
  </threadedComment>
  <threadedComment ref="I24" dT="2025-05-05T22:51:45.64" personId="{6D30D185-FDF2-4CDB-9391-62F90CA1D805}" id="{4B703B51-BAE5-4137-A007-5C7D9A3ACCF8}" parentId="{687A2E96-AD24-3349-9FDD-F156B9FB5329}">
    <text>Updated SF to 2</text>
  </threadedComment>
  <threadedComment ref="H27" dT="2025-04-15T15:51:40.57" personId="{9BAC8A8A-2E26-334B-98FD-F0A472612A24}" id="{12159F83-2E0D-0249-8AC9-2FB724743455}">
    <text xml:space="preserve">2023 volume
</text>
  </threadedComment>
  <threadedComment ref="I27" dT="2025-04-15T20:14:15.07" personId="{9BAC8A8A-2E26-334B-98FD-F0A472612A24}" id="{A3E99852-3B49-F94C-90E2-1CFEC05DDE1B}">
    <text>2023 volume + 20%</text>
  </threadedComment>
  <threadedComment ref="H29" dT="2025-06-05T21:23:14.12" personId="{F0F8A3F2-DF6F-EC4A-92C7-506A628A3B2A}" id="{7ECD48BC-4BE8-AD4A-A7A9-48CC9BF8752B}">
    <text>Assumes 6 batches per year</text>
  </threadedComment>
  <threadedComment ref="K29" dT="2025-04-02T19:55:52.76" personId="{9BAC8A8A-2E26-334B-98FD-F0A472612A24}" id="{6030BA5A-9F1E-7E45-8C93-FFE000CA013F}">
    <text>Cycle Time = 168 hours
= 7 days</text>
  </threadedComment>
  <threadedComment ref="H34" dT="2025-05-02T21:09:45.91" personId="{6D30D185-FDF2-4CDB-9391-62F90CA1D805}" id="{CA44A630-8B29-4DB2-8403-418E6D9EAD9A}">
    <text>Assumes 20 batches per year</text>
  </threadedComment>
  <threadedComment ref="I34" dT="2025-05-02T21:10:08.68" personId="{6D30D185-FDF2-4CDB-9391-62F90CA1D805}" id="{74A732AF-6E4C-4BCC-ACB9-9C6A5B8A303B}">
    <text>Assumes 20 batches per year</text>
  </threadedComment>
  <threadedComment ref="K34" dT="2025-04-02T19:55:52.76" personId="{9BAC8A8A-2E26-334B-98FD-F0A472612A24}" id="{154476D9-2062-414C-A096-0D0FF4E856ED}">
    <text>Cycle Time = 240 hours
= 10 days</text>
  </threadedComment>
  <threadedComment ref="L34" dT="2025-04-02T19:55:52.76" personId="{9BAC8A8A-2E26-334B-98FD-F0A472612A24}" id="{EFB60387-A55C-43F6-81DE-2239B6491917}">
    <text>Cycle Time = 240 hours
= 10 days</text>
  </threadedComment>
  <threadedComment ref="H35" dT="2025-05-02T21:09:45.91" personId="{6D30D185-FDF2-4CDB-9391-62F90CA1D805}" id="{CC729BF5-F21E-4932-9795-DE4A907605EB}">
    <text>Assumes 20 batches per year</text>
  </threadedComment>
  <threadedComment ref="I35" dT="2025-05-02T21:10:08.68" personId="{6D30D185-FDF2-4CDB-9391-62F90CA1D805}" id="{C656CA7E-2719-4BCC-BDE3-FD74E094F9FB}">
    <text>Assumes 20 batches per year</text>
  </threadedComment>
  <threadedComment ref="K35" dT="2025-04-02T19:55:52.76" personId="{9BAC8A8A-2E26-334B-98FD-F0A472612A24}" id="{A2EC7590-8D6C-4D05-8192-9E6BA500E44E}">
    <text>Cycle Time = 240 hours
= 10 days</text>
  </threadedComment>
  <threadedComment ref="L35" dT="2025-04-02T19:55:52.76" personId="{9BAC8A8A-2E26-334B-98FD-F0A472612A24}" id="{7B42F9FE-DAA4-4962-B761-F97872CC690E}">
    <text>Cycle Time = 240 hours
= 10 days</text>
  </threadedComment>
  <threadedComment ref="H36" dT="2025-05-02T21:09:45.91" personId="{6D30D185-FDF2-4CDB-9391-62F90CA1D805}" id="{12070290-628D-42E8-8959-EC417E232012}">
    <text>Assumes 20 batches per year</text>
  </threadedComment>
  <threadedComment ref="I36" dT="2025-05-02T21:10:08.68" personId="{6D30D185-FDF2-4CDB-9391-62F90CA1D805}" id="{F96AF8E9-23CF-48FC-9EDF-98FC6826B679}">
    <text>Assumes 20 batches per year</text>
  </threadedComment>
  <threadedComment ref="K36" dT="2025-04-02T19:55:52.76" personId="{9BAC8A8A-2E26-334B-98FD-F0A472612A24}" id="{93FCC750-50BA-4B07-9217-3E52D25E3C0D}">
    <text>Cycle Time = 240 hours
= 10 days</text>
  </threadedComment>
  <threadedComment ref="L36" dT="2025-04-02T19:55:52.76" personId="{9BAC8A8A-2E26-334B-98FD-F0A472612A24}" id="{457CFB9D-A21C-4E1E-84D7-DDB8234EF45B}">
    <text>Cycle Time = 240 hours
= 10 days</text>
  </threadedComment>
  <threadedComment ref="H49" dT="2025-05-13T19:44:10.86" personId="{6D30D185-FDF2-4CDB-9391-62F90CA1D805}" id="{42E9F47F-1096-426C-87B2-0D83CAB546BB}">
    <text>95 batches</text>
  </threadedComment>
  <threadedComment ref="H49" dT="2025-05-13T19:47:15.06" personId="{6D30D185-FDF2-4CDB-9391-62F90CA1D805}" id="{98D065D8-1963-4D2D-AD1B-D2E34B430E54}" parentId="{42E9F47F-1096-426C-87B2-0D83CAB546BB}">
    <text>Assumes 95 batches</text>
  </threadedComment>
  <threadedComment ref="I49" dT="2025-05-13T19:44:10.86" personId="{6D30D185-FDF2-4CDB-9391-62F90CA1D805}" id="{26EEA911-4698-4860-B9CF-5434A992BE6B}">
    <text>95 batches</text>
  </threadedComment>
  <threadedComment ref="I49" dT="2025-05-13T19:47:15.06" personId="{6D30D185-FDF2-4CDB-9391-62F90CA1D805}" id="{36AA6433-312F-4C91-9F53-DA1C6F5EB421}" parentId="{26EEA911-4698-4860-B9CF-5434A992BE6B}">
    <text>Assumes 95 batches</text>
  </threadedComment>
  <threadedComment ref="K49" dT="2025-04-02T20:10:59.02" personId="{9BAC8A8A-2E26-334B-98FD-F0A472612A24}" id="{3440E446-0FDB-434A-8329-735E393C40C9}">
    <text>Cycle Time = 148 hours
= 6.17 days</text>
  </threadedComment>
  <threadedComment ref="L49" dT="2025-04-02T20:10:59.02" personId="{9BAC8A8A-2E26-334B-98FD-F0A472612A24}" id="{F896E60E-5C91-4763-B581-8EC62790DA95}">
    <text>Cycle Time = 148 hours
= 6.17 days</text>
  </threadedComment>
  <threadedComment ref="H50" dT="2025-05-13T19:44:10.86" personId="{6D30D185-FDF2-4CDB-9391-62F90CA1D805}" id="{84A0FAF6-2D73-4363-A480-E3565FABAF99}">
    <text>95 batches</text>
  </threadedComment>
  <threadedComment ref="H50" dT="2025-05-13T19:47:15.06" personId="{6D30D185-FDF2-4CDB-9391-62F90CA1D805}" id="{EEC630C1-AFB8-493E-9EA8-556CA513FFAA}" parentId="{84A0FAF6-2D73-4363-A480-E3565FABAF99}">
    <text>Assumes 95 batches</text>
  </threadedComment>
  <threadedComment ref="I50" dT="2025-05-13T19:44:10.86" personId="{6D30D185-FDF2-4CDB-9391-62F90CA1D805}" id="{8D91119A-970C-441B-84AB-1F7F6906649E}">
    <text>95 batches</text>
  </threadedComment>
  <threadedComment ref="I50" dT="2025-05-13T19:47:15.06" personId="{6D30D185-FDF2-4CDB-9391-62F90CA1D805}" id="{A88CC7BE-F795-4AED-89FD-87C992E8E575}" parentId="{8D91119A-970C-441B-84AB-1F7F6906649E}">
    <text>Assumes 95 batches</text>
  </threadedComment>
  <threadedComment ref="K50" dT="2025-04-02T20:10:59.02" personId="{9BAC8A8A-2E26-334B-98FD-F0A472612A24}" id="{D85B4250-ED1B-47E3-8FFF-EC7506303844}">
    <text>Cycle Time = 148 hours
= 6.17 days</text>
  </threadedComment>
  <threadedComment ref="L50" dT="2025-04-02T20:10:59.02" personId="{9BAC8A8A-2E26-334B-98FD-F0A472612A24}" id="{FC9FEC9B-6D8D-4658-8663-2CFFEB1BA8FA}">
    <text>Cycle Time = 148 hours
= 6.17 days</text>
  </threadedComment>
  <threadedComment ref="H51" dT="2025-05-13T19:44:10.86" personId="{6D30D185-FDF2-4CDB-9391-62F90CA1D805}" id="{B7328C24-1476-4428-955B-07B6AAC19A51}">
    <text>95 batches</text>
  </threadedComment>
  <threadedComment ref="H51" dT="2025-05-13T19:47:15.06" personId="{6D30D185-FDF2-4CDB-9391-62F90CA1D805}" id="{CAFC6BEA-696A-4F81-B081-2038AB0B3048}" parentId="{B7328C24-1476-4428-955B-07B6AAC19A51}">
    <text>Assumes 95 batches</text>
  </threadedComment>
  <threadedComment ref="I51" dT="2025-05-13T19:44:10.86" personId="{6D30D185-FDF2-4CDB-9391-62F90CA1D805}" id="{D274D456-C4EF-493F-A8F1-1C08726B3CDA}">
    <text>95 batches</text>
  </threadedComment>
  <threadedComment ref="I51" dT="2025-05-13T19:47:15.06" personId="{6D30D185-FDF2-4CDB-9391-62F90CA1D805}" id="{3E561264-61B0-47EC-B9F5-05BD5D2F55C5}" parentId="{D274D456-C4EF-493F-A8F1-1C08726B3CDA}">
    <text>Assumes 95 batches</text>
  </threadedComment>
  <threadedComment ref="K51" dT="2025-04-02T20:10:59.02" personId="{9BAC8A8A-2E26-334B-98FD-F0A472612A24}" id="{A7256B7C-0CEC-4355-9EE7-6B31A3240E00}">
    <text>Cycle Time = 148 hours
= 6.17 days</text>
  </threadedComment>
  <threadedComment ref="L51" dT="2025-04-02T20:10:59.02" personId="{9BAC8A8A-2E26-334B-98FD-F0A472612A24}" id="{AB3CB902-5DB1-4EEC-BC66-0BBA41DAA972}">
    <text>Cycle Time = 148 hours
= 6.17 days</text>
  </threadedComment>
  <threadedComment ref="H52" dT="2025-05-13T19:44:10.86" personId="{6D30D185-FDF2-4CDB-9391-62F90CA1D805}" id="{5BC0FA8D-6E80-4AFF-9B8D-F4D93C69D331}">
    <text>95 batches</text>
  </threadedComment>
  <threadedComment ref="H52" dT="2025-05-13T19:47:15.06" personId="{6D30D185-FDF2-4CDB-9391-62F90CA1D805}" id="{BFA57CB7-C2DD-441D-BDDA-16BD2D28400E}" parentId="{5BC0FA8D-6E80-4AFF-9B8D-F4D93C69D331}">
    <text>Assumes 95 batches</text>
  </threadedComment>
  <threadedComment ref="I52" dT="2025-05-13T19:44:10.86" personId="{6D30D185-FDF2-4CDB-9391-62F90CA1D805}" id="{EEB635B5-56A9-43CE-B7E1-C23825EBE52F}">
    <text>95 batches</text>
  </threadedComment>
  <threadedComment ref="I52" dT="2025-05-13T19:47:15.06" personId="{6D30D185-FDF2-4CDB-9391-62F90CA1D805}" id="{018ADAC7-37E4-4EE2-BDBB-D21EEE4B4878}" parentId="{EEB635B5-56A9-43CE-B7E1-C23825EBE52F}">
    <text>Assumes 95 batches</text>
  </threadedComment>
  <threadedComment ref="K52" dT="2025-04-02T20:10:59.02" personId="{9BAC8A8A-2E26-334B-98FD-F0A472612A24}" id="{E487345A-5A68-42A7-BB6F-19999916BE87}">
    <text>Cycle Time = 148 hours
= 6.17 days</text>
  </threadedComment>
  <threadedComment ref="L52" dT="2025-04-02T20:10:59.02" personId="{9BAC8A8A-2E26-334B-98FD-F0A472612A24}" id="{006F25AF-358E-4998-8FDA-5391A5FB3C1C}">
    <text>Cycle Time = 148 hours
= 6.17 days</text>
  </threadedComment>
  <threadedComment ref="H54" dT="2025-05-13T19:48:07.22" personId="{6D30D185-FDF2-4CDB-9391-62F90CA1D805}" id="{01C1CCC9-2894-4CEF-AC7A-19616FFF84B6}">
    <text>Assumes 2 batches</text>
  </threadedComment>
  <threadedComment ref="I54" dT="2025-05-13T19:48:07.22" personId="{6D30D185-FDF2-4CDB-9391-62F90CA1D805}" id="{979601E2-A362-409F-9C2E-EB2DC7B7A6B9}">
    <text>Assumes 2 batches</text>
  </threadedComment>
  <threadedComment ref="K54" dT="2025-04-02T20:10:59.02" personId="{9BAC8A8A-2E26-334B-98FD-F0A472612A24}" id="{360C8BCF-F9C9-D749-B6B8-9D037186036A}">
    <text>Cycle Time = 480 hours
= 20 days</text>
  </threadedComment>
  <threadedComment ref="L54" dT="2025-04-02T20:10:59.02" personId="{9BAC8A8A-2E26-334B-98FD-F0A472612A24}" id="{82443FE3-DDB4-4F96-9617-02E577B53904}">
    <text>Cycle Time = 480 hours
= 20 days</text>
  </threadedComment>
  <threadedComment ref="H55" dT="2025-05-13T19:48:07.22" personId="{6D30D185-FDF2-4CDB-9391-62F90CA1D805}" id="{56E4F891-9C5C-46E8-94A2-6A58EA5F431A}">
    <text>Assumes 2 batches</text>
  </threadedComment>
  <threadedComment ref="I55" dT="2025-05-13T19:48:07.22" personId="{6D30D185-FDF2-4CDB-9391-62F90CA1D805}" id="{A69F3BCB-9C84-47C7-A223-C8431CB069F0}">
    <text>Assumes 2 batches</text>
  </threadedComment>
  <threadedComment ref="K55" dT="2025-04-02T20:10:59.02" personId="{9BAC8A8A-2E26-334B-98FD-F0A472612A24}" id="{B3B29921-D0DA-4559-8D64-7FE18A37BD3F}">
    <text>Cycle Time = 480 hours
= 20 days</text>
  </threadedComment>
  <threadedComment ref="L55" dT="2025-04-02T20:10:59.02" personId="{9BAC8A8A-2E26-334B-98FD-F0A472612A24}" id="{07FD7926-7A7C-438B-8B9F-368A2CB0947D}">
    <text>Cycle Time = 480 hours
= 20 days</text>
  </threadedComment>
  <threadedComment ref="H57" dT="2025-05-13T19:48:07.22" personId="{6D30D185-FDF2-4CDB-9391-62F90CA1D805}" id="{1D8A78C2-69D6-426A-9EF4-33183AF655C6}">
    <text>Assumes 2 batches</text>
  </threadedComment>
  <threadedComment ref="I57" dT="2025-05-13T19:48:07.22" personId="{6D30D185-FDF2-4CDB-9391-62F90CA1D805}" id="{2732DD1E-A220-4FCF-8ABE-158E3CCA372E}">
    <text>Assumes 2 batches</text>
  </threadedComment>
  <threadedComment ref="K57" dT="2025-04-02T20:10:59.02" personId="{9BAC8A8A-2E26-334B-98FD-F0A472612A24}" id="{35EDE691-1716-4BF2-AEDB-E4C3FEB600EE}">
    <text>Cycle Time = 480 hours
= 20 days</text>
  </threadedComment>
  <threadedComment ref="L57" dT="2025-04-02T20:10:59.02" personId="{9BAC8A8A-2E26-334B-98FD-F0A472612A24}" id="{A44B821A-27B1-4EA5-B52A-67A5629A5128}">
    <text>Cycle Time = 480 hours
= 20 days</text>
  </threadedComment>
  <threadedComment ref="H59" dT="2025-05-13T19:50:17.41" personId="{6D30D185-FDF2-4CDB-9391-62F90CA1D805}" id="{418F8CCC-9052-4BC8-8D42-264FE6A2FEE6}">
    <text>Assumes 10 batches</text>
  </threadedComment>
  <threadedComment ref="I59" dT="2025-05-13T19:50:17.41" personId="{6D30D185-FDF2-4CDB-9391-62F90CA1D805}" id="{BEF33699-0360-493D-BD89-DE611B0F1BE9}">
    <text>Assumes 10 batches</text>
  </threadedComment>
  <threadedComment ref="K59" dT="2025-04-02T20:10:59.02" personId="{9BAC8A8A-2E26-334B-98FD-F0A472612A24}" id="{5462664C-B69B-4F65-8F64-FEFFA8781D04}">
    <text>Cycle Time = 360 hours
= 15 days</text>
  </threadedComment>
  <threadedComment ref="L59" dT="2025-04-02T20:10:59.02" personId="{9BAC8A8A-2E26-334B-98FD-F0A472612A24}" id="{FEE12CC9-C71C-4EF5-AAC1-2F11D23503A0}">
    <text>Cycle Time = 360 hours
= 15 days</text>
  </threadedComment>
  <threadedComment ref="C60" dT="2025-04-01T01:38:42.91" personId="{9BAC8A8A-2E26-334B-98FD-F0A472612A24}" id="{66C66A0E-E78F-6F4E-930A-1909C4B5B49E}">
    <text>E.M. emission factors for this TEU include both control and non-controlled emissions, so left combined.</text>
  </threadedComment>
  <threadedComment ref="H60" dT="2025-05-13T19:50:17.41" personId="{6D30D185-FDF2-4CDB-9391-62F90CA1D805}" id="{C03E838F-EA14-40E3-A722-BB26AA7547A8}">
    <text>Assumes 10 batches</text>
  </threadedComment>
  <threadedComment ref="I60" dT="2025-05-13T19:50:17.41" personId="{6D30D185-FDF2-4CDB-9391-62F90CA1D805}" id="{C70A0D7C-97D7-42F1-9349-D9444D5C075F}">
    <text>Assumes 10 batches</text>
  </threadedComment>
  <threadedComment ref="K60" dT="2025-04-02T20:10:59.02" personId="{9BAC8A8A-2E26-334B-98FD-F0A472612A24}" id="{8B64FF6D-DDCC-41E8-9F5C-B2B12FB6190A}">
    <text>Cycle Time = 360 hours
= 15 days</text>
  </threadedComment>
  <threadedComment ref="L60" dT="2025-04-02T20:10:59.02" personId="{9BAC8A8A-2E26-334B-98FD-F0A472612A24}" id="{8B54BFCD-F6BB-496E-9AA8-448C95A69CCE}">
    <text>Cycle Time = 360 hours
= 15 days</text>
  </threadedComment>
  <threadedComment ref="H61" dT="2025-05-13T19:50:17.41" personId="{6D30D185-FDF2-4CDB-9391-62F90CA1D805}" id="{287DEB4A-E420-4545-A5E0-4541C12F490D}">
    <text>Assumes 10 batches</text>
  </threadedComment>
  <threadedComment ref="I61" dT="2025-05-13T19:50:17.41" personId="{6D30D185-FDF2-4CDB-9391-62F90CA1D805}" id="{BDBB2E11-684D-46F9-BF52-CCEDBBF5D0CE}">
    <text>Assumes 10 batches</text>
  </threadedComment>
  <threadedComment ref="K61" dT="2025-04-02T20:10:59.02" personId="{9BAC8A8A-2E26-334B-98FD-F0A472612A24}" id="{C1E7EE23-54D4-4B29-83C6-85D0D8283AC3}">
    <text>Cycle Time = 360 hours
= 15 days</text>
  </threadedComment>
  <threadedComment ref="L61" dT="2025-04-02T20:10:59.02" personId="{9BAC8A8A-2E26-334B-98FD-F0A472612A24}" id="{28C93F1C-25C6-452C-B1FD-2F98BD9EF004}">
    <text>Cycle Time = 360 hours
= 15 days</text>
  </threadedComment>
  <threadedComment ref="H62" dT="2025-05-13T19:50:17.41" personId="{6D30D185-FDF2-4CDB-9391-62F90CA1D805}" id="{6A6A7755-E9FE-4677-AACC-39C8B7D77DB2}">
    <text>Assumes 10 batches</text>
  </threadedComment>
  <threadedComment ref="I62" dT="2025-05-13T19:50:17.41" personId="{6D30D185-FDF2-4CDB-9391-62F90CA1D805}" id="{D9720258-5026-4A6B-A070-159E1654A199}">
    <text>Assumes 10 batches</text>
  </threadedComment>
  <threadedComment ref="K62" dT="2025-04-02T20:10:59.02" personId="{9BAC8A8A-2E26-334B-98FD-F0A472612A24}" id="{6336E281-5B5A-4504-A4A4-4F7AE771983E}">
    <text>Cycle Time = 360 hours
= 15 days</text>
  </threadedComment>
  <threadedComment ref="L62" dT="2025-04-02T20:10:59.02" personId="{9BAC8A8A-2E26-334B-98FD-F0A472612A24}" id="{48776EA6-A2C7-4D46-A0A2-4796C4BF55BE}">
    <text>Cycle Time = 360 hours
= 15 days</text>
  </threadedComment>
  <threadedComment ref="I64" dT="2025-06-06T00:01:36.20" personId="{F0F8A3F2-DF6F-EC4A-92C7-506A628A3B2A}" id="{DC40282D-E7DB-704E-BB21-00E65D4ABA29}">
    <text>Added a 2.4x SF since future processes are not currently known</text>
  </threadedComment>
  <threadedComment ref="I66" dT="2025-05-05T22:54:26.79" personId="{6D30D185-FDF2-4CDB-9391-62F90CA1D805}" id="{A97CF459-0E56-4DAE-AE22-A1794F439A10}">
    <text>Added a 20x SF since future processes are not currently known</text>
  </threadedComment>
</ThreadedComments>
</file>

<file path=xl/threadedComments/threadedComment2.xml><?xml version="1.0" encoding="utf-8"?>
<ThreadedComments xmlns="http://schemas.microsoft.com/office/spreadsheetml/2018/threadedcomments" xmlns:x="http://schemas.openxmlformats.org/spreadsheetml/2006/main">
  <threadedComment ref="F18" dT="2025-02-17T21:42:50.09" personId="{9BAC8A8A-2E26-334B-98FD-F0A472612A24}" id="{7DEAB2F7-A426-744F-9230-695E785A245F}">
    <text>Boiler equipment does not use SNCR or SCR</text>
  </threadedComment>
  <threadedComment ref="G18" dT="2025-02-17T21:42:50.09" personId="{9BAC8A8A-2E26-334B-98FD-F0A472612A24}" id="{5D55876C-B80C-AE48-8E81-A4CC648B0132}">
    <text>Boiler equipment does not use SNCR or SCR</text>
  </threadedComment>
  <threadedComment ref="E62" dT="2025-04-02T03:23:40.26" personId="{9BAC8A8A-2E26-334B-98FD-F0A472612A24}" id="{9F557E9D-934F-F94A-863B-74601B52336D}">
    <text>Scrubber control modeled in Emission Master and reflected in EF.</text>
  </threadedComment>
  <threadedComment ref="E63" dT="2025-04-02T03:23:49.75" personId="{9BAC8A8A-2E26-334B-98FD-F0A472612A24}" id="{3214EE33-0338-F649-B6A7-B59705424730}">
    <text>Scrubber control modeled in Emission Master and reflected in EF.</text>
  </threadedComment>
  <threadedComment ref="E80" dT="2025-04-02T03:28:06.50" personId="{9BAC8A8A-2E26-334B-98FD-F0A472612A24}" id="{1438B16B-86AF-E04D-9524-16967744E236}">
    <text>Emission factor calculated by Emission Model for this TEU includes both control and non-controlled emissions.</text>
  </threadedComment>
  <threadedComment ref="E81" dT="2025-04-02T03:28:18.28" personId="{9BAC8A8A-2E26-334B-98FD-F0A472612A24}" id="{B7E8056A-D787-E248-9D56-616F2B3D0A7B}">
    <text>Emission factor calculated by Emission Model for this TEU includes both control and non-controlled emissions.</text>
  </threadedComment>
  <threadedComment ref="E82" dT="2025-04-02T03:28:26.18" personId="{9BAC8A8A-2E26-334B-98FD-F0A472612A24}" id="{92586EBE-DF5E-5140-AF31-D247D86012B7}">
    <text>Emission factor calculated by Emission Model for this TEU includes both control and non-controlled emissions.</text>
  </threadedComment>
  <threadedComment ref="E83" dT="2025-04-02T03:28:35.33" personId="{9BAC8A8A-2E26-334B-98FD-F0A472612A24}" id="{E98E01AE-35A3-0040-B1CD-E0F7AC2CD10A}">
    <text>Emission factor calculated by Emission Model for this TEU includes both control and non-controlled emissions.</text>
  </threadedComment>
  <threadedComment ref="M92" dT="2025-04-15T20:56:50.82" personId="{9BAC8A8A-2E26-334B-98FD-F0A472612A24}" id="{E3D0E7AB-F86D-4343-B8A8-12F945604766}">
    <text>Assumes: 1) process cycle is 7 days, 2) process runs consistently, 3) all emissions from a cycle are emitted in one day.</text>
  </threadedComment>
  <threadedComment ref="M99" dT="2025-04-15T20:56:50.82" personId="{9BAC8A8A-2E26-334B-98FD-F0A472612A24}" id="{70982DA7-1D78-804B-8E29-F0073F7D912F}">
    <text>Assumes: 1) process cycle is 7 days, 2) process runs consistently, 3) all emissions from a cycle is emitted in one day.</text>
  </threadedComment>
  <threadedComment ref="M101" dT="2025-04-15T20:56:50.82" personId="{9BAC8A8A-2E26-334B-98FD-F0A472612A24}" id="{3CE4390E-016D-AA4C-8C6F-A14B191BE635}">
    <text>Assumes: 1) process cycle is 7 days, 2) process runs consistently, 3) all emissions from a cycle is emitted in one day.</text>
  </threadedComment>
  <threadedComment ref="M102" dT="2025-04-15T20:56:50.82" personId="{9BAC8A8A-2E26-334B-98FD-F0A472612A24}" id="{BF52FBD3-DDEF-A240-8219-CC307C57AFF0}">
    <text>Assumes: 1) process cycle is 7 days, 2) process runs consistently, 3) all emissions from a cycle is emitted in one day.</text>
  </threadedComment>
  <threadedComment ref="M103" dT="2025-04-15T20:56:50.82" personId="{9BAC8A8A-2E26-334B-98FD-F0A472612A24}" id="{6B85F0F7-C588-3C43-9D91-8114C1413B6D}">
    <text>Assumes: 1) process cycle is 7 days, 2) process runs consistently, 3) all emissions from a cycle is emitted in one day.</text>
  </threadedComment>
  <threadedComment ref="M105" dT="2025-04-15T20:56:50.82" personId="{9BAC8A8A-2E26-334B-98FD-F0A472612A24}" id="{8E55AAD3-6F77-FE45-BC0E-E315C10B3FFC}">
    <text>Assumes: 1) process cycle is 7 days, 2) process runs consistently, 3) all emissions from a cycle is emitted in one day.</text>
  </threadedComment>
  <threadedComment ref="M107" dT="2025-04-15T20:56:50.82" personId="{9BAC8A8A-2E26-334B-98FD-F0A472612A24}" id="{B42795CB-193C-A043-8DED-6B19B1AE366A}">
    <text>Assumes: 1) process cycle is 7 days, 2) process runs consistently, 3) all emissions from a cycle is emitted in one day.</text>
  </threadedComment>
  <threadedComment ref="M111" dT="2025-04-15T20:56:50.82" personId="{9BAC8A8A-2E26-334B-98FD-F0A472612A24}" id="{6A1D4BE9-E1BD-6647-930D-B5A47963F4A0}">
    <text>Assumes: 1) process cycle is 7 days, 2) process runs consistently, 3) all emissions from a cycle is emitted in one day.</text>
  </threadedComment>
  <threadedComment ref="M115" dT="2025-04-15T20:56:50.82" personId="{9BAC8A8A-2E26-334B-98FD-F0A472612A24}" id="{E1FE5BA6-EC9C-E74F-AB10-5E4FF8E67A53}">
    <text>Assumes: 1) process cycle is 7 days, 2) process runs consistently, 3) all emissions from a cycle is emitted in one day.</text>
  </threadedComment>
</ThreadedComments>
</file>

<file path=xl/threadedComments/threadedComment3.xml><?xml version="1.0" encoding="utf-8"?>
<ThreadedComments xmlns="http://schemas.microsoft.com/office/spreadsheetml/2018/threadedcomments" xmlns:x="http://schemas.openxmlformats.org/spreadsheetml/2006/main">
  <threadedComment ref="G17" dT="2025-04-12T22:25:45.79" personId="{9BAC8A8A-2E26-334B-98FD-F0A472612A24}" id="{79FE8DB4-3136-D14C-81CE-FB2E28A0848D}">
    <text>55 gallons per year*10.35 lbs/gal
Density from SDS is 1.24 g/ml
The formula used is: (1.24 g/ml) × (3,785.41178 ml/gallon) ÷ (453.59237 g/pound)=10.348 lbs/gal</text>
  </threadedComment>
</ThreadedComments>
</file>

<file path=xl/threadedComments/threadedComment4.xml><?xml version="1.0" encoding="utf-8"?>
<ThreadedComments xmlns="http://schemas.microsoft.com/office/spreadsheetml/2018/threadedcomments" xmlns:x="http://schemas.openxmlformats.org/spreadsheetml/2006/main">
  <threadedComment ref="H20" dT="2025-04-19T00:21:55.35" personId="{9BAC8A8A-2E26-334B-98FD-F0A472612A24}" id="{68BE10C3-736E-BE4E-9B5D-F3A67BF3C10E}">
    <text>Technical Reference: https://www.sciencedirect.com/science/article/abs/pii/0043135484900137?via%3Dihub</text>
    <extLst>
      <x:ext xmlns:xltc2="http://schemas.microsoft.com/office/spreadsheetml/2020/threadedcomments2" uri="{F7C98A9C-CBB3-438F-8F68-D28B6AF4A901}">
        <xltc2:checksum>331629426</xltc2:checksum>
        <xltc2:hyperlink startIndex="21" length="81" url="https://www.sciencedirect.com/science/article/abs/pii/0043135484900137?via%3Dihub"/>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7" zoomScaleNormal="100" workbookViewId="0">
      <selection activeCell="B71" sqref="B71"/>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4" t="s">
        <v>1160</v>
      </c>
      <c r="B5" s="204"/>
      <c r="C5" s="204"/>
      <c r="D5" s="204"/>
      <c r="E5" s="204"/>
      <c r="F5" s="204"/>
      <c r="G5" s="204"/>
      <c r="H5" s="204"/>
      <c r="I5" s="204"/>
      <c r="J5" s="204"/>
      <c r="K5" s="204"/>
      <c r="L5" s="204"/>
      <c r="M5" s="204"/>
    </row>
    <row r="6" spans="1:21" ht="34.5" customHeight="1" x14ac:dyDescent="0.5">
      <c r="A6" s="32" t="s">
        <v>1231</v>
      </c>
      <c r="B6" s="33"/>
      <c r="C6" s="33"/>
      <c r="D6" s="33"/>
      <c r="E6" s="33"/>
      <c r="F6" s="33"/>
      <c r="G6" s="33"/>
      <c r="H6" s="33"/>
      <c r="I6" s="33"/>
      <c r="J6" s="33"/>
      <c r="K6" s="33"/>
      <c r="L6" s="33"/>
      <c r="M6" s="33"/>
    </row>
    <row r="7" spans="1:21" ht="34.5" customHeight="1" x14ac:dyDescent="0.5">
      <c r="A7" s="210" t="s">
        <v>1224</v>
      </c>
      <c r="B7" s="210"/>
      <c r="C7" s="210"/>
      <c r="D7" s="210"/>
      <c r="E7" s="210"/>
      <c r="F7" s="33"/>
      <c r="G7" s="33"/>
      <c r="H7" s="33"/>
      <c r="I7" s="33"/>
      <c r="J7" s="33"/>
      <c r="K7" s="33"/>
      <c r="L7" s="33"/>
      <c r="M7" s="33"/>
    </row>
    <row r="8" spans="1:21" ht="15" thickBot="1" x14ac:dyDescent="0.4">
      <c r="A8" s="209"/>
      <c r="B8" s="209"/>
      <c r="C8" s="209"/>
      <c r="D8" s="209"/>
      <c r="E8" s="209"/>
      <c r="F8" s="34"/>
      <c r="G8" s="34"/>
      <c r="H8" s="34"/>
      <c r="I8" s="34"/>
      <c r="J8" s="34"/>
      <c r="K8" s="34"/>
      <c r="L8" s="34"/>
      <c r="M8" s="35"/>
    </row>
    <row r="9" spans="1:21" s="13" customFormat="1" ht="15" customHeight="1" x14ac:dyDescent="0.35">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35">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8" t="s">
        <v>1163</v>
      </c>
      <c r="D14" s="208"/>
      <c r="E14" s="208"/>
      <c r="F14" s="208"/>
      <c r="G14" s="208"/>
      <c r="H14" s="208"/>
      <c r="I14" s="208"/>
      <c r="J14" s="208"/>
      <c r="K14" s="208"/>
      <c r="L14" s="208"/>
      <c r="M14" s="41"/>
      <c r="N14" s="14"/>
      <c r="O14" s="14"/>
      <c r="P14" s="14"/>
    </row>
    <row r="15" spans="1:21" s="13" customFormat="1" ht="69" customHeight="1" x14ac:dyDescent="0.35">
      <c r="A15" s="40" t="s">
        <v>1164</v>
      </c>
      <c r="B15" s="40" t="s">
        <v>1188</v>
      </c>
      <c r="C15" s="208" t="s">
        <v>1229</v>
      </c>
      <c r="D15" s="208"/>
      <c r="E15" s="208"/>
      <c r="F15" s="208"/>
      <c r="G15" s="208"/>
      <c r="H15" s="208"/>
      <c r="I15" s="208"/>
      <c r="J15" s="208"/>
      <c r="K15" s="208"/>
      <c r="L15" s="208"/>
      <c r="M15" s="41"/>
      <c r="N15" s="14"/>
      <c r="O15" s="14"/>
      <c r="P15" s="14"/>
    </row>
    <row r="16" spans="1:21" s="13" customFormat="1" ht="46.5" customHeight="1" x14ac:dyDescent="0.35">
      <c r="A16" s="42" t="s">
        <v>1165</v>
      </c>
      <c r="B16" s="42" t="s">
        <v>1190</v>
      </c>
      <c r="C16" s="208" t="s">
        <v>1241</v>
      </c>
      <c r="D16" s="208"/>
      <c r="E16" s="208"/>
      <c r="F16" s="208"/>
      <c r="G16" s="208"/>
      <c r="H16" s="208"/>
      <c r="I16" s="208"/>
      <c r="J16" s="208"/>
      <c r="K16" s="208"/>
      <c r="L16" s="208"/>
      <c r="M16" s="43"/>
      <c r="N16" s="15"/>
      <c r="O16" s="15"/>
      <c r="P16" s="15"/>
    </row>
    <row r="17" spans="1:16" s="13" customFormat="1" ht="69" customHeight="1" x14ac:dyDescent="0.35">
      <c r="A17" s="42" t="s">
        <v>1166</v>
      </c>
      <c r="B17" s="42" t="s">
        <v>1191</v>
      </c>
      <c r="C17" s="208" t="s">
        <v>1230</v>
      </c>
      <c r="D17" s="208"/>
      <c r="E17" s="208"/>
      <c r="F17" s="208"/>
      <c r="G17" s="208"/>
      <c r="H17" s="208"/>
      <c r="I17" s="208"/>
      <c r="J17" s="208"/>
      <c r="K17" s="208"/>
      <c r="L17" s="208"/>
      <c r="M17" s="41"/>
      <c r="N17" s="14"/>
      <c r="O17" s="14"/>
      <c r="P17" s="14"/>
    </row>
    <row r="18" spans="1:16" s="13" customFormat="1" ht="46.5" customHeight="1" x14ac:dyDescent="0.35">
      <c r="A18" s="42" t="s">
        <v>1189</v>
      </c>
      <c r="B18" s="42" t="s">
        <v>1192</v>
      </c>
      <c r="C18" s="208" t="s">
        <v>1242</v>
      </c>
      <c r="D18" s="208"/>
      <c r="E18" s="208"/>
      <c r="F18" s="208"/>
      <c r="G18" s="208"/>
      <c r="H18" s="208"/>
      <c r="I18" s="208"/>
      <c r="J18" s="208"/>
      <c r="K18" s="208"/>
      <c r="L18" s="208"/>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11" t="s">
        <v>1209</v>
      </c>
      <c r="B32" s="211"/>
      <c r="C32" s="211"/>
      <c r="D32" s="211"/>
      <c r="E32" s="211"/>
      <c r="F32" s="211"/>
      <c r="G32" s="211"/>
      <c r="H32" s="211"/>
      <c r="I32" s="211"/>
      <c r="J32" s="211"/>
      <c r="K32" s="211"/>
      <c r="L32" s="211"/>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11" t="s">
        <v>1334</v>
      </c>
      <c r="B36" s="211"/>
      <c r="C36" s="211"/>
      <c r="D36" s="211"/>
      <c r="E36" s="211"/>
      <c r="F36" s="211"/>
      <c r="G36" s="211"/>
      <c r="H36" s="211"/>
      <c r="I36" s="211"/>
      <c r="J36" s="211"/>
      <c r="K36" s="211"/>
      <c r="L36" s="211"/>
      <c r="M36" s="39"/>
    </row>
    <row r="37" spans="1:13" s="13" customFormat="1" ht="46.5" customHeight="1" x14ac:dyDescent="0.35">
      <c r="A37" s="211" t="s">
        <v>1213</v>
      </c>
      <c r="B37" s="211"/>
      <c r="C37" s="211"/>
      <c r="D37" s="211"/>
      <c r="E37" s="211"/>
      <c r="F37" s="211"/>
      <c r="G37" s="211"/>
      <c r="H37" s="211"/>
      <c r="I37" s="211"/>
      <c r="J37" s="211"/>
      <c r="K37" s="211"/>
      <c r="L37" s="211"/>
      <c r="M37" s="39"/>
    </row>
    <row r="38" spans="1:13" s="13" customFormat="1" ht="37.5" customHeight="1" x14ac:dyDescent="0.35">
      <c r="A38" s="211" t="s">
        <v>1335</v>
      </c>
      <c r="B38" s="211"/>
      <c r="C38" s="211"/>
      <c r="D38" s="211"/>
      <c r="E38" s="211"/>
      <c r="F38" s="211"/>
      <c r="G38" s="211"/>
      <c r="H38" s="211"/>
      <c r="I38" s="211"/>
      <c r="J38" s="211"/>
      <c r="K38" s="211"/>
      <c r="L38" s="211"/>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11" t="s">
        <v>1336</v>
      </c>
      <c r="B40" s="211"/>
      <c r="C40" s="211"/>
      <c r="D40" s="211"/>
      <c r="E40" s="211"/>
      <c r="F40" s="211"/>
      <c r="G40" s="211"/>
      <c r="H40" s="211"/>
      <c r="I40" s="211"/>
      <c r="J40" s="211"/>
      <c r="K40" s="211"/>
      <c r="L40" s="211"/>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11" t="s">
        <v>1244</v>
      </c>
      <c r="B47" s="211"/>
      <c r="C47" s="211"/>
      <c r="D47" s="211"/>
      <c r="E47" s="211"/>
      <c r="F47" s="211"/>
      <c r="G47" s="211"/>
      <c r="H47" s="211"/>
      <c r="I47" s="211"/>
      <c r="J47" s="211"/>
      <c r="K47" s="211"/>
      <c r="L47" s="211"/>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11" t="s">
        <v>1339</v>
      </c>
      <c r="B49" s="211"/>
      <c r="C49" s="211"/>
      <c r="D49" s="211"/>
      <c r="E49" s="211"/>
      <c r="F49" s="211"/>
      <c r="G49" s="211"/>
      <c r="H49" s="211"/>
      <c r="I49" s="211"/>
      <c r="J49" s="211"/>
      <c r="K49" s="211"/>
      <c r="L49" s="211"/>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11" t="s">
        <v>1340</v>
      </c>
      <c r="B51" s="211"/>
      <c r="C51" s="211"/>
      <c r="D51" s="211"/>
      <c r="E51" s="211"/>
      <c r="F51" s="211"/>
      <c r="G51" s="211"/>
      <c r="H51" s="211"/>
      <c r="I51" s="211"/>
      <c r="J51" s="211"/>
      <c r="K51" s="211"/>
      <c r="L51" s="211"/>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11" t="s">
        <v>1356</v>
      </c>
      <c r="B53" s="211"/>
      <c r="C53" s="211"/>
      <c r="D53" s="211"/>
      <c r="E53" s="211"/>
      <c r="F53" s="211"/>
      <c r="G53" s="211"/>
      <c r="H53" s="211"/>
      <c r="I53" s="211"/>
      <c r="J53" s="211"/>
      <c r="K53" s="211"/>
      <c r="L53" s="211"/>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11" t="s">
        <v>1214</v>
      </c>
      <c r="B66" s="211"/>
      <c r="C66" s="211"/>
      <c r="D66" s="211"/>
      <c r="E66" s="211"/>
      <c r="F66" s="211"/>
      <c r="G66" s="211"/>
      <c r="H66" s="211"/>
      <c r="I66" s="211"/>
      <c r="J66" s="211"/>
      <c r="K66" s="211"/>
      <c r="L66" s="211"/>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11" t="s">
        <v>1347</v>
      </c>
      <c r="B68" s="211"/>
      <c r="C68" s="211"/>
      <c r="D68" s="211"/>
      <c r="E68" s="211"/>
      <c r="F68" s="211"/>
      <c r="G68" s="211"/>
      <c r="H68" s="211"/>
      <c r="I68" s="211"/>
      <c r="J68" s="211"/>
      <c r="K68" s="211"/>
      <c r="L68" s="211"/>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11" t="s">
        <v>1243</v>
      </c>
      <c r="B80" s="211"/>
      <c r="C80" s="211"/>
      <c r="D80" s="211"/>
      <c r="E80" s="211"/>
      <c r="F80" s="211"/>
      <c r="G80" s="211"/>
      <c r="H80" s="211"/>
      <c r="I80" s="211"/>
      <c r="J80" s="211"/>
      <c r="K80" s="211"/>
      <c r="L80" s="211"/>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11" t="s">
        <v>1349</v>
      </c>
      <c r="B82" s="211"/>
      <c r="C82" s="211"/>
      <c r="D82" s="211"/>
      <c r="E82" s="211"/>
      <c r="F82" s="211"/>
      <c r="G82" s="211"/>
      <c r="H82" s="211"/>
      <c r="I82" s="211"/>
      <c r="J82" s="211"/>
      <c r="K82" s="211"/>
      <c r="L82" s="211"/>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11" t="s">
        <v>1222</v>
      </c>
      <c r="B84" s="211"/>
      <c r="C84" s="211"/>
      <c r="D84" s="211"/>
      <c r="E84" s="211"/>
      <c r="F84" s="211"/>
      <c r="G84" s="211"/>
      <c r="H84" s="211"/>
      <c r="I84" s="211"/>
      <c r="J84" s="211"/>
      <c r="K84" s="211"/>
      <c r="L84" s="211"/>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11" t="s">
        <v>1221</v>
      </c>
      <c r="C86" s="211"/>
      <c r="D86" s="211"/>
      <c r="E86" s="211"/>
      <c r="F86" s="211"/>
      <c r="G86" s="211"/>
      <c r="H86" s="211"/>
      <c r="I86" s="211"/>
      <c r="J86" s="211"/>
      <c r="K86" s="211"/>
      <c r="L86" s="211"/>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11" t="s">
        <v>1227</v>
      </c>
      <c r="B88" s="211"/>
      <c r="C88" s="211"/>
      <c r="D88" s="211"/>
      <c r="E88" s="211"/>
      <c r="F88" s="211"/>
      <c r="G88" s="211"/>
      <c r="H88" s="211"/>
      <c r="I88" s="211"/>
      <c r="J88" s="211"/>
      <c r="K88" s="211"/>
      <c r="L88" s="211"/>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11" t="s">
        <v>1355</v>
      </c>
      <c r="B90" s="211"/>
      <c r="C90" s="211"/>
      <c r="D90" s="211"/>
      <c r="E90" s="211"/>
      <c r="F90" s="211"/>
      <c r="G90" s="211"/>
      <c r="H90" s="211"/>
      <c r="I90" s="211"/>
      <c r="J90" s="211"/>
      <c r="K90" s="211"/>
      <c r="L90" s="211"/>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
    </sheetView>
  </sheetViews>
  <sheetFormatPr defaultColWidth="9.1796875" defaultRowHeight="14.5" x14ac:dyDescent="0.35"/>
  <cols>
    <col min="1" max="1" width="30.453125" customWidth="1"/>
    <col min="2" max="2" width="60.453125" customWidth="1"/>
  </cols>
  <sheetData>
    <row r="5" spans="1:2" ht="20" x14ac:dyDescent="0.4">
      <c r="A5" s="212" t="s">
        <v>1206</v>
      </c>
      <c r="B5" s="212"/>
    </row>
    <row r="6" spans="1:2" ht="22" customHeight="1" x14ac:dyDescent="0.35">
      <c r="A6" s="65" t="s">
        <v>0</v>
      </c>
      <c r="B6" s="66" t="s">
        <v>1441</v>
      </c>
    </row>
    <row r="7" spans="1:2" ht="22" customHeight="1" x14ac:dyDescent="0.35">
      <c r="A7" s="65" t="s">
        <v>1</v>
      </c>
      <c r="B7" s="66" t="s">
        <v>1442</v>
      </c>
    </row>
    <row r="8" spans="1:2" ht="22" customHeight="1" x14ac:dyDescent="0.35">
      <c r="A8" s="65" t="s">
        <v>2</v>
      </c>
      <c r="B8" s="66" t="s">
        <v>1443</v>
      </c>
    </row>
    <row r="9" spans="1:2" ht="22" customHeight="1" x14ac:dyDescent="0.35">
      <c r="A9" s="65" t="s">
        <v>3</v>
      </c>
      <c r="B9" s="199">
        <v>97322</v>
      </c>
    </row>
    <row r="10" spans="1:2" ht="60" x14ac:dyDescent="0.35">
      <c r="A10" s="65" t="s">
        <v>1207</v>
      </c>
      <c r="B10" s="66"/>
    </row>
    <row r="11" spans="1:2" ht="22" customHeight="1" x14ac:dyDescent="0.35">
      <c r="A11" s="65" t="s">
        <v>4</v>
      </c>
      <c r="B11" s="66" t="s">
        <v>1444</v>
      </c>
    </row>
    <row r="12" spans="1:2" ht="22" customHeight="1" x14ac:dyDescent="0.35">
      <c r="A12" s="65" t="s">
        <v>5</v>
      </c>
      <c r="B12" s="199" t="s">
        <v>1445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8"/>
  <sheetViews>
    <sheetView tabSelected="1" topLeftCell="A12" zoomScaleNormal="100" workbookViewId="0">
      <selection activeCell="I22" sqref="I22"/>
    </sheetView>
  </sheetViews>
  <sheetFormatPr defaultColWidth="8.81640625" defaultRowHeight="14.5" x14ac:dyDescent="0.35"/>
  <cols>
    <col min="1" max="1" width="24.453125" style="1" customWidth="1"/>
    <col min="2" max="2" width="60.453125" customWidth="1"/>
    <col min="3" max="3" width="28.453125" customWidth="1"/>
    <col min="4" max="5" width="18.453125" style="1" customWidth="1"/>
    <col min="6" max="6" width="22.453125" style="1" customWidth="1"/>
    <col min="7" max="7" width="22.453125" customWidth="1"/>
    <col min="8" max="13" width="14.453125" style="1" customWidth="1"/>
  </cols>
  <sheetData>
    <row r="1" spans="1:13" ht="20" customHeight="1" x14ac:dyDescent="0.35"/>
    <row r="2" spans="1:13" ht="20" customHeight="1" x14ac:dyDescent="0.35"/>
    <row r="3" spans="1:13" ht="20" customHeight="1" x14ac:dyDescent="0.35"/>
    <row r="4" spans="1:13" ht="20" customHeight="1" x14ac:dyDescent="0.35"/>
    <row r="5" spans="1:13" ht="20" customHeight="1" x14ac:dyDescent="0.35"/>
    <row r="6" spans="1:13" ht="20" customHeight="1" x14ac:dyDescent="0.35"/>
    <row r="7" spans="1:13" ht="20" customHeight="1" x14ac:dyDescent="0.35"/>
    <row r="8" spans="1:13" ht="20" customHeight="1" x14ac:dyDescent="0.35"/>
    <row r="9" spans="1:13" ht="20" customHeight="1" thickBot="1" x14ac:dyDescent="0.4"/>
    <row r="10" spans="1:13" ht="50" customHeight="1" thickBot="1" x14ac:dyDescent="0.4">
      <c r="A10" s="216" t="s">
        <v>13</v>
      </c>
      <c r="B10" s="217"/>
      <c r="C10" s="217"/>
      <c r="D10" s="232" t="s">
        <v>1087</v>
      </c>
      <c r="E10" s="233"/>
      <c r="F10" s="216" t="s">
        <v>6</v>
      </c>
      <c r="G10" s="217"/>
      <c r="H10" s="217"/>
      <c r="I10" s="217"/>
      <c r="J10" s="217"/>
      <c r="K10" s="217"/>
      <c r="L10" s="217"/>
      <c r="M10" s="218"/>
    </row>
    <row r="11" spans="1:13" ht="20" customHeight="1" thickBot="1" x14ac:dyDescent="0.4">
      <c r="A11" s="234" t="s">
        <v>1139</v>
      </c>
      <c r="B11" s="219" t="s">
        <v>9</v>
      </c>
      <c r="C11" s="221" t="s">
        <v>12</v>
      </c>
      <c r="D11" s="230" t="s">
        <v>11</v>
      </c>
      <c r="E11" s="223" t="s">
        <v>1086</v>
      </c>
      <c r="F11" s="225" t="s">
        <v>1354</v>
      </c>
      <c r="G11" s="223" t="s">
        <v>10</v>
      </c>
      <c r="H11" s="227" t="s">
        <v>1154</v>
      </c>
      <c r="I11" s="228"/>
      <c r="J11" s="229"/>
      <c r="K11" s="213" t="s">
        <v>1199</v>
      </c>
      <c r="L11" s="214"/>
      <c r="M11" s="215"/>
    </row>
    <row r="12" spans="1:13" ht="48" customHeight="1" thickBot="1" x14ac:dyDescent="0.4">
      <c r="A12" s="235"/>
      <c r="B12" s="220"/>
      <c r="C12" s="222"/>
      <c r="D12" s="231"/>
      <c r="E12" s="224"/>
      <c r="F12" s="226"/>
      <c r="G12" s="224"/>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1361</v>
      </c>
      <c r="B15" s="80" t="s">
        <v>1362</v>
      </c>
      <c r="C15" s="81" t="s">
        <v>1363</v>
      </c>
      <c r="D15" s="82" t="s">
        <v>1129</v>
      </c>
      <c r="E15" s="83" t="s">
        <v>1364</v>
      </c>
      <c r="F15" s="82" t="s">
        <v>1365</v>
      </c>
      <c r="G15" s="84" t="s">
        <v>1366</v>
      </c>
      <c r="H15" s="85">
        <v>16.3</v>
      </c>
      <c r="I15" s="86">
        <v>20</v>
      </c>
      <c r="J15" s="83">
        <f>I15</f>
        <v>20</v>
      </c>
      <c r="K15" s="85">
        <f>H15/365</f>
        <v>4.4657534246575342E-2</v>
      </c>
      <c r="L15" s="86">
        <f>I15/365</f>
        <v>5.4794520547945202E-2</v>
      </c>
      <c r="M15" s="83">
        <f>L15</f>
        <v>5.4794520547945202E-2</v>
      </c>
    </row>
    <row r="16" spans="1:13" x14ac:dyDescent="0.35">
      <c r="A16" s="79"/>
      <c r="B16" s="80"/>
      <c r="C16" s="81"/>
      <c r="D16" s="82"/>
      <c r="E16" s="83"/>
      <c r="F16" s="82"/>
      <c r="G16" s="84"/>
      <c r="H16" s="85"/>
      <c r="I16" s="86"/>
      <c r="J16" s="83"/>
      <c r="K16" s="85"/>
      <c r="L16" s="86"/>
      <c r="M16" s="83"/>
    </row>
    <row r="17" spans="1:13" x14ac:dyDescent="0.35">
      <c r="A17" s="79" t="s">
        <v>1471</v>
      </c>
      <c r="B17" s="80" t="s">
        <v>1466</v>
      </c>
      <c r="C17" s="81" t="s">
        <v>1363</v>
      </c>
      <c r="D17" s="82" t="s">
        <v>1129</v>
      </c>
      <c r="E17" s="83" t="s">
        <v>1434</v>
      </c>
      <c r="F17" s="82" t="s">
        <v>1467</v>
      </c>
      <c r="G17" s="84" t="s">
        <v>1472</v>
      </c>
      <c r="H17" s="85"/>
      <c r="I17" s="86"/>
      <c r="J17" s="83"/>
      <c r="K17" s="85"/>
      <c r="L17" s="86"/>
      <c r="M17" s="83"/>
    </row>
    <row r="18" spans="1:13" x14ac:dyDescent="0.35">
      <c r="A18" s="79" t="s">
        <v>1468</v>
      </c>
      <c r="B18" s="80" t="s">
        <v>1474</v>
      </c>
      <c r="C18" s="81" t="s">
        <v>1363</v>
      </c>
      <c r="D18" s="82" t="s">
        <v>1129</v>
      </c>
      <c r="E18" s="83" t="s">
        <v>1469</v>
      </c>
      <c r="F18" s="82"/>
      <c r="G18" s="84"/>
      <c r="H18" s="85"/>
      <c r="I18" s="86"/>
      <c r="J18" s="83"/>
      <c r="K18" s="85"/>
      <c r="L18" s="86"/>
      <c r="M18" s="83"/>
    </row>
    <row r="19" spans="1:13" x14ac:dyDescent="0.35">
      <c r="A19" s="79" t="s">
        <v>1473</v>
      </c>
      <c r="B19" s="80" t="s">
        <v>1474</v>
      </c>
      <c r="C19" s="81" t="s">
        <v>1363</v>
      </c>
      <c r="D19" s="82" t="s">
        <v>1129</v>
      </c>
      <c r="E19" s="83" t="s">
        <v>1475</v>
      </c>
      <c r="F19" s="82"/>
      <c r="G19" s="84"/>
      <c r="H19" s="85"/>
      <c r="I19" s="86"/>
      <c r="J19" s="83"/>
      <c r="K19" s="85"/>
      <c r="L19" s="86"/>
      <c r="M19" s="83"/>
    </row>
    <row r="20" spans="1:13" x14ac:dyDescent="0.35">
      <c r="A20" s="79" t="s">
        <v>1478</v>
      </c>
      <c r="B20" s="80" t="s">
        <v>1477</v>
      </c>
      <c r="C20" s="81" t="s">
        <v>1363</v>
      </c>
      <c r="D20" s="82" t="s">
        <v>1129</v>
      </c>
      <c r="E20" s="83" t="s">
        <v>1478</v>
      </c>
      <c r="F20" s="82"/>
      <c r="G20" s="84"/>
      <c r="H20" s="85"/>
      <c r="I20" s="86"/>
      <c r="J20" s="83"/>
      <c r="K20" s="85"/>
      <c r="L20" s="86"/>
      <c r="M20" s="83"/>
    </row>
    <row r="21" spans="1:13" x14ac:dyDescent="0.35">
      <c r="A21" s="79"/>
      <c r="B21" s="80"/>
      <c r="C21" s="81"/>
      <c r="D21" s="82"/>
      <c r="E21" s="83"/>
      <c r="F21" s="82"/>
      <c r="G21" s="84"/>
      <c r="H21" s="85"/>
      <c r="I21" s="86"/>
      <c r="J21" s="83"/>
      <c r="K21" s="85"/>
      <c r="L21" s="86"/>
      <c r="M21" s="83"/>
    </row>
    <row r="22" spans="1:13" x14ac:dyDescent="0.35">
      <c r="A22" s="79" t="s">
        <v>1446</v>
      </c>
      <c r="B22" s="80" t="s">
        <v>1476</v>
      </c>
      <c r="C22" s="81" t="s">
        <v>1363</v>
      </c>
      <c r="D22" s="82" t="s">
        <v>1438</v>
      </c>
      <c r="E22" s="83" t="s">
        <v>1446</v>
      </c>
      <c r="F22" s="82" t="s">
        <v>1488</v>
      </c>
      <c r="G22" s="84" t="s">
        <v>1447</v>
      </c>
      <c r="H22" s="85">
        <f>20/1000</f>
        <v>0.02</v>
      </c>
      <c r="I22" s="86">
        <f>60/1000</f>
        <v>0.06</v>
      </c>
      <c r="J22" s="83">
        <f>I22</f>
        <v>0.06</v>
      </c>
      <c r="K22" s="85">
        <f>H22/52</f>
        <v>3.8461538461538462E-4</v>
      </c>
      <c r="L22" s="86">
        <f t="shared" ref="L22:M22" si="0">I22/52</f>
        <v>1.1538461538461537E-3</v>
      </c>
      <c r="M22" s="83">
        <f t="shared" si="0"/>
        <v>1.1538461538461537E-3</v>
      </c>
    </row>
    <row r="23" spans="1:13" x14ac:dyDescent="0.35">
      <c r="A23" s="79"/>
      <c r="B23" s="80"/>
      <c r="C23" s="81"/>
      <c r="D23" s="82"/>
      <c r="E23" s="83"/>
      <c r="F23" s="82"/>
      <c r="G23" s="84"/>
      <c r="H23" s="85"/>
      <c r="I23" s="86"/>
      <c r="J23" s="83"/>
      <c r="K23" s="85"/>
      <c r="L23" s="86"/>
      <c r="M23" s="83"/>
    </row>
    <row r="24" spans="1:13" x14ac:dyDescent="0.35">
      <c r="A24" s="79" t="s">
        <v>1479</v>
      </c>
      <c r="B24" s="80" t="s">
        <v>1484</v>
      </c>
      <c r="C24" s="81" t="s">
        <v>1363</v>
      </c>
      <c r="D24" s="82" t="s">
        <v>1129</v>
      </c>
      <c r="E24" s="83" t="s">
        <v>1381</v>
      </c>
      <c r="F24" s="82" t="s">
        <v>1458</v>
      </c>
      <c r="G24" s="84" t="s">
        <v>1454</v>
      </c>
      <c r="H24" s="85">
        <f>K24*365</f>
        <v>2274.8625000000002</v>
      </c>
      <c r="I24" s="86">
        <f>H24*2</f>
        <v>4549.7250000000004</v>
      </c>
      <c r="J24" s="83">
        <f>I24</f>
        <v>4549.7250000000004</v>
      </c>
      <c r="K24" s="85">
        <f>1500*8.31/2000</f>
        <v>6.2324999999999999</v>
      </c>
      <c r="L24" s="86">
        <f>K24*2</f>
        <v>12.465</v>
      </c>
      <c r="M24" s="83">
        <f>L24</f>
        <v>12.465</v>
      </c>
    </row>
    <row r="25" spans="1:13" x14ac:dyDescent="0.35">
      <c r="A25" s="79" t="s">
        <v>1480</v>
      </c>
      <c r="B25" s="80" t="s">
        <v>1485</v>
      </c>
      <c r="C25" s="81" t="s">
        <v>1363</v>
      </c>
      <c r="D25" s="82" t="s">
        <v>1129</v>
      </c>
      <c r="E25" s="83" t="s">
        <v>1376</v>
      </c>
      <c r="F25" s="82" t="s">
        <v>1458</v>
      </c>
      <c r="G25" s="84" t="s">
        <v>1454</v>
      </c>
      <c r="H25" s="85">
        <f>K25*365</f>
        <v>2274.8625000000002</v>
      </c>
      <c r="I25" s="86">
        <f>H25*2</f>
        <v>4549.7250000000004</v>
      </c>
      <c r="J25" s="83">
        <f>I25</f>
        <v>4549.7250000000004</v>
      </c>
      <c r="K25" s="85">
        <f>1500*8.31/2000</f>
        <v>6.2324999999999999</v>
      </c>
      <c r="L25" s="86">
        <f>K25*2</f>
        <v>12.465</v>
      </c>
      <c r="M25" s="83">
        <f>L25</f>
        <v>12.465</v>
      </c>
    </row>
    <row r="26" spans="1:13" x14ac:dyDescent="0.35">
      <c r="A26" s="79"/>
      <c r="B26" s="80"/>
      <c r="C26" s="81"/>
      <c r="D26" s="82"/>
      <c r="E26" s="83"/>
      <c r="F26" s="82"/>
      <c r="G26" s="84"/>
      <c r="H26" s="85"/>
      <c r="I26" s="86"/>
      <c r="J26" s="83"/>
      <c r="K26" s="85"/>
      <c r="L26" s="86"/>
      <c r="M26" s="83"/>
    </row>
    <row r="27" spans="1:13" x14ac:dyDescent="0.35">
      <c r="A27" s="79" t="s">
        <v>1456</v>
      </c>
      <c r="B27" s="80" t="s">
        <v>1457</v>
      </c>
      <c r="C27" s="81" t="s">
        <v>1363</v>
      </c>
      <c r="D27" s="82" t="s">
        <v>1438</v>
      </c>
      <c r="E27" s="83" t="s">
        <v>1456</v>
      </c>
      <c r="F27" s="82" t="s">
        <v>1458</v>
      </c>
      <c r="G27" s="84" t="s">
        <v>1454</v>
      </c>
      <c r="H27" s="85">
        <v>4765</v>
      </c>
      <c r="I27" s="86">
        <v>5718</v>
      </c>
      <c r="J27" s="83">
        <f>I27</f>
        <v>5718</v>
      </c>
      <c r="K27" s="85">
        <f>H27/365</f>
        <v>13.054794520547945</v>
      </c>
      <c r="L27" s="86">
        <f t="shared" ref="L27:M27" si="1">I27/365</f>
        <v>15.665753424657535</v>
      </c>
      <c r="M27" s="83">
        <f t="shared" si="1"/>
        <v>15.665753424657535</v>
      </c>
    </row>
    <row r="28" spans="1:13" x14ac:dyDescent="0.35">
      <c r="A28" s="79"/>
      <c r="B28" s="80"/>
      <c r="C28" s="81"/>
      <c r="D28" s="82"/>
      <c r="E28" s="83"/>
      <c r="F28" s="82"/>
      <c r="G28" s="84"/>
      <c r="H28" s="85"/>
      <c r="I28" s="86"/>
      <c r="J28" s="83"/>
      <c r="K28" s="85"/>
      <c r="L28" s="86"/>
      <c r="M28" s="83"/>
    </row>
    <row r="29" spans="1:13" x14ac:dyDescent="0.35">
      <c r="A29" s="79" t="s">
        <v>1369</v>
      </c>
      <c r="B29" s="80" t="s">
        <v>1370</v>
      </c>
      <c r="C29" s="81" t="s">
        <v>1363</v>
      </c>
      <c r="D29" s="82" t="s">
        <v>1129</v>
      </c>
      <c r="E29" s="83" t="s">
        <v>1371</v>
      </c>
      <c r="F29" s="82" t="s">
        <v>1458</v>
      </c>
      <c r="G29" s="84" t="s">
        <v>1372</v>
      </c>
      <c r="H29" s="85">
        <f>ROUND(6*11500*2.205/2000,0)</f>
        <v>76</v>
      </c>
      <c r="I29" s="86">
        <f>ROUND(6*11500*2.205/2000,0)</f>
        <v>76</v>
      </c>
      <c r="J29" s="83"/>
      <c r="K29" s="85">
        <f>ROUND(1/(168/24)*11500*2.205/2000,2)</f>
        <v>1.81</v>
      </c>
      <c r="L29" s="86">
        <f>K29</f>
        <v>1.81</v>
      </c>
      <c r="M29" s="83">
        <f>L29</f>
        <v>1.81</v>
      </c>
    </row>
    <row r="30" spans="1:13" x14ac:dyDescent="0.35">
      <c r="A30" s="79" t="s">
        <v>1373</v>
      </c>
      <c r="B30" s="80" t="s">
        <v>1413</v>
      </c>
      <c r="C30" s="81" t="s">
        <v>1363</v>
      </c>
      <c r="D30" s="82"/>
      <c r="E30" s="83"/>
      <c r="F30" s="82"/>
      <c r="G30" s="84"/>
      <c r="H30" s="85"/>
      <c r="I30" s="86"/>
      <c r="J30" s="83"/>
      <c r="K30" s="85"/>
      <c r="L30" s="86"/>
      <c r="M30" s="83"/>
    </row>
    <row r="31" spans="1:13" x14ac:dyDescent="0.35">
      <c r="A31" s="79" t="s">
        <v>1374</v>
      </c>
      <c r="B31" s="80" t="s">
        <v>1414</v>
      </c>
      <c r="C31" s="81" t="s">
        <v>1363</v>
      </c>
      <c r="D31" s="82"/>
      <c r="E31" s="83"/>
      <c r="F31" s="82"/>
      <c r="G31" s="84"/>
      <c r="H31" s="85"/>
      <c r="I31" s="86"/>
      <c r="J31" s="83"/>
      <c r="K31" s="85"/>
      <c r="L31" s="86"/>
      <c r="M31" s="83"/>
    </row>
    <row r="32" spans="1:13" x14ac:dyDescent="0.35">
      <c r="A32" s="79" t="s">
        <v>1375</v>
      </c>
      <c r="B32" s="80" t="s">
        <v>1415</v>
      </c>
      <c r="C32" s="81" t="s">
        <v>1363</v>
      </c>
      <c r="D32" s="82"/>
      <c r="E32" s="83"/>
      <c r="F32" s="82"/>
      <c r="G32" s="84"/>
      <c r="H32" s="85"/>
      <c r="I32" s="86"/>
      <c r="J32" s="83"/>
      <c r="K32" s="85"/>
      <c r="L32" s="86"/>
      <c r="M32" s="83"/>
    </row>
    <row r="33" spans="1:13" x14ac:dyDescent="0.35">
      <c r="A33" s="196"/>
      <c r="B33" s="197"/>
      <c r="C33" s="197"/>
      <c r="D33" s="196"/>
      <c r="E33" s="196"/>
      <c r="F33" s="82"/>
      <c r="G33" s="84"/>
      <c r="H33" s="85"/>
      <c r="I33" s="86"/>
      <c r="J33" s="83"/>
      <c r="K33" s="85"/>
      <c r="L33" s="86"/>
      <c r="M33" s="83"/>
    </row>
    <row r="34" spans="1:13" x14ac:dyDescent="0.35">
      <c r="A34" s="79" t="s">
        <v>1424</v>
      </c>
      <c r="B34" s="80" t="s">
        <v>1426</v>
      </c>
      <c r="C34" s="81" t="s">
        <v>1363</v>
      </c>
      <c r="D34" s="82" t="s">
        <v>1129</v>
      </c>
      <c r="E34" s="83" t="s">
        <v>1381</v>
      </c>
      <c r="F34" s="82" t="s">
        <v>1458</v>
      </c>
      <c r="G34" s="84" t="s">
        <v>1428</v>
      </c>
      <c r="H34" s="85">
        <f>ROUND(20*420*2.205/2000,0)</f>
        <v>9</v>
      </c>
      <c r="I34" s="86">
        <f t="shared" ref="H34:I36" si="2">ROUND(20*420*2.205/2000,0)</f>
        <v>9</v>
      </c>
      <c r="J34" s="83"/>
      <c r="K34" s="85">
        <f>ROUND(1/(240/24)*420*2.205/2000,2)</f>
        <v>0.05</v>
      </c>
      <c r="L34" s="86">
        <f t="shared" ref="K34:L36" si="3">ROUND(1/(240/24)*420*2.205/2000,2)</f>
        <v>0.05</v>
      </c>
      <c r="M34" s="83"/>
    </row>
    <row r="35" spans="1:13" x14ac:dyDescent="0.35">
      <c r="A35" s="134" t="s">
        <v>1425</v>
      </c>
      <c r="B35" s="81" t="s">
        <v>1427</v>
      </c>
      <c r="C35" s="81" t="s">
        <v>1363</v>
      </c>
      <c r="D35" s="134" t="s">
        <v>1129</v>
      </c>
      <c r="E35" s="134" t="s">
        <v>1390</v>
      </c>
      <c r="F35" s="82" t="s">
        <v>1458</v>
      </c>
      <c r="G35" s="84" t="s">
        <v>1428</v>
      </c>
      <c r="H35" s="85">
        <f t="shared" si="2"/>
        <v>9</v>
      </c>
      <c r="I35" s="86">
        <f t="shared" si="2"/>
        <v>9</v>
      </c>
      <c r="J35" s="83"/>
      <c r="K35" s="85">
        <f t="shared" si="3"/>
        <v>0.05</v>
      </c>
      <c r="L35" s="86">
        <f t="shared" si="3"/>
        <v>0.05</v>
      </c>
      <c r="M35" s="83"/>
    </row>
    <row r="36" spans="1:13" x14ac:dyDescent="0.35">
      <c r="A36" s="134" t="s">
        <v>1439</v>
      </c>
      <c r="B36" s="81" t="s">
        <v>1440</v>
      </c>
      <c r="C36" s="81" t="s">
        <v>1363</v>
      </c>
      <c r="D36" s="134" t="s">
        <v>1129</v>
      </c>
      <c r="E36" s="134" t="s">
        <v>1376</v>
      </c>
      <c r="F36" s="82" t="s">
        <v>1458</v>
      </c>
      <c r="G36" s="84" t="s">
        <v>1428</v>
      </c>
      <c r="H36" s="85">
        <f t="shared" si="2"/>
        <v>9</v>
      </c>
      <c r="I36" s="86">
        <f t="shared" si="2"/>
        <v>9</v>
      </c>
      <c r="J36" s="83"/>
      <c r="K36" s="85">
        <f t="shared" si="3"/>
        <v>0.05</v>
      </c>
      <c r="L36" s="86">
        <f t="shared" si="3"/>
        <v>0.05</v>
      </c>
      <c r="M36" s="83"/>
    </row>
    <row r="37" spans="1:13" x14ac:dyDescent="0.35">
      <c r="A37" s="134"/>
      <c r="B37" s="81"/>
      <c r="C37" s="81"/>
      <c r="D37" s="134"/>
      <c r="E37" s="134"/>
      <c r="F37" s="82"/>
      <c r="G37" s="84"/>
      <c r="H37" s="85"/>
      <c r="I37" s="86"/>
      <c r="J37" s="83"/>
      <c r="K37" s="85"/>
      <c r="L37" s="86"/>
      <c r="M37" s="83"/>
    </row>
    <row r="38" spans="1:13" x14ac:dyDescent="0.35">
      <c r="A38" s="134"/>
      <c r="B38" s="81"/>
      <c r="C38" s="81"/>
      <c r="D38" s="134"/>
      <c r="E38" s="134"/>
      <c r="F38" s="82"/>
      <c r="G38" s="84"/>
      <c r="H38" s="85"/>
      <c r="I38" s="86"/>
      <c r="J38" s="83"/>
      <c r="K38" s="85"/>
      <c r="L38" s="86"/>
      <c r="M38" s="83"/>
    </row>
    <row r="39" spans="1:13" x14ac:dyDescent="0.35">
      <c r="A39" s="134"/>
      <c r="B39" s="81"/>
      <c r="C39" s="81"/>
      <c r="D39" s="134"/>
      <c r="E39" s="134"/>
      <c r="F39" s="82"/>
      <c r="G39" s="84"/>
      <c r="H39" s="85"/>
      <c r="I39" s="86"/>
      <c r="J39" s="83"/>
      <c r="K39" s="85"/>
      <c r="L39" s="86"/>
      <c r="M39" s="83"/>
    </row>
    <row r="40" spans="1:13" x14ac:dyDescent="0.35">
      <c r="A40" s="196"/>
      <c r="B40" s="197"/>
      <c r="C40" s="197"/>
      <c r="D40" s="196"/>
      <c r="E40" s="196"/>
      <c r="F40" s="82"/>
      <c r="G40" s="84"/>
      <c r="H40" s="85"/>
      <c r="I40" s="86"/>
      <c r="J40" s="83"/>
      <c r="K40" s="85"/>
      <c r="L40" s="86"/>
      <c r="M40" s="83"/>
    </row>
    <row r="41" spans="1:13" x14ac:dyDescent="0.35">
      <c r="A41" s="79" t="s">
        <v>1378</v>
      </c>
      <c r="B41" s="80" t="s">
        <v>1416</v>
      </c>
      <c r="C41" s="81" t="s">
        <v>1363</v>
      </c>
      <c r="D41" s="82"/>
      <c r="E41" s="83"/>
      <c r="F41" s="82"/>
      <c r="G41" s="84"/>
      <c r="H41" s="85"/>
      <c r="I41" s="86"/>
      <c r="J41" s="83"/>
      <c r="K41" s="85"/>
      <c r="L41" s="86"/>
      <c r="M41" s="83"/>
    </row>
    <row r="42" spans="1:13" x14ac:dyDescent="0.35">
      <c r="A42" s="79" t="s">
        <v>1379</v>
      </c>
      <c r="B42" s="80" t="s">
        <v>1417</v>
      </c>
      <c r="C42" s="81" t="s">
        <v>1363</v>
      </c>
      <c r="D42" s="82"/>
      <c r="E42" s="83"/>
      <c r="F42" s="82"/>
      <c r="G42" s="84"/>
      <c r="H42" s="85"/>
      <c r="I42" s="86"/>
      <c r="J42" s="83"/>
      <c r="K42" s="85"/>
      <c r="L42" s="86"/>
      <c r="M42" s="83"/>
    </row>
    <row r="43" spans="1:13" x14ac:dyDescent="0.35">
      <c r="A43" s="79" t="s">
        <v>1380</v>
      </c>
      <c r="B43" s="80" t="s">
        <v>1418</v>
      </c>
      <c r="C43" s="81" t="s">
        <v>1363</v>
      </c>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t="s">
        <v>1383</v>
      </c>
      <c r="B45" s="80" t="s">
        <v>1419</v>
      </c>
      <c r="C45" s="81" t="s">
        <v>1363</v>
      </c>
      <c r="D45" s="82"/>
      <c r="E45" s="83"/>
      <c r="F45" s="82"/>
      <c r="G45" s="84"/>
      <c r="H45" s="85"/>
      <c r="I45" s="86"/>
      <c r="J45" s="83"/>
      <c r="K45" s="85"/>
      <c r="L45" s="86"/>
      <c r="M45" s="83"/>
    </row>
    <row r="46" spans="1:13" x14ac:dyDescent="0.35">
      <c r="A46" s="79" t="s">
        <v>1384</v>
      </c>
      <c r="B46" s="80" t="s">
        <v>1420</v>
      </c>
      <c r="C46" s="81" t="s">
        <v>1363</v>
      </c>
      <c r="D46" s="82"/>
      <c r="E46" s="83"/>
      <c r="F46" s="82"/>
      <c r="G46" s="84"/>
      <c r="H46" s="85"/>
      <c r="I46" s="86"/>
      <c r="J46" s="83"/>
      <c r="K46" s="85"/>
      <c r="L46" s="86"/>
      <c r="M46" s="83"/>
    </row>
    <row r="47" spans="1:13" x14ac:dyDescent="0.35">
      <c r="A47" s="79" t="s">
        <v>1385</v>
      </c>
      <c r="B47" s="80" t="s">
        <v>1421</v>
      </c>
      <c r="C47" s="81" t="s">
        <v>1363</v>
      </c>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t="s">
        <v>1386</v>
      </c>
      <c r="B49" s="80" t="s">
        <v>1401</v>
      </c>
      <c r="C49" s="81" t="s">
        <v>1399</v>
      </c>
      <c r="D49" s="82" t="s">
        <v>1129</v>
      </c>
      <c r="E49" s="83" t="s">
        <v>1382</v>
      </c>
      <c r="F49" s="82" t="s">
        <v>1458</v>
      </c>
      <c r="G49" s="84" t="s">
        <v>1431</v>
      </c>
      <c r="H49" s="85">
        <f>ROUND(95*1061*2.205/2000,0)</f>
        <v>111</v>
      </c>
      <c r="I49" s="86">
        <f t="shared" ref="I49:I52" si="4">ROUND(95*1061*2.205/2000,0)</f>
        <v>111</v>
      </c>
      <c r="J49" s="83"/>
      <c r="K49" s="85">
        <f>ROUND(1/(148/24)*1061*2.205/2000,2)</f>
        <v>0.19</v>
      </c>
      <c r="L49" s="86">
        <f t="shared" ref="L49:L52" si="5">ROUND(1/(148/24)*1061*2.205/2000,2)</f>
        <v>0.19</v>
      </c>
      <c r="M49" s="83"/>
    </row>
    <row r="50" spans="1:13" x14ac:dyDescent="0.35">
      <c r="A50" s="79" t="s">
        <v>1387</v>
      </c>
      <c r="B50" s="80" t="s">
        <v>1403</v>
      </c>
      <c r="C50" s="81" t="s">
        <v>1363</v>
      </c>
      <c r="D50" s="82" t="s">
        <v>1129</v>
      </c>
      <c r="E50" s="83" t="s">
        <v>1381</v>
      </c>
      <c r="F50" s="82" t="s">
        <v>1458</v>
      </c>
      <c r="G50" s="84" t="s">
        <v>1431</v>
      </c>
      <c r="H50" s="85">
        <f t="shared" ref="H50:H52" si="6">ROUND(95*1061*2.205/2000,0)</f>
        <v>111</v>
      </c>
      <c r="I50" s="86">
        <f t="shared" si="4"/>
        <v>111</v>
      </c>
      <c r="J50" s="83"/>
      <c r="K50" s="85">
        <f t="shared" ref="K50:K52" si="7">ROUND(1/(148/24)*1061*2.205/2000,2)</f>
        <v>0.19</v>
      </c>
      <c r="L50" s="86">
        <f t="shared" si="5"/>
        <v>0.19</v>
      </c>
      <c r="M50" s="83"/>
    </row>
    <row r="51" spans="1:13" x14ac:dyDescent="0.35">
      <c r="A51" s="79" t="s">
        <v>1388</v>
      </c>
      <c r="B51" s="80" t="s">
        <v>1402</v>
      </c>
      <c r="C51" s="81" t="s">
        <v>1363</v>
      </c>
      <c r="D51" s="82" t="s">
        <v>1129</v>
      </c>
      <c r="E51" s="83" t="s">
        <v>1390</v>
      </c>
      <c r="F51" s="82" t="s">
        <v>1458</v>
      </c>
      <c r="G51" s="84" t="s">
        <v>1431</v>
      </c>
      <c r="H51" s="85">
        <f t="shared" si="6"/>
        <v>111</v>
      </c>
      <c r="I51" s="86">
        <f t="shared" si="4"/>
        <v>111</v>
      </c>
      <c r="J51" s="83"/>
      <c r="K51" s="85">
        <f t="shared" si="7"/>
        <v>0.19</v>
      </c>
      <c r="L51" s="86">
        <f t="shared" si="5"/>
        <v>0.19</v>
      </c>
      <c r="M51" s="83"/>
    </row>
    <row r="52" spans="1:13" x14ac:dyDescent="0.35">
      <c r="A52" s="79" t="s">
        <v>1389</v>
      </c>
      <c r="B52" s="80" t="s">
        <v>1406</v>
      </c>
      <c r="C52" s="81" t="s">
        <v>1363</v>
      </c>
      <c r="D52" s="82" t="s">
        <v>1129</v>
      </c>
      <c r="E52" s="83" t="s">
        <v>1376</v>
      </c>
      <c r="F52" s="82" t="s">
        <v>1458</v>
      </c>
      <c r="G52" s="84" t="s">
        <v>1431</v>
      </c>
      <c r="H52" s="85">
        <f t="shared" si="6"/>
        <v>111</v>
      </c>
      <c r="I52" s="86">
        <f t="shared" si="4"/>
        <v>111</v>
      </c>
      <c r="J52" s="83"/>
      <c r="K52" s="85">
        <f t="shared" si="7"/>
        <v>0.19</v>
      </c>
      <c r="L52" s="86">
        <f t="shared" si="5"/>
        <v>0.19</v>
      </c>
      <c r="M52" s="83"/>
    </row>
    <row r="53" spans="1:13" x14ac:dyDescent="0.35">
      <c r="A53" s="79"/>
      <c r="B53" s="80"/>
      <c r="C53" s="81"/>
      <c r="D53" s="82"/>
      <c r="E53" s="83"/>
      <c r="F53" s="82"/>
      <c r="G53" s="84"/>
      <c r="H53" s="85"/>
      <c r="I53" s="86"/>
      <c r="J53" s="83"/>
      <c r="K53" s="85"/>
      <c r="L53" s="86"/>
      <c r="M53" s="83"/>
    </row>
    <row r="54" spans="1:13" x14ac:dyDescent="0.35">
      <c r="A54" s="79" t="s">
        <v>1391</v>
      </c>
      <c r="B54" s="80" t="s">
        <v>1404</v>
      </c>
      <c r="C54" s="81" t="s">
        <v>1363</v>
      </c>
      <c r="D54" s="82" t="s">
        <v>1129</v>
      </c>
      <c r="E54" s="83" t="s">
        <v>1381</v>
      </c>
      <c r="F54" s="82" t="s">
        <v>1458</v>
      </c>
      <c r="G54" s="84" t="s">
        <v>1429</v>
      </c>
      <c r="H54" s="85">
        <f>ROUND(2*250*2.205/2000,2)</f>
        <v>0.55000000000000004</v>
      </c>
      <c r="I54" s="86">
        <f>ROUND(2*250*2.205/2000,2)</f>
        <v>0.55000000000000004</v>
      </c>
      <c r="J54" s="83"/>
      <c r="K54" s="85">
        <f>ROUND(1/(480/24)*250*2.205/2000,3)</f>
        <v>1.4E-2</v>
      </c>
      <c r="L54" s="86">
        <f>ROUND(1/(480/24)*250*2.205/2000,3)</f>
        <v>1.4E-2</v>
      </c>
      <c r="M54" s="83"/>
    </row>
    <row r="55" spans="1:13" x14ac:dyDescent="0.35">
      <c r="A55" s="79" t="s">
        <v>1392</v>
      </c>
      <c r="B55" s="80" t="s">
        <v>1423</v>
      </c>
      <c r="C55" s="81" t="s">
        <v>1363</v>
      </c>
      <c r="D55" s="82" t="s">
        <v>1129</v>
      </c>
      <c r="E55" s="83" t="s">
        <v>1377</v>
      </c>
      <c r="F55" s="82" t="s">
        <v>1458</v>
      </c>
      <c r="G55" s="84" t="s">
        <v>1429</v>
      </c>
      <c r="H55" s="85">
        <f>ROUND(2*250*2.205/2000,2)</f>
        <v>0.55000000000000004</v>
      </c>
      <c r="I55" s="86">
        <f>ROUND(2*250*2.205/2000,2)</f>
        <v>0.55000000000000004</v>
      </c>
      <c r="J55" s="83"/>
      <c r="K55" s="85">
        <f>ROUND(1/(480/24)*250*2.205/2000,3)</f>
        <v>1.4E-2</v>
      </c>
      <c r="L55" s="86">
        <f>ROUND(1/(480/24)*250*2.205/2000,3)</f>
        <v>1.4E-2</v>
      </c>
      <c r="M55" s="83"/>
    </row>
    <row r="56" spans="1:13" x14ac:dyDescent="0.35">
      <c r="A56" s="79" t="s">
        <v>1393</v>
      </c>
      <c r="B56" s="80" t="s">
        <v>1422</v>
      </c>
      <c r="C56" s="81" t="s">
        <v>1363</v>
      </c>
      <c r="D56" s="82"/>
      <c r="E56" s="83"/>
      <c r="F56" s="82"/>
      <c r="G56" s="84"/>
      <c r="H56" s="85"/>
      <c r="I56" s="86"/>
      <c r="J56" s="83"/>
      <c r="K56" s="85"/>
      <c r="L56" s="86"/>
      <c r="M56" s="83"/>
    </row>
    <row r="57" spans="1:13" x14ac:dyDescent="0.35">
      <c r="A57" s="79" t="s">
        <v>1394</v>
      </c>
      <c r="B57" s="80" t="s">
        <v>1405</v>
      </c>
      <c r="C57" s="81" t="s">
        <v>1363</v>
      </c>
      <c r="D57" s="82" t="s">
        <v>1129</v>
      </c>
      <c r="E57" s="83" t="s">
        <v>1376</v>
      </c>
      <c r="F57" s="82" t="s">
        <v>1458</v>
      </c>
      <c r="G57" s="84" t="s">
        <v>1429</v>
      </c>
      <c r="H57" s="85">
        <f>ROUND(2*250*2.205/2000,2)</f>
        <v>0.55000000000000004</v>
      </c>
      <c r="I57" s="86">
        <f>ROUND(2*250*2.205/2000,2)</f>
        <v>0.55000000000000004</v>
      </c>
      <c r="J57" s="83"/>
      <c r="K57" s="85">
        <f>ROUND(1/(480/24)*250*2.205/2000,3)</f>
        <v>1.4E-2</v>
      </c>
      <c r="L57" s="86">
        <f>ROUND(1/(480/24)*250*2.205/2000,3)</f>
        <v>1.4E-2</v>
      </c>
      <c r="M57" s="83"/>
    </row>
    <row r="58" spans="1:13" x14ac:dyDescent="0.35">
      <c r="A58" s="79"/>
      <c r="B58" s="80"/>
      <c r="C58" s="81"/>
      <c r="D58" s="82"/>
      <c r="E58" s="83"/>
      <c r="F58" s="82"/>
      <c r="G58" s="84"/>
      <c r="H58" s="85"/>
      <c r="I58" s="86"/>
      <c r="J58" s="83"/>
      <c r="K58" s="85"/>
      <c r="L58" s="86"/>
      <c r="M58" s="83"/>
    </row>
    <row r="59" spans="1:13" x14ac:dyDescent="0.35">
      <c r="A59" s="79" t="s">
        <v>1395</v>
      </c>
      <c r="B59" s="80" t="s">
        <v>1407</v>
      </c>
      <c r="C59" s="81" t="s">
        <v>1363</v>
      </c>
      <c r="D59" s="82" t="s">
        <v>1129</v>
      </c>
      <c r="E59" s="83" t="s">
        <v>1381</v>
      </c>
      <c r="F59" s="82" t="s">
        <v>1458</v>
      </c>
      <c r="G59" s="84" t="s">
        <v>1430</v>
      </c>
      <c r="H59" s="85">
        <f>ROUND(10*280*2.205/2000,2)</f>
        <v>3.09</v>
      </c>
      <c r="I59" s="86">
        <f t="shared" ref="I59:I62" si="8">ROUND(10*280*2.205/2000,2)</f>
        <v>3.09</v>
      </c>
      <c r="J59" s="83"/>
      <c r="K59" s="85">
        <f>ROUND(1/(360/24)*280*2.205/2000,2)</f>
        <v>0.02</v>
      </c>
      <c r="L59" s="86">
        <f t="shared" ref="L59:L62" si="9">ROUND(1/(360/24)*280*2.205/2000,2)</f>
        <v>0.02</v>
      </c>
      <c r="M59" s="83"/>
    </row>
    <row r="60" spans="1:13" x14ac:dyDescent="0.35">
      <c r="A60" s="79" t="s">
        <v>1396</v>
      </c>
      <c r="B60" s="80" t="s">
        <v>1408</v>
      </c>
      <c r="C60" s="81" t="s">
        <v>1400</v>
      </c>
      <c r="D60" s="82" t="s">
        <v>1129</v>
      </c>
      <c r="E60" s="83" t="s">
        <v>1382</v>
      </c>
      <c r="F60" s="82" t="s">
        <v>1458</v>
      </c>
      <c r="G60" s="198" t="s">
        <v>1430</v>
      </c>
      <c r="H60" s="85">
        <f t="shared" ref="H60:H62" si="10">ROUND(10*280*2.205/2000,2)</f>
        <v>3.09</v>
      </c>
      <c r="I60" s="86">
        <f t="shared" si="8"/>
        <v>3.09</v>
      </c>
      <c r="J60" s="83"/>
      <c r="K60" s="85">
        <f t="shared" ref="K60:K62" si="11">ROUND(1/(360/24)*280*2.205/2000,2)</f>
        <v>0.02</v>
      </c>
      <c r="L60" s="86">
        <f t="shared" si="9"/>
        <v>0.02</v>
      </c>
      <c r="M60" s="83"/>
    </row>
    <row r="61" spans="1:13" x14ac:dyDescent="0.35">
      <c r="A61" s="79" t="s">
        <v>1397</v>
      </c>
      <c r="B61" s="80" t="s">
        <v>1409</v>
      </c>
      <c r="C61" s="81" t="s">
        <v>1363</v>
      </c>
      <c r="D61" s="82" t="s">
        <v>1129</v>
      </c>
      <c r="E61" s="83" t="s">
        <v>1390</v>
      </c>
      <c r="F61" s="82" t="s">
        <v>1458</v>
      </c>
      <c r="G61" s="198" t="s">
        <v>1430</v>
      </c>
      <c r="H61" s="85">
        <f t="shared" si="10"/>
        <v>3.09</v>
      </c>
      <c r="I61" s="86">
        <f t="shared" si="8"/>
        <v>3.09</v>
      </c>
      <c r="J61" s="83"/>
      <c r="K61" s="85">
        <f t="shared" si="11"/>
        <v>0.02</v>
      </c>
      <c r="L61" s="86">
        <f t="shared" si="9"/>
        <v>0.02</v>
      </c>
      <c r="M61" s="83"/>
    </row>
    <row r="62" spans="1:13" x14ac:dyDescent="0.35">
      <c r="A62" s="79" t="s">
        <v>1398</v>
      </c>
      <c r="B62" s="80" t="s">
        <v>1410</v>
      </c>
      <c r="C62" s="81" t="s">
        <v>1363</v>
      </c>
      <c r="D62" s="82" t="s">
        <v>1129</v>
      </c>
      <c r="E62" s="83" t="s">
        <v>1376</v>
      </c>
      <c r="F62" s="82" t="s">
        <v>1458</v>
      </c>
      <c r="G62" s="198" t="s">
        <v>1430</v>
      </c>
      <c r="H62" s="85">
        <f t="shared" si="10"/>
        <v>3.09</v>
      </c>
      <c r="I62" s="86">
        <f t="shared" si="8"/>
        <v>3.09</v>
      </c>
      <c r="J62" s="83"/>
      <c r="K62" s="85">
        <f t="shared" si="11"/>
        <v>0.02</v>
      </c>
      <c r="L62" s="86">
        <f t="shared" si="9"/>
        <v>0.02</v>
      </c>
      <c r="M62" s="83"/>
    </row>
    <row r="63" spans="1:13" x14ac:dyDescent="0.35">
      <c r="A63" s="79"/>
      <c r="B63" s="80"/>
      <c r="C63" s="81"/>
      <c r="D63" s="82"/>
      <c r="E63" s="83"/>
      <c r="F63" s="82"/>
      <c r="G63" s="84"/>
      <c r="H63" s="85"/>
      <c r="I63" s="86"/>
      <c r="J63" s="83"/>
      <c r="K63" s="85"/>
      <c r="L63" s="86"/>
      <c r="M63" s="83"/>
    </row>
    <row r="64" spans="1:13" x14ac:dyDescent="0.35">
      <c r="A64" s="79" t="s">
        <v>1432</v>
      </c>
      <c r="B64" s="80" t="s">
        <v>1433</v>
      </c>
      <c r="C64" s="81" t="s">
        <v>1363</v>
      </c>
      <c r="D64" s="82" t="s">
        <v>1129</v>
      </c>
      <c r="E64" s="83" t="s">
        <v>1434</v>
      </c>
      <c r="F64" s="82" t="s">
        <v>1435</v>
      </c>
      <c r="G64" s="84" t="s">
        <v>1436</v>
      </c>
      <c r="H64" s="85">
        <v>1</v>
      </c>
      <c r="I64" s="86">
        <v>2.4</v>
      </c>
      <c r="J64" s="83"/>
      <c r="K64" s="85">
        <v>1</v>
      </c>
      <c r="L64" s="86">
        <v>2.4</v>
      </c>
      <c r="M64" s="83"/>
    </row>
    <row r="65" spans="1:13" x14ac:dyDescent="0.35">
      <c r="A65" s="79" t="s">
        <v>1461</v>
      </c>
      <c r="B65" s="80" t="s">
        <v>1464</v>
      </c>
      <c r="C65" s="81" t="s">
        <v>1363</v>
      </c>
      <c r="D65" s="82" t="s">
        <v>1129</v>
      </c>
      <c r="E65" s="83" t="s">
        <v>1434</v>
      </c>
      <c r="F65" s="82" t="s">
        <v>1435</v>
      </c>
      <c r="G65" s="84" t="s">
        <v>1436</v>
      </c>
      <c r="H65" s="85">
        <v>1</v>
      </c>
      <c r="I65" s="86">
        <v>20</v>
      </c>
      <c r="J65" s="83"/>
      <c r="K65" s="85">
        <v>1</v>
      </c>
      <c r="L65" s="86">
        <v>1</v>
      </c>
      <c r="M65" s="83"/>
    </row>
    <row r="66" spans="1:13" x14ac:dyDescent="0.35">
      <c r="A66" s="79" t="s">
        <v>1462</v>
      </c>
      <c r="B66" s="80" t="s">
        <v>1465</v>
      </c>
      <c r="C66" s="81" t="s">
        <v>1363</v>
      </c>
      <c r="D66" s="82" t="s">
        <v>1129</v>
      </c>
      <c r="E66" s="83" t="s">
        <v>1434</v>
      </c>
      <c r="F66" s="82" t="s">
        <v>1435</v>
      </c>
      <c r="G66" s="84" t="s">
        <v>1436</v>
      </c>
      <c r="H66" s="85">
        <v>1</v>
      </c>
      <c r="I66" s="86">
        <v>20</v>
      </c>
      <c r="J66" s="83"/>
      <c r="K66" s="85">
        <v>1</v>
      </c>
      <c r="L66" s="86">
        <v>20</v>
      </c>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x14ac:dyDescent="0.35">
      <c r="A201" s="79"/>
      <c r="B201" s="80"/>
      <c r="C201" s="81"/>
      <c r="D201" s="82"/>
      <c r="E201" s="83"/>
      <c r="F201" s="82"/>
      <c r="G201" s="84"/>
      <c r="H201" s="85"/>
      <c r="I201" s="86"/>
      <c r="J201" s="83"/>
      <c r="K201" s="85"/>
      <c r="L201" s="86"/>
      <c r="M201" s="83"/>
    </row>
    <row r="202" spans="1:13" x14ac:dyDescent="0.35">
      <c r="A202" s="79"/>
      <c r="B202" s="80"/>
      <c r="C202" s="81"/>
      <c r="D202" s="82"/>
      <c r="E202" s="83"/>
      <c r="F202" s="82"/>
      <c r="G202" s="84"/>
      <c r="H202" s="85"/>
      <c r="I202" s="86"/>
      <c r="J202" s="83"/>
      <c r="K202" s="85"/>
      <c r="L202" s="86"/>
      <c r="M202" s="83"/>
    </row>
    <row r="203" spans="1:13" x14ac:dyDescent="0.35">
      <c r="A203" s="79"/>
      <c r="B203" s="80"/>
      <c r="C203" s="81"/>
      <c r="D203" s="82"/>
      <c r="E203" s="83"/>
      <c r="F203" s="82"/>
      <c r="G203" s="84"/>
      <c r="H203" s="85"/>
      <c r="I203" s="86"/>
      <c r="J203" s="83"/>
      <c r="K203" s="85"/>
      <c r="L203" s="86"/>
      <c r="M203" s="83"/>
    </row>
    <row r="204" spans="1:13" x14ac:dyDescent="0.35">
      <c r="A204" s="79"/>
      <c r="B204" s="80"/>
      <c r="C204" s="81"/>
      <c r="D204" s="82"/>
      <c r="E204" s="83"/>
      <c r="F204" s="82"/>
      <c r="G204" s="84"/>
      <c r="H204" s="85"/>
      <c r="I204" s="86"/>
      <c r="J204" s="83"/>
      <c r="K204" s="85"/>
      <c r="L204" s="86"/>
      <c r="M204" s="83"/>
    </row>
    <row r="205" spans="1:13" x14ac:dyDescent="0.35">
      <c r="A205" s="79"/>
      <c r="B205" s="80"/>
      <c r="C205" s="81"/>
      <c r="D205" s="82"/>
      <c r="E205" s="83"/>
      <c r="F205" s="82"/>
      <c r="G205" s="84"/>
      <c r="H205" s="85"/>
      <c r="I205" s="86"/>
      <c r="J205" s="83"/>
      <c r="K205" s="85"/>
      <c r="L205" s="86"/>
      <c r="M205" s="83"/>
    </row>
    <row r="206" spans="1:13" x14ac:dyDescent="0.35">
      <c r="A206" s="79"/>
      <c r="B206" s="80"/>
      <c r="C206" s="81"/>
      <c r="D206" s="82"/>
      <c r="E206" s="83"/>
      <c r="F206" s="82"/>
      <c r="G206" s="84"/>
      <c r="H206" s="85"/>
      <c r="I206" s="86"/>
      <c r="J206" s="83"/>
      <c r="K206" s="85"/>
      <c r="L206" s="86"/>
      <c r="M206" s="83"/>
    </row>
    <row r="207" spans="1:13" x14ac:dyDescent="0.35">
      <c r="A207" s="79"/>
      <c r="B207" s="80"/>
      <c r="C207" s="81"/>
      <c r="D207" s="82"/>
      <c r="E207" s="83"/>
      <c r="F207" s="82"/>
      <c r="G207" s="84"/>
      <c r="H207" s="85"/>
      <c r="I207" s="86"/>
      <c r="J207" s="83"/>
      <c r="K207" s="85"/>
      <c r="L207" s="86"/>
      <c r="M207" s="83"/>
    </row>
    <row r="208" spans="1:13" x14ac:dyDescent="0.35">
      <c r="A208" s="79"/>
      <c r="B208" s="80"/>
      <c r="C208" s="81"/>
      <c r="D208" s="82"/>
      <c r="E208" s="83"/>
      <c r="F208" s="82"/>
      <c r="G208" s="84"/>
      <c r="H208" s="85"/>
      <c r="I208" s="86"/>
      <c r="J208" s="83"/>
      <c r="K208" s="85"/>
      <c r="L208" s="86"/>
      <c r="M208" s="83"/>
    </row>
    <row r="209" spans="1:13" x14ac:dyDescent="0.35">
      <c r="A209" s="79"/>
      <c r="B209" s="80"/>
      <c r="C209" s="81"/>
      <c r="D209" s="82"/>
      <c r="E209" s="83"/>
      <c r="F209" s="82"/>
      <c r="G209" s="84"/>
      <c r="H209" s="85"/>
      <c r="I209" s="86"/>
      <c r="J209" s="83"/>
      <c r="K209" s="85"/>
      <c r="L209" s="86"/>
      <c r="M209" s="83"/>
    </row>
    <row r="210" spans="1:13" x14ac:dyDescent="0.35">
      <c r="A210" s="79"/>
      <c r="B210" s="80"/>
      <c r="C210" s="81"/>
      <c r="D210" s="82"/>
      <c r="E210" s="83"/>
      <c r="F210" s="82"/>
      <c r="G210" s="84"/>
      <c r="H210" s="85"/>
      <c r="I210" s="86"/>
      <c r="J210" s="83"/>
      <c r="K210" s="85"/>
      <c r="L210" s="86"/>
      <c r="M210" s="83"/>
    </row>
    <row r="211" spans="1:13" x14ac:dyDescent="0.35">
      <c r="A211" s="79"/>
      <c r="B211" s="80"/>
      <c r="C211" s="81"/>
      <c r="D211" s="82"/>
      <c r="E211" s="83"/>
      <c r="F211" s="82"/>
      <c r="G211" s="84"/>
      <c r="H211" s="85"/>
      <c r="I211" s="86"/>
      <c r="J211" s="83"/>
      <c r="K211" s="85"/>
      <c r="L211" s="86"/>
      <c r="M211" s="83"/>
    </row>
    <row r="212" spans="1:13" x14ac:dyDescent="0.35">
      <c r="A212" s="79"/>
      <c r="B212" s="80"/>
      <c r="C212" s="81"/>
      <c r="D212" s="82"/>
      <c r="E212" s="83"/>
      <c r="F212" s="82"/>
      <c r="G212" s="84"/>
      <c r="H212" s="85"/>
      <c r="I212" s="86"/>
      <c r="J212" s="83"/>
      <c r="K212" s="85"/>
      <c r="L212" s="86"/>
      <c r="M212" s="83"/>
    </row>
    <row r="213" spans="1:13" x14ac:dyDescent="0.35">
      <c r="A213" s="79"/>
      <c r="B213" s="80"/>
      <c r="C213" s="81"/>
      <c r="D213" s="82"/>
      <c r="E213" s="83"/>
      <c r="F213" s="82"/>
      <c r="G213" s="84"/>
      <c r="H213" s="85"/>
      <c r="I213" s="86"/>
      <c r="J213" s="83"/>
      <c r="K213" s="85"/>
      <c r="L213" s="86"/>
      <c r="M213" s="83"/>
    </row>
    <row r="214" spans="1:13" x14ac:dyDescent="0.35">
      <c r="A214" s="79"/>
      <c r="B214" s="80"/>
      <c r="C214" s="81"/>
      <c r="D214" s="82"/>
      <c r="E214" s="83"/>
      <c r="F214" s="82"/>
      <c r="G214" s="84"/>
      <c r="H214" s="85"/>
      <c r="I214" s="86"/>
      <c r="J214" s="83"/>
      <c r="K214" s="85"/>
      <c r="L214" s="86"/>
      <c r="M214" s="83"/>
    </row>
    <row r="215" spans="1:13" x14ac:dyDescent="0.35">
      <c r="A215" s="79"/>
      <c r="B215" s="80"/>
      <c r="C215" s="81"/>
      <c r="D215" s="82"/>
      <c r="E215" s="83"/>
      <c r="F215" s="82"/>
      <c r="G215" s="84"/>
      <c r="H215" s="85"/>
      <c r="I215" s="86"/>
      <c r="J215" s="83"/>
      <c r="K215" s="85"/>
      <c r="L215" s="86"/>
      <c r="M215" s="83"/>
    </row>
    <row r="216" spans="1:13" x14ac:dyDescent="0.35">
      <c r="A216" s="79"/>
      <c r="B216" s="80"/>
      <c r="C216" s="81"/>
      <c r="D216" s="82"/>
      <c r="E216" s="83"/>
      <c r="F216" s="82"/>
      <c r="G216" s="84"/>
      <c r="H216" s="85"/>
      <c r="I216" s="86"/>
      <c r="J216" s="83"/>
      <c r="K216" s="85"/>
      <c r="L216" s="86"/>
      <c r="M216" s="83"/>
    </row>
    <row r="217" spans="1:13" ht="15" thickBot="1" x14ac:dyDescent="0.4">
      <c r="A217" s="87"/>
      <c r="B217" s="88"/>
      <c r="C217" s="89"/>
      <c r="D217" s="90"/>
      <c r="E217" s="91"/>
      <c r="F217" s="90"/>
      <c r="G217" s="92"/>
      <c r="H217" s="93"/>
      <c r="I217" s="94"/>
      <c r="J217" s="91"/>
      <c r="K217" s="93"/>
      <c r="L217" s="94"/>
      <c r="M217" s="91"/>
    </row>
    <row r="218" spans="1:13" ht="40" customHeight="1" thickBot="1" x14ac:dyDescent="0.4">
      <c r="A218" s="95"/>
      <c r="B218" s="96"/>
      <c r="C218" s="96"/>
      <c r="D218" s="97"/>
      <c r="E218" s="97"/>
      <c r="F218" s="97"/>
      <c r="G218" s="96"/>
      <c r="H218" s="97"/>
      <c r="I218" s="97"/>
      <c r="J218" s="97"/>
      <c r="K218" s="97"/>
      <c r="L218" s="97"/>
      <c r="M218"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30"/>
  <sheetViews>
    <sheetView zoomScale="85" zoomScaleNormal="85" workbookViewId="0">
      <pane ySplit="12" topLeftCell="A36" activePane="bottomLeft" state="frozen"/>
      <selection pane="bottomLeft" activeCell="N45" sqref="N45:N47"/>
    </sheetView>
  </sheetViews>
  <sheetFormatPr defaultColWidth="8.81640625" defaultRowHeight="14.5" x14ac:dyDescent="0.35"/>
  <cols>
    <col min="1" max="1" width="22.453125" style="1" customWidth="1"/>
    <col min="2" max="2" width="16.81640625" style="3" customWidth="1"/>
    <col min="3" max="3" width="40" customWidth="1"/>
    <col min="4" max="4" width="19.1796875" style="1" hidden="1" customWidth="1"/>
    <col min="5" max="5" width="28.453125" style="7" customWidth="1"/>
    <col min="6" max="8" width="18.453125" style="1" customWidth="1"/>
    <col min="9" max="9" width="60.453125" customWidth="1"/>
    <col min="10" max="15" width="18.453125" style="1" customWidth="1"/>
  </cols>
  <sheetData>
    <row r="1" spans="1:15" ht="20" customHeight="1" x14ac:dyDescent="0.35">
      <c r="E1" s="153"/>
    </row>
    <row r="2" spans="1:15" ht="20" customHeight="1" x14ac:dyDescent="0.35">
      <c r="E2" s="153"/>
    </row>
    <row r="3" spans="1:15" ht="20" customHeight="1" x14ac:dyDescent="0.35">
      <c r="E3" s="153"/>
    </row>
    <row r="4" spans="1:15" ht="20" customHeight="1" x14ac:dyDescent="0.35">
      <c r="E4" s="153"/>
    </row>
    <row r="5" spans="1:15" ht="20" customHeight="1" x14ac:dyDescent="0.35">
      <c r="E5" s="153"/>
    </row>
    <row r="6" spans="1:15" ht="20" customHeight="1" x14ac:dyDescent="0.35">
      <c r="E6" s="153"/>
    </row>
    <row r="7" spans="1:15" ht="20" customHeight="1" x14ac:dyDescent="0.35">
      <c r="E7" s="153"/>
    </row>
    <row r="8" spans="1:15" ht="20" customHeight="1" thickBot="1" x14ac:dyDescent="0.4">
      <c r="E8" s="153"/>
    </row>
    <row r="9" spans="1:15" ht="20" customHeight="1" thickBot="1" x14ac:dyDescent="0.45">
      <c r="A9" s="22"/>
      <c r="B9" s="112"/>
      <c r="C9" s="113"/>
      <c r="D9" s="22"/>
      <c r="E9" s="154"/>
      <c r="F9" s="113"/>
      <c r="G9" s="113"/>
      <c r="H9" s="113"/>
      <c r="I9" s="113"/>
      <c r="J9" s="236" t="s">
        <v>1194</v>
      </c>
      <c r="K9" s="237"/>
      <c r="L9" s="237"/>
      <c r="M9" s="237"/>
      <c r="N9" s="237"/>
      <c r="O9" s="238"/>
    </row>
    <row r="10" spans="1:15" ht="20.5" thickBot="1" x14ac:dyDescent="0.4">
      <c r="A10" s="251" t="s">
        <v>1151</v>
      </c>
      <c r="B10" s="257" t="s">
        <v>1083</v>
      </c>
      <c r="C10" s="221"/>
      <c r="D10" s="258"/>
      <c r="E10" s="254" t="s">
        <v>1205</v>
      </c>
      <c r="F10" s="239" t="s">
        <v>1202</v>
      </c>
      <c r="G10" s="240"/>
      <c r="H10" s="240"/>
      <c r="I10" s="241"/>
      <c r="J10" s="265" t="s">
        <v>1195</v>
      </c>
      <c r="K10" s="266"/>
      <c r="L10" s="267"/>
      <c r="M10" s="271" t="s">
        <v>1198</v>
      </c>
      <c r="N10" s="272"/>
      <c r="O10" s="273"/>
    </row>
    <row r="11" spans="1:15" ht="18" thickBot="1" x14ac:dyDescent="0.4">
      <c r="A11" s="252"/>
      <c r="B11" s="259"/>
      <c r="C11" s="222"/>
      <c r="D11" s="260"/>
      <c r="E11" s="255"/>
      <c r="F11" s="261" t="s">
        <v>1203</v>
      </c>
      <c r="G11" s="262"/>
      <c r="H11" s="263" t="s">
        <v>1089</v>
      </c>
      <c r="I11" s="263" t="s">
        <v>1088</v>
      </c>
      <c r="J11" s="268"/>
      <c r="K11" s="269"/>
      <c r="L11" s="270"/>
      <c r="M11" s="274"/>
      <c r="N11" s="275"/>
      <c r="O11" s="276"/>
    </row>
    <row r="12" spans="1:15" ht="20" customHeight="1" thickBot="1" x14ac:dyDescent="0.4">
      <c r="A12" s="253"/>
      <c r="B12" s="155" t="s">
        <v>1240</v>
      </c>
      <c r="C12" s="156" t="s">
        <v>1100</v>
      </c>
      <c r="D12" s="157" t="s">
        <v>1150</v>
      </c>
      <c r="E12" s="256"/>
      <c r="F12" s="158" t="s">
        <v>1196</v>
      </c>
      <c r="G12" s="159" t="s">
        <v>1197</v>
      </c>
      <c r="H12" s="264"/>
      <c r="I12" s="264"/>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1366</v>
      </c>
      <c r="B16" s="100" t="s">
        <v>14</v>
      </c>
      <c r="C16" s="81" t="s">
        <v>15</v>
      </c>
      <c r="D16" s="115">
        <f>IFERROR(IF(OR($B16="",$B16="No CAS"),INDEX('DEQ Pollutant List'!$A$7:$A$611,MATCH($C16,'DEQ Pollutant List'!$C$7:$C$611,0)),INDEX('DEQ Pollutant List'!$A$7:$A$611,MATCH($B16,'DEQ Pollutant List'!$B$7:$B$611,0))),"")</f>
        <v>1</v>
      </c>
      <c r="E16" s="101">
        <v>0</v>
      </c>
      <c r="F16" s="102">
        <v>4.3E-3</v>
      </c>
      <c r="G16" s="196">
        <v>4.3E-3</v>
      </c>
      <c r="H16" s="103" t="s">
        <v>1367</v>
      </c>
      <c r="I16" s="83" t="s">
        <v>1368</v>
      </c>
      <c r="J16" s="102">
        <f>$F16*'2. Emissions Units &amp; Activities'!$H$15</f>
        <v>7.009E-2</v>
      </c>
      <c r="K16" s="105">
        <f>$F16*'2. Emissions Units &amp; Activities'!$I$15</f>
        <v>8.5999999999999993E-2</v>
      </c>
      <c r="L16" s="83">
        <f>$F16*'2. Emissions Units &amp; Activities'!$J$15</f>
        <v>8.5999999999999993E-2</v>
      </c>
      <c r="M16" s="102">
        <f>$G16*'2. Emissions Units &amp; Activities'!$K$15</f>
        <v>1.9202739726027396E-4</v>
      </c>
      <c r="N16" s="105">
        <f>$G16*'2. Emissions Units &amp; Activities'!$L$15</f>
        <v>2.3561643835616437E-4</v>
      </c>
      <c r="O16" s="83">
        <f>$G16*'2. Emissions Units &amp; Activities'!$M$15</f>
        <v>2.3561643835616437E-4</v>
      </c>
    </row>
    <row r="17" spans="1:15" x14ac:dyDescent="0.35">
      <c r="A17" s="79" t="s">
        <v>1366</v>
      </c>
      <c r="B17" s="100" t="s">
        <v>24</v>
      </c>
      <c r="C17" s="81" t="s">
        <v>25</v>
      </c>
      <c r="D17" s="115">
        <f>IFERROR(IF(OR($B17="",$B17="No CAS"),INDEX('DEQ Pollutant List'!$A$7:$A$611,MATCH($C17,'DEQ Pollutant List'!$C$7:$C$611,0)),INDEX('DEQ Pollutant List'!$A$7:$A$611,MATCH($B17,'DEQ Pollutant List'!$B$7:$B$611,0))),"")</f>
        <v>5</v>
      </c>
      <c r="E17" s="101">
        <v>0</v>
      </c>
      <c r="F17" s="102">
        <v>2.7000000000000001E-3</v>
      </c>
      <c r="G17" s="196">
        <v>2.7000000000000001E-3</v>
      </c>
      <c r="H17" s="103" t="s">
        <v>1367</v>
      </c>
      <c r="I17" s="83" t="s">
        <v>1368</v>
      </c>
      <c r="J17" s="102">
        <f>$F17*'2. Emissions Units &amp; Activities'!$H$15</f>
        <v>4.4010000000000007E-2</v>
      </c>
      <c r="K17" s="105">
        <f>$F17*'2. Emissions Units &amp; Activities'!$I$15</f>
        <v>5.4000000000000006E-2</v>
      </c>
      <c r="L17" s="83">
        <f>$F17*'2. Emissions Units &amp; Activities'!$J$15</f>
        <v>5.4000000000000006E-2</v>
      </c>
      <c r="M17" s="102">
        <f>$G17*'2. Emissions Units &amp; Activities'!$K$15</f>
        <v>1.2057534246575343E-4</v>
      </c>
      <c r="N17" s="105">
        <f>$G17*'2. Emissions Units &amp; Activities'!$L$15</f>
        <v>1.4794520547945205E-4</v>
      </c>
      <c r="O17" s="83">
        <f>$G17*'2. Emissions Units &amp; Activities'!$M$15</f>
        <v>1.4794520547945205E-4</v>
      </c>
    </row>
    <row r="18" spans="1:15" x14ac:dyDescent="0.35">
      <c r="A18" s="79" t="s">
        <v>1366</v>
      </c>
      <c r="B18" s="100" t="s">
        <v>61</v>
      </c>
      <c r="C18" s="81" t="s">
        <v>62</v>
      </c>
      <c r="D18" s="115">
        <f>IFERROR(IF(OR($B18="",$B18="No CAS"),INDEX('DEQ Pollutant List'!$A$7:$A$611,MATCH($C18,'DEQ Pollutant List'!$C$7:$C$611,0)),INDEX('DEQ Pollutant List'!$A$7:$A$611,MATCH($B18,'DEQ Pollutant List'!$B$7:$B$611,0))),"")</f>
        <v>26</v>
      </c>
      <c r="E18" s="101">
        <v>0</v>
      </c>
      <c r="F18" s="102">
        <v>3.2</v>
      </c>
      <c r="G18" s="196">
        <v>3.2</v>
      </c>
      <c r="H18" s="103" t="s">
        <v>1367</v>
      </c>
      <c r="I18" s="83" t="s">
        <v>1368</v>
      </c>
      <c r="J18" s="102">
        <f>$F18*'2. Emissions Units &amp; Activities'!$H$15</f>
        <v>52.160000000000004</v>
      </c>
      <c r="K18" s="105">
        <f>$F18*'2. Emissions Units &amp; Activities'!$I$15</f>
        <v>64</v>
      </c>
      <c r="L18" s="83">
        <f>$F18*'2. Emissions Units &amp; Activities'!$J$15</f>
        <v>64</v>
      </c>
      <c r="M18" s="102">
        <f>$G18*'2. Emissions Units &amp; Activities'!$K$15</f>
        <v>0.1429041095890411</v>
      </c>
      <c r="N18" s="105">
        <f>$G18*'2. Emissions Units &amp; Activities'!$L$15</f>
        <v>0.17534246575342466</v>
      </c>
      <c r="O18" s="83">
        <f>$G18*'2. Emissions Units &amp; Activities'!$M$15</f>
        <v>0.17534246575342466</v>
      </c>
    </row>
    <row r="19" spans="1:15" x14ac:dyDescent="0.35">
      <c r="A19" s="79" t="s">
        <v>1366</v>
      </c>
      <c r="B19" s="100" t="s">
        <v>81</v>
      </c>
      <c r="C19" s="81" t="s">
        <v>82</v>
      </c>
      <c r="D19" s="115">
        <f>IFERROR(IF(OR($B19="",$B19="No CAS"),INDEX('DEQ Pollutant List'!$A$7:$A$611,MATCH($C19,'DEQ Pollutant List'!$C$7:$C$611,0)),INDEX('DEQ Pollutant List'!$A$7:$A$611,MATCH($B19,'DEQ Pollutant List'!$B$7:$B$611,0))),"")</f>
        <v>37</v>
      </c>
      <c r="E19" s="101">
        <v>0</v>
      </c>
      <c r="F19" s="102">
        <v>2.0000000000000001E-4</v>
      </c>
      <c r="G19" s="196">
        <v>2.0000000000000001E-4</v>
      </c>
      <c r="H19" s="103" t="s">
        <v>1367</v>
      </c>
      <c r="I19" s="83" t="s">
        <v>1368</v>
      </c>
      <c r="J19" s="102">
        <f>$F19*'2. Emissions Units &amp; Activities'!$H$15</f>
        <v>3.2600000000000003E-3</v>
      </c>
      <c r="K19" s="105">
        <f>$F19*'2. Emissions Units &amp; Activities'!$I$15</f>
        <v>4.0000000000000001E-3</v>
      </c>
      <c r="L19" s="83">
        <f>$F19*'2. Emissions Units &amp; Activities'!$J$15</f>
        <v>4.0000000000000001E-3</v>
      </c>
      <c r="M19" s="102">
        <f>$G19*'2. Emissions Units &amp; Activities'!$K$15</f>
        <v>8.9315068493150697E-6</v>
      </c>
      <c r="N19" s="105">
        <f>$G19*'2. Emissions Units &amp; Activities'!$L$15</f>
        <v>1.0958904109589042E-5</v>
      </c>
      <c r="O19" s="83">
        <f>$G19*'2. Emissions Units &amp; Activities'!$M$15</f>
        <v>1.0958904109589042E-5</v>
      </c>
    </row>
    <row r="20" spans="1:15" x14ac:dyDescent="0.35">
      <c r="A20" s="79" t="s">
        <v>1366</v>
      </c>
      <c r="B20" s="100" t="s">
        <v>96</v>
      </c>
      <c r="C20" s="81" t="s">
        <v>97</v>
      </c>
      <c r="D20" s="115">
        <f>IFERROR(IF(OR($B20="",$B20="No CAS"),INDEX('DEQ Pollutant List'!$A$7:$A$611,MATCH($C20,'DEQ Pollutant List'!$C$7:$C$611,0)),INDEX('DEQ Pollutant List'!$A$7:$A$611,MATCH($B20,'DEQ Pollutant List'!$B$7:$B$611,0))),"")</f>
        <v>45</v>
      </c>
      <c r="E20" s="101">
        <v>0</v>
      </c>
      <c r="F20" s="102">
        <v>4.4000000000000003E-3</v>
      </c>
      <c r="G20" s="196">
        <v>4.4000000000000003E-3</v>
      </c>
      <c r="H20" s="103" t="s">
        <v>1367</v>
      </c>
      <c r="I20" s="83" t="s">
        <v>1368</v>
      </c>
      <c r="J20" s="102">
        <f>$F20*'2. Emissions Units &amp; Activities'!$H$15</f>
        <v>7.1720000000000006E-2</v>
      </c>
      <c r="K20" s="105">
        <f>$F20*'2. Emissions Units &amp; Activities'!$I$15</f>
        <v>8.8000000000000009E-2</v>
      </c>
      <c r="L20" s="83">
        <f>$F20*'2. Emissions Units &amp; Activities'!$J$15</f>
        <v>8.8000000000000009E-2</v>
      </c>
      <c r="M20" s="102">
        <f>$G20*'2. Emissions Units &amp; Activities'!$K$15</f>
        <v>1.9649315068493152E-4</v>
      </c>
      <c r="N20" s="105">
        <f>$G20*'2. Emissions Units &amp; Activities'!$L$15</f>
        <v>2.4109589041095889E-4</v>
      </c>
      <c r="O20" s="83">
        <f>$G20*'2. Emissions Units &amp; Activities'!$M$15</f>
        <v>2.4109589041095889E-4</v>
      </c>
    </row>
    <row r="21" spans="1:15" x14ac:dyDescent="0.35">
      <c r="A21" s="79" t="s">
        <v>1366</v>
      </c>
      <c r="B21" s="100" t="s">
        <v>98</v>
      </c>
      <c r="C21" s="81" t="s">
        <v>99</v>
      </c>
      <c r="D21" s="115">
        <f>IFERROR(IF(OR($B21="",$B21="No CAS"),INDEX('DEQ Pollutant List'!$A$7:$A$611,MATCH($C21,'DEQ Pollutant List'!$C$7:$C$611,0)),INDEX('DEQ Pollutant List'!$A$7:$A$611,MATCH($B21,'DEQ Pollutant List'!$B$7:$B$611,0))),"")</f>
        <v>46</v>
      </c>
      <c r="E21" s="101">
        <v>0</v>
      </c>
      <c r="F21" s="102">
        <v>8.0000000000000002E-3</v>
      </c>
      <c r="G21" s="196">
        <v>8.0000000000000002E-3</v>
      </c>
      <c r="H21" s="103" t="s">
        <v>1367</v>
      </c>
      <c r="I21" s="83" t="s">
        <v>1368</v>
      </c>
      <c r="J21" s="102">
        <f>$F21*'2. Emissions Units &amp; Activities'!$H$15</f>
        <v>0.13040000000000002</v>
      </c>
      <c r="K21" s="105">
        <f>$F21*'2. Emissions Units &amp; Activities'!$I$15</f>
        <v>0.16</v>
      </c>
      <c r="L21" s="83">
        <f>$F21*'2. Emissions Units &amp; Activities'!$J$15</f>
        <v>0.16</v>
      </c>
      <c r="M21" s="102">
        <f>$G21*'2. Emissions Units &amp; Activities'!$K$15</f>
        <v>3.5726027397260272E-4</v>
      </c>
      <c r="N21" s="105">
        <f>$G21*'2. Emissions Units &amp; Activities'!$L$15</f>
        <v>4.383561643835616E-4</v>
      </c>
      <c r="O21" s="83">
        <f>$G21*'2. Emissions Units &amp; Activities'!$M$15</f>
        <v>4.383561643835616E-4</v>
      </c>
    </row>
    <row r="22" spans="1:15" x14ac:dyDescent="0.35">
      <c r="A22" s="79" t="s">
        <v>1366</v>
      </c>
      <c r="B22" s="100" t="s">
        <v>113</v>
      </c>
      <c r="C22" s="81" t="s">
        <v>114</v>
      </c>
      <c r="D22" s="115">
        <f>IFERROR(IF(OR($B22="",$B22="No CAS"),INDEX('DEQ Pollutant List'!$A$7:$A$611,MATCH($C22,'DEQ Pollutant List'!$C$7:$C$611,0)),INDEX('DEQ Pollutant List'!$A$7:$A$611,MATCH($B22,'DEQ Pollutant List'!$B$7:$B$611,0))),"")</f>
        <v>58</v>
      </c>
      <c r="E22" s="101">
        <v>0</v>
      </c>
      <c r="F22" s="102">
        <v>1.2E-5</v>
      </c>
      <c r="G22" s="196">
        <v>1.2E-5</v>
      </c>
      <c r="H22" s="103" t="s">
        <v>1367</v>
      </c>
      <c r="I22" s="83" t="s">
        <v>1368</v>
      </c>
      <c r="J22" s="102">
        <f>$F22*'2. Emissions Units &amp; Activities'!$H$15</f>
        <v>1.9560000000000001E-4</v>
      </c>
      <c r="K22" s="105">
        <f>$F22*'2. Emissions Units &amp; Activities'!$I$15</f>
        <v>2.4000000000000001E-4</v>
      </c>
      <c r="L22" s="83">
        <f>$F22*'2. Emissions Units &amp; Activities'!$J$15</f>
        <v>2.4000000000000001E-4</v>
      </c>
      <c r="M22" s="102">
        <f>$G22*'2. Emissions Units &amp; Activities'!$K$15</f>
        <v>5.3589041095890416E-7</v>
      </c>
      <c r="N22" s="105">
        <f>$G22*'2. Emissions Units &amp; Activities'!$L$15</f>
        <v>6.5753424657534245E-7</v>
      </c>
      <c r="O22" s="83">
        <f>$G22*'2. Emissions Units &amp; Activities'!$M$15</f>
        <v>6.5753424657534245E-7</v>
      </c>
    </row>
    <row r="23" spans="1:15" x14ac:dyDescent="0.35">
      <c r="A23" s="79" t="s">
        <v>1366</v>
      </c>
      <c r="B23" s="100" t="s">
        <v>154</v>
      </c>
      <c r="C23" s="81" t="s">
        <v>155</v>
      </c>
      <c r="D23" s="115">
        <f>IFERROR(IF(OR($B23="",$B23="No CAS"),INDEX('DEQ Pollutant List'!$A$7:$A$611,MATCH($C23,'DEQ Pollutant List'!$C$7:$C$611,0)),INDEX('DEQ Pollutant List'!$A$7:$A$611,MATCH($B23,'DEQ Pollutant List'!$B$7:$B$611,0))),"")</f>
        <v>83</v>
      </c>
      <c r="E23" s="101">
        <v>0</v>
      </c>
      <c r="F23" s="102">
        <v>1.1000000000000001E-3</v>
      </c>
      <c r="G23" s="196">
        <v>1.1000000000000001E-3</v>
      </c>
      <c r="H23" s="103" t="s">
        <v>1367</v>
      </c>
      <c r="I23" s="83" t="s">
        <v>1368</v>
      </c>
      <c r="J23" s="102">
        <f>$F23*'2. Emissions Units &amp; Activities'!$H$15</f>
        <v>1.7930000000000001E-2</v>
      </c>
      <c r="K23" s="105">
        <f>$F23*'2. Emissions Units &amp; Activities'!$I$15</f>
        <v>2.2000000000000002E-2</v>
      </c>
      <c r="L23" s="83">
        <f>$F23*'2. Emissions Units &amp; Activities'!$J$15</f>
        <v>2.2000000000000002E-2</v>
      </c>
      <c r="M23" s="102">
        <f>$G23*'2. Emissions Units &amp; Activities'!$K$15</f>
        <v>4.9123287671232881E-5</v>
      </c>
      <c r="N23" s="105">
        <f>$G23*'2. Emissions Units &amp; Activities'!$L$15</f>
        <v>6.0273972602739724E-5</v>
      </c>
      <c r="O23" s="83">
        <f>$G23*'2. Emissions Units &amp; Activities'!$M$15</f>
        <v>6.0273972602739724E-5</v>
      </c>
    </row>
    <row r="24" spans="1:15" x14ac:dyDescent="0.35">
      <c r="A24" s="79" t="s">
        <v>1366</v>
      </c>
      <c r="B24" s="100" t="s">
        <v>230</v>
      </c>
      <c r="C24" s="81" t="s">
        <v>1272</v>
      </c>
      <c r="D24" s="115">
        <f>IFERROR(IF(OR($B24="",$B24="No CAS"),INDEX('DEQ Pollutant List'!$A$7:$A$611,MATCH($C24,'DEQ Pollutant List'!$C$7:$C$611,0)),INDEX('DEQ Pollutant List'!$A$7:$A$611,MATCH($B24,'DEQ Pollutant List'!$B$7:$B$611,0))),"")</f>
        <v>136</v>
      </c>
      <c r="E24" s="101">
        <v>0</v>
      </c>
      <c r="F24" s="102">
        <v>1.4E-3</v>
      </c>
      <c r="G24" s="196">
        <v>1.4E-3</v>
      </c>
      <c r="H24" s="103" t="s">
        <v>1367</v>
      </c>
      <c r="I24" s="83" t="s">
        <v>1368</v>
      </c>
      <c r="J24" s="102">
        <f>$F24*'2. Emissions Units &amp; Activities'!$H$15</f>
        <v>2.282E-2</v>
      </c>
      <c r="K24" s="105">
        <f>$F24*'2. Emissions Units &amp; Activities'!$I$15</f>
        <v>2.8000000000000001E-2</v>
      </c>
      <c r="L24" s="83">
        <f>$F24*'2. Emissions Units &amp; Activities'!$J$15</f>
        <v>2.8000000000000001E-2</v>
      </c>
      <c r="M24" s="102">
        <f>$G24*'2. Emissions Units &amp; Activities'!$K$15</f>
        <v>6.2520547945205476E-5</v>
      </c>
      <c r="N24" s="105">
        <f>$G24*'2. Emissions Units &amp; Activities'!$L$15</f>
        <v>7.6712328767123287E-5</v>
      </c>
      <c r="O24" s="83">
        <f>$G24*'2. Emissions Units &amp; Activities'!$M$15</f>
        <v>7.6712328767123287E-5</v>
      </c>
    </row>
    <row r="25" spans="1:15" x14ac:dyDescent="0.35">
      <c r="A25" s="79" t="s">
        <v>1366</v>
      </c>
      <c r="B25" s="100" t="s">
        <v>234</v>
      </c>
      <c r="C25" s="81" t="s">
        <v>235</v>
      </c>
      <c r="D25" s="115">
        <f>IFERROR(IF(OR($B25="",$B25="No CAS"),INDEX('DEQ Pollutant List'!$A$7:$A$611,MATCH($C25,'DEQ Pollutant List'!$C$7:$C$611,0)),INDEX('DEQ Pollutant List'!$A$7:$A$611,MATCH($B25,'DEQ Pollutant List'!$B$7:$B$611,0))),"")</f>
        <v>146</v>
      </c>
      <c r="E25" s="101">
        <v>0</v>
      </c>
      <c r="F25" s="102">
        <v>8.3999999999999995E-5</v>
      </c>
      <c r="G25" s="196">
        <v>8.3999999999999995E-5</v>
      </c>
      <c r="H25" s="103" t="s">
        <v>1367</v>
      </c>
      <c r="I25" s="83" t="s">
        <v>1368</v>
      </c>
      <c r="J25" s="102">
        <f>$F25*'2. Emissions Units &amp; Activities'!$H$15</f>
        <v>1.3691999999999999E-3</v>
      </c>
      <c r="K25" s="105">
        <f>$F25*'2. Emissions Units &amp; Activities'!$I$15</f>
        <v>1.6799999999999999E-3</v>
      </c>
      <c r="L25" s="83">
        <f>$F25*'2. Emissions Units &amp; Activities'!$J$15</f>
        <v>1.6799999999999999E-3</v>
      </c>
      <c r="M25" s="102">
        <f>$G25*'2. Emissions Units &amp; Activities'!$K$15</f>
        <v>3.7512328767123285E-6</v>
      </c>
      <c r="N25" s="105">
        <f>$G25*'2. Emissions Units &amp; Activities'!$L$15</f>
        <v>4.6027397260273968E-6</v>
      </c>
      <c r="O25" s="83">
        <f>$G25*'2. Emissions Units &amp; Activities'!$M$15</f>
        <v>4.6027397260273968E-6</v>
      </c>
    </row>
    <row r="26" spans="1:15" x14ac:dyDescent="0.35">
      <c r="A26" s="79" t="s">
        <v>1366</v>
      </c>
      <c r="B26" s="100" t="s">
        <v>236</v>
      </c>
      <c r="C26" s="81" t="s">
        <v>237</v>
      </c>
      <c r="D26" s="115">
        <f>IFERROR(IF(OR($B26="",$B26="No CAS"),INDEX('DEQ Pollutant List'!$A$7:$A$611,MATCH($C26,'DEQ Pollutant List'!$C$7:$C$611,0)),INDEX('DEQ Pollutant List'!$A$7:$A$611,MATCH($B26,'DEQ Pollutant List'!$B$7:$B$611,0))),"")</f>
        <v>149</v>
      </c>
      <c r="E26" s="101">
        <v>0</v>
      </c>
      <c r="F26" s="102">
        <v>8.4999999999999995E-4</v>
      </c>
      <c r="G26" s="196">
        <v>8.4999999999999995E-4</v>
      </c>
      <c r="H26" s="103" t="s">
        <v>1367</v>
      </c>
      <c r="I26" s="83" t="s">
        <v>1368</v>
      </c>
      <c r="J26" s="102">
        <f>$F26*'2. Emissions Units &amp; Activities'!$H$15</f>
        <v>1.3854999999999999E-2</v>
      </c>
      <c r="K26" s="105">
        <f>$F26*'2. Emissions Units &amp; Activities'!$I$15</f>
        <v>1.6999999999999998E-2</v>
      </c>
      <c r="L26" s="83">
        <f>$F26*'2. Emissions Units &amp; Activities'!$J$15</f>
        <v>1.6999999999999998E-2</v>
      </c>
      <c r="M26" s="102">
        <f>$G26*'2. Emissions Units &amp; Activities'!$K$15</f>
        <v>3.7958904109589039E-5</v>
      </c>
      <c r="N26" s="105">
        <f>$G26*'2. Emissions Units &amp; Activities'!$L$15</f>
        <v>4.6575342465753422E-5</v>
      </c>
      <c r="O26" s="83">
        <f>$G26*'2. Emissions Units &amp; Activities'!$M$15</f>
        <v>4.6575342465753422E-5</v>
      </c>
    </row>
    <row r="27" spans="1:15" x14ac:dyDescent="0.35">
      <c r="A27" s="79" t="s">
        <v>1366</v>
      </c>
      <c r="B27" s="100" t="s">
        <v>410</v>
      </c>
      <c r="C27" s="81" t="s">
        <v>411</v>
      </c>
      <c r="D27" s="115">
        <f>IFERROR(IF(OR($B27="",$B27="No CAS"),INDEX('DEQ Pollutant List'!$A$7:$A$611,MATCH($C27,'DEQ Pollutant List'!$C$7:$C$611,0)),INDEX('DEQ Pollutant List'!$A$7:$A$611,MATCH($B27,'DEQ Pollutant List'!$B$7:$B$611,0))),"")</f>
        <v>229</v>
      </c>
      <c r="E27" s="101">
        <v>0</v>
      </c>
      <c r="F27" s="102">
        <v>9.4999999999999998E-3</v>
      </c>
      <c r="G27" s="196">
        <v>9.4999999999999998E-3</v>
      </c>
      <c r="H27" s="103" t="s">
        <v>1367</v>
      </c>
      <c r="I27" s="83" t="s">
        <v>1368</v>
      </c>
      <c r="J27" s="102">
        <f>$F27*'2. Emissions Units &amp; Activities'!$H$15</f>
        <v>0.15485000000000002</v>
      </c>
      <c r="K27" s="105">
        <f>$F27*'2. Emissions Units &amp; Activities'!$I$15</f>
        <v>0.19</v>
      </c>
      <c r="L27" s="83">
        <f>$F27*'2. Emissions Units &amp; Activities'!$J$15</f>
        <v>0.19</v>
      </c>
      <c r="M27" s="102">
        <f>$G27*'2. Emissions Units &amp; Activities'!$K$15</f>
        <v>4.2424657534246576E-4</v>
      </c>
      <c r="N27" s="105">
        <f>$G27*'2. Emissions Units &amp; Activities'!$L$15</f>
        <v>5.2054794520547943E-4</v>
      </c>
      <c r="O27" s="83">
        <f>$G27*'2. Emissions Units &amp; Activities'!$M$15</f>
        <v>5.2054794520547943E-4</v>
      </c>
    </row>
    <row r="28" spans="1:15" x14ac:dyDescent="0.35">
      <c r="A28" s="79" t="s">
        <v>1366</v>
      </c>
      <c r="B28" s="100" t="s">
        <v>443</v>
      </c>
      <c r="C28" s="81" t="s">
        <v>444</v>
      </c>
      <c r="D28" s="115">
        <f>IFERROR(IF(OR($B28="",$B28="No CAS"),INDEX('DEQ Pollutant List'!$A$7:$A$611,MATCH($C28,'DEQ Pollutant List'!$C$7:$C$611,0)),INDEX('DEQ Pollutant List'!$A$7:$A$611,MATCH($B28,'DEQ Pollutant List'!$B$7:$B$611,0))),"")</f>
        <v>250</v>
      </c>
      <c r="E28" s="101">
        <v>0</v>
      </c>
      <c r="F28" s="102">
        <v>1.7000000000000001E-2</v>
      </c>
      <c r="G28" s="196">
        <v>1.7000000000000001E-2</v>
      </c>
      <c r="H28" s="103" t="s">
        <v>1367</v>
      </c>
      <c r="I28" s="83" t="s">
        <v>1368</v>
      </c>
      <c r="J28" s="102">
        <f>$F28*'2. Emissions Units &amp; Activities'!$H$15</f>
        <v>0.27710000000000001</v>
      </c>
      <c r="K28" s="105">
        <f>$F28*'2. Emissions Units &amp; Activities'!$I$15</f>
        <v>0.34</v>
      </c>
      <c r="L28" s="83">
        <f>$F28*'2. Emissions Units &amp; Activities'!$J$15</f>
        <v>0.34</v>
      </c>
      <c r="M28" s="102">
        <f>$G28*'2. Emissions Units &amp; Activities'!$K$15</f>
        <v>7.5917808219178083E-4</v>
      </c>
      <c r="N28" s="105">
        <f>$G28*'2. Emissions Units &amp; Activities'!$L$15</f>
        <v>9.3150684931506849E-4</v>
      </c>
      <c r="O28" s="83">
        <f>$G28*'2. Emissions Units &amp; Activities'!$M$15</f>
        <v>9.3150684931506849E-4</v>
      </c>
    </row>
    <row r="29" spans="1:15" x14ac:dyDescent="0.35">
      <c r="A29" s="79" t="s">
        <v>1366</v>
      </c>
      <c r="B29" s="100" t="s">
        <v>483</v>
      </c>
      <c r="C29" s="81" t="s">
        <v>484</v>
      </c>
      <c r="D29" s="115">
        <f>IFERROR(IF(OR($B29="",$B29="No CAS"),INDEX('DEQ Pollutant List'!$A$7:$A$611,MATCH($C29,'DEQ Pollutant List'!$C$7:$C$611,0)),INDEX('DEQ Pollutant List'!$A$7:$A$611,MATCH($B29,'DEQ Pollutant List'!$B$7:$B$611,0))),"")</f>
        <v>289</v>
      </c>
      <c r="E29" s="101">
        <v>0</v>
      </c>
      <c r="F29" s="102">
        <v>6.3E-3</v>
      </c>
      <c r="G29" s="196">
        <v>6.3E-3</v>
      </c>
      <c r="H29" s="103" t="s">
        <v>1367</v>
      </c>
      <c r="I29" s="83" t="s">
        <v>1368</v>
      </c>
      <c r="J29" s="102">
        <f>$F29*'2. Emissions Units &amp; Activities'!$H$15</f>
        <v>0.10269</v>
      </c>
      <c r="K29" s="105">
        <f>$F29*'2. Emissions Units &amp; Activities'!$I$15</f>
        <v>0.126</v>
      </c>
      <c r="L29" s="83">
        <f>$F29*'2. Emissions Units &amp; Activities'!$J$15</f>
        <v>0.126</v>
      </c>
      <c r="M29" s="102">
        <f>$G29*'2. Emissions Units &amp; Activities'!$K$15</f>
        <v>2.8134246575342467E-4</v>
      </c>
      <c r="N29" s="105">
        <f>$G29*'2. Emissions Units &amp; Activities'!$L$15</f>
        <v>3.4520547945205479E-4</v>
      </c>
      <c r="O29" s="83">
        <f>$G29*'2. Emissions Units &amp; Activities'!$M$15</f>
        <v>3.4520547945205479E-4</v>
      </c>
    </row>
    <row r="30" spans="1:15" x14ac:dyDescent="0.35">
      <c r="A30" s="79" t="s">
        <v>1366</v>
      </c>
      <c r="B30" s="100" t="s">
        <v>512</v>
      </c>
      <c r="C30" s="81" t="s">
        <v>513</v>
      </c>
      <c r="D30" s="115">
        <f>IFERROR(IF(OR($B30="",$B30="No CAS"),INDEX('DEQ Pollutant List'!$A$7:$A$611,MATCH($C30,'DEQ Pollutant List'!$C$7:$C$611,0)),INDEX('DEQ Pollutant List'!$A$7:$A$611,MATCH($B30,'DEQ Pollutant List'!$B$7:$B$611,0))),"")</f>
        <v>305</v>
      </c>
      <c r="E30" s="101">
        <v>0</v>
      </c>
      <c r="F30" s="102">
        <v>5.0000000000000001E-4</v>
      </c>
      <c r="G30" s="196">
        <v>5.0000000000000001E-4</v>
      </c>
      <c r="H30" s="103" t="s">
        <v>1367</v>
      </c>
      <c r="I30" s="83" t="s">
        <v>1368</v>
      </c>
      <c r="J30" s="102">
        <f>$F30*'2. Emissions Units &amp; Activities'!$H$15</f>
        <v>8.150000000000001E-3</v>
      </c>
      <c r="K30" s="105">
        <f>$F30*'2. Emissions Units &amp; Activities'!$I$15</f>
        <v>0.01</v>
      </c>
      <c r="L30" s="83">
        <f>$F30*'2. Emissions Units &amp; Activities'!$J$15</f>
        <v>0.01</v>
      </c>
      <c r="M30" s="102">
        <f>$G30*'2. Emissions Units &amp; Activities'!$K$15</f>
        <v>2.232876712328767E-5</v>
      </c>
      <c r="N30" s="105">
        <f>$G30*'2. Emissions Units &amp; Activities'!$L$15</f>
        <v>2.73972602739726E-5</v>
      </c>
      <c r="O30" s="83">
        <f>$G30*'2. Emissions Units &amp; Activities'!$M$15</f>
        <v>2.73972602739726E-5</v>
      </c>
    </row>
    <row r="31" spans="1:15" x14ac:dyDescent="0.35">
      <c r="A31" s="79" t="s">
        <v>1366</v>
      </c>
      <c r="B31" s="100" t="s">
        <v>518</v>
      </c>
      <c r="C31" s="81" t="s">
        <v>519</v>
      </c>
      <c r="D31" s="115">
        <f>IFERROR(IF(OR($B31="",$B31="No CAS"),INDEX('DEQ Pollutant List'!$A$7:$A$611,MATCH($C31,'DEQ Pollutant List'!$C$7:$C$611,0)),INDEX('DEQ Pollutant List'!$A$7:$A$611,MATCH($B31,'DEQ Pollutant List'!$B$7:$B$611,0))),"")</f>
        <v>312</v>
      </c>
      <c r="E31" s="101">
        <v>0</v>
      </c>
      <c r="F31" s="102">
        <v>3.8000000000000002E-4</v>
      </c>
      <c r="G31" s="196">
        <v>3.8000000000000002E-4</v>
      </c>
      <c r="H31" s="103" t="s">
        <v>1367</v>
      </c>
      <c r="I31" s="83" t="s">
        <v>1368</v>
      </c>
      <c r="J31" s="102">
        <f>$F31*'2. Emissions Units &amp; Activities'!$H$15</f>
        <v>6.1940000000000007E-3</v>
      </c>
      <c r="K31" s="105">
        <f>$F31*'2. Emissions Units &amp; Activities'!$I$15</f>
        <v>7.6000000000000009E-3</v>
      </c>
      <c r="L31" s="83">
        <f>$F31*'2. Emissions Units &amp; Activities'!$J$15</f>
        <v>7.6000000000000009E-3</v>
      </c>
      <c r="M31" s="102">
        <f>$G31*'2. Emissions Units &amp; Activities'!$K$15</f>
        <v>1.6969863013698631E-5</v>
      </c>
      <c r="N31" s="105">
        <f>$G31*'2. Emissions Units &amp; Activities'!$L$15</f>
        <v>2.0821917808219178E-5</v>
      </c>
      <c r="O31" s="83">
        <f>$G31*'2. Emissions Units &amp; Activities'!$M$15</f>
        <v>2.0821917808219178E-5</v>
      </c>
    </row>
    <row r="32" spans="1:15" x14ac:dyDescent="0.35">
      <c r="A32" s="79" t="s">
        <v>1366</v>
      </c>
      <c r="B32" s="100" t="s">
        <v>524</v>
      </c>
      <c r="C32" s="81" t="s">
        <v>525</v>
      </c>
      <c r="D32" s="115">
        <f>IFERROR(IF(OR($B32="",$B32="No CAS"),INDEX('DEQ Pollutant List'!$A$7:$A$611,MATCH($C32,'DEQ Pollutant List'!$C$7:$C$611,0)),INDEX('DEQ Pollutant List'!$A$7:$A$611,MATCH($B32,'DEQ Pollutant List'!$B$7:$B$611,0))),"")</f>
        <v>316</v>
      </c>
      <c r="E32" s="101">
        <v>0</v>
      </c>
      <c r="F32" s="102">
        <v>2.5999999999999998E-4</v>
      </c>
      <c r="G32" s="196">
        <v>2.5999999999999998E-4</v>
      </c>
      <c r="H32" s="103" t="s">
        <v>1367</v>
      </c>
      <c r="I32" s="83" t="s">
        <v>1368</v>
      </c>
      <c r="J32" s="102">
        <f>$F32*'2. Emissions Units &amp; Activities'!$H$15</f>
        <v>4.2379999999999996E-3</v>
      </c>
      <c r="K32" s="105">
        <f>$F32*'2. Emissions Units &amp; Activities'!$I$15</f>
        <v>5.1999999999999998E-3</v>
      </c>
      <c r="L32" s="83">
        <f>$F32*'2. Emissions Units &amp; Activities'!$J$15</f>
        <v>5.1999999999999998E-3</v>
      </c>
      <c r="M32" s="102">
        <f>$G32*'2. Emissions Units &amp; Activities'!$K$15</f>
        <v>1.1610958904109588E-5</v>
      </c>
      <c r="N32" s="105">
        <f>$G32*'2. Emissions Units &amp; Activities'!$L$15</f>
        <v>1.4246575342465751E-5</v>
      </c>
      <c r="O32" s="83">
        <f>$G32*'2. Emissions Units &amp; Activities'!$M$15</f>
        <v>1.4246575342465751E-5</v>
      </c>
    </row>
    <row r="33" spans="1:15" x14ac:dyDescent="0.35">
      <c r="A33" s="79" t="s">
        <v>1366</v>
      </c>
      <c r="B33" s="100" t="s">
        <v>575</v>
      </c>
      <c r="C33" s="81" t="s">
        <v>576</v>
      </c>
      <c r="D33" s="115">
        <f>IFERROR(IF(OR($B33="",$B33="No CAS"),INDEX('DEQ Pollutant List'!$A$7:$A$611,MATCH($C33,'DEQ Pollutant List'!$C$7:$C$611,0)),INDEX('DEQ Pollutant List'!$A$7:$A$611,MATCH($B33,'DEQ Pollutant List'!$B$7:$B$611,0))),"")</f>
        <v>361</v>
      </c>
      <c r="E33" s="101">
        <v>0</v>
      </c>
      <c r="F33" s="102">
        <v>1.65E-3</v>
      </c>
      <c r="G33" s="196">
        <v>1.65E-3</v>
      </c>
      <c r="H33" s="103" t="s">
        <v>1367</v>
      </c>
      <c r="I33" s="83" t="s">
        <v>1368</v>
      </c>
      <c r="J33" s="102">
        <f>$F33*'2. Emissions Units &amp; Activities'!$H$15</f>
        <v>2.6895000000000002E-2</v>
      </c>
      <c r="K33" s="105">
        <f>$F33*'2. Emissions Units &amp; Activities'!$I$15</f>
        <v>3.3000000000000002E-2</v>
      </c>
      <c r="L33" s="83">
        <f>$F33*'2. Emissions Units &amp; Activities'!$J$15</f>
        <v>3.3000000000000002E-2</v>
      </c>
      <c r="M33" s="102">
        <f>$G33*'2. Emissions Units &amp; Activities'!$K$15</f>
        <v>7.3684931506849311E-5</v>
      </c>
      <c r="N33" s="105">
        <f>$G33*'2. Emissions Units &amp; Activities'!$L$15</f>
        <v>9.0410958904109582E-5</v>
      </c>
      <c r="O33" s="83">
        <f>$G33*'2. Emissions Units &amp; Activities'!$M$15</f>
        <v>9.0410958904109582E-5</v>
      </c>
    </row>
    <row r="34" spans="1:15" x14ac:dyDescent="0.35">
      <c r="A34" s="79" t="s">
        <v>1366</v>
      </c>
      <c r="B34" s="100" t="s">
        <v>581</v>
      </c>
      <c r="C34" s="81" t="s">
        <v>582</v>
      </c>
      <c r="D34" s="115">
        <f>IFERROR(IF(OR($B34="",$B34="No CAS"),INDEX('DEQ Pollutant List'!$A$7:$A$611,MATCH($C34,'DEQ Pollutant List'!$C$7:$C$611,0)),INDEX('DEQ Pollutant List'!$A$7:$A$611,MATCH($B34,'DEQ Pollutant List'!$B$7:$B$611,0))),"")</f>
        <v>428</v>
      </c>
      <c r="E34" s="101">
        <v>0</v>
      </c>
      <c r="F34" s="102">
        <v>2.9999999999999997E-4</v>
      </c>
      <c r="G34" s="196">
        <v>2.9999999999999997E-4</v>
      </c>
      <c r="H34" s="103" t="s">
        <v>1367</v>
      </c>
      <c r="I34" s="83" t="s">
        <v>1368</v>
      </c>
      <c r="J34" s="102">
        <f>$F34*'2. Emissions Units &amp; Activities'!$H$15</f>
        <v>4.8899999999999994E-3</v>
      </c>
      <c r="K34" s="105">
        <f>$F34*'2. Emissions Units &amp; Activities'!$I$15</f>
        <v>5.9999999999999993E-3</v>
      </c>
      <c r="L34" s="83">
        <f>$F34*'2. Emissions Units &amp; Activities'!$J$15</f>
        <v>5.9999999999999993E-3</v>
      </c>
      <c r="M34" s="102">
        <f>$G34*'2. Emissions Units &amp; Activities'!$K$15</f>
        <v>1.3397260273972602E-5</v>
      </c>
      <c r="N34" s="105">
        <f>$G34*'2. Emissions Units &amp; Activities'!$L$15</f>
        <v>1.643835616438356E-5</v>
      </c>
      <c r="O34" s="83">
        <f>$G34*'2. Emissions Units &amp; Activities'!$M$15</f>
        <v>1.643835616438356E-5</v>
      </c>
    </row>
    <row r="35" spans="1:15" x14ac:dyDescent="0.35">
      <c r="A35" s="79" t="s">
        <v>1366</v>
      </c>
      <c r="B35" s="100">
        <v>365</v>
      </c>
      <c r="C35" s="81" t="s">
        <v>1091</v>
      </c>
      <c r="D35" s="115">
        <f>IFERROR(IF(OR($B35="",$B35="No CAS"),INDEX('DEQ Pollutant List'!$A$7:$A$611,MATCH($C35,'DEQ Pollutant List'!$C$7:$C$611,0)),INDEX('DEQ Pollutant List'!$A$7:$A$611,MATCH($B35,'DEQ Pollutant List'!$B$7:$B$611,0))),"")</f>
        <v>365</v>
      </c>
      <c r="E35" s="101">
        <v>0</v>
      </c>
      <c r="F35" s="102">
        <v>2.0999999999999999E-3</v>
      </c>
      <c r="G35" s="196">
        <v>2.0999999999999999E-3</v>
      </c>
      <c r="H35" s="103" t="s">
        <v>1367</v>
      </c>
      <c r="I35" s="83" t="s">
        <v>1368</v>
      </c>
      <c r="J35" s="102">
        <f>$F35*'2. Emissions Units &amp; Activities'!$H$15</f>
        <v>3.4229999999999997E-2</v>
      </c>
      <c r="K35" s="105">
        <f>$F35*'2. Emissions Units &amp; Activities'!$I$15</f>
        <v>4.1999999999999996E-2</v>
      </c>
      <c r="L35" s="83">
        <f>$F35*'2. Emissions Units &amp; Activities'!$J$15</f>
        <v>4.1999999999999996E-2</v>
      </c>
      <c r="M35" s="102">
        <f>$G35*'2. Emissions Units &amp; Activities'!$K$15</f>
        <v>9.3780821917808214E-5</v>
      </c>
      <c r="N35" s="105">
        <f>$G35*'2. Emissions Units &amp; Activities'!$L$15</f>
        <v>1.1506849315068492E-4</v>
      </c>
      <c r="O35" s="83">
        <f>$G35*'2. Emissions Units &amp; Activities'!$M$15</f>
        <v>1.1506849315068492E-4</v>
      </c>
    </row>
    <row r="36" spans="1:15" x14ac:dyDescent="0.35">
      <c r="A36" s="79" t="s">
        <v>1366</v>
      </c>
      <c r="B36" s="100">
        <v>401</v>
      </c>
      <c r="C36" s="81" t="s">
        <v>1098</v>
      </c>
      <c r="D36" s="115">
        <f>IFERROR(IF(OR($B36="",$B36="No CAS"),INDEX('DEQ Pollutant List'!$A$7:$A$611,MATCH($C36,'DEQ Pollutant List'!$C$7:$C$611,0)),INDEX('DEQ Pollutant List'!$A$7:$A$611,MATCH($B36,'DEQ Pollutant List'!$B$7:$B$611,0))),"")</f>
        <v>401</v>
      </c>
      <c r="E36" s="101">
        <v>0</v>
      </c>
      <c r="F36" s="102">
        <v>1E-4</v>
      </c>
      <c r="G36" s="196">
        <v>1E-4</v>
      </c>
      <c r="H36" s="103" t="s">
        <v>1367</v>
      </c>
      <c r="I36" s="83" t="s">
        <v>1368</v>
      </c>
      <c r="J36" s="102">
        <f>$F36*'2. Emissions Units &amp; Activities'!$H$15</f>
        <v>1.6300000000000002E-3</v>
      </c>
      <c r="K36" s="105">
        <f>$F36*'2. Emissions Units &amp; Activities'!$I$15</f>
        <v>2E-3</v>
      </c>
      <c r="L36" s="83">
        <f>$F36*'2. Emissions Units &amp; Activities'!$J$15</f>
        <v>2E-3</v>
      </c>
      <c r="M36" s="102">
        <f>$G36*'2. Emissions Units &amp; Activities'!$K$15</f>
        <v>4.4657534246575349E-6</v>
      </c>
      <c r="N36" s="105">
        <f>$G36*'2. Emissions Units &amp; Activities'!$L$15</f>
        <v>5.4794520547945209E-6</v>
      </c>
      <c r="O36" s="83">
        <f>$G36*'2. Emissions Units &amp; Activities'!$M$15</f>
        <v>5.4794520547945209E-6</v>
      </c>
    </row>
    <row r="37" spans="1:15" x14ac:dyDescent="0.35">
      <c r="A37" s="79" t="s">
        <v>1366</v>
      </c>
      <c r="B37" s="100" t="s">
        <v>945</v>
      </c>
      <c r="C37" s="81" t="s">
        <v>946</v>
      </c>
      <c r="D37" s="115">
        <f>IFERROR(IF(OR($B37="",$B37="No CAS"),INDEX('DEQ Pollutant List'!$A$7:$A$611,MATCH($C37,'DEQ Pollutant List'!$C$7:$C$611,0)),INDEX('DEQ Pollutant List'!$A$7:$A$611,MATCH($B37,'DEQ Pollutant List'!$B$7:$B$611,0))),"")</f>
        <v>575</v>
      </c>
      <c r="E37" s="101">
        <v>0</v>
      </c>
      <c r="F37" s="102">
        <v>2.4000000000000001E-5</v>
      </c>
      <c r="G37" s="196">
        <v>2.4000000000000001E-5</v>
      </c>
      <c r="H37" s="103" t="s">
        <v>1367</v>
      </c>
      <c r="I37" s="83" t="s">
        <v>1368</v>
      </c>
      <c r="J37" s="102">
        <f>$F37*'2. Emissions Units &amp; Activities'!$H$15</f>
        <v>3.9120000000000002E-4</v>
      </c>
      <c r="K37" s="105">
        <f>$F37*'2. Emissions Units &amp; Activities'!$I$15</f>
        <v>4.8000000000000001E-4</v>
      </c>
      <c r="L37" s="83">
        <f>$F37*'2. Emissions Units &amp; Activities'!$J$15</f>
        <v>4.8000000000000001E-4</v>
      </c>
      <c r="M37" s="102">
        <f>$G37*'2. Emissions Units &amp; Activities'!$K$15</f>
        <v>1.0717808219178083E-6</v>
      </c>
      <c r="N37" s="105">
        <f>$G37*'2. Emissions Units &amp; Activities'!$L$15</f>
        <v>1.3150684931506849E-6</v>
      </c>
      <c r="O37" s="83">
        <f>$G37*'2. Emissions Units &amp; Activities'!$M$15</f>
        <v>1.3150684931506849E-6</v>
      </c>
    </row>
    <row r="38" spans="1:15" x14ac:dyDescent="0.35">
      <c r="A38" s="79" t="s">
        <v>1366</v>
      </c>
      <c r="B38" s="100" t="s">
        <v>994</v>
      </c>
      <c r="C38" s="81" t="s">
        <v>995</v>
      </c>
      <c r="D38" s="115">
        <f>IFERROR(IF(OR($B38="",$B38="No CAS"),INDEX('DEQ Pollutant List'!$A$7:$A$611,MATCH($C38,'DEQ Pollutant List'!$C$7:$C$611,0)),INDEX('DEQ Pollutant List'!$A$7:$A$611,MATCH($B38,'DEQ Pollutant List'!$B$7:$B$611,0))),"")</f>
        <v>600</v>
      </c>
      <c r="E38" s="101">
        <v>0</v>
      </c>
      <c r="F38" s="102">
        <v>3.6600000000000001E-2</v>
      </c>
      <c r="G38" s="196">
        <v>3.6600000000000001E-2</v>
      </c>
      <c r="H38" s="103" t="s">
        <v>1367</v>
      </c>
      <c r="I38" s="83" t="s">
        <v>1368</v>
      </c>
      <c r="J38" s="102">
        <f>$F38*'2. Emissions Units &amp; Activities'!$H$15</f>
        <v>0.59658</v>
      </c>
      <c r="K38" s="105">
        <f>$F38*'2. Emissions Units &amp; Activities'!$I$15</f>
        <v>0.73199999999999998</v>
      </c>
      <c r="L38" s="83">
        <f>$F38*'2. Emissions Units &amp; Activities'!$J$15</f>
        <v>0.73199999999999998</v>
      </c>
      <c r="M38" s="102">
        <f>$G38*'2. Emissions Units &amp; Activities'!$K$15</f>
        <v>1.6344657534246576E-3</v>
      </c>
      <c r="N38" s="105">
        <f>$G38*'2. Emissions Units &amp; Activities'!$L$15</f>
        <v>2.0054794520547943E-3</v>
      </c>
      <c r="O38" s="83">
        <f>$G38*'2. Emissions Units &amp; Activities'!$M$15</f>
        <v>2.0054794520547943E-3</v>
      </c>
    </row>
    <row r="39" spans="1:15" x14ac:dyDescent="0.35">
      <c r="A39" s="79" t="s">
        <v>1366</v>
      </c>
      <c r="B39" s="100" t="s">
        <v>1055</v>
      </c>
      <c r="C39" s="81" t="s">
        <v>1056</v>
      </c>
      <c r="D39" s="115">
        <f>IFERROR(IF(OR($B39="",$B39="No CAS"),INDEX('DEQ Pollutant List'!$A$7:$A$611,MATCH($C39,'DEQ Pollutant List'!$C$7:$C$611,0)),INDEX('DEQ Pollutant List'!$A$7:$A$611,MATCH($B39,'DEQ Pollutant List'!$B$7:$B$611,0))),"")</f>
        <v>620</v>
      </c>
      <c r="E39" s="101">
        <v>0</v>
      </c>
      <c r="F39" s="102">
        <v>2.3E-3</v>
      </c>
      <c r="G39" s="196">
        <v>2.3E-3</v>
      </c>
      <c r="H39" s="103" t="s">
        <v>1367</v>
      </c>
      <c r="I39" s="83" t="s">
        <v>1368</v>
      </c>
      <c r="J39" s="102">
        <f>$F39*'2. Emissions Units &amp; Activities'!$H$15</f>
        <v>3.7490000000000002E-2</v>
      </c>
      <c r="K39" s="105">
        <f>$F39*'2. Emissions Units &amp; Activities'!$I$15</f>
        <v>4.5999999999999999E-2</v>
      </c>
      <c r="L39" s="83">
        <f>$F39*'2. Emissions Units &amp; Activities'!$J$15</f>
        <v>4.5999999999999999E-2</v>
      </c>
      <c r="M39" s="102">
        <f>$G39*'2. Emissions Units &amp; Activities'!$K$15</f>
        <v>1.0271232876712328E-4</v>
      </c>
      <c r="N39" s="105">
        <f>$G39*'2. Emissions Units &amp; Activities'!$L$15</f>
        <v>1.2602739726027396E-4</v>
      </c>
      <c r="O39" s="83">
        <f>$G39*'2. Emissions Units &amp; Activities'!$M$15</f>
        <v>1.2602739726027396E-4</v>
      </c>
    </row>
    <row r="40" spans="1:15" x14ac:dyDescent="0.35">
      <c r="A40" s="79" t="s">
        <v>1366</v>
      </c>
      <c r="B40" s="100" t="s">
        <v>1071</v>
      </c>
      <c r="C40" s="81" t="s">
        <v>1072</v>
      </c>
      <c r="D40" s="115">
        <f>IFERROR(IF(OR($B40="",$B40="No CAS"),INDEX('DEQ Pollutant List'!$A$7:$A$611,MATCH($C40,'DEQ Pollutant List'!$C$7:$C$611,0)),INDEX('DEQ Pollutant List'!$A$7:$A$611,MATCH($B40,'DEQ Pollutant List'!$B$7:$B$611,0))),"")</f>
        <v>628</v>
      </c>
      <c r="E40" s="101">
        <v>0</v>
      </c>
      <c r="F40" s="102">
        <v>2.7199999999999998E-2</v>
      </c>
      <c r="G40" s="196">
        <v>2.7199999999999998E-2</v>
      </c>
      <c r="H40" s="103" t="s">
        <v>1367</v>
      </c>
      <c r="I40" s="83" t="s">
        <v>1368</v>
      </c>
      <c r="J40" s="102">
        <f>$F40*'2. Emissions Units &amp; Activities'!$H$15</f>
        <v>0.44335999999999998</v>
      </c>
      <c r="K40" s="105">
        <f>$F40*'2. Emissions Units &amp; Activities'!$I$15</f>
        <v>0.54399999999999993</v>
      </c>
      <c r="L40" s="83">
        <f>$F40*'2. Emissions Units &amp; Activities'!$J$15</f>
        <v>0.54399999999999993</v>
      </c>
      <c r="M40" s="102">
        <f>$G40*'2. Emissions Units &amp; Activities'!$K$15</f>
        <v>1.2146849315068492E-3</v>
      </c>
      <c r="N40" s="105">
        <f>$G40*'2. Emissions Units &amp; Activities'!$L$15</f>
        <v>1.4904109589041095E-3</v>
      </c>
      <c r="O40" s="83">
        <f>$G40*'2. Emissions Units &amp; Activities'!$M$15</f>
        <v>1.4904109589041095E-3</v>
      </c>
    </row>
    <row r="41" spans="1:15" x14ac:dyDescent="0.35">
      <c r="A41" s="79" t="s">
        <v>1366</v>
      </c>
      <c r="B41" s="100" t="s">
        <v>1076</v>
      </c>
      <c r="C41" s="81" t="s">
        <v>1077</v>
      </c>
      <c r="D41" s="115">
        <f>IFERROR(IF(OR($B41="",$B41="No CAS"),INDEX('DEQ Pollutant List'!$A$7:$A$611,MATCH($C41,'DEQ Pollutant List'!$C$7:$C$611,0)),INDEX('DEQ Pollutant List'!$A$7:$A$611,MATCH($B41,'DEQ Pollutant List'!$B$7:$B$611,0))),"")</f>
        <v>632</v>
      </c>
      <c r="E41" s="101">
        <v>0</v>
      </c>
      <c r="F41" s="102">
        <v>2.9000000000000001E-2</v>
      </c>
      <c r="G41" s="196">
        <v>2.9000000000000001E-2</v>
      </c>
      <c r="H41" s="103" t="s">
        <v>1367</v>
      </c>
      <c r="I41" s="83" t="s">
        <v>1368</v>
      </c>
      <c r="J41" s="102">
        <f>$F41*'2. Emissions Units &amp; Activities'!$H$15</f>
        <v>0.47270000000000006</v>
      </c>
      <c r="K41" s="105">
        <f>$F41*'2. Emissions Units &amp; Activities'!$I$15</f>
        <v>0.58000000000000007</v>
      </c>
      <c r="L41" s="83">
        <f>$F41*'2. Emissions Units &amp; Activities'!$J$15</f>
        <v>0.58000000000000007</v>
      </c>
      <c r="M41" s="102">
        <f>$G41*'2. Emissions Units &amp; Activities'!$K$15</f>
        <v>1.2950684931506849E-3</v>
      </c>
      <c r="N41" s="105">
        <f>$G41*'2. Emissions Units &amp; Activities'!$L$15</f>
        <v>1.5890410958904109E-3</v>
      </c>
      <c r="O41" s="83">
        <f>$G41*'2. Emissions Units &amp; Activities'!$M$15</f>
        <v>1.5890410958904109E-3</v>
      </c>
    </row>
    <row r="42" spans="1:15" x14ac:dyDescent="0.35">
      <c r="A42" s="79"/>
      <c r="B42" s="100"/>
      <c r="C42" s="81" t="str">
        <f>IFERROR(IF(B42="No CAS","",INDEX('DEQ Pollutant List'!$C$7:$C$611,MATCH('3. Pollutant Emissions - EF'!B42,'DEQ Pollutant List'!$B$7:$B$611,0))),"")</f>
        <v/>
      </c>
      <c r="D42" s="115" t="str">
        <f>IFERROR(IF(OR($B42="",$B42="No CAS"),INDEX('DEQ Pollutant List'!$A$7:$A$611,MATCH($C42,'DEQ Pollutant List'!$C$7:$C$611,0)),INDEX('DEQ Pollutant List'!$A$7:$A$611,MATCH($B42,'DEQ Pollutant List'!$B$7:$B$611,0))),"")</f>
        <v/>
      </c>
      <c r="E42" s="101"/>
      <c r="F42" s="102"/>
      <c r="G42" s="103"/>
      <c r="H42" s="83"/>
      <c r="I42" s="104"/>
      <c r="J42" s="102"/>
      <c r="K42" s="105"/>
      <c r="L42" s="83"/>
      <c r="M42" s="102"/>
      <c r="N42" s="105"/>
      <c r="O42" s="83"/>
    </row>
    <row r="43" spans="1:15" x14ac:dyDescent="0.35">
      <c r="A43" s="79"/>
      <c r="B43" s="100"/>
      <c r="C43" s="81"/>
      <c r="D43" s="115"/>
      <c r="E43" s="101"/>
      <c r="F43" s="102"/>
      <c r="G43" s="103"/>
      <c r="H43" s="83"/>
      <c r="I43" s="104"/>
      <c r="J43" s="102"/>
      <c r="K43" s="105"/>
      <c r="L43" s="83"/>
      <c r="M43" s="102"/>
      <c r="N43" s="105"/>
      <c r="O43" s="83"/>
    </row>
    <row r="44" spans="1:15" x14ac:dyDescent="0.35">
      <c r="A44" s="79"/>
      <c r="B44" s="100"/>
      <c r="C44" s="81"/>
      <c r="D44" s="115"/>
      <c r="E44" s="101"/>
      <c r="F44" s="102"/>
      <c r="G44" s="103"/>
      <c r="H44" s="83"/>
      <c r="I44" s="104"/>
      <c r="J44" s="102"/>
      <c r="K44" s="105"/>
      <c r="L44" s="83"/>
      <c r="M44" s="102"/>
      <c r="N44" s="105"/>
      <c r="O44" s="83"/>
    </row>
    <row r="45" spans="1:15" x14ac:dyDescent="0.35">
      <c r="A45" s="79" t="s">
        <v>1446</v>
      </c>
      <c r="B45" s="100" t="s">
        <v>230</v>
      </c>
      <c r="C45" s="81" t="str">
        <f>IFERROR(IF(B45="No CAS","",INDEX('DEQ Pollutant List'!$C$7:$C$611,MATCH('3. Pollutant Emissions - EF'!B45,'DEQ Pollutant List'!$B$7:$B$611,0))),"")</f>
        <v>Chromium VI, chromate and dichromate particulate</v>
      </c>
      <c r="D45" s="115"/>
      <c r="E45" s="101">
        <v>0</v>
      </c>
      <c r="F45" s="102">
        <v>0.33200000000000002</v>
      </c>
      <c r="G45" s="103">
        <v>0.33200000000000002</v>
      </c>
      <c r="H45" s="83" t="s">
        <v>1448</v>
      </c>
      <c r="I45" s="104" t="s">
        <v>1449</v>
      </c>
      <c r="J45" s="102">
        <f>F45*('2. Emissions Units &amp; Activities'!$H$22)</f>
        <v>6.6400000000000001E-3</v>
      </c>
      <c r="K45" s="105">
        <f>F45*('2. Emissions Units &amp; Activities'!$I$22)</f>
        <v>1.992E-2</v>
      </c>
      <c r="L45" s="83">
        <f>F45*('2. Emissions Units &amp; Activities'!$J$22)</f>
        <v>1.992E-2</v>
      </c>
      <c r="M45" s="102">
        <f>G45*('2. Emissions Units &amp; Activities'!$K$22)</f>
        <v>1.2769230769230769E-4</v>
      </c>
      <c r="N45" s="105">
        <f>G45*('2. Emissions Units &amp; Activities'!$L$22)</f>
        <v>3.8307692307692305E-4</v>
      </c>
      <c r="O45" s="83">
        <f>G45*('2. Emissions Units &amp; Activities'!$M$22)</f>
        <v>3.8307692307692305E-4</v>
      </c>
    </row>
    <row r="46" spans="1:15" x14ac:dyDescent="0.35">
      <c r="A46" s="79" t="s">
        <v>1446</v>
      </c>
      <c r="B46" s="100" t="s">
        <v>518</v>
      </c>
      <c r="C46" s="81" t="str">
        <f>IFERROR(IF(B46="No CAS","",INDEX('DEQ Pollutant List'!$C$7:$C$611,MATCH('3. Pollutant Emissions - EF'!B46,'DEQ Pollutant List'!$B$7:$B$611,0))),"")</f>
        <v>Manganese and compounds</v>
      </c>
      <c r="D46" s="115"/>
      <c r="E46" s="101">
        <v>0</v>
      </c>
      <c r="F46" s="102">
        <v>0.54400000000000004</v>
      </c>
      <c r="G46" s="103">
        <v>0.54400000000000004</v>
      </c>
      <c r="H46" s="83" t="s">
        <v>1448</v>
      </c>
      <c r="I46" s="104" t="s">
        <v>1449</v>
      </c>
      <c r="J46" s="102">
        <f>F46*('2. Emissions Units &amp; Activities'!$H$22)</f>
        <v>1.0880000000000001E-2</v>
      </c>
      <c r="K46" s="105">
        <f>F46*('2. Emissions Units &amp; Activities'!$I$22)</f>
        <v>3.2640000000000002E-2</v>
      </c>
      <c r="L46" s="83">
        <f>F46*('2. Emissions Units &amp; Activities'!$J$22)</f>
        <v>3.2640000000000002E-2</v>
      </c>
      <c r="M46" s="102">
        <f>G46*('2. Emissions Units &amp; Activities'!$K$22)</f>
        <v>2.0923076923076925E-4</v>
      </c>
      <c r="N46" s="105">
        <f>G46*('2. Emissions Units &amp; Activities'!$L$22)</f>
        <v>6.2769230769230773E-4</v>
      </c>
      <c r="O46" s="83">
        <f>G46*('2. Emissions Units &amp; Activities'!$M$22)</f>
        <v>6.2769230769230773E-4</v>
      </c>
    </row>
    <row r="47" spans="1:15" x14ac:dyDescent="0.35">
      <c r="A47" s="79" t="s">
        <v>1446</v>
      </c>
      <c r="B47" s="100">
        <v>365</v>
      </c>
      <c r="C47" s="81" t="str">
        <f>IFERROR(IF(B47="No CAS","",INDEX('DEQ Pollutant List'!$C$7:$C$611,MATCH('3. Pollutant Emissions - EF'!B47,'DEQ Pollutant List'!$B$7:$B$611,0))),"")</f>
        <v>Nickel compounds, insoluble</v>
      </c>
      <c r="D47" s="115"/>
      <c r="E47" s="101">
        <v>0</v>
      </c>
      <c r="F47" s="102">
        <v>5.5E-2</v>
      </c>
      <c r="G47" s="103">
        <v>5.5E-2</v>
      </c>
      <c r="H47" s="83" t="s">
        <v>1448</v>
      </c>
      <c r="I47" s="104" t="s">
        <v>1449</v>
      </c>
      <c r="J47" s="102">
        <f>F47*('2. Emissions Units &amp; Activities'!$H$22)</f>
        <v>1.1000000000000001E-3</v>
      </c>
      <c r="K47" s="105">
        <f>F47*('2. Emissions Units &amp; Activities'!$I$22)</f>
        <v>3.3E-3</v>
      </c>
      <c r="L47" s="83">
        <f>F47*('2. Emissions Units &amp; Activities'!$J$22)</f>
        <v>3.3E-3</v>
      </c>
      <c r="M47" s="102">
        <f>G47*('2. Emissions Units &amp; Activities'!$K$22)</f>
        <v>2.1153846153846154E-5</v>
      </c>
      <c r="N47" s="105">
        <f>G47*('2. Emissions Units &amp; Activities'!$L$22)</f>
        <v>6.3461538461538454E-5</v>
      </c>
      <c r="O47" s="83">
        <f>G47*('2. Emissions Units &amp; Activities'!$M$22)</f>
        <v>6.3461538461538454E-5</v>
      </c>
    </row>
    <row r="48" spans="1:15" x14ac:dyDescent="0.35">
      <c r="A48" s="79"/>
      <c r="B48" s="100"/>
      <c r="C48" s="81"/>
      <c r="D48" s="115"/>
      <c r="E48" s="101"/>
      <c r="F48" s="102"/>
      <c r="G48" s="103"/>
      <c r="H48" s="83"/>
      <c r="I48" s="104"/>
      <c r="J48" s="102"/>
      <c r="K48" s="105"/>
      <c r="L48" s="83"/>
      <c r="M48" s="102"/>
      <c r="N48" s="105"/>
      <c r="O48" s="83"/>
    </row>
    <row r="49" spans="1:15" x14ac:dyDescent="0.35">
      <c r="A49" s="79" t="s">
        <v>1479</v>
      </c>
      <c r="B49" s="100" t="s">
        <v>529</v>
      </c>
      <c r="C49" s="81" t="str">
        <f>IFERROR(IF(B49="No CAS","",INDEX('DEQ Pollutant List'!$C$7:$C$611,MATCH('3. Pollutant Emissions - EF'!B49,'DEQ Pollutant List'!$B$7:$B$611,0))),"")</f>
        <v>Methanol</v>
      </c>
      <c r="D49" s="115"/>
      <c r="E49" s="101">
        <v>0</v>
      </c>
      <c r="F49" s="102">
        <v>3.7545126353790613E-2</v>
      </c>
      <c r="G49" s="103">
        <v>3.7545126353790613E-2</v>
      </c>
      <c r="H49" s="83" t="s">
        <v>1455</v>
      </c>
      <c r="I49" s="104" t="s">
        <v>1412</v>
      </c>
      <c r="J49" s="102">
        <f>F49*'2. Emissions Units &amp; Activities'!H$24</f>
        <v>85.410000000000011</v>
      </c>
      <c r="K49" s="105">
        <f>$F49*'2. Emissions Units &amp; Activities'!I$24</f>
        <v>170.82000000000002</v>
      </c>
      <c r="L49" s="83">
        <f>$F49*'2. Emissions Units &amp; Activities'!J$24</f>
        <v>170.82000000000002</v>
      </c>
      <c r="M49" s="102">
        <f>$G49*'2. Emissions Units &amp; Activities'!K$24</f>
        <v>0.23399999999999999</v>
      </c>
      <c r="N49" s="105">
        <f>$G49*'2. Emissions Units &amp; Activities'!L$24</f>
        <v>0.46799999999999997</v>
      </c>
      <c r="O49" s="83">
        <f>$G49*'2. Emissions Units &amp; Activities'!M$24</f>
        <v>0.46799999999999997</v>
      </c>
    </row>
    <row r="50" spans="1:15" x14ac:dyDescent="0.35">
      <c r="A50" s="79" t="s">
        <v>1479</v>
      </c>
      <c r="B50" s="100" t="s">
        <v>564</v>
      </c>
      <c r="C50" s="81" t="str">
        <f>IFERROR(IF(B50="No CAS","",INDEX('DEQ Pollutant List'!$C$7:$C$611,MATCH('3. Pollutant Emissions - EF'!B50,'DEQ Pollutant List'!$B$7:$B$611,0))),"")</f>
        <v>Methyl tert-butyl ether</v>
      </c>
      <c r="D50" s="115"/>
      <c r="E50" s="101">
        <v>0</v>
      </c>
      <c r="F50" s="102">
        <v>5.2466907340553551E-2</v>
      </c>
      <c r="G50" s="103">
        <v>5.2466907340553551E-2</v>
      </c>
      <c r="H50" s="83" t="s">
        <v>1455</v>
      </c>
      <c r="I50" s="104" t="s">
        <v>1412</v>
      </c>
      <c r="J50" s="102">
        <f>F50*'2. Emissions Units &amp; Activities'!H$24</f>
        <v>119.35500000000002</v>
      </c>
      <c r="K50" s="105">
        <f>$F50*'2. Emissions Units &amp; Activities'!I$24</f>
        <v>238.71000000000004</v>
      </c>
      <c r="L50" s="83">
        <f>$F50*'2. Emissions Units &amp; Activities'!J$24</f>
        <v>238.71000000000004</v>
      </c>
      <c r="M50" s="102">
        <f>$G50*'2. Emissions Units &amp; Activities'!K$24</f>
        <v>0.32700000000000001</v>
      </c>
      <c r="N50" s="105">
        <f>$G50*'2. Emissions Units &amp; Activities'!L$24</f>
        <v>0.65400000000000003</v>
      </c>
      <c r="O50" s="83">
        <f>$G50*'2. Emissions Units &amp; Activities'!M$24</f>
        <v>0.65400000000000003</v>
      </c>
    </row>
    <row r="51" spans="1:15" x14ac:dyDescent="0.35">
      <c r="A51" s="79" t="s">
        <v>1480</v>
      </c>
      <c r="B51" s="100" t="s">
        <v>529</v>
      </c>
      <c r="C51" s="81" t="str">
        <f>IFERROR(IF(B51="No CAS","",INDEX('DEQ Pollutant List'!$C$7:$C$611,MATCH('3. Pollutant Emissions - EF'!B51,'DEQ Pollutant List'!$B$7:$B$611,0))),"")</f>
        <v>Methanol</v>
      </c>
      <c r="D51" s="115"/>
      <c r="E51" s="101">
        <v>0</v>
      </c>
      <c r="F51" s="102">
        <v>0.25350982751704776</v>
      </c>
      <c r="G51" s="103">
        <v>0.25350982751704776</v>
      </c>
      <c r="H51" s="83" t="s">
        <v>1455</v>
      </c>
      <c r="I51" s="104" t="s">
        <v>1412</v>
      </c>
      <c r="J51" s="102">
        <f>F51*'2. Emissions Units &amp; Activities'!H$25</f>
        <v>576.70000000000016</v>
      </c>
      <c r="K51" s="105">
        <f>$F51*'2. Emissions Units &amp; Activities'!I$25</f>
        <v>1153.4000000000003</v>
      </c>
      <c r="L51" s="83">
        <f>$F51*'2. Emissions Units &amp; Activities'!J$25</f>
        <v>1153.4000000000003</v>
      </c>
      <c r="M51" s="102">
        <f>$G51*'2. Emissions Units &amp; Activities'!K$25</f>
        <v>1.58</v>
      </c>
      <c r="N51" s="105">
        <f>$G51*'2. Emissions Units &amp; Activities'!L$25</f>
        <v>3.16</v>
      </c>
      <c r="O51" s="83">
        <f>$G51*'2. Emissions Units &amp; Activities'!M$25</f>
        <v>3.16</v>
      </c>
    </row>
    <row r="52" spans="1:15" x14ac:dyDescent="0.35">
      <c r="A52" s="79" t="s">
        <v>1480</v>
      </c>
      <c r="B52" s="100" t="s">
        <v>564</v>
      </c>
      <c r="C52" s="81" t="str">
        <f>IFERROR(IF(B52="No CAS","",INDEX('DEQ Pollutant List'!$C$7:$C$611,MATCH('3. Pollutant Emissions - EF'!B52,'DEQ Pollutant List'!$B$7:$B$611,0))),"")</f>
        <v>Methyl tert-butyl ether</v>
      </c>
      <c r="D52" s="115"/>
      <c r="E52" s="101">
        <v>0</v>
      </c>
      <c r="F52" s="102">
        <v>5.9366225431207384E-2</v>
      </c>
      <c r="G52" s="103">
        <v>5.9366225431207384E-2</v>
      </c>
      <c r="H52" s="83" t="s">
        <v>1455</v>
      </c>
      <c r="I52" s="104" t="s">
        <v>1412</v>
      </c>
      <c r="J52" s="102">
        <f>F52*'2. Emissions Units &amp; Activities'!H$25</f>
        <v>135.05000000000001</v>
      </c>
      <c r="K52" s="105">
        <f>$F52*'2. Emissions Units &amp; Activities'!I$25</f>
        <v>270.10000000000002</v>
      </c>
      <c r="L52" s="83">
        <f>$F52*'2. Emissions Units &amp; Activities'!J$25</f>
        <v>270.10000000000002</v>
      </c>
      <c r="M52" s="102">
        <f>$G52*'2. Emissions Units &amp; Activities'!K$25</f>
        <v>0.37</v>
      </c>
      <c r="N52" s="105">
        <f>$G52*'2. Emissions Units &amp; Activities'!L$25</f>
        <v>0.74</v>
      </c>
      <c r="O52" s="83">
        <f>$G52*'2. Emissions Units &amp; Activities'!M$25</f>
        <v>0.74</v>
      </c>
    </row>
    <row r="53" spans="1:15" x14ac:dyDescent="0.35">
      <c r="A53" s="79"/>
      <c r="B53" s="100"/>
      <c r="C53" s="81"/>
      <c r="D53" s="115"/>
      <c r="E53" s="101"/>
      <c r="F53" s="102"/>
      <c r="G53" s="103"/>
      <c r="H53" s="83"/>
      <c r="I53" s="104"/>
      <c r="J53" s="102"/>
      <c r="K53" s="105"/>
      <c r="L53" s="83"/>
      <c r="M53" s="102"/>
      <c r="N53" s="105"/>
      <c r="O53" s="83"/>
    </row>
    <row r="54" spans="1:15" x14ac:dyDescent="0.35">
      <c r="A54" s="79" t="s">
        <v>1456</v>
      </c>
      <c r="B54" s="100" t="s">
        <v>529</v>
      </c>
      <c r="C54" s="81" t="str">
        <f>IFERROR(IF(B54="No CAS","",INDEX('DEQ Pollutant List'!$C$7:$C$611,MATCH('3. Pollutant Emissions - EF'!B54,'DEQ Pollutant List'!$B$7:$B$611,0))),"")</f>
        <v>Methanol</v>
      </c>
      <c r="D54" s="115"/>
      <c r="E54" s="101">
        <v>0</v>
      </c>
      <c r="F54" s="102">
        <v>1E-4</v>
      </c>
      <c r="G54" s="103">
        <v>1E-4</v>
      </c>
      <c r="H54" s="83" t="s">
        <v>1459</v>
      </c>
      <c r="I54" s="104" t="s">
        <v>1460</v>
      </c>
      <c r="J54" s="102">
        <f>(F54*'2. Emissions Units &amp; Activities'!H27)/2000</f>
        <v>2.3825000000000002E-4</v>
      </c>
      <c r="K54" s="105">
        <f>(F54*'2. Emissions Units &amp; Activities'!I27)/2000</f>
        <v>2.8590000000000001E-4</v>
      </c>
      <c r="L54" s="83">
        <f>(F54*'2. Emissions Units &amp; Activities'!J27)/2000</f>
        <v>2.8590000000000001E-4</v>
      </c>
      <c r="M54" s="102">
        <f>(G54*'2. Emissions Units &amp; Activities'!K27)/2000</f>
        <v>6.527397260273973E-7</v>
      </c>
      <c r="N54" s="105">
        <f>(G54*'2. Emissions Units &amp; Activities'!L27)/2000</f>
        <v>7.8328767123287682E-7</v>
      </c>
      <c r="O54" s="83">
        <f>(G54*'2. Emissions Units &amp; Activities'!M27)/2000</f>
        <v>7.8328767123287682E-7</v>
      </c>
    </row>
    <row r="55" spans="1:15" x14ac:dyDescent="0.35">
      <c r="A55" s="79"/>
      <c r="B55" s="100"/>
      <c r="C55" s="81"/>
      <c r="D55" s="115"/>
      <c r="E55" s="101"/>
      <c r="F55" s="102"/>
      <c r="G55" s="103"/>
      <c r="H55" s="83"/>
      <c r="I55" s="104"/>
      <c r="J55" s="102"/>
      <c r="K55" s="105"/>
      <c r="L55" s="83"/>
      <c r="M55" s="102"/>
      <c r="N55" s="105"/>
      <c r="O55" s="83"/>
    </row>
    <row r="56" spans="1:15" x14ac:dyDescent="0.35">
      <c r="A56" s="79" t="s">
        <v>1369</v>
      </c>
      <c r="B56" s="100" t="s">
        <v>966</v>
      </c>
      <c r="C56" s="81" t="str">
        <f>IFERROR(IF(B56="No CAS","",INDEX('DEQ Pollutant List'!$C$7:$C$611,MATCH('3. Pollutant Emissions - EF'!B56,'DEQ Pollutant List'!$B$7:$B$611,0))),"")</f>
        <v>Sulfuric acid</v>
      </c>
      <c r="D56" s="115"/>
      <c r="E56" s="101">
        <v>0</v>
      </c>
      <c r="F56" s="102">
        <v>3.9999999999999998E-6</v>
      </c>
      <c r="G56" s="103">
        <v>3.9999999999999998E-6</v>
      </c>
      <c r="H56" s="83" t="s">
        <v>1411</v>
      </c>
      <c r="I56" s="104" t="s">
        <v>1412</v>
      </c>
      <c r="J56" s="102">
        <f>F56*('2. Emissions Units &amp; Activities'!H29)</f>
        <v>3.0399999999999996E-4</v>
      </c>
      <c r="K56" s="105">
        <f>F56*('2. Emissions Units &amp; Activities'!I29)</f>
        <v>3.0399999999999996E-4</v>
      </c>
      <c r="L56" s="83"/>
      <c r="M56" s="102">
        <f>G56*('2. Emissions Units &amp; Activities'!K29)</f>
        <v>7.2400000000000001E-6</v>
      </c>
      <c r="N56" s="105">
        <f>G56*('2. Emissions Units &amp; Activities'!L29)</f>
        <v>7.2400000000000001E-6</v>
      </c>
      <c r="O56" s="83"/>
    </row>
    <row r="57" spans="1:15" x14ac:dyDescent="0.35">
      <c r="A57" s="79"/>
      <c r="B57" s="100"/>
      <c r="C57" s="81" t="str">
        <f>IFERROR(IF(B57="No CAS","",INDEX('DEQ Pollutant List'!$C$7:$C$611,MATCH('3. Pollutant Emissions - EF'!B57,'DEQ Pollutant List'!$B$7:$B$611,0))),"")</f>
        <v/>
      </c>
      <c r="D57" s="115"/>
      <c r="E57" s="101"/>
      <c r="F57" s="102"/>
      <c r="G57" s="103"/>
      <c r="H57" s="83"/>
      <c r="I57" s="104"/>
      <c r="J57" s="102"/>
      <c r="K57" s="105"/>
      <c r="L57" s="83"/>
      <c r="M57" s="102"/>
      <c r="N57" s="105"/>
      <c r="O57" s="83"/>
    </row>
    <row r="58" spans="1:15" x14ac:dyDescent="0.35">
      <c r="A58" s="79" t="s">
        <v>1424</v>
      </c>
      <c r="B58" s="100" t="s">
        <v>708</v>
      </c>
      <c r="C58" s="81" t="str">
        <f>IFERROR(IF(B58="No CAS","",INDEX('DEQ Pollutant List'!$C$7:$C$611,MATCH('3. Pollutant Emissions - EF'!B58,'DEQ Pollutant List'!$B$7:$B$611,0))),"")</f>
        <v>Phosphoric acid</v>
      </c>
      <c r="D58" s="115"/>
      <c r="E58" s="101">
        <v>0</v>
      </c>
      <c r="F58" s="102">
        <v>1.6883116883116881E-5</v>
      </c>
      <c r="G58" s="103">
        <v>1.6883116883116881E-5</v>
      </c>
      <c r="H58" s="83" t="s">
        <v>1411</v>
      </c>
      <c r="I58" s="104" t="s">
        <v>1412</v>
      </c>
      <c r="J58" s="102">
        <f>F58*'2. Emissions Units &amp; Activities'!H34</f>
        <v>1.5194805194805193E-4</v>
      </c>
      <c r="K58" s="105">
        <f>F58*'2. Emissions Units &amp; Activities'!I34</f>
        <v>1.5194805194805193E-4</v>
      </c>
      <c r="L58" s="83"/>
      <c r="M58" s="102">
        <f>G58*'2. Emissions Units &amp; Activities'!K34</f>
        <v>8.4415584415584413E-7</v>
      </c>
      <c r="N58" s="105">
        <f>F58*'2. Emissions Units &amp; Activities'!L34</f>
        <v>8.4415584415584413E-7</v>
      </c>
      <c r="O58" s="83"/>
    </row>
    <row r="59" spans="1:15" x14ac:dyDescent="0.35">
      <c r="A59" s="79" t="s">
        <v>1425</v>
      </c>
      <c r="B59" s="100" t="s">
        <v>708</v>
      </c>
      <c r="C59" s="81" t="str">
        <f>IFERROR(IF(B59="No CAS","",INDEX('DEQ Pollutant List'!$C$7:$C$611,MATCH('3. Pollutant Emissions - EF'!B59,'DEQ Pollutant List'!$B$7:$B$611,0))),"")</f>
        <v>Phosphoric acid</v>
      </c>
      <c r="D59" s="115"/>
      <c r="E59" s="101">
        <v>0</v>
      </c>
      <c r="F59" s="102">
        <v>1.9047619047619045E-8</v>
      </c>
      <c r="G59" s="103">
        <v>1.9047619047619045E-8</v>
      </c>
      <c r="H59" s="83" t="s">
        <v>1411</v>
      </c>
      <c r="I59" s="104" t="s">
        <v>1412</v>
      </c>
      <c r="J59" s="102">
        <f>F59*'2. Emissions Units &amp; Activities'!H35</f>
        <v>1.7142857142857141E-7</v>
      </c>
      <c r="K59" s="105">
        <f>F59*'2. Emissions Units &amp; Activities'!I35</f>
        <v>1.7142857142857141E-7</v>
      </c>
      <c r="L59" s="83"/>
      <c r="M59" s="102">
        <f>G59*'2. Emissions Units &amp; Activities'!K35</f>
        <v>9.5238095238095219E-10</v>
      </c>
      <c r="N59" s="105">
        <f>F59*'2. Emissions Units &amp; Activities'!L35</f>
        <v>9.5238095238095219E-10</v>
      </c>
      <c r="O59" s="83"/>
    </row>
    <row r="60" spans="1:15" x14ac:dyDescent="0.35">
      <c r="A60" s="79" t="s">
        <v>1439</v>
      </c>
      <c r="B60" s="100" t="s">
        <v>708</v>
      </c>
      <c r="C60" s="81" t="str">
        <f>IFERROR(IF(B60="No CAS","",INDEX('DEQ Pollutant List'!$C$7:$C$611,MATCH('3. Pollutant Emissions - EF'!B60,'DEQ Pollutant List'!$B$7:$B$611,0))),"")</f>
        <v>Phosphoric acid</v>
      </c>
      <c r="D60" s="115"/>
      <c r="E60" s="101">
        <v>0</v>
      </c>
      <c r="F60" s="102">
        <v>2.8138528138528133E-4</v>
      </c>
      <c r="G60" s="103">
        <v>2.8138528138528133E-4</v>
      </c>
      <c r="H60" s="83" t="s">
        <v>1411</v>
      </c>
      <c r="I60" s="104" t="s">
        <v>1412</v>
      </c>
      <c r="J60" s="102">
        <f>F60*'2. Emissions Units &amp; Activities'!H36</f>
        <v>2.5324675324675319E-3</v>
      </c>
      <c r="K60" s="105">
        <f>F60*'2. Emissions Units &amp; Activities'!I36</f>
        <v>2.5324675324675319E-3</v>
      </c>
      <c r="L60" s="83"/>
      <c r="M60" s="102">
        <f>G60*'2. Emissions Units &amp; Activities'!K36</f>
        <v>1.4069264069264067E-5</v>
      </c>
      <c r="N60" s="105">
        <f>F60*'2. Emissions Units &amp; Activities'!L36</f>
        <v>1.4069264069264067E-5</v>
      </c>
      <c r="O60" s="83"/>
    </row>
    <row r="61" spans="1:15" x14ac:dyDescent="0.35">
      <c r="A61" s="79"/>
      <c r="B61" s="100"/>
      <c r="C61" s="81" t="str">
        <f>IFERROR(IF(B61="No CAS","",INDEX('DEQ Pollutant List'!$C$7:$C$611,MATCH('3. Pollutant Emissions - EF'!B61,'DEQ Pollutant List'!$B$7:$B$611,0))),"")</f>
        <v/>
      </c>
      <c r="D61" s="115"/>
      <c r="E61" s="101"/>
      <c r="F61" s="102"/>
      <c r="G61" s="103"/>
      <c r="H61" s="83"/>
      <c r="I61" s="104"/>
      <c r="J61" s="102"/>
      <c r="K61" s="105"/>
      <c r="L61" s="83"/>
      <c r="M61" s="102"/>
      <c r="N61" s="105"/>
      <c r="O61" s="83"/>
    </row>
    <row r="62" spans="1:15" x14ac:dyDescent="0.35">
      <c r="A62" s="79" t="s">
        <v>1386</v>
      </c>
      <c r="B62" s="100" t="s">
        <v>20</v>
      </c>
      <c r="C62" s="81" t="str">
        <f>IFERROR(IF(B62="No CAS","",INDEX('DEQ Pollutant List'!$C$7:$C$611,MATCH('3. Pollutant Emissions - EF'!B62,'DEQ Pollutant List'!$B$7:$B$611,0))),"")</f>
        <v>Acetonitrile</v>
      </c>
      <c r="D62" s="115"/>
      <c r="E62" s="101">
        <v>0</v>
      </c>
      <c r="F62" s="102">
        <v>3.1307999999999998</v>
      </c>
      <c r="G62" s="103">
        <v>3.1307999999999998</v>
      </c>
      <c r="H62" s="83" t="s">
        <v>1411</v>
      </c>
      <c r="I62" s="104" t="s">
        <v>1412</v>
      </c>
      <c r="J62" s="102">
        <f>F62*('2. Emissions Units &amp; Activities'!H49)</f>
        <v>347.5188</v>
      </c>
      <c r="K62" s="105">
        <f>F62*('2. Emissions Units &amp; Activities'!I49)</f>
        <v>347.5188</v>
      </c>
      <c r="L62" s="83"/>
      <c r="M62" s="102">
        <f>G62*('2. Emissions Units &amp; Activities'!K49)</f>
        <v>0.59485199999999994</v>
      </c>
      <c r="N62" s="105">
        <f>G62*('2. Emissions Units &amp; Activities'!L49)</f>
        <v>0.59485199999999994</v>
      </c>
      <c r="O62" s="83"/>
    </row>
    <row r="63" spans="1:15" x14ac:dyDescent="0.35">
      <c r="A63" s="79" t="s">
        <v>1386</v>
      </c>
      <c r="B63" s="100" t="s">
        <v>489</v>
      </c>
      <c r="C63" s="81" t="str">
        <f>IFERROR(IF(B63="No CAS","",INDEX('DEQ Pollutant List'!$C$7:$C$611,MATCH('3. Pollutant Emissions - EF'!B63,'DEQ Pollutant List'!$B$7:$B$611,0))),"")</f>
        <v>Hydrochloric acid</v>
      </c>
      <c r="D63" s="115"/>
      <c r="E63" s="101">
        <v>0</v>
      </c>
      <c r="F63" s="102">
        <v>4.6627999999999998</v>
      </c>
      <c r="G63" s="103">
        <v>4.6627999999999998</v>
      </c>
      <c r="H63" s="83" t="s">
        <v>1411</v>
      </c>
      <c r="I63" s="104" t="s">
        <v>1412</v>
      </c>
      <c r="J63" s="102">
        <f>F63*('2. Emissions Units &amp; Activities'!H49)</f>
        <v>517.57079999999996</v>
      </c>
      <c r="K63" s="105">
        <f>F63*('2. Emissions Units &amp; Activities'!I49)</f>
        <v>517.57079999999996</v>
      </c>
      <c r="L63" s="83"/>
      <c r="M63" s="102">
        <f>G63*('2. Emissions Units &amp; Activities'!K49)</f>
        <v>0.88593199999999994</v>
      </c>
      <c r="N63" s="105">
        <f>G63*('2. Emissions Units &amp; Activities'!L49)</f>
        <v>0.88593199999999994</v>
      </c>
      <c r="O63" s="83"/>
    </row>
    <row r="64" spans="1:15" x14ac:dyDescent="0.35">
      <c r="A64" s="79" t="s">
        <v>1387</v>
      </c>
      <c r="B64" s="100" t="s">
        <v>20</v>
      </c>
      <c r="C64" s="81" t="str">
        <f>IFERROR(IF(B64="No CAS","",INDEX('DEQ Pollutant List'!$C$7:$C$611,MATCH('3. Pollutant Emissions - EF'!B64,'DEQ Pollutant List'!$B$7:$B$611,0))),"")</f>
        <v>Acetonitrile</v>
      </c>
      <c r="D64" s="115"/>
      <c r="E64" s="101">
        <v>0</v>
      </c>
      <c r="F64" s="102">
        <v>0.54490000000000005</v>
      </c>
      <c r="G64" s="103">
        <v>0.54490000000000005</v>
      </c>
      <c r="H64" s="83" t="s">
        <v>1411</v>
      </c>
      <c r="I64" s="104" t="s">
        <v>1412</v>
      </c>
      <c r="J64" s="102">
        <f>F64*('2. Emissions Units &amp; Activities'!H50)</f>
        <v>60.483900000000006</v>
      </c>
      <c r="K64" s="105">
        <f>F64*('2. Emissions Units &amp; Activities'!I50)</f>
        <v>60.483900000000006</v>
      </c>
      <c r="L64" s="83"/>
      <c r="M64" s="102">
        <f>G64*('2. Emissions Units &amp; Activities'!K50)</f>
        <v>0.10353100000000001</v>
      </c>
      <c r="N64" s="105">
        <f>G64*('2. Emissions Units &amp; Activities'!L50)</f>
        <v>0.10353100000000001</v>
      </c>
      <c r="O64" s="83"/>
    </row>
    <row r="65" spans="1:15" x14ac:dyDescent="0.35">
      <c r="A65" s="79" t="s">
        <v>1387</v>
      </c>
      <c r="B65" s="100" t="s">
        <v>489</v>
      </c>
      <c r="C65" s="81" t="str">
        <f>IFERROR(IF(B65="No CAS","",INDEX('DEQ Pollutant List'!$C$7:$C$611,MATCH('3. Pollutant Emissions - EF'!B65,'DEQ Pollutant List'!$B$7:$B$611,0))),"")</f>
        <v>Hydrochloric acid</v>
      </c>
      <c r="D65" s="115"/>
      <c r="E65" s="101">
        <v>0</v>
      </c>
      <c r="F65" s="102">
        <v>1.1627000000000001</v>
      </c>
      <c r="G65" s="103">
        <v>1.1627000000000001</v>
      </c>
      <c r="H65" s="83" t="s">
        <v>1411</v>
      </c>
      <c r="I65" s="104" t="s">
        <v>1412</v>
      </c>
      <c r="J65" s="102">
        <f>F65*('2. Emissions Units &amp; Activities'!H50)</f>
        <v>129.05970000000002</v>
      </c>
      <c r="K65" s="105">
        <f>F65*('2. Emissions Units &amp; Activities'!I50)</f>
        <v>129.05970000000002</v>
      </c>
      <c r="L65" s="83"/>
      <c r="M65" s="102">
        <f>G65*('2. Emissions Units &amp; Activities'!K50)</f>
        <v>0.22091300000000003</v>
      </c>
      <c r="N65" s="105">
        <f>G65*('2. Emissions Units &amp; Activities'!L50)</f>
        <v>0.22091300000000003</v>
      </c>
      <c r="O65" s="83"/>
    </row>
    <row r="66" spans="1:15" x14ac:dyDescent="0.35">
      <c r="A66" s="79" t="s">
        <v>1388</v>
      </c>
      <c r="B66" s="100" t="s">
        <v>20</v>
      </c>
      <c r="C66" s="81" t="str">
        <f>IFERROR(IF(B66="No CAS","",INDEX('DEQ Pollutant List'!$C$7:$C$611,MATCH('3. Pollutant Emissions - EF'!B66,'DEQ Pollutant List'!$B$7:$B$611,0))),"")</f>
        <v>Acetonitrile</v>
      </c>
      <c r="D66" s="115"/>
      <c r="E66" s="101">
        <v>0</v>
      </c>
      <c r="F66" s="102">
        <v>0.4824</v>
      </c>
      <c r="G66" s="103">
        <v>0.4824</v>
      </c>
      <c r="H66" s="83" t="s">
        <v>1411</v>
      </c>
      <c r="I66" s="104" t="s">
        <v>1412</v>
      </c>
      <c r="J66" s="102">
        <f>F66*('2. Emissions Units &amp; Activities'!H51)</f>
        <v>53.546399999999998</v>
      </c>
      <c r="K66" s="105">
        <f>F66*('2. Emissions Units &amp; Activities'!I51)</f>
        <v>53.546399999999998</v>
      </c>
      <c r="L66" s="83"/>
      <c r="M66" s="102">
        <f>G66*('2. Emissions Units &amp; Activities'!K51)</f>
        <v>9.1656000000000001E-2</v>
      </c>
      <c r="N66" s="105">
        <f>G66*('2. Emissions Units &amp; Activities'!L51)</f>
        <v>9.1656000000000001E-2</v>
      </c>
      <c r="O66" s="83"/>
    </row>
    <row r="67" spans="1:15" x14ac:dyDescent="0.35">
      <c r="A67" s="79" t="s">
        <v>1388</v>
      </c>
      <c r="B67" s="100" t="s">
        <v>489</v>
      </c>
      <c r="C67" s="81" t="str">
        <f>IFERROR(IF(B67="No CAS","",INDEX('DEQ Pollutant List'!$C$7:$C$611,MATCH('3. Pollutant Emissions - EF'!B67,'DEQ Pollutant List'!$B$7:$B$611,0))),"")</f>
        <v>Hydrochloric acid</v>
      </c>
      <c r="D67" s="115"/>
      <c r="E67" s="101">
        <v>0</v>
      </c>
      <c r="F67" s="102">
        <v>2.7212999999999998</v>
      </c>
      <c r="G67" s="103">
        <v>2.7212999999999998</v>
      </c>
      <c r="H67" s="83" t="s">
        <v>1411</v>
      </c>
      <c r="I67" s="104" t="s">
        <v>1412</v>
      </c>
      <c r="J67" s="102">
        <f>F67*('2. Emissions Units &amp; Activities'!H51)</f>
        <v>302.0643</v>
      </c>
      <c r="K67" s="105">
        <f>F67*('2. Emissions Units &amp; Activities'!I51)</f>
        <v>302.0643</v>
      </c>
      <c r="L67" s="83"/>
      <c r="M67" s="102">
        <f>G67*('2. Emissions Units &amp; Activities'!K51)</f>
        <v>0.51704699999999992</v>
      </c>
      <c r="N67" s="105">
        <f>G67*('2. Emissions Units &amp; Activities'!L51)</f>
        <v>0.51704699999999992</v>
      </c>
      <c r="O67" s="83"/>
    </row>
    <row r="68" spans="1:15" x14ac:dyDescent="0.35">
      <c r="A68" s="79" t="s">
        <v>1389</v>
      </c>
      <c r="B68" s="100" t="s">
        <v>20</v>
      </c>
      <c r="C68" s="81" t="str">
        <f>IFERROR(IF(B68="No CAS","",INDEX('DEQ Pollutant List'!$C$7:$C$611,MATCH('3. Pollutant Emissions - EF'!B68,'DEQ Pollutant List'!$B$7:$B$611,0))),"")</f>
        <v>Acetonitrile</v>
      </c>
      <c r="D68" s="115"/>
      <c r="E68" s="101">
        <v>0</v>
      </c>
      <c r="F68" s="102">
        <v>2.5928</v>
      </c>
      <c r="G68" s="103">
        <v>2.5928</v>
      </c>
      <c r="H68" s="83" t="s">
        <v>1411</v>
      </c>
      <c r="I68" s="104" t="s">
        <v>1412</v>
      </c>
      <c r="J68" s="102">
        <f>F68*('2. Emissions Units &amp; Activities'!H52)</f>
        <v>287.80079999999998</v>
      </c>
      <c r="K68" s="105">
        <f>F68*('2. Emissions Units &amp; Activities'!I52)</f>
        <v>287.80079999999998</v>
      </c>
      <c r="L68" s="83"/>
      <c r="M68" s="102">
        <f>G68*('2. Emissions Units &amp; Activities'!K52)</f>
        <v>0.49263200000000001</v>
      </c>
      <c r="N68" s="105">
        <f>G68*('2. Emissions Units &amp; Activities'!L52)</f>
        <v>0.49263200000000001</v>
      </c>
      <c r="O68" s="83"/>
    </row>
    <row r="69" spans="1:15" x14ac:dyDescent="0.35">
      <c r="A69" s="79"/>
      <c r="B69" s="100"/>
      <c r="C69" s="81"/>
      <c r="D69" s="115"/>
      <c r="E69" s="101"/>
      <c r="F69" s="102"/>
      <c r="G69" s="103"/>
      <c r="H69" s="83"/>
      <c r="I69" s="104"/>
      <c r="J69" s="102"/>
      <c r="K69" s="105"/>
      <c r="L69" s="83"/>
      <c r="M69" s="102"/>
      <c r="N69" s="105"/>
      <c r="O69" s="83"/>
    </row>
    <row r="70" spans="1:15" x14ac:dyDescent="0.35">
      <c r="A70" s="79" t="s">
        <v>1391</v>
      </c>
      <c r="B70" s="100" t="s">
        <v>506</v>
      </c>
      <c r="C70" s="81" t="str">
        <f>IFERROR(IF(B70="No CAS","",INDEX('DEQ Pollutant List'!$C$7:$C$611,MATCH('3. Pollutant Emissions - EF'!B70,'DEQ Pollutant List'!$B$7:$B$611,0))),"")</f>
        <v>Isopropyl alcohol</v>
      </c>
      <c r="D70" s="115"/>
      <c r="E70" s="101">
        <v>0</v>
      </c>
      <c r="F70" s="102">
        <v>0.8982</v>
      </c>
      <c r="G70" s="103">
        <v>0.8982</v>
      </c>
      <c r="H70" s="83" t="s">
        <v>1411</v>
      </c>
      <c r="I70" s="104" t="s">
        <v>1412</v>
      </c>
      <c r="J70" s="102">
        <f>F70*('2. Emissions Units &amp; Activities'!H54)</f>
        <v>0.49401000000000006</v>
      </c>
      <c r="K70" s="105">
        <f>F70*('2. Emissions Units &amp; Activities'!I54)</f>
        <v>0.49401000000000006</v>
      </c>
      <c r="L70" s="83"/>
      <c r="M70" s="102">
        <f>G70*('2. Emissions Units &amp; Activities'!K54)</f>
        <v>1.2574800000000001E-2</v>
      </c>
      <c r="N70" s="105">
        <f>G70*('2. Emissions Units &amp; Activities'!L54)</f>
        <v>1.2574800000000001E-2</v>
      </c>
      <c r="O70" s="83"/>
    </row>
    <row r="71" spans="1:15" x14ac:dyDescent="0.35">
      <c r="A71" s="79" t="s">
        <v>1392</v>
      </c>
      <c r="B71" s="100" t="s">
        <v>506</v>
      </c>
      <c r="C71" s="81" t="str">
        <f>IFERROR(IF(B71="No CAS","",INDEX('DEQ Pollutant List'!$C$7:$C$611,MATCH('3. Pollutant Emissions - EF'!B71,'DEQ Pollutant List'!$B$7:$B$611,0))),"")</f>
        <v>Isopropyl alcohol</v>
      </c>
      <c r="D71" s="115"/>
      <c r="E71" s="101">
        <v>0</v>
      </c>
      <c r="F71" s="102">
        <v>7.85E-2</v>
      </c>
      <c r="G71" s="103">
        <v>7.85E-2</v>
      </c>
      <c r="H71" s="83" t="s">
        <v>1411</v>
      </c>
      <c r="I71" s="104" t="s">
        <v>1412</v>
      </c>
      <c r="J71" s="102">
        <f>F71*('2. Emissions Units &amp; Activities'!H55)</f>
        <v>4.3175000000000005E-2</v>
      </c>
      <c r="K71" s="105">
        <f>F71*('2. Emissions Units &amp; Activities'!I55)</f>
        <v>4.3175000000000005E-2</v>
      </c>
      <c r="L71" s="83"/>
      <c r="M71" s="102">
        <f>G71*('2. Emissions Units &amp; Activities'!K55)</f>
        <v>1.0989999999999999E-3</v>
      </c>
      <c r="N71" s="105">
        <f>G71*('2. Emissions Units &amp; Activities'!L55)</f>
        <v>1.0989999999999999E-3</v>
      </c>
      <c r="O71" s="83"/>
    </row>
    <row r="72" spans="1:15" x14ac:dyDescent="0.35">
      <c r="A72" s="79" t="s">
        <v>1392</v>
      </c>
      <c r="B72" s="100" t="s">
        <v>966</v>
      </c>
      <c r="C72" s="81" t="str">
        <f>IFERROR(IF(B72="No CAS","",INDEX('DEQ Pollutant List'!$C$7:$C$611,MATCH('3. Pollutant Emissions - EF'!B72,'DEQ Pollutant List'!$B$7:$B$611,0))),"")</f>
        <v>Sulfuric acid</v>
      </c>
      <c r="D72" s="115"/>
      <c r="E72" s="101">
        <v>0</v>
      </c>
      <c r="F72" s="102">
        <v>3.6000000000000001E-5</v>
      </c>
      <c r="G72" s="103">
        <v>3.6000000000000001E-5</v>
      </c>
      <c r="H72" s="83" t="s">
        <v>1411</v>
      </c>
      <c r="I72" s="104" t="s">
        <v>1412</v>
      </c>
      <c r="J72" s="102">
        <f>F72*('2. Emissions Units &amp; Activities'!H55)</f>
        <v>1.9800000000000004E-5</v>
      </c>
      <c r="K72" s="105">
        <f>F72*('2. Emissions Units &amp; Activities'!I55)</f>
        <v>1.9800000000000004E-5</v>
      </c>
      <c r="L72" s="83"/>
      <c r="M72" s="102">
        <f>G72*('2. Emissions Units &amp; Activities'!K55)</f>
        <v>5.0400000000000007E-7</v>
      </c>
      <c r="N72" s="105">
        <f>G72*('2. Emissions Units &amp; Activities'!L55)</f>
        <v>5.0400000000000007E-7</v>
      </c>
      <c r="O72" s="83"/>
    </row>
    <row r="73" spans="1:15" x14ac:dyDescent="0.35">
      <c r="A73" s="79"/>
      <c r="B73" s="100"/>
      <c r="C73" s="81"/>
      <c r="D73" s="115"/>
      <c r="E73" s="101"/>
      <c r="F73" s="102"/>
      <c r="G73" s="103"/>
      <c r="H73" s="83"/>
      <c r="I73" s="104"/>
      <c r="J73" s="102"/>
      <c r="K73" s="105"/>
      <c r="L73" s="83"/>
      <c r="M73" s="102"/>
      <c r="N73" s="105"/>
      <c r="O73" s="83"/>
    </row>
    <row r="74" spans="1:15" x14ac:dyDescent="0.35">
      <c r="A74" s="79" t="s">
        <v>1394</v>
      </c>
      <c r="B74" s="100" t="s">
        <v>506</v>
      </c>
      <c r="C74" s="81" t="str">
        <f>IFERROR(IF(B74="No CAS","",INDEX('DEQ Pollutant List'!$C$7:$C$611,MATCH('3. Pollutant Emissions - EF'!B74,'DEQ Pollutant List'!$B$7:$B$611,0))),"")</f>
        <v>Isopropyl alcohol</v>
      </c>
      <c r="D74" s="115"/>
      <c r="E74" s="101">
        <v>0</v>
      </c>
      <c r="F74" s="102">
        <v>0.17019999999999999</v>
      </c>
      <c r="G74" s="103">
        <v>0.17019999999999999</v>
      </c>
      <c r="H74" s="83" t="s">
        <v>1411</v>
      </c>
      <c r="I74" s="104" t="s">
        <v>1412</v>
      </c>
      <c r="J74" s="102">
        <f>F74*('2. Emissions Units &amp; Activities'!H57)</f>
        <v>9.3609999999999999E-2</v>
      </c>
      <c r="K74" s="105">
        <f>F74*('2. Emissions Units &amp; Activities'!I57)</f>
        <v>9.3609999999999999E-2</v>
      </c>
      <c r="L74" s="83"/>
      <c r="M74" s="102">
        <f>G74*('2. Emissions Units &amp; Activities'!K57)</f>
        <v>2.3828E-3</v>
      </c>
      <c r="N74" s="105">
        <f>G74*('2. Emissions Units &amp; Activities'!L57)</f>
        <v>2.3828E-3</v>
      </c>
      <c r="O74" s="83"/>
    </row>
    <row r="75" spans="1:15" x14ac:dyDescent="0.35">
      <c r="A75" s="79" t="s">
        <v>1394</v>
      </c>
      <c r="B75" s="100" t="s">
        <v>966</v>
      </c>
      <c r="C75" s="81" t="str">
        <f>IFERROR(IF(B75="No CAS","",INDEX('DEQ Pollutant List'!$C$7:$C$611,MATCH('3. Pollutant Emissions - EF'!B75,'DEQ Pollutant List'!$B$7:$B$611,0))),"")</f>
        <v>Sulfuric acid</v>
      </c>
      <c r="D75" s="115"/>
      <c r="E75" s="101">
        <v>0</v>
      </c>
      <c r="F75" s="102">
        <v>5.1E-5</v>
      </c>
      <c r="G75" s="103">
        <v>5.1E-5</v>
      </c>
      <c r="H75" s="83" t="s">
        <v>1411</v>
      </c>
      <c r="I75" s="104" t="s">
        <v>1412</v>
      </c>
      <c r="J75" s="102">
        <f>F75*('2. Emissions Units &amp; Activities'!H57)</f>
        <v>2.8050000000000001E-5</v>
      </c>
      <c r="K75" s="105">
        <f>F75*('2. Emissions Units &amp; Activities'!I57)</f>
        <v>2.8050000000000001E-5</v>
      </c>
      <c r="L75" s="83"/>
      <c r="M75" s="102">
        <f>G75*('2. Emissions Units &amp; Activities'!K57)</f>
        <v>7.1399999999999996E-7</v>
      </c>
      <c r="N75" s="105">
        <f>G75*('2. Emissions Units &amp; Activities'!L57)</f>
        <v>7.1399999999999996E-7</v>
      </c>
      <c r="O75" s="83"/>
    </row>
    <row r="76" spans="1:15" x14ac:dyDescent="0.35">
      <c r="A76" s="79"/>
      <c r="B76" s="100"/>
      <c r="C76" s="81" t="str">
        <f>IFERROR(IF(B76="No CAS","",INDEX('DEQ Pollutant List'!$C$7:$C$611,MATCH('3. Pollutant Emissions - EF'!B76,'DEQ Pollutant List'!$B$7:$B$611,0))),"")</f>
        <v/>
      </c>
      <c r="D76" s="115"/>
      <c r="E76" s="101"/>
      <c r="F76" s="102"/>
      <c r="G76" s="103"/>
      <c r="H76" s="83"/>
      <c r="I76" s="104"/>
      <c r="J76" s="102"/>
      <c r="K76" s="105"/>
      <c r="L76" s="83"/>
      <c r="M76" s="102"/>
      <c r="N76" s="105"/>
      <c r="O76" s="83"/>
    </row>
    <row r="77" spans="1:15" x14ac:dyDescent="0.35">
      <c r="A77" s="79" t="s">
        <v>1395</v>
      </c>
      <c r="B77" s="100" t="s">
        <v>364</v>
      </c>
      <c r="C77" s="81" t="str">
        <f>IFERROR(IF(B77="No CAS","",INDEX('DEQ Pollutant List'!$C$7:$C$611,MATCH('3. Pollutant Emissions - EF'!B77,'DEQ Pollutant List'!$B$7:$B$611,0))),"")</f>
        <v>Dimethyl formamide</v>
      </c>
      <c r="D77" s="115"/>
      <c r="E77" s="101">
        <v>0</v>
      </c>
      <c r="F77" s="102">
        <v>0.9708</v>
      </c>
      <c r="G77" s="103">
        <v>0.9708</v>
      </c>
      <c r="H77" s="83" t="s">
        <v>1411</v>
      </c>
      <c r="I77" s="104" t="s">
        <v>1412</v>
      </c>
      <c r="J77" s="102">
        <f>F77*('2. Emissions Units &amp; Activities'!H$59)</f>
        <v>2.9997719999999997</v>
      </c>
      <c r="K77" s="105">
        <f>F77*('2. Emissions Units &amp; Activities'!I$59)</f>
        <v>2.9997719999999997</v>
      </c>
      <c r="L77" s="83"/>
      <c r="M77" s="102">
        <f>G77*('2. Emissions Units &amp; Activities'!K$59)</f>
        <v>1.9415999999999999E-2</v>
      </c>
      <c r="N77" s="105">
        <f>G77*('2. Emissions Units &amp; Activities'!L$59)</f>
        <v>1.9415999999999999E-2</v>
      </c>
      <c r="O77" s="83"/>
    </row>
    <row r="78" spans="1:15" x14ac:dyDescent="0.35">
      <c r="A78" s="79" t="s">
        <v>1395</v>
      </c>
      <c r="B78" s="100" t="s">
        <v>932</v>
      </c>
      <c r="C78" s="81" t="str">
        <f>IFERROR(IF(B78="No CAS","",INDEX('DEQ Pollutant List'!$C$7:$C$611,MATCH('3. Pollutant Emissions - EF'!B78,'DEQ Pollutant List'!$B$7:$B$611,0))),"")</f>
        <v>Pyridine</v>
      </c>
      <c r="D78" s="115"/>
      <c r="E78" s="101">
        <v>0</v>
      </c>
      <c r="F78" s="102">
        <v>0.88959999999999995</v>
      </c>
      <c r="G78" s="103">
        <v>0.88959999999999995</v>
      </c>
      <c r="H78" s="83" t="s">
        <v>1411</v>
      </c>
      <c r="I78" s="104" t="s">
        <v>1412</v>
      </c>
      <c r="J78" s="102">
        <f>F78*('2. Emissions Units &amp; Activities'!H$59)</f>
        <v>2.7488639999999998</v>
      </c>
      <c r="K78" s="105">
        <f>F78*('2. Emissions Units &amp; Activities'!I$59)</f>
        <v>2.7488639999999998</v>
      </c>
      <c r="L78" s="83"/>
      <c r="M78" s="102">
        <f>G78*('2. Emissions Units &amp; Activities'!K$59)</f>
        <v>1.7791999999999999E-2</v>
      </c>
      <c r="N78" s="105">
        <f>G78*('2. Emissions Units &amp; Activities'!L$59)</f>
        <v>1.7791999999999999E-2</v>
      </c>
      <c r="O78" s="83"/>
    </row>
    <row r="79" spans="1:15" x14ac:dyDescent="0.35">
      <c r="A79" s="79" t="s">
        <v>1395</v>
      </c>
      <c r="B79" s="100" t="s">
        <v>994</v>
      </c>
      <c r="C79" s="81" t="str">
        <f>IFERROR(IF(B79="No CAS","",INDEX('DEQ Pollutant List'!$C$7:$C$611,MATCH('3. Pollutant Emissions - EF'!B79,'DEQ Pollutant List'!$B$7:$B$611,0))),"")</f>
        <v>Toluene</v>
      </c>
      <c r="D79" s="115"/>
      <c r="E79" s="101">
        <v>0</v>
      </c>
      <c r="F79" s="102">
        <v>0.59089999999999998</v>
      </c>
      <c r="G79" s="103">
        <v>0.59089999999999998</v>
      </c>
      <c r="H79" s="83" t="s">
        <v>1411</v>
      </c>
      <c r="I79" s="104" t="s">
        <v>1412</v>
      </c>
      <c r="J79" s="102">
        <f>F79*('2. Emissions Units &amp; Activities'!H$59)</f>
        <v>1.8258809999999999</v>
      </c>
      <c r="K79" s="105">
        <f>F79*('2. Emissions Units &amp; Activities'!I$59)</f>
        <v>1.8258809999999999</v>
      </c>
      <c r="L79" s="83"/>
      <c r="M79" s="102">
        <f>G79*('2. Emissions Units &amp; Activities'!K$59)</f>
        <v>1.1818E-2</v>
      </c>
      <c r="N79" s="105">
        <f>G79*('2. Emissions Units &amp; Activities'!L$59)</f>
        <v>1.1818E-2</v>
      </c>
      <c r="O79" s="83"/>
    </row>
    <row r="80" spans="1:15" x14ac:dyDescent="0.35">
      <c r="A80" s="79" t="s">
        <v>1396</v>
      </c>
      <c r="B80" s="100" t="s">
        <v>364</v>
      </c>
      <c r="C80" s="81" t="str">
        <f>IFERROR(IF(B80="No CAS","",INDEX('DEQ Pollutant List'!$C$7:$C$611,MATCH('3. Pollutant Emissions - EF'!B80,'DEQ Pollutant List'!$B$7:$B$611,0))),"")</f>
        <v>Dimethyl formamide</v>
      </c>
      <c r="D80" s="115"/>
      <c r="E80" s="101">
        <v>0</v>
      </c>
      <c r="F80" s="102">
        <v>27.435099999999998</v>
      </c>
      <c r="G80" s="103">
        <v>27.435099999999998</v>
      </c>
      <c r="H80" s="83" t="s">
        <v>1411</v>
      </c>
      <c r="I80" s="104" t="s">
        <v>1412</v>
      </c>
      <c r="J80" s="102">
        <f>F80*('2. Emissions Units &amp; Activities'!H$60)</f>
        <v>84.774458999999993</v>
      </c>
      <c r="K80" s="105">
        <f>F80*('2. Emissions Units &amp; Activities'!I$60)</f>
        <v>84.774458999999993</v>
      </c>
      <c r="L80" s="83"/>
      <c r="M80" s="102">
        <f>G80*('2. Emissions Units &amp; Activities'!K$60)</f>
        <v>0.54870200000000002</v>
      </c>
      <c r="N80" s="105">
        <f>G80*('2. Emissions Units &amp; Activities'!L$60)</f>
        <v>0.54870200000000002</v>
      </c>
      <c r="O80" s="83"/>
    </row>
    <row r="81" spans="1:15" x14ac:dyDescent="0.35">
      <c r="A81" s="79" t="s">
        <v>1396</v>
      </c>
      <c r="B81" s="100" t="s">
        <v>932</v>
      </c>
      <c r="C81" s="81" t="str">
        <f>IFERROR(IF(B81="No CAS","",INDEX('DEQ Pollutant List'!$C$7:$C$611,MATCH('3. Pollutant Emissions - EF'!B81,'DEQ Pollutant List'!$B$7:$B$611,0))),"")</f>
        <v>Pyridine</v>
      </c>
      <c r="D81" s="115"/>
      <c r="E81" s="101">
        <v>0</v>
      </c>
      <c r="F81" s="102">
        <v>0.40260000000000001</v>
      </c>
      <c r="G81" s="103">
        <v>0.40260000000000001</v>
      </c>
      <c r="H81" s="83" t="s">
        <v>1411</v>
      </c>
      <c r="I81" s="104" t="s">
        <v>1412</v>
      </c>
      <c r="J81" s="102">
        <f>F81*('2. Emissions Units &amp; Activities'!H$60)</f>
        <v>1.2440340000000001</v>
      </c>
      <c r="K81" s="105">
        <f>F81*('2. Emissions Units &amp; Activities'!I$60)</f>
        <v>1.2440340000000001</v>
      </c>
      <c r="L81" s="83"/>
      <c r="M81" s="102">
        <f>G81*('2. Emissions Units &amp; Activities'!K$60)</f>
        <v>8.0520000000000001E-3</v>
      </c>
      <c r="N81" s="105">
        <f>G81*('2. Emissions Units &amp; Activities'!L$60)</f>
        <v>8.0520000000000001E-3</v>
      </c>
      <c r="O81" s="83"/>
    </row>
    <row r="82" spans="1:15" x14ac:dyDescent="0.35">
      <c r="A82" s="79" t="s">
        <v>1396</v>
      </c>
      <c r="B82" s="100" t="s">
        <v>994</v>
      </c>
      <c r="C82" s="81" t="str">
        <f>IFERROR(IF(B82="No CAS","",INDEX('DEQ Pollutant List'!$C$7:$C$611,MATCH('3. Pollutant Emissions - EF'!B82,'DEQ Pollutant List'!$B$7:$B$611,0))),"")</f>
        <v>Toluene</v>
      </c>
      <c r="D82" s="115"/>
      <c r="E82" s="101">
        <v>0</v>
      </c>
      <c r="F82" s="102">
        <v>86.363600000000005</v>
      </c>
      <c r="G82" s="103">
        <v>86.363600000000005</v>
      </c>
      <c r="H82" s="83" t="s">
        <v>1411</v>
      </c>
      <c r="I82" s="104" t="s">
        <v>1412</v>
      </c>
      <c r="J82" s="102">
        <f>F82*('2. Emissions Units &amp; Activities'!H$60)</f>
        <v>266.86352399999998</v>
      </c>
      <c r="K82" s="105">
        <f>F82*('2. Emissions Units &amp; Activities'!I$60)</f>
        <v>266.86352399999998</v>
      </c>
      <c r="L82" s="83"/>
      <c r="M82" s="102">
        <f>G82*('2. Emissions Units &amp; Activities'!K$60)</f>
        <v>1.7272720000000001</v>
      </c>
      <c r="N82" s="105">
        <f>G82*('2. Emissions Units &amp; Activities'!L$60)</f>
        <v>1.7272720000000001</v>
      </c>
      <c r="O82" s="83"/>
    </row>
    <row r="83" spans="1:15" x14ac:dyDescent="0.35">
      <c r="A83" s="79" t="s">
        <v>1396</v>
      </c>
      <c r="B83" s="100" t="s">
        <v>489</v>
      </c>
      <c r="C83" s="81" t="str">
        <f>IFERROR(IF(B83="No CAS","",INDEX('DEQ Pollutant List'!$C$7:$C$611,MATCH('3. Pollutant Emissions - EF'!B83,'DEQ Pollutant List'!$B$7:$B$611,0))),"")</f>
        <v>Hydrochloric acid</v>
      </c>
      <c r="D83" s="115"/>
      <c r="E83" s="101">
        <v>0</v>
      </c>
      <c r="F83" s="102">
        <v>108.0844</v>
      </c>
      <c r="G83" s="103">
        <v>108.0844</v>
      </c>
      <c r="H83" s="83" t="s">
        <v>1411</v>
      </c>
      <c r="I83" s="104" t="s">
        <v>1412</v>
      </c>
      <c r="J83" s="102">
        <f>F83*('2. Emissions Units &amp; Activities'!H$60)</f>
        <v>333.980796</v>
      </c>
      <c r="K83" s="105">
        <f>F83*('2. Emissions Units &amp; Activities'!I$60)</f>
        <v>333.980796</v>
      </c>
      <c r="L83" s="83"/>
      <c r="M83" s="102">
        <f>G83*('2. Emissions Units &amp; Activities'!K$60)</f>
        <v>2.1616880000000003</v>
      </c>
      <c r="N83" s="105">
        <f>G83*('2. Emissions Units &amp; Activities'!L$60)</f>
        <v>2.1616880000000003</v>
      </c>
      <c r="O83" s="83"/>
    </row>
    <row r="84" spans="1:15" x14ac:dyDescent="0.35">
      <c r="A84" s="79" t="s">
        <v>1397</v>
      </c>
      <c r="B84" s="100" t="s">
        <v>364</v>
      </c>
      <c r="C84" s="81" t="str">
        <f>IFERROR(IF(B84="No CAS","",INDEX('DEQ Pollutant List'!$C$7:$C$611,MATCH('3. Pollutant Emissions - EF'!B84,'DEQ Pollutant List'!$B$7:$B$611,0))),"")</f>
        <v>Dimethyl formamide</v>
      </c>
      <c r="D84" s="115"/>
      <c r="E84" s="101">
        <v>0</v>
      </c>
      <c r="F84" s="102">
        <v>3.9E-2</v>
      </c>
      <c r="G84" s="103">
        <v>3.9E-2</v>
      </c>
      <c r="H84" s="83" t="s">
        <v>1411</v>
      </c>
      <c r="I84" s="104" t="s">
        <v>1412</v>
      </c>
      <c r="J84" s="102">
        <f>F84*('2. Emissions Units &amp; Activities'!H$61)</f>
        <v>0.12050999999999999</v>
      </c>
      <c r="K84" s="105">
        <f>F84*('2. Emissions Units &amp; Activities'!I$61)</f>
        <v>0.12050999999999999</v>
      </c>
      <c r="L84" s="83"/>
      <c r="M84" s="102">
        <f>G84*('2. Emissions Units &amp; Activities'!K$61)</f>
        <v>7.7999999999999999E-4</v>
      </c>
      <c r="N84" s="105">
        <f>G84*('2. Emissions Units &amp; Activities'!L$61)</f>
        <v>7.7999999999999999E-4</v>
      </c>
      <c r="O84" s="83"/>
    </row>
    <row r="85" spans="1:15" x14ac:dyDescent="0.35">
      <c r="A85" s="79" t="s">
        <v>1397</v>
      </c>
      <c r="B85" s="100" t="s">
        <v>932</v>
      </c>
      <c r="C85" s="81" t="str">
        <f>IFERROR(IF(B85="No CAS","",INDEX('DEQ Pollutant List'!$C$7:$C$611,MATCH('3. Pollutant Emissions - EF'!B85,'DEQ Pollutant List'!$B$7:$B$611,0))),"")</f>
        <v>Pyridine</v>
      </c>
      <c r="D85" s="115"/>
      <c r="E85" s="101">
        <v>0</v>
      </c>
      <c r="F85" s="102">
        <v>0.11360000000000001</v>
      </c>
      <c r="G85" s="103">
        <v>0.11360000000000001</v>
      </c>
      <c r="H85" s="83" t="s">
        <v>1411</v>
      </c>
      <c r="I85" s="104" t="s">
        <v>1412</v>
      </c>
      <c r="J85" s="102">
        <f>F85*('2. Emissions Units &amp; Activities'!H$61)</f>
        <v>0.351024</v>
      </c>
      <c r="K85" s="105">
        <f>F85*('2. Emissions Units &amp; Activities'!I$61)</f>
        <v>0.351024</v>
      </c>
      <c r="L85" s="83"/>
      <c r="M85" s="102">
        <f>G85*('2. Emissions Units &amp; Activities'!K$61)</f>
        <v>2.2720000000000001E-3</v>
      </c>
      <c r="N85" s="105">
        <f>G85*('2. Emissions Units &amp; Activities'!L$61)</f>
        <v>2.2720000000000001E-3</v>
      </c>
      <c r="O85" s="83"/>
    </row>
    <row r="86" spans="1:15" x14ac:dyDescent="0.35">
      <c r="A86" s="79" t="s">
        <v>1397</v>
      </c>
      <c r="B86" s="100" t="s">
        <v>994</v>
      </c>
      <c r="C86" s="81" t="str">
        <f>IFERROR(IF(B86="No CAS","",INDEX('DEQ Pollutant List'!$C$7:$C$611,MATCH('3. Pollutant Emissions - EF'!B86,'DEQ Pollutant List'!$B$7:$B$611,0))),"")</f>
        <v>Toluene</v>
      </c>
      <c r="D86" s="115"/>
      <c r="E86" s="101">
        <v>0</v>
      </c>
      <c r="F86" s="102">
        <v>9.0899999999999995E-2</v>
      </c>
      <c r="G86" s="103">
        <v>9.0899999999999995E-2</v>
      </c>
      <c r="H86" s="83" t="s">
        <v>1411</v>
      </c>
      <c r="I86" s="104" t="s">
        <v>1412</v>
      </c>
      <c r="J86" s="102">
        <f>F86*('2. Emissions Units &amp; Activities'!H$61)</f>
        <v>0.28088099999999999</v>
      </c>
      <c r="K86" s="105">
        <f>F86*('2. Emissions Units &amp; Activities'!I$61)</f>
        <v>0.28088099999999999</v>
      </c>
      <c r="L86" s="83"/>
      <c r="M86" s="102">
        <f>G86*('2. Emissions Units &amp; Activities'!K$61)</f>
        <v>1.818E-3</v>
      </c>
      <c r="N86" s="105">
        <f>G86*('2. Emissions Units &amp; Activities'!L$61)</f>
        <v>1.818E-3</v>
      </c>
      <c r="O86" s="83"/>
    </row>
    <row r="87" spans="1:15" x14ac:dyDescent="0.35">
      <c r="A87" s="79" t="s">
        <v>1398</v>
      </c>
      <c r="B87" s="100" t="s">
        <v>364</v>
      </c>
      <c r="C87" s="81" t="str">
        <f>IFERROR(IF(B87="No CAS","",INDEX('DEQ Pollutant List'!$C$7:$C$611,MATCH('3. Pollutant Emissions - EF'!B87,'DEQ Pollutant List'!$B$7:$B$611,0))),"")</f>
        <v>Dimethyl formamide</v>
      </c>
      <c r="D87" s="115"/>
      <c r="E87" s="101">
        <v>0</v>
      </c>
      <c r="F87" s="102">
        <v>1.2565</v>
      </c>
      <c r="G87" s="103">
        <v>1.2565</v>
      </c>
      <c r="H87" s="83" t="s">
        <v>1411</v>
      </c>
      <c r="I87" s="104" t="s">
        <v>1412</v>
      </c>
      <c r="J87" s="102">
        <f>F87*('2. Emissions Units &amp; Activities'!H$62)</f>
        <v>3.8825849999999997</v>
      </c>
      <c r="K87" s="105">
        <f>F87*('2. Emissions Units &amp; Activities'!I$62)</f>
        <v>3.8825849999999997</v>
      </c>
      <c r="L87" s="83"/>
      <c r="M87" s="102">
        <f>G87*('2. Emissions Units &amp; Activities'!K$62)</f>
        <v>2.513E-2</v>
      </c>
      <c r="N87" s="105">
        <f>G87*('2. Emissions Units &amp; Activities'!L$62)</f>
        <v>2.513E-2</v>
      </c>
      <c r="O87" s="83"/>
    </row>
    <row r="88" spans="1:15" x14ac:dyDescent="0.35">
      <c r="A88" s="79" t="s">
        <v>1398</v>
      </c>
      <c r="B88" s="100" t="s">
        <v>932</v>
      </c>
      <c r="C88" s="81" t="str">
        <f>IFERROR(IF(B88="No CAS","",INDEX('DEQ Pollutant List'!$C$7:$C$611,MATCH('3. Pollutant Emissions - EF'!B88,'DEQ Pollutant List'!$B$7:$B$611,0))),"")</f>
        <v>Pyridine</v>
      </c>
      <c r="D88" s="115"/>
      <c r="E88" s="101">
        <v>0</v>
      </c>
      <c r="F88" s="102">
        <v>6.0162000000000004</v>
      </c>
      <c r="G88" s="103">
        <v>6.0162000000000004</v>
      </c>
      <c r="H88" s="83" t="s">
        <v>1411</v>
      </c>
      <c r="I88" s="104" t="s">
        <v>1412</v>
      </c>
      <c r="J88" s="102">
        <f>F88*('2. Emissions Units &amp; Activities'!H$62)</f>
        <v>18.590057999999999</v>
      </c>
      <c r="K88" s="105">
        <f>F88*('2. Emissions Units &amp; Activities'!I$62)</f>
        <v>18.590057999999999</v>
      </c>
      <c r="L88" s="83"/>
      <c r="M88" s="102">
        <f>G88*('2. Emissions Units &amp; Activities'!K$62)</f>
        <v>0.12032400000000001</v>
      </c>
      <c r="N88" s="105">
        <f>G88*('2. Emissions Units &amp; Activities'!L$62)</f>
        <v>0.12032400000000001</v>
      </c>
      <c r="O88" s="83"/>
    </row>
    <row r="89" spans="1:15" x14ac:dyDescent="0.35">
      <c r="A89" s="79" t="s">
        <v>1398</v>
      </c>
      <c r="B89" s="100" t="s">
        <v>994</v>
      </c>
      <c r="C89" s="81" t="str">
        <f>IFERROR(IF(B89="No CAS","",INDEX('DEQ Pollutant List'!$C$7:$C$611,MATCH('3. Pollutant Emissions - EF'!B89,'DEQ Pollutant List'!$B$7:$B$611,0))),"")</f>
        <v>Toluene</v>
      </c>
      <c r="D89" s="115"/>
      <c r="E89" s="101">
        <v>0</v>
      </c>
      <c r="F89" s="102">
        <v>11.3636</v>
      </c>
      <c r="G89" s="103">
        <v>11.3636</v>
      </c>
      <c r="H89" s="83" t="s">
        <v>1411</v>
      </c>
      <c r="I89" s="104" t="s">
        <v>1412</v>
      </c>
      <c r="J89" s="102">
        <f>F89*('2. Emissions Units &amp; Activities'!H$62)</f>
        <v>35.113523999999998</v>
      </c>
      <c r="K89" s="105">
        <f>F89*('2. Emissions Units &amp; Activities'!I$62)</f>
        <v>35.113523999999998</v>
      </c>
      <c r="L89" s="83"/>
      <c r="M89" s="102">
        <f>G89*('2. Emissions Units &amp; Activities'!K$62)</f>
        <v>0.227272</v>
      </c>
      <c r="N89" s="105">
        <f>G89*('2. Emissions Units &amp; Activities'!L$62)</f>
        <v>0.227272</v>
      </c>
      <c r="O89" s="83"/>
    </row>
    <row r="90" spans="1:15" x14ac:dyDescent="0.35">
      <c r="A90" s="79"/>
      <c r="B90" s="100"/>
      <c r="C90" s="81" t="str">
        <f>IFERROR(IF(B90="No CAS","",INDEX('DEQ Pollutant List'!$C$7:$C$611,MATCH('3. Pollutant Emissions - EF'!B90,'DEQ Pollutant List'!$B$7:$B$611,0))),"")</f>
        <v/>
      </c>
      <c r="D90" s="115"/>
      <c r="E90" s="101"/>
      <c r="F90" s="102"/>
      <c r="G90" s="103"/>
      <c r="H90" s="83"/>
      <c r="I90" s="104"/>
      <c r="J90" s="102"/>
      <c r="K90" s="105"/>
      <c r="L90" s="83"/>
      <c r="M90" s="102"/>
      <c r="N90" s="105"/>
      <c r="O90" s="83"/>
    </row>
    <row r="91" spans="1:15" x14ac:dyDescent="0.35">
      <c r="A91" s="79"/>
      <c r="B91" s="100"/>
      <c r="C91" s="81"/>
      <c r="D91" s="115"/>
      <c r="E91" s="101"/>
      <c r="F91" s="102"/>
      <c r="G91" s="103"/>
      <c r="H91" s="83"/>
      <c r="I91" s="104"/>
      <c r="J91" s="102"/>
      <c r="K91" s="105"/>
      <c r="L91" s="83"/>
      <c r="M91" s="102"/>
      <c r="N91" s="105"/>
      <c r="O91" s="83"/>
    </row>
    <row r="92" spans="1:15" x14ac:dyDescent="0.35">
      <c r="A92" s="79" t="s">
        <v>1432</v>
      </c>
      <c r="B92" s="100" t="s">
        <v>20</v>
      </c>
      <c r="C92" s="81" t="str">
        <f>IFERROR(IF(B92="No CAS","",INDEX('DEQ Pollutant List'!$C$7:$C$611,MATCH('3. Pollutant Emissions - EF'!B92,'DEQ Pollutant List'!$B$7:$B$611,0))),"")</f>
        <v>Acetonitrile</v>
      </c>
      <c r="D92" s="115"/>
      <c r="E92" s="101">
        <v>0</v>
      </c>
      <c r="F92" s="102"/>
      <c r="G92" s="103"/>
      <c r="H92" s="83"/>
      <c r="I92" s="104" t="s">
        <v>1437</v>
      </c>
      <c r="J92" s="102">
        <v>49.786900000000003</v>
      </c>
      <c r="K92" s="105">
        <f>J92*'2. Emissions Units &amp; Activities'!$I$64</f>
        <v>119.48856000000001</v>
      </c>
      <c r="L92" s="83"/>
      <c r="M92" s="102">
        <f>J92/52</f>
        <v>0.95744038461538472</v>
      </c>
      <c r="N92" s="105">
        <f>M92*'2. Emissions Units &amp; Activities'!$L$64</f>
        <v>2.2978569230769232</v>
      </c>
      <c r="O92" s="83"/>
    </row>
    <row r="93" spans="1:15" x14ac:dyDescent="0.35">
      <c r="A93" s="79" t="s">
        <v>1432</v>
      </c>
      <c r="B93" s="100" t="s">
        <v>30</v>
      </c>
      <c r="C93" s="81" t="str">
        <f>IFERROR(IF(B93="No CAS","",INDEX('DEQ Pollutant List'!$C$7:$C$611,MATCH('3. Pollutant Emissions - EF'!B93,'DEQ Pollutant List'!$B$7:$B$611,0))),"")</f>
        <v>Acrylonitrile</v>
      </c>
      <c r="D93" s="115">
        <f>IFERROR(IF(OR($B56="",$B56="No CAS"),INDEX('DEQ Pollutant List'!$A$7:$A$611,MATCH($C56,'DEQ Pollutant List'!$C$7:$C$611,0)),INDEX('DEQ Pollutant List'!$A$7:$A$611,MATCH($B56,'DEQ Pollutant List'!$B$7:$B$611,0))),"")</f>
        <v>591</v>
      </c>
      <c r="E93" s="101">
        <v>0</v>
      </c>
      <c r="F93" s="102"/>
      <c r="G93" s="103"/>
      <c r="H93" s="83"/>
      <c r="I93" s="104" t="s">
        <v>1437</v>
      </c>
      <c r="J93" s="102">
        <v>4.2000000000000003E-2</v>
      </c>
      <c r="K93" s="105">
        <f>J93*'2. Emissions Units &amp; Activities'!$I$64</f>
        <v>0.1008</v>
      </c>
      <c r="L93" s="83"/>
      <c r="M93" s="102">
        <f t="shared" ref="M93:M94" si="0">J93</f>
        <v>4.2000000000000003E-2</v>
      </c>
      <c r="N93" s="105">
        <f>M93*'2. Emissions Units &amp; Activities'!$L$64</f>
        <v>0.1008</v>
      </c>
      <c r="O93" s="83"/>
    </row>
    <row r="94" spans="1:15" x14ac:dyDescent="0.35">
      <c r="A94" s="79" t="s">
        <v>1432</v>
      </c>
      <c r="B94" s="100" t="s">
        <v>208</v>
      </c>
      <c r="C94" s="81" t="str">
        <f>IFERROR(IF(B94="No CAS","",INDEX('DEQ Pollutant List'!$C$7:$C$611,MATCH('3. Pollutant Emissions - EF'!B94,'DEQ Pollutant List'!$B$7:$B$611,0))),"")</f>
        <v>Chloroform</v>
      </c>
      <c r="D94" s="115" t="str">
        <f>IFERROR(IF(OR($B57="",$B57="No CAS"),INDEX('DEQ Pollutant List'!$A$7:$A$611,MATCH($C57,'DEQ Pollutant List'!$C$7:$C$611,0)),INDEX('DEQ Pollutant List'!$A$7:$A$611,MATCH($B57,'DEQ Pollutant List'!$B$7:$B$611,0))),"")</f>
        <v/>
      </c>
      <c r="E94" s="101">
        <v>0</v>
      </c>
      <c r="F94" s="102"/>
      <c r="G94" s="103"/>
      <c r="H94" s="83"/>
      <c r="I94" s="104" t="s">
        <v>1437</v>
      </c>
      <c r="J94" s="102">
        <v>6.9225000000000003</v>
      </c>
      <c r="K94" s="105">
        <f>J94*'2. Emissions Units &amp; Activities'!$I$64</f>
        <v>16.614000000000001</v>
      </c>
      <c r="L94" s="83"/>
      <c r="M94" s="102">
        <f t="shared" si="0"/>
        <v>6.9225000000000003</v>
      </c>
      <c r="N94" s="105">
        <f>M94*'2. Emissions Units &amp; Activities'!$L$64</f>
        <v>16.614000000000001</v>
      </c>
      <c r="O94" s="83"/>
    </row>
    <row r="95" spans="1:15" x14ac:dyDescent="0.35">
      <c r="A95" s="79" t="s">
        <v>1432</v>
      </c>
      <c r="B95" s="100" t="s">
        <v>359</v>
      </c>
      <c r="C95" s="81" t="str">
        <f>IFERROR(IF(B95="No CAS","",INDEX('DEQ Pollutant List'!$C$7:$C$611,MATCH('3. Pollutant Emissions - EF'!B95,'DEQ Pollutant List'!$B$7:$B$611,0))),"")</f>
        <v>N,N-Dimethylaniline</v>
      </c>
      <c r="D95" s="115"/>
      <c r="E95" s="101">
        <v>0</v>
      </c>
      <c r="F95" s="102"/>
      <c r="G95" s="103"/>
      <c r="H95" s="83"/>
      <c r="I95" s="104" t="s">
        <v>1437</v>
      </c>
      <c r="J95" s="102">
        <v>0.12640000000000001</v>
      </c>
      <c r="K95" s="105">
        <f>J95*'2. Emissions Units &amp; Activities'!$I$64</f>
        <v>0.30336000000000002</v>
      </c>
      <c r="L95" s="83"/>
      <c r="M95" s="102">
        <v>0.12640000000000001</v>
      </c>
      <c r="N95" s="105">
        <f>M95*'2. Emissions Units &amp; Activities'!$L$64</f>
        <v>0.30336000000000002</v>
      </c>
      <c r="O95" s="83"/>
    </row>
    <row r="96" spans="1:15" x14ac:dyDescent="0.35">
      <c r="A96" s="79" t="s">
        <v>1432</v>
      </c>
      <c r="B96" s="100" t="s">
        <v>364</v>
      </c>
      <c r="C96" s="81" t="str">
        <f>IFERROR(IF(B96="No CAS","",INDEX('DEQ Pollutant List'!$C$7:$C$611,MATCH('3. Pollutant Emissions - EF'!B96,'DEQ Pollutant List'!$B$7:$B$611,0))),"")</f>
        <v>Dimethyl formamide</v>
      </c>
      <c r="D96" s="115"/>
      <c r="E96" s="101">
        <v>0</v>
      </c>
      <c r="F96" s="102"/>
      <c r="G96" s="103"/>
      <c r="H96" s="83"/>
      <c r="I96" s="104" t="s">
        <v>1437</v>
      </c>
      <c r="J96" s="102">
        <v>7.5518999999999998</v>
      </c>
      <c r="K96" s="105">
        <f>J96*'2. Emissions Units &amp; Activities'!$I$64</f>
        <v>18.124559999999999</v>
      </c>
      <c r="L96" s="83"/>
      <c r="M96" s="102">
        <f>J96</f>
        <v>7.5518999999999998</v>
      </c>
      <c r="N96" s="105">
        <f>M96*'2. Emissions Units &amp; Activities'!$L$64</f>
        <v>18.124559999999999</v>
      </c>
      <c r="O96" s="83"/>
    </row>
    <row r="97" spans="1:15" x14ac:dyDescent="0.35">
      <c r="A97" s="79" t="s">
        <v>1432</v>
      </c>
      <c r="B97" s="100" t="s">
        <v>382</v>
      </c>
      <c r="C97" s="81" t="str">
        <f>IFERROR(IF(B97="No CAS","",INDEX('DEQ Pollutant List'!$C$7:$C$611,MATCH('3. Pollutant Emissions - EF'!B97,'DEQ Pollutant List'!$B$7:$B$611,0))),"")</f>
        <v>1,4-Dioxane</v>
      </c>
      <c r="D97" s="115"/>
      <c r="E97" s="101">
        <v>0</v>
      </c>
      <c r="F97" s="102"/>
      <c r="G97" s="103"/>
      <c r="H97" s="83"/>
      <c r="I97" s="104" t="s">
        <v>1437</v>
      </c>
      <c r="J97" s="102">
        <v>2.3216999999999999</v>
      </c>
      <c r="K97" s="105">
        <f>J97*'2. Emissions Units &amp; Activities'!$I$64</f>
        <v>5.5720799999999997</v>
      </c>
      <c r="L97" s="83"/>
      <c r="M97" s="102">
        <f>J97</f>
        <v>2.3216999999999999</v>
      </c>
      <c r="N97" s="105">
        <f>M97*'2. Emissions Units &amp; Activities'!$L$64</f>
        <v>5.5720799999999997</v>
      </c>
      <c r="O97" s="83"/>
    </row>
    <row r="98" spans="1:15" x14ac:dyDescent="0.35">
      <c r="A98" s="79" t="s">
        <v>1432</v>
      </c>
      <c r="B98" s="100" t="s">
        <v>443</v>
      </c>
      <c r="C98" s="81" t="str">
        <f>IFERROR(IF(B98="No CAS","",INDEX('DEQ Pollutant List'!$C$7:$C$611,MATCH('3. Pollutant Emissions - EF'!B98,'DEQ Pollutant List'!$B$7:$B$611,0))),"")</f>
        <v>Formaldehyde</v>
      </c>
      <c r="D98" s="115"/>
      <c r="E98" s="101">
        <v>0</v>
      </c>
      <c r="F98" s="102"/>
      <c r="G98" s="103"/>
      <c r="H98" s="83"/>
      <c r="I98" s="104" t="s">
        <v>1437</v>
      </c>
      <c r="J98" s="102">
        <v>0.26</v>
      </c>
      <c r="K98" s="105">
        <f>J98*'2. Emissions Units &amp; Activities'!$I$64</f>
        <v>0.624</v>
      </c>
      <c r="L98" s="83"/>
      <c r="M98" s="102">
        <f>J98</f>
        <v>0.26</v>
      </c>
      <c r="N98" s="105">
        <f>M98*'2. Emissions Units &amp; Activities'!$L$64</f>
        <v>0.624</v>
      </c>
      <c r="O98" s="83"/>
    </row>
    <row r="99" spans="1:15" x14ac:dyDescent="0.35">
      <c r="A99" s="79" t="s">
        <v>1432</v>
      </c>
      <c r="B99" s="100" t="s">
        <v>483</v>
      </c>
      <c r="C99" s="81" t="str">
        <f>IFERROR(IF(B99="No CAS","",INDEX('DEQ Pollutant List'!$C$7:$C$611,MATCH('3. Pollutant Emissions - EF'!B99,'DEQ Pollutant List'!$B$7:$B$611,0))),"")</f>
        <v>Hexane</v>
      </c>
      <c r="D99" s="115">
        <f>IFERROR(IF(OR($B62="",$B62="No CAS"),INDEX('DEQ Pollutant List'!$A$7:$A$611,MATCH($C62,'DEQ Pollutant List'!$C$7:$C$611,0)),INDEX('DEQ Pollutant List'!$A$7:$A$611,MATCH($B62,'DEQ Pollutant List'!$B$7:$B$611,0))),"")</f>
        <v>3</v>
      </c>
      <c r="E99" s="101">
        <v>0</v>
      </c>
      <c r="F99" s="102"/>
      <c r="G99" s="103"/>
      <c r="H99" s="83"/>
      <c r="I99" s="104" t="s">
        <v>1437</v>
      </c>
      <c r="J99" s="102">
        <v>279.56259999999997</v>
      </c>
      <c r="K99" s="105">
        <f>J99*'2. Emissions Units &amp; Activities'!$I$64</f>
        <v>670.95023999999989</v>
      </c>
      <c r="L99" s="83"/>
      <c r="M99" s="102">
        <f>J99/52</f>
        <v>5.3762038461538459</v>
      </c>
      <c r="N99" s="105">
        <f>M99*'2. Emissions Units &amp; Activities'!$L$64</f>
        <v>12.90288923076923</v>
      </c>
      <c r="O99" s="83"/>
    </row>
    <row r="100" spans="1:15" x14ac:dyDescent="0.35">
      <c r="A100" s="79" t="s">
        <v>1432</v>
      </c>
      <c r="B100" s="100" t="s">
        <v>489</v>
      </c>
      <c r="C100" s="81" t="str">
        <f>IFERROR(IF(B100="No CAS","",INDEX('DEQ Pollutant List'!$C$7:$C$611,MATCH('3. Pollutant Emissions - EF'!B100,'DEQ Pollutant List'!$B$7:$B$611,0))),"")</f>
        <v>Hydrochloric acid</v>
      </c>
      <c r="D100" s="115">
        <f>IFERROR(IF(OR($B63="",$B63="No CAS"),INDEX('DEQ Pollutant List'!$A$7:$A$611,MATCH($C63,'DEQ Pollutant List'!$C$7:$C$611,0)),INDEX('DEQ Pollutant List'!$A$7:$A$611,MATCH($B63,'DEQ Pollutant List'!$B$7:$B$611,0))),"")</f>
        <v>292</v>
      </c>
      <c r="E100" s="101">
        <v>0</v>
      </c>
      <c r="F100" s="102"/>
      <c r="G100" s="103"/>
      <c r="H100" s="83"/>
      <c r="I100" s="104" t="s">
        <v>1437</v>
      </c>
      <c r="J100" s="102">
        <v>13.670199999999999</v>
      </c>
      <c r="K100" s="105">
        <f>J100*'2. Emissions Units &amp; Activities'!$I$64</f>
        <v>32.808479999999996</v>
      </c>
      <c r="L100" s="83"/>
      <c r="M100" s="102">
        <f>J100</f>
        <v>13.670199999999999</v>
      </c>
      <c r="N100" s="105">
        <f>M100*'2. Emissions Units &amp; Activities'!$L$64</f>
        <v>32.808479999999996</v>
      </c>
      <c r="O100" s="83"/>
    </row>
    <row r="101" spans="1:15" x14ac:dyDescent="0.35">
      <c r="A101" s="79" t="s">
        <v>1432</v>
      </c>
      <c r="B101" s="100" t="s">
        <v>489</v>
      </c>
      <c r="C101" s="81" t="str">
        <f>IFERROR(IF(B101="No CAS","",INDEX('DEQ Pollutant List'!$C$7:$C$611,MATCH('3. Pollutant Emissions - EF'!B101,'DEQ Pollutant List'!$B$7:$B$611,0))),"")</f>
        <v>Hydrochloric acid</v>
      </c>
      <c r="D101" s="115">
        <f>IFERROR(IF(OR($B64="",$B64="No CAS"),INDEX('DEQ Pollutant List'!$A$7:$A$611,MATCH($C64,'DEQ Pollutant List'!$C$7:$C$611,0)),INDEX('DEQ Pollutant List'!$A$7:$A$611,MATCH($B64,'DEQ Pollutant List'!$B$7:$B$611,0))),"")</f>
        <v>3</v>
      </c>
      <c r="E101" s="101">
        <v>0</v>
      </c>
      <c r="F101" s="102"/>
      <c r="G101" s="103"/>
      <c r="H101" s="83"/>
      <c r="I101" s="104" t="s">
        <v>1437</v>
      </c>
      <c r="J101" s="102">
        <v>95.680599999999998</v>
      </c>
      <c r="K101" s="105">
        <f>J101*'2. Emissions Units &amp; Activities'!$I$64</f>
        <v>229.63343999999998</v>
      </c>
      <c r="L101" s="83"/>
      <c r="M101" s="102">
        <f>J101/52</f>
        <v>1.8400115384615385</v>
      </c>
      <c r="N101" s="105">
        <f>M101*'2. Emissions Units &amp; Activities'!$L$64</f>
        <v>4.4160276923076927</v>
      </c>
      <c r="O101" s="83"/>
    </row>
    <row r="102" spans="1:15" x14ac:dyDescent="0.35">
      <c r="A102" s="79" t="s">
        <v>1432</v>
      </c>
      <c r="B102" s="100" t="s">
        <v>529</v>
      </c>
      <c r="C102" s="81" t="str">
        <f>IFERROR(IF(B102="No CAS","",INDEX('DEQ Pollutant List'!$C$7:$C$611,MATCH('3. Pollutant Emissions - EF'!B102,'DEQ Pollutant List'!$B$7:$B$611,0))),"")</f>
        <v>Methanol</v>
      </c>
      <c r="D102" s="115">
        <f>IFERROR(IF(OR($B65="",$B65="No CAS"),INDEX('DEQ Pollutant List'!$A$7:$A$611,MATCH($C65,'DEQ Pollutant List'!$C$7:$C$611,0)),INDEX('DEQ Pollutant List'!$A$7:$A$611,MATCH($B65,'DEQ Pollutant List'!$B$7:$B$611,0))),"")</f>
        <v>292</v>
      </c>
      <c r="E102" s="101">
        <v>0</v>
      </c>
      <c r="F102" s="102"/>
      <c r="G102" s="103"/>
      <c r="H102" s="83"/>
      <c r="I102" s="104" t="s">
        <v>1437</v>
      </c>
      <c r="J102" s="102">
        <v>957.23299999999995</v>
      </c>
      <c r="K102" s="105">
        <f>J102*'2. Emissions Units &amp; Activities'!$I$64</f>
        <v>2297.3591999999999</v>
      </c>
      <c r="L102" s="83"/>
      <c r="M102" s="102">
        <f>J102/52</f>
        <v>18.40832692307692</v>
      </c>
      <c r="N102" s="105">
        <f>M102*'2. Emissions Units &amp; Activities'!$L$64</f>
        <v>44.179984615384605</v>
      </c>
      <c r="O102" s="83"/>
    </row>
    <row r="103" spans="1:15" x14ac:dyDescent="0.35">
      <c r="A103" s="79" t="s">
        <v>1432</v>
      </c>
      <c r="B103" s="100" t="s">
        <v>317</v>
      </c>
      <c r="C103" s="81" t="str">
        <f>IFERROR(IF(B103="No CAS","",INDEX('DEQ Pollutant List'!$C$7:$C$611,MATCH('3. Pollutant Emissions - EF'!B103,'DEQ Pollutant List'!$B$7:$B$611,0))),"")</f>
        <v>Dichloromethane (methylene chloride)</v>
      </c>
      <c r="D103" s="115">
        <f>IFERROR(IF(OR($B66="",$B66="No CAS"),INDEX('DEQ Pollutant List'!$A$7:$A$611,MATCH($C66,'DEQ Pollutant List'!$C$7:$C$611,0)),INDEX('DEQ Pollutant List'!$A$7:$A$611,MATCH($B66,'DEQ Pollutant List'!$B$7:$B$611,0))),"")</f>
        <v>3</v>
      </c>
      <c r="E103" s="101">
        <v>0</v>
      </c>
      <c r="F103" s="102"/>
      <c r="G103" s="103"/>
      <c r="H103" s="83"/>
      <c r="I103" s="104" t="s">
        <v>1437</v>
      </c>
      <c r="J103" s="102">
        <v>941.20950000000005</v>
      </c>
      <c r="K103" s="105">
        <f>J103*'2. Emissions Units &amp; Activities'!$I$64</f>
        <v>2258.9027999999998</v>
      </c>
      <c r="L103" s="83"/>
      <c r="M103" s="102">
        <f>J103/52</f>
        <v>18.100182692307694</v>
      </c>
      <c r="N103" s="105">
        <f>M103*'2. Emissions Units &amp; Activities'!$L$64</f>
        <v>43.440438461538463</v>
      </c>
      <c r="O103" s="83"/>
    </row>
    <row r="104" spans="1:15" x14ac:dyDescent="0.35">
      <c r="A104" s="79" t="s">
        <v>1432</v>
      </c>
      <c r="B104" s="100" t="s">
        <v>370</v>
      </c>
      <c r="C104" s="81" t="str">
        <f>IFERROR(IF(B104="No CAS","",INDEX('DEQ Pollutant List'!$C$7:$C$611,MATCH('3. Pollutant Emissions - EF'!B104,'DEQ Pollutant List'!$B$7:$B$611,0))),"")</f>
        <v>Dimethyl sulfate</v>
      </c>
      <c r="D104" s="115">
        <f>IFERROR(IF(OR($B67="",$B67="No CAS"),INDEX('DEQ Pollutant List'!$A$7:$A$611,MATCH($C67,'DEQ Pollutant List'!$C$7:$C$611,0)),INDEX('DEQ Pollutant List'!$A$7:$A$611,MATCH($B67,'DEQ Pollutant List'!$B$7:$B$611,0))),"")</f>
        <v>292</v>
      </c>
      <c r="E104" s="101">
        <v>0</v>
      </c>
      <c r="F104" s="102"/>
      <c r="G104" s="103"/>
      <c r="H104" s="83"/>
      <c r="I104" s="104" t="s">
        <v>1437</v>
      </c>
      <c r="J104" s="102">
        <v>0.59340000000000004</v>
      </c>
      <c r="K104" s="105">
        <f>J104*'2. Emissions Units &amp; Activities'!$I$64</f>
        <v>1.4241600000000001</v>
      </c>
      <c r="L104" s="83"/>
      <c r="M104" s="102">
        <v>0.59340000000000004</v>
      </c>
      <c r="N104" s="105">
        <f>M104*'2. Emissions Units &amp; Activities'!$L$64</f>
        <v>1.4241600000000001</v>
      </c>
      <c r="O104" s="83"/>
    </row>
    <row r="105" spans="1:15" x14ac:dyDescent="0.35">
      <c r="A105" s="79" t="s">
        <v>1432</v>
      </c>
      <c r="B105" s="100" t="s">
        <v>564</v>
      </c>
      <c r="C105" s="81" t="str">
        <f>IFERROR(IF(B105="No CAS","",INDEX('DEQ Pollutant List'!$C$7:$C$611,MATCH('3. Pollutant Emissions - EF'!B105,'DEQ Pollutant List'!$B$7:$B$611,0))),"")</f>
        <v>Methyl tert-butyl ether</v>
      </c>
      <c r="D105" s="115">
        <f>IFERROR(IF(OR($B68="",$B68="No CAS"),INDEX('DEQ Pollutant List'!$A$7:$A$611,MATCH($C68,'DEQ Pollutant List'!$C$7:$C$611,0)),INDEX('DEQ Pollutant List'!$A$7:$A$611,MATCH($B68,'DEQ Pollutant List'!$B$7:$B$611,0))),"")</f>
        <v>3</v>
      </c>
      <c r="E105" s="101">
        <v>0</v>
      </c>
      <c r="F105" s="102"/>
      <c r="G105" s="103"/>
      <c r="H105" s="83"/>
      <c r="I105" s="104" t="s">
        <v>1437</v>
      </c>
      <c r="J105" s="102">
        <v>2846.7860999999998</v>
      </c>
      <c r="K105" s="105">
        <f>J105*'2. Emissions Units &amp; Activities'!$I$64</f>
        <v>6832.2866399999994</v>
      </c>
      <c r="L105" s="83"/>
      <c r="M105" s="102">
        <f>J105/52</f>
        <v>54.745886538461534</v>
      </c>
      <c r="N105" s="105">
        <f>M105*'2. Emissions Units &amp; Activities'!$L$64</f>
        <v>131.39012769230769</v>
      </c>
      <c r="O105" s="83"/>
    </row>
    <row r="106" spans="1:15" x14ac:dyDescent="0.35">
      <c r="A106" s="79" t="s">
        <v>1432</v>
      </c>
      <c r="B106" s="100" t="s">
        <v>620</v>
      </c>
      <c r="C106" s="81" t="str">
        <f>IFERROR(IF(B106="No CAS","",INDEX('DEQ Pollutant List'!$C$7:$C$611,MATCH('3. Pollutant Emissions - EF'!B106,'DEQ Pollutant List'!$B$7:$B$611,0))),"")</f>
        <v>Nitrobenzene</v>
      </c>
      <c r="D106" s="115" t="str">
        <f>IFERROR(IF(OR($B69="",$B69="No CAS"),INDEX('DEQ Pollutant List'!$A$7:$A$611,MATCH($C69,'DEQ Pollutant List'!$C$7:$C$611,0)),INDEX('DEQ Pollutant List'!$A$7:$A$611,MATCH($B69,'DEQ Pollutant List'!$B$7:$B$611,0))),"")</f>
        <v/>
      </c>
      <c r="E106" s="101">
        <v>0</v>
      </c>
      <c r="F106" s="102"/>
      <c r="G106" s="103"/>
      <c r="H106" s="83"/>
      <c r="I106" s="104" t="s">
        <v>1437</v>
      </c>
      <c r="J106" s="102">
        <v>1.4E-3</v>
      </c>
      <c r="K106" s="105">
        <f>J106*'2. Emissions Units &amp; Activities'!$I$64</f>
        <v>3.3599999999999997E-3</v>
      </c>
      <c r="L106" s="83"/>
      <c r="M106" s="102">
        <f>J106</f>
        <v>1.4E-3</v>
      </c>
      <c r="N106" s="105">
        <f>M106*'2. Emissions Units &amp; Activities'!$L$64</f>
        <v>3.3599999999999997E-3</v>
      </c>
      <c r="O106" s="83"/>
    </row>
    <row r="107" spans="1:15" x14ac:dyDescent="0.35">
      <c r="A107" s="79" t="s">
        <v>1432</v>
      </c>
      <c r="B107" s="100" t="s">
        <v>994</v>
      </c>
      <c r="C107" s="81" t="str">
        <f>IFERROR(IF(B107="No CAS","",INDEX('DEQ Pollutant List'!$C$7:$C$611,MATCH('3. Pollutant Emissions - EF'!B107,'DEQ Pollutant List'!$B$7:$B$611,0))),"")</f>
        <v>Toluene</v>
      </c>
      <c r="D107" s="115">
        <f>IFERROR(IF(OR($B70="",$B70="No CAS"),INDEX('DEQ Pollutant List'!$A$7:$A$611,MATCH($C70,'DEQ Pollutant List'!$C$7:$C$611,0)),INDEX('DEQ Pollutant List'!$A$7:$A$611,MATCH($B70,'DEQ Pollutant List'!$B$7:$B$611,0))),"")</f>
        <v>302</v>
      </c>
      <c r="E107" s="101">
        <v>0</v>
      </c>
      <c r="F107" s="102"/>
      <c r="G107" s="103"/>
      <c r="H107" s="83"/>
      <c r="I107" s="104" t="s">
        <v>1437</v>
      </c>
      <c r="J107" s="102">
        <v>789.82079999999996</v>
      </c>
      <c r="K107" s="105">
        <f>J107*'2. Emissions Units &amp; Activities'!$I$64</f>
        <v>1895.5699199999999</v>
      </c>
      <c r="L107" s="83"/>
      <c r="M107" s="102">
        <f>J107/52</f>
        <v>15.188861538461538</v>
      </c>
      <c r="N107" s="105">
        <f>M107*'2. Emissions Units &amp; Activities'!$L$64</f>
        <v>36.453267692307691</v>
      </c>
      <c r="O107" s="83"/>
    </row>
    <row r="108" spans="1:15" x14ac:dyDescent="0.35">
      <c r="A108" s="79" t="s">
        <v>1432</v>
      </c>
      <c r="B108" s="100" t="s">
        <v>1031</v>
      </c>
      <c r="C108" s="81" t="str">
        <f>IFERROR(IF(B108="No CAS","",INDEX('DEQ Pollutant List'!$C$7:$C$611,MATCH('3. Pollutant Emissions - EF'!B108,'DEQ Pollutant List'!$B$7:$B$611,0))),"")</f>
        <v>Triethylamine</v>
      </c>
      <c r="D108" s="115">
        <f>IFERROR(IF(OR($B71="",$B71="No CAS"),INDEX('DEQ Pollutant List'!$A$7:$A$611,MATCH($C71,'DEQ Pollutant List'!$C$7:$C$611,0)),INDEX('DEQ Pollutant List'!$A$7:$A$611,MATCH($B71,'DEQ Pollutant List'!$B$7:$B$611,0))),"")</f>
        <v>302</v>
      </c>
      <c r="E108" s="101">
        <v>0</v>
      </c>
      <c r="F108" s="102"/>
      <c r="G108" s="103"/>
      <c r="H108" s="83"/>
      <c r="I108" s="104" t="s">
        <v>1437</v>
      </c>
      <c r="J108" s="102">
        <v>1.8817999999999999</v>
      </c>
      <c r="K108" s="105">
        <f>J108*'2. Emissions Units &amp; Activities'!$I$64</f>
        <v>4.5163199999999994</v>
      </c>
      <c r="L108" s="83"/>
      <c r="M108" s="102">
        <f>J108</f>
        <v>1.8817999999999999</v>
      </c>
      <c r="N108" s="105">
        <f>M108*'2. Emissions Units &amp; Activities'!$L$64</f>
        <v>4.5163199999999994</v>
      </c>
      <c r="O108" s="83"/>
    </row>
    <row r="109" spans="1:15" x14ac:dyDescent="0.35">
      <c r="A109" s="79" t="s">
        <v>1432</v>
      </c>
      <c r="B109" s="100" t="s">
        <v>1048</v>
      </c>
      <c r="C109" s="81" t="str">
        <f>IFERROR(IF(B109="No CAS","",INDEX('DEQ Pollutant List'!$C$7:$C$611,MATCH('3. Pollutant Emissions - EF'!B109,'DEQ Pollutant List'!$B$7:$B$611,0))),"")</f>
        <v>2,2,4-Trimethylpentane</v>
      </c>
      <c r="D109" s="115"/>
      <c r="E109" s="101">
        <v>0</v>
      </c>
      <c r="F109" s="102"/>
      <c r="G109" s="103"/>
      <c r="H109" s="83"/>
      <c r="I109" s="104" t="s">
        <v>1437</v>
      </c>
      <c r="J109" s="102">
        <v>0.82189999999999996</v>
      </c>
      <c r="K109" s="105">
        <f>J109*'2. Emissions Units &amp; Activities'!$I$64</f>
        <v>1.9725599999999999</v>
      </c>
      <c r="L109" s="83"/>
      <c r="M109" s="196">
        <v>0.82189999999999996</v>
      </c>
      <c r="N109" s="105">
        <f>M109*'2. Emissions Units &amp; Activities'!$L$64</f>
        <v>1.9725599999999999</v>
      </c>
      <c r="O109" s="83"/>
    </row>
    <row r="110" spans="1:15" x14ac:dyDescent="0.35">
      <c r="A110" s="79" t="s">
        <v>1432</v>
      </c>
      <c r="B110" s="100" t="s">
        <v>1071</v>
      </c>
      <c r="C110" s="81" t="str">
        <f>IFERROR(IF(B110="No CAS","",INDEX('DEQ Pollutant List'!$C$7:$C$611,MATCH('3. Pollutant Emissions - EF'!B110,'DEQ Pollutant List'!$B$7:$B$611,0))),"")</f>
        <v>Xylene (mixture), including m-xylene, o-xylene, p-xylene</v>
      </c>
      <c r="D110" s="115" t="str">
        <f>IFERROR(IF(OR($B73="",$B73="No CAS"),INDEX('DEQ Pollutant List'!$A$7:$A$611,MATCH($C73,'DEQ Pollutant List'!$C$7:$C$611,0)),INDEX('DEQ Pollutant List'!$A$7:$A$611,MATCH($B73,'DEQ Pollutant List'!$B$7:$B$611,0))),"")</f>
        <v/>
      </c>
      <c r="E110" s="101">
        <v>0</v>
      </c>
      <c r="F110" s="102"/>
      <c r="G110" s="103"/>
      <c r="H110" s="83"/>
      <c r="I110" s="104" t="s">
        <v>1437</v>
      </c>
      <c r="J110" s="102">
        <v>0.38059999999999999</v>
      </c>
      <c r="K110" s="105">
        <f>J110*'2. Emissions Units &amp; Activities'!$I$64</f>
        <v>0.91343999999999992</v>
      </c>
      <c r="L110" s="83"/>
      <c r="M110" s="102">
        <v>0.38059999999999999</v>
      </c>
      <c r="N110" s="105">
        <f>M110*'2. Emissions Units &amp; Activities'!$L$64</f>
        <v>0.91343999999999992</v>
      </c>
      <c r="O110" s="83"/>
    </row>
    <row r="111" spans="1:15" x14ac:dyDescent="0.35">
      <c r="A111" s="79" t="s">
        <v>1432</v>
      </c>
      <c r="B111" s="100" t="s">
        <v>18</v>
      </c>
      <c r="C111" s="81" t="str">
        <f>IFERROR(IF(B111="No CAS","",INDEX('DEQ Pollutant List'!$C$7:$C$611,MATCH('3. Pollutant Emissions - EF'!B111,'DEQ Pollutant List'!$B$7:$B$611,0))),"")</f>
        <v>Acetone</v>
      </c>
      <c r="D111" s="115">
        <f>IFERROR(IF(OR($B74="",$B74="No CAS"),INDEX('DEQ Pollutant List'!$A$7:$A$611,MATCH($C74,'DEQ Pollutant List'!$C$7:$C$611,0)),INDEX('DEQ Pollutant List'!$A$7:$A$611,MATCH($B74,'DEQ Pollutant List'!$B$7:$B$611,0))),"")</f>
        <v>302</v>
      </c>
      <c r="E111" s="101">
        <v>0</v>
      </c>
      <c r="F111" s="102"/>
      <c r="G111" s="103"/>
      <c r="H111" s="83"/>
      <c r="I111" s="104" t="s">
        <v>1437</v>
      </c>
      <c r="J111" s="102">
        <v>1303.5654999999999</v>
      </c>
      <c r="K111" s="105">
        <f>J111*'2. Emissions Units &amp; Activities'!$I$64</f>
        <v>3128.5571999999997</v>
      </c>
      <c r="L111" s="83"/>
      <c r="M111" s="102">
        <f>J111/52</f>
        <v>25.068567307692305</v>
      </c>
      <c r="N111" s="105">
        <f>M111*'2. Emissions Units &amp; Activities'!$L$64</f>
        <v>60.164561538461527</v>
      </c>
      <c r="O111" s="83"/>
    </row>
    <row r="112" spans="1:15" x14ac:dyDescent="0.35">
      <c r="A112" s="79" t="s">
        <v>1432</v>
      </c>
      <c r="B112" s="100" t="s">
        <v>142</v>
      </c>
      <c r="C112" s="81" t="str">
        <f>IFERROR(IF(B112="No CAS","",INDEX('DEQ Pollutant List'!$C$7:$C$611,MATCH('3. Pollutant Emissions - EF'!B112,'DEQ Pollutant List'!$B$7:$B$611,0))),"")</f>
        <v>n-Butyl alcohol</v>
      </c>
      <c r="D112" s="115">
        <f>IFERROR(IF(OR($B75="",$B75="No CAS"),INDEX('DEQ Pollutant List'!$A$7:$A$611,MATCH($C75,'DEQ Pollutant List'!$C$7:$C$611,0)),INDEX('DEQ Pollutant List'!$A$7:$A$611,MATCH($B75,'DEQ Pollutant List'!$B$7:$B$611,0))),"")</f>
        <v>591</v>
      </c>
      <c r="E112" s="101">
        <v>0</v>
      </c>
      <c r="F112" s="102"/>
      <c r="G112" s="103"/>
      <c r="H112" s="83"/>
      <c r="I112" s="104" t="s">
        <v>1437</v>
      </c>
      <c r="J112" s="102">
        <v>5.0000000000000001E-3</v>
      </c>
      <c r="K112" s="105">
        <f>J112*'2. Emissions Units &amp; Activities'!$I$64</f>
        <v>1.2E-2</v>
      </c>
      <c r="L112" s="83"/>
      <c r="M112" s="102">
        <v>5.0000000000000001E-3</v>
      </c>
      <c r="N112" s="105">
        <f>M112*'2. Emissions Units &amp; Activities'!$L$64</f>
        <v>1.2E-2</v>
      </c>
      <c r="O112" s="83"/>
    </row>
    <row r="113" spans="1:15" x14ac:dyDescent="0.35">
      <c r="A113" s="79" t="s">
        <v>1432</v>
      </c>
      <c r="B113" s="100" t="s">
        <v>146</v>
      </c>
      <c r="C113" s="81" t="str">
        <f>IFERROR(IF(B113="No CAS","",INDEX('DEQ Pollutant List'!$C$7:$C$611,MATCH('3. Pollutant Emissions - EF'!B113,'DEQ Pollutant List'!$B$7:$B$611,0))),"")</f>
        <v>tert-Butyl alcohol</v>
      </c>
      <c r="D113" s="115" t="str">
        <f>IFERROR(IF(OR($B76="",$B76="No CAS"),INDEX('DEQ Pollutant List'!$A$7:$A$611,MATCH($C76,'DEQ Pollutant List'!$C$7:$C$611,0)),INDEX('DEQ Pollutant List'!$A$7:$A$611,MATCH($B76,'DEQ Pollutant List'!$B$7:$B$611,0))),"")</f>
        <v/>
      </c>
      <c r="E113" s="101">
        <v>0</v>
      </c>
      <c r="F113" s="102"/>
      <c r="G113" s="103"/>
      <c r="H113" s="83"/>
      <c r="I113" s="104" t="s">
        <v>1437</v>
      </c>
      <c r="J113" s="102">
        <v>6.7000000000000004E-2</v>
      </c>
      <c r="K113" s="105">
        <f>J113*'2. Emissions Units &amp; Activities'!$I$64</f>
        <v>0.1608</v>
      </c>
      <c r="L113" s="83"/>
      <c r="M113" s="102">
        <v>6.7000000000000004E-2</v>
      </c>
      <c r="N113" s="105">
        <f>M113*'2. Emissions Units &amp; Activities'!$L$64</f>
        <v>0.1608</v>
      </c>
      <c r="O113" s="83"/>
    </row>
    <row r="114" spans="1:15" x14ac:dyDescent="0.35">
      <c r="A114" s="79" t="s">
        <v>1432</v>
      </c>
      <c r="B114" s="100" t="s">
        <v>254</v>
      </c>
      <c r="C114" s="81" t="str">
        <f>IFERROR(IF(B114="No CAS","",INDEX('DEQ Pollutant List'!$C$7:$C$611,MATCH('3. Pollutant Emissions - EF'!B114,'DEQ Pollutant List'!$B$7:$B$611,0))),"")</f>
        <v>Cyclohexane</v>
      </c>
      <c r="D114" s="115">
        <f>IFERROR(IF(OR($B77="",$B77="No CAS"),INDEX('DEQ Pollutant List'!$A$7:$A$611,MATCH($C77,'DEQ Pollutant List'!$C$7:$C$611,0)),INDEX('DEQ Pollutant List'!$A$7:$A$611,MATCH($B77,'DEQ Pollutant List'!$B$7:$B$611,0))),"")</f>
        <v>211</v>
      </c>
      <c r="E114" s="101">
        <v>0</v>
      </c>
      <c r="F114" s="102"/>
      <c r="G114" s="103"/>
      <c r="H114" s="83"/>
      <c r="I114" s="104" t="s">
        <v>1437</v>
      </c>
      <c r="J114" s="102">
        <v>12.248799999999999</v>
      </c>
      <c r="K114" s="105">
        <f>J114*'2. Emissions Units &amp; Activities'!$I$64</f>
        <v>29.397119999999997</v>
      </c>
      <c r="L114" s="83"/>
      <c r="M114" s="102">
        <f>J114</f>
        <v>12.248799999999999</v>
      </c>
      <c r="N114" s="105">
        <f>M114*'2. Emissions Units &amp; Activities'!$L$64</f>
        <v>29.397119999999997</v>
      </c>
      <c r="O114" s="83"/>
    </row>
    <row r="115" spans="1:15" x14ac:dyDescent="0.35">
      <c r="A115" s="79" t="s">
        <v>1432</v>
      </c>
      <c r="B115" s="100" t="s">
        <v>506</v>
      </c>
      <c r="C115" s="81" t="str">
        <f>IFERROR(IF(B115="No CAS","",INDEX('DEQ Pollutant List'!$C$7:$C$611,MATCH('3. Pollutant Emissions - EF'!B115,'DEQ Pollutant List'!$B$7:$B$611,0))),"")</f>
        <v>Isopropyl alcohol</v>
      </c>
      <c r="D115" s="115">
        <f>IFERROR(IF(OR($B78="",$B78="No CAS"),INDEX('DEQ Pollutant List'!$A$7:$A$611,MATCH($C78,'DEQ Pollutant List'!$C$7:$C$611,0)),INDEX('DEQ Pollutant List'!$A$7:$A$611,MATCH($B78,'DEQ Pollutant List'!$B$7:$B$611,0))),"")</f>
        <v>566</v>
      </c>
      <c r="E115" s="101">
        <v>0</v>
      </c>
      <c r="F115" s="102"/>
      <c r="G115" s="103"/>
      <c r="H115" s="83"/>
      <c r="I115" s="104" t="s">
        <v>1437</v>
      </c>
      <c r="J115" s="102">
        <v>417.16140000000001</v>
      </c>
      <c r="K115" s="105">
        <f>J115*'2. Emissions Units &amp; Activities'!$I$64</f>
        <v>1001.18736</v>
      </c>
      <c r="L115" s="83"/>
      <c r="M115" s="102">
        <f>J115/52</f>
        <v>8.0223346153846151</v>
      </c>
      <c r="N115" s="105">
        <f>M115*'2. Emissions Units &amp; Activities'!$L$64</f>
        <v>19.253603076923074</v>
      </c>
      <c r="O115" s="83"/>
    </row>
    <row r="116" spans="1:15" x14ac:dyDescent="0.35">
      <c r="A116" s="79" t="s">
        <v>1432</v>
      </c>
      <c r="B116" s="100" t="s">
        <v>966</v>
      </c>
      <c r="C116" s="81" t="str">
        <f>IFERROR(IF(B116="No CAS","",INDEX('DEQ Pollutant List'!$C$7:$C$611,MATCH('3. Pollutant Emissions - EF'!B116,'DEQ Pollutant List'!$B$7:$B$611,0))),"")</f>
        <v>Sulfuric acid</v>
      </c>
      <c r="D116" s="115">
        <f>IFERROR(IF(OR($B79="",$B79="No CAS"),INDEX('DEQ Pollutant List'!$A$7:$A$611,MATCH($C79,'DEQ Pollutant List'!$C$7:$C$611,0)),INDEX('DEQ Pollutant List'!$A$7:$A$611,MATCH($B79,'DEQ Pollutant List'!$B$7:$B$611,0))),"")</f>
        <v>600</v>
      </c>
      <c r="E116" s="101">
        <v>0</v>
      </c>
      <c r="F116" s="102"/>
      <c r="G116" s="103"/>
      <c r="H116" s="83"/>
      <c r="I116" s="104" t="s">
        <v>1437</v>
      </c>
      <c r="J116" s="102">
        <v>3.09E-2</v>
      </c>
      <c r="K116" s="105">
        <f>J116*'2. Emissions Units &amp; Activities'!$I$64</f>
        <v>7.4160000000000004E-2</v>
      </c>
      <c r="L116" s="83"/>
      <c r="M116" s="102">
        <f>J116</f>
        <v>3.09E-2</v>
      </c>
      <c r="N116" s="105">
        <f>M116*'2. Emissions Units &amp; Activities'!$L$64</f>
        <v>7.4160000000000004E-2</v>
      </c>
      <c r="O116" s="83"/>
    </row>
    <row r="117" spans="1:15" x14ac:dyDescent="0.35">
      <c r="A117" s="196"/>
      <c r="B117" s="200"/>
      <c r="C117" s="197"/>
      <c r="D117" s="115">
        <f>IFERROR(IF(OR($B80="",$B80="No CAS"),INDEX('DEQ Pollutant List'!$A$7:$A$611,MATCH($C80,'DEQ Pollutant List'!$C$7:$C$611,0)),INDEX('DEQ Pollutant List'!$A$7:$A$611,MATCH($B80,'DEQ Pollutant List'!$B$7:$B$611,0))),"")</f>
        <v>211</v>
      </c>
      <c r="E117" s="101"/>
      <c r="F117" s="102"/>
      <c r="G117" s="103"/>
      <c r="H117" s="83"/>
      <c r="I117" s="104"/>
      <c r="J117" s="196"/>
      <c r="K117" s="196"/>
      <c r="L117" s="196"/>
      <c r="M117" s="196"/>
      <c r="N117" s="105"/>
      <c r="O117" s="83"/>
    </row>
    <row r="118" spans="1:15" x14ac:dyDescent="0.35">
      <c r="A118" s="79" t="s">
        <v>1461</v>
      </c>
      <c r="B118" s="100" t="s">
        <v>132</v>
      </c>
      <c r="C118" s="81" t="str">
        <f>IFERROR(IF(B118="No CAS","",INDEX('DEQ Pollutant List'!$C$7:$C$611,MATCH('3. Pollutant Emissions - EF'!B118,'DEQ Pollutant List'!$B$7:$B$611,0))),"")</f>
        <v>1-Bromopropane (n-propyl bromide)</v>
      </c>
      <c r="D118" s="115">
        <f>IFERROR(IF(OR($B81="",$B81="No CAS"),INDEX('DEQ Pollutant List'!$A$7:$A$611,MATCH($C81,'DEQ Pollutant List'!$C$7:$C$611,0)),INDEX('DEQ Pollutant List'!$A$7:$A$611,MATCH($B81,'DEQ Pollutant List'!$B$7:$B$611,0))),"")</f>
        <v>566</v>
      </c>
      <c r="E118" s="101">
        <v>0</v>
      </c>
      <c r="F118" s="102"/>
      <c r="G118" s="103"/>
      <c r="H118" s="83"/>
      <c r="I118" s="104" t="s">
        <v>1463</v>
      </c>
      <c r="J118" s="102"/>
      <c r="K118" s="105">
        <v>20</v>
      </c>
      <c r="L118" s="83"/>
      <c r="M118" s="102"/>
      <c r="N118" s="105">
        <v>0.5</v>
      </c>
      <c r="O118" s="83"/>
    </row>
    <row r="119" spans="1:15" x14ac:dyDescent="0.35">
      <c r="A119" s="79" t="s">
        <v>1461</v>
      </c>
      <c r="B119" s="100" t="s">
        <v>69</v>
      </c>
      <c r="C119" s="81" t="str">
        <f>IFERROR(IF(B119="No CAS","",INDEX('DEQ Pollutant List'!$C$7:$C$611,MATCH('3. Pollutant Emissions - EF'!B119,'DEQ Pollutant List'!$B$7:$B$611,0))),"")</f>
        <v>Aniline</v>
      </c>
      <c r="D119" s="115">
        <f>IFERROR(IF(OR($B82="",$B82="No CAS"),INDEX('DEQ Pollutant List'!$A$7:$A$611,MATCH($C82,'DEQ Pollutant List'!$C$7:$C$611,0)),INDEX('DEQ Pollutant List'!$A$7:$A$611,MATCH($B82,'DEQ Pollutant List'!$B$7:$B$611,0))),"")</f>
        <v>600</v>
      </c>
      <c r="E119" s="101">
        <v>0</v>
      </c>
      <c r="F119" s="102"/>
      <c r="G119" s="103"/>
      <c r="H119" s="83"/>
      <c r="I119" s="104" t="s">
        <v>1463</v>
      </c>
      <c r="J119" s="102"/>
      <c r="K119" s="105">
        <v>20</v>
      </c>
      <c r="L119" s="83"/>
      <c r="M119" s="102"/>
      <c r="N119" s="105">
        <v>0.5</v>
      </c>
      <c r="O119" s="83"/>
    </row>
    <row r="120" spans="1:15" x14ac:dyDescent="0.35">
      <c r="A120" s="79" t="s">
        <v>1461</v>
      </c>
      <c r="B120" s="100" t="s">
        <v>189</v>
      </c>
      <c r="C120" s="81" t="str">
        <f>IFERROR(IF(B120="No CAS","",INDEX('DEQ Pollutant List'!$C$7:$C$611,MATCH('3. Pollutant Emissions - EF'!B120,'DEQ Pollutant List'!$B$7:$B$611,0))),"")</f>
        <v>Chlorine</v>
      </c>
      <c r="D120" s="115">
        <f>IFERROR(IF(OR($B83="",$B83="No CAS"),INDEX('DEQ Pollutant List'!$A$7:$A$611,MATCH($C83,'DEQ Pollutant List'!$C$7:$C$611,0)),INDEX('DEQ Pollutant List'!$A$7:$A$611,MATCH($B83,'DEQ Pollutant List'!$B$7:$B$611,0))),"")</f>
        <v>292</v>
      </c>
      <c r="E120" s="101">
        <v>0</v>
      </c>
      <c r="F120" s="102"/>
      <c r="G120" s="103"/>
      <c r="H120" s="83"/>
      <c r="I120" s="104" t="s">
        <v>1463</v>
      </c>
      <c r="J120" s="102"/>
      <c r="K120" s="105">
        <v>20</v>
      </c>
      <c r="L120" s="83"/>
      <c r="M120" s="102"/>
      <c r="N120" s="105">
        <v>0.5</v>
      </c>
      <c r="O120" s="83"/>
    </row>
    <row r="121" spans="1:15" x14ac:dyDescent="0.35">
      <c r="A121" s="79" t="s">
        <v>1461</v>
      </c>
      <c r="B121" s="100" t="s">
        <v>200</v>
      </c>
      <c r="C121" s="81" t="str">
        <f>IFERROR(IF(B121="No CAS","",INDEX('DEQ Pollutant List'!$C$7:$C$611,MATCH('3. Pollutant Emissions - EF'!B121,'DEQ Pollutant List'!$B$7:$B$611,0))),"")</f>
        <v>Chlorobenzene</v>
      </c>
      <c r="D121" s="115">
        <f>IFERROR(IF(OR($B84="",$B84="No CAS"),INDEX('DEQ Pollutant List'!$A$7:$A$611,MATCH($C84,'DEQ Pollutant List'!$C$7:$C$611,0)),INDEX('DEQ Pollutant List'!$A$7:$A$611,MATCH($B84,'DEQ Pollutant List'!$B$7:$B$611,0))),"")</f>
        <v>211</v>
      </c>
      <c r="E121" s="101">
        <v>0</v>
      </c>
      <c r="F121" s="102"/>
      <c r="G121" s="103"/>
      <c r="H121" s="83"/>
      <c r="I121" s="104" t="s">
        <v>1463</v>
      </c>
      <c r="J121" s="102"/>
      <c r="K121" s="105">
        <v>20</v>
      </c>
      <c r="L121" s="83"/>
      <c r="M121" s="102"/>
      <c r="N121" s="105">
        <v>0.5</v>
      </c>
      <c r="O121" s="83"/>
    </row>
    <row r="122" spans="1:15" x14ac:dyDescent="0.35">
      <c r="A122" s="79" t="s">
        <v>1461</v>
      </c>
      <c r="B122" s="100" t="s">
        <v>420</v>
      </c>
      <c r="C122" s="81" t="str">
        <f>IFERROR(IF(B122="No CAS","",INDEX('DEQ Pollutant List'!$C$7:$C$611,MATCH('3. Pollutant Emissions - EF'!B122,'DEQ Pollutant List'!$B$7:$B$611,0))),"")</f>
        <v>Ethylene glycol dimethyl ether</v>
      </c>
      <c r="D122" s="115">
        <f>IFERROR(IF(OR($B85="",$B85="No CAS"),INDEX('DEQ Pollutant List'!$A$7:$A$611,MATCH($C85,'DEQ Pollutant List'!$C$7:$C$611,0)),INDEX('DEQ Pollutant List'!$A$7:$A$611,MATCH($B85,'DEQ Pollutant List'!$B$7:$B$611,0))),"")</f>
        <v>566</v>
      </c>
      <c r="E122" s="101">
        <v>0</v>
      </c>
      <c r="F122" s="102"/>
      <c r="G122" s="103"/>
      <c r="H122" s="83"/>
      <c r="I122" s="104" t="s">
        <v>1463</v>
      </c>
      <c r="J122" s="102"/>
      <c r="K122" s="105">
        <v>20</v>
      </c>
      <c r="L122" s="83"/>
      <c r="M122" s="102"/>
      <c r="N122" s="105">
        <v>0.5</v>
      </c>
      <c r="O122" s="83"/>
    </row>
    <row r="123" spans="1:15" x14ac:dyDescent="0.35">
      <c r="A123" s="79" t="s">
        <v>1461</v>
      </c>
      <c r="B123" s="100" t="s">
        <v>613</v>
      </c>
      <c r="C123" s="81" t="str">
        <f>IFERROR(IF(B123="No CAS","",INDEX('DEQ Pollutant List'!$C$7:$C$611,MATCH('3. Pollutant Emissions - EF'!B123,'DEQ Pollutant List'!$B$7:$B$611,0))),"")</f>
        <v>Nitric acid</v>
      </c>
      <c r="D123" s="115">
        <f>IFERROR(IF(OR($B86="",$B86="No CAS"),INDEX('DEQ Pollutant List'!$A$7:$A$611,MATCH($C86,'DEQ Pollutant List'!$C$7:$C$611,0)),INDEX('DEQ Pollutant List'!$A$7:$A$611,MATCH($B86,'DEQ Pollutant List'!$B$7:$B$611,0))),"")</f>
        <v>600</v>
      </c>
      <c r="E123" s="101">
        <v>0</v>
      </c>
      <c r="F123" s="102"/>
      <c r="G123" s="103"/>
      <c r="H123" s="83"/>
      <c r="I123" s="104" t="s">
        <v>1463</v>
      </c>
      <c r="J123" s="102"/>
      <c r="K123" s="105">
        <v>20</v>
      </c>
      <c r="L123" s="83"/>
      <c r="M123" s="102"/>
      <c r="N123" s="105">
        <v>0.5</v>
      </c>
      <c r="O123" s="83"/>
    </row>
    <row r="124" spans="1:15" x14ac:dyDescent="0.35">
      <c r="A124" s="79" t="s">
        <v>1461</v>
      </c>
      <c r="B124" s="100" t="s">
        <v>708</v>
      </c>
      <c r="C124" s="81" t="str">
        <f>IFERROR(IF(B124="No CAS","",INDEX('DEQ Pollutant List'!$C$7:$C$611,MATCH('3. Pollutant Emissions - EF'!B124,'DEQ Pollutant List'!$B$7:$B$611,0))),"")</f>
        <v>Phosphoric acid</v>
      </c>
      <c r="D124" s="115">
        <f>IFERROR(IF(OR($B87="",$B87="No CAS"),INDEX('DEQ Pollutant List'!$A$7:$A$611,MATCH($C87,'DEQ Pollutant List'!$C$7:$C$611,0)),INDEX('DEQ Pollutant List'!$A$7:$A$611,MATCH($B87,'DEQ Pollutant List'!$B$7:$B$611,0))),"")</f>
        <v>211</v>
      </c>
      <c r="E124" s="101">
        <v>0</v>
      </c>
      <c r="F124" s="102"/>
      <c r="G124" s="103"/>
      <c r="H124" s="83"/>
      <c r="I124" s="104" t="s">
        <v>1463</v>
      </c>
      <c r="J124" s="102"/>
      <c r="K124" s="105">
        <v>20</v>
      </c>
      <c r="L124" s="83"/>
      <c r="M124" s="102"/>
      <c r="N124" s="105">
        <v>0.5</v>
      </c>
      <c r="O124" s="83"/>
    </row>
    <row r="125" spans="1:15" x14ac:dyDescent="0.35">
      <c r="A125" s="79" t="s">
        <v>1461</v>
      </c>
      <c r="B125" s="100" t="s">
        <v>710</v>
      </c>
      <c r="C125" s="81" t="str">
        <f>IFERROR(IF(B125="No CAS","",INDEX('DEQ Pollutant List'!$C$7:$C$611,MATCH('3. Pollutant Emissions - EF'!B125,'DEQ Pollutant List'!$B$7:$B$611,0))),"")</f>
        <v>Phosphorus oxychloride</v>
      </c>
      <c r="D125" s="115">
        <f>IFERROR(IF(OR($B88="",$B88="No CAS"),INDEX('DEQ Pollutant List'!$A$7:$A$611,MATCH($C88,'DEQ Pollutant List'!$C$7:$C$611,0)),INDEX('DEQ Pollutant List'!$A$7:$A$611,MATCH($B88,'DEQ Pollutant List'!$B$7:$B$611,0))),"")</f>
        <v>566</v>
      </c>
      <c r="E125" s="101">
        <v>0</v>
      </c>
      <c r="F125" s="102"/>
      <c r="G125" s="103"/>
      <c r="H125" s="83"/>
      <c r="I125" s="104" t="s">
        <v>1463</v>
      </c>
      <c r="J125" s="102"/>
      <c r="K125" s="105">
        <v>20</v>
      </c>
      <c r="L125" s="83"/>
      <c r="M125" s="102"/>
      <c r="N125" s="105">
        <v>0.5</v>
      </c>
      <c r="O125" s="83"/>
    </row>
    <row r="126" spans="1:15" x14ac:dyDescent="0.35">
      <c r="A126" s="79"/>
      <c r="B126" s="100"/>
      <c r="C126" s="81" t="str">
        <f>IFERROR(IF(B126="No CAS","",INDEX('DEQ Pollutant List'!$C$7:$C$611,MATCH('3. Pollutant Emissions - EF'!B126,'DEQ Pollutant List'!$B$7:$B$611,0))),"")</f>
        <v/>
      </c>
      <c r="D126" s="115">
        <f>IFERROR(IF(OR($B89="",$B89="No CAS"),INDEX('DEQ Pollutant List'!$A$7:$A$611,MATCH($C89,'DEQ Pollutant List'!$C$7:$C$611,0)),INDEX('DEQ Pollutant List'!$A$7:$A$611,MATCH($B89,'DEQ Pollutant List'!$B$7:$B$611,0))),"")</f>
        <v>600</v>
      </c>
      <c r="E126" s="101"/>
      <c r="F126" s="102"/>
      <c r="G126" s="103"/>
      <c r="H126" s="83"/>
      <c r="I126" s="104"/>
      <c r="J126" s="102"/>
      <c r="K126" s="105"/>
      <c r="L126" s="83"/>
      <c r="M126" s="102"/>
      <c r="N126" s="105"/>
      <c r="O126" s="83"/>
    </row>
    <row r="127" spans="1:15" x14ac:dyDescent="0.35">
      <c r="A127" s="79" t="s">
        <v>1462</v>
      </c>
      <c r="B127" s="100" t="s">
        <v>304</v>
      </c>
      <c r="C127" s="81" t="str">
        <f>IFERROR(IF(B127="No CAS","",INDEX('DEQ Pollutant List'!$C$7:$C$611,MATCH('3. Pollutant Emissions - EF'!B127,'DEQ Pollutant List'!$B$7:$B$611,0))),"")</f>
        <v>1,2-Dichlorobenzene</v>
      </c>
      <c r="D127" s="115" t="str">
        <f>IFERROR(IF(OR($B90="",$B90="No CAS"),INDEX('DEQ Pollutant List'!$A$7:$A$611,MATCH($C90,'DEQ Pollutant List'!$C$7:$C$611,0)),INDEX('DEQ Pollutant List'!$A$7:$A$611,MATCH($B90,'DEQ Pollutant List'!$B$7:$B$611,0))),"")</f>
        <v/>
      </c>
      <c r="E127" s="101">
        <v>0</v>
      </c>
      <c r="F127" s="102"/>
      <c r="G127" s="103"/>
      <c r="H127" s="83"/>
      <c r="I127" s="104" t="s">
        <v>1463</v>
      </c>
      <c r="J127" s="102"/>
      <c r="K127" s="105">
        <v>20</v>
      </c>
      <c r="L127" s="83"/>
      <c r="M127" s="102"/>
      <c r="N127" s="105">
        <v>0.5</v>
      </c>
      <c r="O127" s="83"/>
    </row>
    <row r="128" spans="1:15" x14ac:dyDescent="0.35">
      <c r="A128" s="79" t="s">
        <v>1462</v>
      </c>
      <c r="B128" s="100" t="s">
        <v>1046</v>
      </c>
      <c r="C128" s="81" t="str">
        <f>IFERROR(IF(B128="No CAS","",INDEX('DEQ Pollutant List'!$C$7:$C$611,MATCH('3. Pollutant Emissions - EF'!B128,'DEQ Pollutant List'!$B$7:$B$611,0))),"")</f>
        <v>1,3,5-Trimethylbenzene</v>
      </c>
      <c r="D128" s="115"/>
      <c r="E128" s="101">
        <v>0</v>
      </c>
      <c r="F128" s="102"/>
      <c r="G128" s="103"/>
      <c r="H128" s="83"/>
      <c r="I128" s="104" t="s">
        <v>1463</v>
      </c>
      <c r="J128" s="102"/>
      <c r="K128" s="105">
        <v>20</v>
      </c>
      <c r="L128" s="83"/>
      <c r="M128" s="102"/>
      <c r="N128" s="105">
        <v>0.5</v>
      </c>
      <c r="O128" s="83"/>
    </row>
    <row r="129" spans="1:15" x14ac:dyDescent="0.35">
      <c r="A129" s="79" t="s">
        <v>1462</v>
      </c>
      <c r="B129" s="100" t="s">
        <v>306</v>
      </c>
      <c r="C129" s="81" t="str">
        <f>IFERROR(IF(B129="No CAS","",INDEX('DEQ Pollutant List'!$C$7:$C$611,MATCH('3. Pollutant Emissions - EF'!B129,'DEQ Pollutant List'!$B$7:$B$611,0))),"")</f>
        <v>1,3-Dichlorobenzene</v>
      </c>
      <c r="D129" s="115">
        <f>IFERROR(IF(OR($B92="",$B92="No CAS"),INDEX('DEQ Pollutant List'!$A$7:$A$611,MATCH($C92,'DEQ Pollutant List'!$C$7:$C$611,0)),INDEX('DEQ Pollutant List'!$A$7:$A$611,MATCH($B92,'DEQ Pollutant List'!$B$7:$B$611,0))),"")</f>
        <v>3</v>
      </c>
      <c r="E129" s="101">
        <v>0</v>
      </c>
      <c r="F129" s="102"/>
      <c r="G129" s="103"/>
      <c r="H129" s="83"/>
      <c r="I129" s="104" t="s">
        <v>1463</v>
      </c>
      <c r="J129" s="102"/>
      <c r="K129" s="105">
        <v>20</v>
      </c>
      <c r="L129" s="83"/>
      <c r="M129" s="102"/>
      <c r="N129" s="105">
        <v>0.5</v>
      </c>
      <c r="O129" s="83"/>
    </row>
    <row r="130" spans="1:15" x14ac:dyDescent="0.35">
      <c r="A130" s="79" t="s">
        <v>1462</v>
      </c>
      <c r="B130" s="100" t="s">
        <v>137</v>
      </c>
      <c r="C130" s="81" t="str">
        <f>IFERROR(IF(B130="No CAS","",INDEX('DEQ Pollutant List'!$C$7:$C$611,MATCH('3. Pollutant Emissions - EF'!B130,'DEQ Pollutant List'!$B$7:$B$611,0))),"")</f>
        <v>2-Butanone (methyl ethyl ketone)</v>
      </c>
      <c r="D130" s="115">
        <f>IFERROR(IF(OR($B93="",$B93="No CAS"),INDEX('DEQ Pollutant List'!$A$7:$A$611,MATCH($C93,'DEQ Pollutant List'!$C$7:$C$611,0)),INDEX('DEQ Pollutant List'!$A$7:$A$611,MATCH($B93,'DEQ Pollutant List'!$B$7:$B$611,0))),"")</f>
        <v>8</v>
      </c>
      <c r="E130" s="101">
        <v>0</v>
      </c>
      <c r="F130" s="102"/>
      <c r="G130" s="103"/>
      <c r="H130" s="83"/>
      <c r="I130" s="104" t="s">
        <v>1463</v>
      </c>
      <c r="J130" s="102"/>
      <c r="K130" s="105">
        <v>20</v>
      </c>
      <c r="L130" s="83"/>
      <c r="M130" s="102"/>
      <c r="N130" s="105">
        <v>0.5</v>
      </c>
      <c r="O130" s="83"/>
    </row>
    <row r="131" spans="1:15" x14ac:dyDescent="0.35">
      <c r="A131" s="79" t="s">
        <v>1462</v>
      </c>
      <c r="B131" s="100" t="s">
        <v>215</v>
      </c>
      <c r="C131" s="81" t="str">
        <f>IFERROR(IF(B131="No CAS","",INDEX('DEQ Pollutant List'!$C$7:$C$611,MATCH('3. Pollutant Emissions - EF'!B131,'DEQ Pollutant List'!$B$7:$B$611,0))),"")</f>
        <v>2-Chlorophenol</v>
      </c>
      <c r="D131" s="115">
        <f>IFERROR(IF(OR($B94="",$B94="No CAS"),INDEX('DEQ Pollutant List'!$A$7:$A$611,MATCH($C94,'DEQ Pollutant List'!$C$7:$C$611,0)),INDEX('DEQ Pollutant List'!$A$7:$A$611,MATCH($B94,'DEQ Pollutant List'!$B$7:$B$611,0))),"")</f>
        <v>118</v>
      </c>
      <c r="E131" s="101">
        <v>0</v>
      </c>
      <c r="F131" s="102"/>
      <c r="G131" s="103"/>
      <c r="H131" s="83"/>
      <c r="I131" s="104" t="s">
        <v>1463</v>
      </c>
      <c r="J131" s="102"/>
      <c r="K131" s="105">
        <v>20</v>
      </c>
      <c r="L131" s="83"/>
      <c r="M131" s="102"/>
      <c r="N131" s="105">
        <v>0.5</v>
      </c>
      <c r="O131" s="83"/>
    </row>
    <row r="132" spans="1:15" x14ac:dyDescent="0.35">
      <c r="A132" s="79" t="s">
        <v>1462</v>
      </c>
      <c r="B132" s="100" t="s">
        <v>14</v>
      </c>
      <c r="C132" s="81" t="str">
        <f>IFERROR(IF(B132="No CAS","",INDEX('DEQ Pollutant List'!$C$7:$C$611,MATCH('3. Pollutant Emissions - EF'!B132,'DEQ Pollutant List'!$B$7:$B$611,0))),"")</f>
        <v>Acetaldehyde</v>
      </c>
      <c r="D132" s="115"/>
      <c r="E132" s="101">
        <v>0</v>
      </c>
      <c r="F132" s="102"/>
      <c r="G132" s="103"/>
      <c r="H132" s="83"/>
      <c r="I132" s="104" t="s">
        <v>1463</v>
      </c>
      <c r="J132" s="102"/>
      <c r="K132" s="105">
        <v>20</v>
      </c>
      <c r="L132" s="83"/>
      <c r="M132" s="102"/>
      <c r="N132" s="105">
        <v>0.5</v>
      </c>
      <c r="O132" s="83"/>
    </row>
    <row r="133" spans="1:15" x14ac:dyDescent="0.35">
      <c r="A133" s="79" t="s">
        <v>1462</v>
      </c>
      <c r="B133" s="100" t="s">
        <v>16</v>
      </c>
      <c r="C133" s="81" t="str">
        <f>IFERROR(IF(B133="No CAS","",INDEX('DEQ Pollutant List'!$C$7:$C$611,MATCH('3. Pollutant Emissions - EF'!B133,'DEQ Pollutant List'!$B$7:$B$611,0))),"")</f>
        <v>Acetamide</v>
      </c>
      <c r="D133" s="115"/>
      <c r="E133" s="101">
        <v>0</v>
      </c>
      <c r="F133" s="102"/>
      <c r="G133" s="103"/>
      <c r="H133" s="83"/>
      <c r="I133" s="104" t="s">
        <v>1463</v>
      </c>
      <c r="J133" s="102"/>
      <c r="K133" s="105">
        <v>20</v>
      </c>
      <c r="L133" s="83"/>
      <c r="M133" s="102"/>
      <c r="N133" s="105">
        <v>0.5</v>
      </c>
      <c r="O133" s="83"/>
    </row>
    <row r="134" spans="1:15" x14ac:dyDescent="0.35">
      <c r="A134" s="79" t="s">
        <v>1462</v>
      </c>
      <c r="B134" s="100" t="s">
        <v>22</v>
      </c>
      <c r="C134" s="81" t="str">
        <f>IFERROR(IF(B134="No CAS","",INDEX('DEQ Pollutant List'!$C$7:$C$611,MATCH('3. Pollutant Emissions - EF'!B134,'DEQ Pollutant List'!$B$7:$B$611,0))),"")</f>
        <v>Acetophenone</v>
      </c>
      <c r="D134" s="115">
        <f>IFERROR(IF(OR($B96="",$B96="No CAS"),INDEX('DEQ Pollutant List'!$A$7:$A$611,MATCH($C96,'DEQ Pollutant List'!$C$7:$C$611,0)),INDEX('DEQ Pollutant List'!$A$7:$A$611,MATCH($B96,'DEQ Pollutant List'!$B$7:$B$611,0))),"")</f>
        <v>211</v>
      </c>
      <c r="E134" s="101">
        <v>0</v>
      </c>
      <c r="F134" s="102"/>
      <c r="G134" s="103"/>
      <c r="H134" s="83"/>
      <c r="I134" s="104" t="s">
        <v>1463</v>
      </c>
      <c r="J134" s="102"/>
      <c r="K134" s="105">
        <v>20</v>
      </c>
      <c r="L134" s="83"/>
      <c r="M134" s="102"/>
      <c r="N134" s="105">
        <v>0.5</v>
      </c>
      <c r="O134" s="83"/>
    </row>
    <row r="135" spans="1:15" x14ac:dyDescent="0.35">
      <c r="A135" s="79" t="s">
        <v>1462</v>
      </c>
      <c r="B135" s="100" t="s">
        <v>38</v>
      </c>
      <c r="C135" s="81" t="str">
        <f>IFERROR(IF(B135="No CAS","",INDEX('DEQ Pollutant List'!$C$7:$C$611,MATCH('3. Pollutant Emissions - EF'!B135,'DEQ Pollutant List'!$B$7:$B$611,0))),"")</f>
        <v>Allyl chloride</v>
      </c>
      <c r="D135" s="115">
        <f>IFERROR(IF(OR($B97="",$B97="No CAS"),INDEX('DEQ Pollutant List'!$A$7:$A$611,MATCH($C97,'DEQ Pollutant List'!$C$7:$C$611,0)),INDEX('DEQ Pollutant List'!$A$7:$A$611,MATCH($B97,'DEQ Pollutant List'!$B$7:$B$611,0))),"")</f>
        <v>220</v>
      </c>
      <c r="E135" s="101">
        <v>0</v>
      </c>
      <c r="F135" s="102"/>
      <c r="G135" s="103"/>
      <c r="H135" s="83"/>
      <c r="I135" s="104" t="s">
        <v>1463</v>
      </c>
      <c r="J135" s="102"/>
      <c r="K135" s="105">
        <v>20</v>
      </c>
      <c r="L135" s="83"/>
      <c r="M135" s="102"/>
      <c r="N135" s="105">
        <v>0.5</v>
      </c>
      <c r="O135" s="83"/>
    </row>
    <row r="136" spans="1:15" x14ac:dyDescent="0.35">
      <c r="A136" s="79" t="s">
        <v>1462</v>
      </c>
      <c r="B136" s="100" t="s">
        <v>61</v>
      </c>
      <c r="C136" s="81" t="str">
        <f>IFERROR(IF(B136="No CAS","",INDEX('DEQ Pollutant List'!$C$7:$C$611,MATCH('3. Pollutant Emissions - EF'!B136,'DEQ Pollutant List'!$B$7:$B$611,0))),"")</f>
        <v>Ammonia</v>
      </c>
      <c r="D136" s="115">
        <f>IFERROR(IF(OR($B98="",$B98="No CAS"),INDEX('DEQ Pollutant List'!$A$7:$A$611,MATCH($C98,'DEQ Pollutant List'!$C$7:$C$611,0)),INDEX('DEQ Pollutant List'!$A$7:$A$611,MATCH($B98,'DEQ Pollutant List'!$B$7:$B$611,0))),"")</f>
        <v>250</v>
      </c>
      <c r="E136" s="101">
        <v>0</v>
      </c>
      <c r="F136" s="102"/>
      <c r="G136" s="103"/>
      <c r="H136" s="83"/>
      <c r="I136" s="104" t="s">
        <v>1463</v>
      </c>
      <c r="J136" s="102"/>
      <c r="K136" s="105">
        <v>20</v>
      </c>
      <c r="L136" s="83"/>
      <c r="M136" s="102"/>
      <c r="N136" s="105">
        <v>0.5</v>
      </c>
      <c r="O136" s="83"/>
    </row>
    <row r="137" spans="1:15" x14ac:dyDescent="0.35">
      <c r="A137" s="79" t="s">
        <v>1462</v>
      </c>
      <c r="B137" s="100" t="s">
        <v>98</v>
      </c>
      <c r="C137" s="81" t="str">
        <f>IFERROR(IF(B137="No CAS","",INDEX('DEQ Pollutant List'!$C$7:$C$611,MATCH('3. Pollutant Emissions - EF'!B137,'DEQ Pollutant List'!$B$7:$B$611,0))),"")</f>
        <v>Benzene</v>
      </c>
      <c r="D137" s="115">
        <f>IFERROR(IF(OR($B99="",$B99="No CAS"),INDEX('DEQ Pollutant List'!$A$7:$A$611,MATCH($C99,'DEQ Pollutant List'!$C$7:$C$611,0)),INDEX('DEQ Pollutant List'!$A$7:$A$611,MATCH($B99,'DEQ Pollutant List'!$B$7:$B$611,0))),"")</f>
        <v>289</v>
      </c>
      <c r="E137" s="101">
        <v>0</v>
      </c>
      <c r="F137" s="102"/>
      <c r="G137" s="103"/>
      <c r="H137" s="83"/>
      <c r="I137" s="104" t="s">
        <v>1463</v>
      </c>
      <c r="J137" s="102"/>
      <c r="K137" s="105">
        <v>20</v>
      </c>
      <c r="L137" s="83"/>
      <c r="M137" s="102"/>
      <c r="N137" s="105">
        <v>0.5</v>
      </c>
      <c r="O137" s="83"/>
    </row>
    <row r="138" spans="1:15" x14ac:dyDescent="0.35">
      <c r="A138" s="79" t="s">
        <v>1462</v>
      </c>
      <c r="B138" s="100" t="s">
        <v>105</v>
      </c>
      <c r="C138" s="81" t="str">
        <f>IFERROR(IF(B138="No CAS","",INDEX('DEQ Pollutant List'!$C$7:$C$611,MATCH('3. Pollutant Emissions - EF'!B138,'DEQ Pollutant List'!$B$7:$B$611,0))),"")</f>
        <v>Benzoyl chloride</v>
      </c>
      <c r="D138" s="115">
        <f>IFERROR(IF(OR($B100="",$B100="No CAS"),INDEX('DEQ Pollutant List'!$A$7:$A$611,MATCH($C100,'DEQ Pollutant List'!$C$7:$C$611,0)),INDEX('DEQ Pollutant List'!$A$7:$A$611,MATCH($B100,'DEQ Pollutant List'!$B$7:$B$611,0))),"")</f>
        <v>292</v>
      </c>
      <c r="E138" s="101">
        <v>0</v>
      </c>
      <c r="F138" s="102"/>
      <c r="G138" s="103"/>
      <c r="H138" s="83"/>
      <c r="I138" s="104" t="s">
        <v>1463</v>
      </c>
      <c r="J138" s="102"/>
      <c r="K138" s="105">
        <v>20</v>
      </c>
      <c r="L138" s="83"/>
      <c r="M138" s="102"/>
      <c r="N138" s="105">
        <v>0.5</v>
      </c>
      <c r="O138" s="83"/>
    </row>
    <row r="139" spans="1:15" x14ac:dyDescent="0.35">
      <c r="A139" s="79" t="s">
        <v>1462</v>
      </c>
      <c r="B139" s="100" t="s">
        <v>123</v>
      </c>
      <c r="C139" s="81" t="str">
        <f>IFERROR(IF(B139="No CAS","",INDEX('DEQ Pollutant List'!$C$7:$C$611,MATCH('3. Pollutant Emissions - EF'!B139,'DEQ Pollutant List'!$B$7:$B$611,0))),"")</f>
        <v>Bromine and compounds</v>
      </c>
      <c r="D139" s="115">
        <f>IFERROR(IF(OR($B101="",$B101="No CAS"),INDEX('DEQ Pollutant List'!$A$7:$A$611,MATCH($C101,'DEQ Pollutant List'!$C$7:$C$611,0)),INDEX('DEQ Pollutant List'!$A$7:$A$611,MATCH($B101,'DEQ Pollutant List'!$B$7:$B$611,0))),"")</f>
        <v>292</v>
      </c>
      <c r="E139" s="101">
        <v>0</v>
      </c>
      <c r="F139" s="102"/>
      <c r="G139" s="103"/>
      <c r="H139" s="83"/>
      <c r="I139" s="104" t="s">
        <v>1463</v>
      </c>
      <c r="J139" s="102"/>
      <c r="K139" s="105">
        <v>20</v>
      </c>
      <c r="L139" s="83"/>
      <c r="M139" s="102"/>
      <c r="N139" s="105">
        <v>0.5</v>
      </c>
      <c r="O139" s="83"/>
    </row>
    <row r="140" spans="1:15" x14ac:dyDescent="0.35">
      <c r="A140" s="79" t="s">
        <v>1462</v>
      </c>
      <c r="B140" s="100" t="s">
        <v>166</v>
      </c>
      <c r="C140" s="81" t="str">
        <f>IFERROR(IF(B140="No CAS","",INDEX('DEQ Pollutant List'!$C$7:$C$611,MATCH('3. Pollutant Emissions - EF'!B140,'DEQ Pollutant List'!$B$7:$B$611,0))),"")</f>
        <v>Carbon disulfide</v>
      </c>
      <c r="D140" s="115">
        <f>IFERROR(IF(OR($B102="",$B102="No CAS"),INDEX('DEQ Pollutant List'!$A$7:$A$611,MATCH($C102,'DEQ Pollutant List'!$C$7:$C$611,0)),INDEX('DEQ Pollutant List'!$A$7:$A$611,MATCH($B102,'DEQ Pollutant List'!$B$7:$B$611,0))),"")</f>
        <v>321</v>
      </c>
      <c r="E140" s="101">
        <v>0</v>
      </c>
      <c r="F140" s="102"/>
      <c r="G140" s="103"/>
      <c r="H140" s="83"/>
      <c r="I140" s="104" t="s">
        <v>1463</v>
      </c>
      <c r="J140" s="102"/>
      <c r="K140" s="105">
        <v>20</v>
      </c>
      <c r="L140" s="83"/>
      <c r="M140" s="102"/>
      <c r="N140" s="105">
        <v>0.5</v>
      </c>
      <c r="O140" s="83"/>
    </row>
    <row r="141" spans="1:15" x14ac:dyDescent="0.35">
      <c r="A141" s="79" t="s">
        <v>1462</v>
      </c>
      <c r="B141" s="100" t="s">
        <v>174</v>
      </c>
      <c r="C141" s="81" t="str">
        <f>IFERROR(IF(B141="No CAS","",INDEX('DEQ Pollutant List'!$C$7:$C$611,MATCH('3. Pollutant Emissions - EF'!B141,'DEQ Pollutant List'!$B$7:$B$611,0))),"")</f>
        <v>Catechol</v>
      </c>
      <c r="D141" s="115">
        <f>IFERROR(IF(OR($B103="",$B103="No CAS"),INDEX('DEQ Pollutant List'!$A$7:$A$611,MATCH($C103,'DEQ Pollutant List'!$C$7:$C$611,0)),INDEX('DEQ Pollutant List'!$A$7:$A$611,MATCH($B103,'DEQ Pollutant List'!$B$7:$B$611,0))),"")</f>
        <v>328</v>
      </c>
      <c r="E141" s="101">
        <v>0</v>
      </c>
      <c r="F141" s="102"/>
      <c r="G141" s="103"/>
      <c r="H141" s="83"/>
      <c r="I141" s="104" t="s">
        <v>1463</v>
      </c>
      <c r="J141" s="102"/>
      <c r="K141" s="105">
        <v>20</v>
      </c>
      <c r="L141" s="83"/>
      <c r="M141" s="102"/>
      <c r="N141" s="105">
        <v>0.5</v>
      </c>
      <c r="O141" s="83"/>
    </row>
    <row r="142" spans="1:15" x14ac:dyDescent="0.35">
      <c r="A142" s="79" t="s">
        <v>1462</v>
      </c>
      <c r="B142" s="100" t="s">
        <v>241</v>
      </c>
      <c r="C142" s="81" t="str">
        <f>IFERROR(IF(B142="No CAS","",INDEX('DEQ Pollutant List'!$C$7:$C$611,MATCH('3. Pollutant Emissions - EF'!B142,'DEQ Pollutant List'!$B$7:$B$611,0))),"")</f>
        <v>Cresols (mixture), including m-cresol, o-cresol, p-cresol</v>
      </c>
      <c r="D142" s="115"/>
      <c r="E142" s="101">
        <v>0</v>
      </c>
      <c r="F142" s="102"/>
      <c r="G142" s="103"/>
      <c r="H142" s="83"/>
      <c r="I142" s="104" t="s">
        <v>1463</v>
      </c>
      <c r="J142" s="102"/>
      <c r="K142" s="105">
        <v>20</v>
      </c>
      <c r="L142" s="83"/>
      <c r="M142" s="102"/>
      <c r="N142" s="105">
        <v>0.5</v>
      </c>
      <c r="O142" s="83"/>
    </row>
    <row r="143" spans="1:15" x14ac:dyDescent="0.35">
      <c r="A143" s="79" t="s">
        <v>1462</v>
      </c>
      <c r="B143" s="100" t="s">
        <v>256</v>
      </c>
      <c r="C143" s="81" t="str">
        <f>IFERROR(IF(B143="No CAS","",INDEX('DEQ Pollutant List'!$C$7:$C$611,MATCH('3. Pollutant Emissions - EF'!B143,'DEQ Pollutant List'!$B$7:$B$611,0))),"")</f>
        <v>Cyclohexanol</v>
      </c>
      <c r="D143" s="115">
        <f>IFERROR(IF(OR($B105="",$B105="No CAS"),INDEX('DEQ Pollutant List'!$A$7:$A$611,MATCH($C105,'DEQ Pollutant List'!$C$7:$C$611,0)),INDEX('DEQ Pollutant List'!$A$7:$A$611,MATCH($B105,'DEQ Pollutant List'!$B$7:$B$611,0))),"")</f>
        <v>346</v>
      </c>
      <c r="E143" s="101">
        <v>0</v>
      </c>
      <c r="F143" s="102"/>
      <c r="G143" s="103"/>
      <c r="H143" s="83"/>
      <c r="I143" s="104" t="s">
        <v>1463</v>
      </c>
      <c r="J143" s="102"/>
      <c r="K143" s="105">
        <v>20</v>
      </c>
      <c r="L143" s="83"/>
      <c r="M143" s="102"/>
      <c r="N143" s="105">
        <v>0.5</v>
      </c>
      <c r="O143" s="83"/>
    </row>
    <row r="144" spans="1:15" x14ac:dyDescent="0.35">
      <c r="A144" s="79" t="s">
        <v>1462</v>
      </c>
      <c r="B144" s="100" t="s">
        <v>336</v>
      </c>
      <c r="C144" s="81" t="str">
        <f>IFERROR(IF(B144="No CAS","",INDEX('DEQ Pollutant List'!$C$7:$C$611,MATCH('3. Pollutant Emissions - EF'!B144,'DEQ Pollutant List'!$B$7:$B$611,0))),"")</f>
        <v>Diethylene glycol dimethyl ether</v>
      </c>
      <c r="D144" s="115">
        <f>IFERROR(IF(OR($B106="",$B106="No CAS"),INDEX('DEQ Pollutant List'!$A$7:$A$611,MATCH($C106,'DEQ Pollutant List'!$C$7:$C$611,0)),INDEX('DEQ Pollutant List'!$A$7:$A$611,MATCH($B106,'DEQ Pollutant List'!$B$7:$B$611,0))),"")</f>
        <v>381</v>
      </c>
      <c r="E144" s="101">
        <v>0</v>
      </c>
      <c r="F144" s="102"/>
      <c r="G144" s="103"/>
      <c r="H144" s="83"/>
      <c r="I144" s="104" t="s">
        <v>1463</v>
      </c>
      <c r="J144" s="102"/>
      <c r="K144" s="105">
        <v>20</v>
      </c>
      <c r="L144" s="83"/>
      <c r="M144" s="102"/>
      <c r="N144" s="105">
        <v>0.5</v>
      </c>
      <c r="O144" s="83"/>
    </row>
    <row r="145" spans="1:15" x14ac:dyDescent="0.35">
      <c r="A145" s="79" t="s">
        <v>1462</v>
      </c>
      <c r="B145" s="100" t="s">
        <v>410</v>
      </c>
      <c r="C145" s="81" t="str">
        <f>IFERROR(IF(B145="No CAS","",INDEX('DEQ Pollutant List'!$C$7:$C$611,MATCH('3. Pollutant Emissions - EF'!B145,'DEQ Pollutant List'!$B$7:$B$611,0))),"")</f>
        <v>Ethyl benzene</v>
      </c>
      <c r="D145" s="115">
        <f>IFERROR(IF(OR($B107="",$B107="No CAS"),INDEX('DEQ Pollutant List'!$A$7:$A$611,MATCH($C107,'DEQ Pollutant List'!$C$7:$C$611,0)),INDEX('DEQ Pollutant List'!$A$7:$A$611,MATCH($B107,'DEQ Pollutant List'!$B$7:$B$611,0))),"")</f>
        <v>600</v>
      </c>
      <c r="E145" s="101">
        <v>0</v>
      </c>
      <c r="F145" s="102"/>
      <c r="G145" s="103"/>
      <c r="H145" s="83"/>
      <c r="I145" s="104" t="s">
        <v>1463</v>
      </c>
      <c r="J145" s="102"/>
      <c r="K145" s="105">
        <v>20</v>
      </c>
      <c r="L145" s="83"/>
      <c r="M145" s="102"/>
      <c r="N145" s="105">
        <v>0.5</v>
      </c>
      <c r="O145" s="83"/>
    </row>
    <row r="146" spans="1:15" x14ac:dyDescent="0.35">
      <c r="A146" s="79" t="s">
        <v>1462</v>
      </c>
      <c r="B146" s="100" t="s">
        <v>416</v>
      </c>
      <c r="C146" s="81" t="str">
        <f>IFERROR(IF(B146="No CAS","",INDEX('DEQ Pollutant List'!$C$7:$C$611,MATCH('3. Pollutant Emissions - EF'!B146,'DEQ Pollutant List'!$B$7:$B$611,0))),"")</f>
        <v>Ethylene glycol</v>
      </c>
      <c r="D146" s="115">
        <f>IFERROR(IF(OR($B108="",$B108="No CAS"),INDEX('DEQ Pollutant List'!$A$7:$A$611,MATCH($C108,'DEQ Pollutant List'!$C$7:$C$611,0)),INDEX('DEQ Pollutant List'!$A$7:$A$611,MATCH($B108,'DEQ Pollutant List'!$B$7:$B$611,0))),"")</f>
        <v>610</v>
      </c>
      <c r="E146" s="101">
        <v>0</v>
      </c>
      <c r="F146" s="102"/>
      <c r="G146" s="103"/>
      <c r="H146" s="83"/>
      <c r="I146" s="104" t="s">
        <v>1463</v>
      </c>
      <c r="J146" s="102"/>
      <c r="K146" s="105">
        <v>20</v>
      </c>
      <c r="L146" s="83"/>
      <c r="M146" s="102"/>
      <c r="N146" s="105">
        <v>0.5</v>
      </c>
      <c r="O146" s="83"/>
    </row>
    <row r="147" spans="1:15" x14ac:dyDescent="0.35">
      <c r="A147" s="79" t="s">
        <v>1462</v>
      </c>
      <c r="B147" s="100" t="s">
        <v>479</v>
      </c>
      <c r="C147" s="81" t="str">
        <f>IFERROR(IF(B147="No CAS","",INDEX('DEQ Pollutant List'!$C$7:$C$611,MATCH('3. Pollutant Emissions - EF'!B147,'DEQ Pollutant List'!$B$7:$B$611,0))),"")</f>
        <v>Hexamethylphosphoramide</v>
      </c>
      <c r="D147" s="115"/>
      <c r="E147" s="101"/>
      <c r="F147" s="102"/>
      <c r="G147" s="103"/>
      <c r="H147" s="83"/>
      <c r="I147" s="104" t="s">
        <v>1463</v>
      </c>
      <c r="J147" s="102"/>
      <c r="K147" s="105">
        <v>20</v>
      </c>
      <c r="L147" s="83"/>
      <c r="M147" s="102"/>
      <c r="N147" s="105">
        <v>0.5</v>
      </c>
      <c r="O147" s="83"/>
    </row>
    <row r="148" spans="1:15" x14ac:dyDescent="0.35">
      <c r="A148" s="79" t="s">
        <v>1462</v>
      </c>
      <c r="B148" s="100" t="s">
        <v>516</v>
      </c>
      <c r="C148" s="81" t="str">
        <f>IFERROR(IF(B148="No CAS","",INDEX('DEQ Pollutant List'!$C$7:$C$611,MATCH('3. Pollutant Emissions - EF'!B148,'DEQ Pollutant List'!$B$7:$B$611,0))),"")</f>
        <v>Maleic anhydride</v>
      </c>
      <c r="D148" s="115">
        <f>IFERROR(IF(OR($B110="",$B110="No CAS"),INDEX('DEQ Pollutant List'!$A$7:$A$611,MATCH($C110,'DEQ Pollutant List'!$C$7:$C$611,0)),INDEX('DEQ Pollutant List'!$A$7:$A$611,MATCH($B110,'DEQ Pollutant List'!$B$7:$B$611,0))),"")</f>
        <v>628</v>
      </c>
      <c r="E148" s="101">
        <v>0</v>
      </c>
      <c r="F148" s="102"/>
      <c r="G148" s="103"/>
      <c r="H148" s="83"/>
      <c r="I148" s="104" t="s">
        <v>1463</v>
      </c>
      <c r="J148" s="102"/>
      <c r="K148" s="105">
        <v>20</v>
      </c>
      <c r="L148" s="83"/>
      <c r="M148" s="102"/>
      <c r="N148" s="105">
        <v>0.5</v>
      </c>
      <c r="O148" s="83"/>
    </row>
    <row r="149" spans="1:15" x14ac:dyDescent="0.35">
      <c r="A149" s="79" t="s">
        <v>1462</v>
      </c>
      <c r="B149" s="100" t="s">
        <v>549</v>
      </c>
      <c r="C149" s="81" t="str">
        <f>IFERROR(IF(B149="No CAS","",INDEX('DEQ Pollutant List'!$C$7:$C$611,MATCH('3. Pollutant Emissions - EF'!B149,'DEQ Pollutant List'!$B$7:$B$611,0))),"")</f>
        <v>Methyl isobutyl ketone (MIBK, hexone)</v>
      </c>
      <c r="D149" s="115"/>
      <c r="E149" s="101">
        <v>0</v>
      </c>
      <c r="F149" s="102"/>
      <c r="G149" s="103"/>
      <c r="H149" s="83"/>
      <c r="I149" s="104" t="s">
        <v>1463</v>
      </c>
      <c r="J149" s="102"/>
      <c r="K149" s="105">
        <v>20</v>
      </c>
      <c r="L149" s="83"/>
      <c r="M149" s="102"/>
      <c r="N149" s="105">
        <v>0.5</v>
      </c>
      <c r="O149" s="83"/>
    </row>
    <row r="150" spans="1:15" x14ac:dyDescent="0.35">
      <c r="A150" s="79" t="s">
        <v>1462</v>
      </c>
      <c r="B150" s="100" t="s">
        <v>630</v>
      </c>
      <c r="C150" s="81" t="str">
        <f>IFERROR(IF(B150="No CAS","",INDEX('DEQ Pollutant List'!$C$7:$C$611,MATCH('3. Pollutant Emissions - EF'!B150,'DEQ Pollutant List'!$B$7:$B$611,0))),"")</f>
        <v>N-[4-(5-Nitro-2-furyl)-2-thiazolyl]-acetamide</v>
      </c>
      <c r="D150" s="115">
        <f>IFERROR(IF(OR($B111="",$B111="No CAS"),INDEX('DEQ Pollutant List'!$A$7:$A$611,MATCH($C111,'DEQ Pollutant List'!$C$7:$C$611,0)),INDEX('DEQ Pollutant List'!$A$7:$A$611,MATCH($B111,'DEQ Pollutant List'!$B$7:$B$611,0))),"")</f>
        <v>634</v>
      </c>
      <c r="E150" s="101">
        <v>0</v>
      </c>
      <c r="F150" s="102"/>
      <c r="G150" s="103"/>
      <c r="H150" s="83"/>
      <c r="I150" s="104" t="s">
        <v>1463</v>
      </c>
      <c r="J150" s="102"/>
      <c r="K150" s="105">
        <v>20</v>
      </c>
      <c r="L150" s="83"/>
      <c r="M150" s="102"/>
      <c r="N150" s="105">
        <v>0.5</v>
      </c>
      <c r="O150" s="83"/>
    </row>
    <row r="151" spans="1:15" x14ac:dyDescent="0.35">
      <c r="A151" s="79" t="s">
        <v>1462</v>
      </c>
      <c r="B151" s="100" t="s">
        <v>308</v>
      </c>
      <c r="C151" s="81" t="str">
        <f>IFERROR(IF(B151="No CAS","",INDEX('DEQ Pollutant List'!$C$7:$C$611,MATCH('3. Pollutant Emissions - EF'!B151,'DEQ Pollutant List'!$B$7:$B$611,0))),"")</f>
        <v>p-Dichlorobenzene (1,4-dichlorobenzene)</v>
      </c>
      <c r="D151" s="115"/>
      <c r="E151" s="101">
        <v>0</v>
      </c>
      <c r="F151" s="102"/>
      <c r="G151" s="103"/>
      <c r="H151" s="83"/>
      <c r="I151" s="104" t="s">
        <v>1463</v>
      </c>
      <c r="J151" s="102"/>
      <c r="K151" s="105">
        <v>20</v>
      </c>
      <c r="L151" s="83"/>
      <c r="M151" s="102"/>
      <c r="N151" s="105">
        <v>0.5</v>
      </c>
      <c r="O151" s="83"/>
    </row>
    <row r="152" spans="1:15" x14ac:dyDescent="0.35">
      <c r="A152" s="79" t="s">
        <v>1462</v>
      </c>
      <c r="B152" s="100" t="s">
        <v>693</v>
      </c>
      <c r="C152" s="81" t="str">
        <f>IFERROR(IF(B152="No CAS","",INDEX('DEQ Pollutant List'!$C$7:$C$611,MATCH('3. Pollutant Emissions - EF'!B152,'DEQ Pollutant List'!$B$7:$B$611,0))),"")</f>
        <v>Phenol</v>
      </c>
      <c r="D152" s="115"/>
      <c r="E152" s="101">
        <v>0</v>
      </c>
      <c r="F152" s="102"/>
      <c r="G152" s="103"/>
      <c r="H152" s="83"/>
      <c r="I152" s="104" t="s">
        <v>1463</v>
      </c>
      <c r="J152" s="102"/>
      <c r="K152" s="105">
        <v>20</v>
      </c>
      <c r="L152" s="83"/>
      <c r="M152" s="102"/>
      <c r="N152" s="105">
        <v>0.5</v>
      </c>
      <c r="O152" s="83"/>
    </row>
    <row r="153" spans="1:15" x14ac:dyDescent="0.35">
      <c r="A153" s="79" t="s">
        <v>1462</v>
      </c>
      <c r="B153" s="100" t="s">
        <v>704</v>
      </c>
      <c r="C153" s="81" t="str">
        <f>IFERROR(IF(B153="No CAS","",INDEX('DEQ Pollutant List'!$C$7:$C$611,MATCH('3. Pollutant Emissions - EF'!B153,'DEQ Pollutant List'!$B$7:$B$611,0))),"")</f>
        <v>Phosgene</v>
      </c>
      <c r="D153" s="115">
        <f>IFERROR(IF(OR($B114="",$B114="No CAS"),INDEX('DEQ Pollutant List'!$A$7:$A$611,MATCH($C114,'DEQ Pollutant List'!$C$7:$C$611,0)),INDEX('DEQ Pollutant List'!$A$7:$A$611,MATCH($B114,'DEQ Pollutant List'!$B$7:$B$611,0))),"")</f>
        <v>162</v>
      </c>
      <c r="E153" s="101">
        <v>0</v>
      </c>
      <c r="F153" s="102"/>
      <c r="G153" s="103"/>
      <c r="H153" s="83"/>
      <c r="I153" s="104" t="s">
        <v>1463</v>
      </c>
      <c r="J153" s="102"/>
      <c r="K153" s="105">
        <v>20</v>
      </c>
      <c r="L153" s="83"/>
      <c r="M153" s="102"/>
      <c r="N153" s="105">
        <v>0.5</v>
      </c>
      <c r="O153" s="83"/>
    </row>
    <row r="154" spans="1:15" x14ac:dyDescent="0.35">
      <c r="A154" s="79" t="s">
        <v>1462</v>
      </c>
      <c r="B154" s="100" t="s">
        <v>720</v>
      </c>
      <c r="C154" s="81" t="str">
        <f>IFERROR(IF(B154="No CAS","",INDEX('DEQ Pollutant List'!$C$7:$C$611,MATCH('3. Pollutant Emissions - EF'!B154,'DEQ Pollutant List'!$B$7:$B$611,0))),"")</f>
        <v>Phthalic anhydride</v>
      </c>
      <c r="D154" s="115">
        <f>IFERROR(IF(OR($B115="",$B115="No CAS"),INDEX('DEQ Pollutant List'!$A$7:$A$611,MATCH($C115,'DEQ Pollutant List'!$C$7:$C$611,0)),INDEX('DEQ Pollutant List'!$A$7:$A$611,MATCH($B115,'DEQ Pollutant List'!$B$7:$B$611,0))),"")</f>
        <v>302</v>
      </c>
      <c r="E154" s="101">
        <v>0</v>
      </c>
      <c r="F154" s="102"/>
      <c r="G154" s="103"/>
      <c r="H154" s="83"/>
      <c r="I154" s="104" t="s">
        <v>1463</v>
      </c>
      <c r="J154" s="102"/>
      <c r="K154" s="105">
        <v>20</v>
      </c>
      <c r="L154" s="83"/>
      <c r="M154" s="102"/>
      <c r="N154" s="105">
        <v>0.5</v>
      </c>
      <c r="O154" s="83"/>
    </row>
    <row r="155" spans="1:15" x14ac:dyDescent="0.35">
      <c r="A155" s="79" t="s">
        <v>1462</v>
      </c>
      <c r="B155" s="100">
        <v>432</v>
      </c>
      <c r="C155" s="81" t="str">
        <f>IFERROR(IF(B155="No CAS","",INDEX('DEQ Pollutant List'!$C$7:$C$611,MATCH('3. Pollutant Emissions - EF'!B155,'DEQ Pollutant List'!$B$7:$B$611,0))),"")</f>
        <v>Polycyclic aromatic hydrocarbon derivatives [PAH-Derivatives]</v>
      </c>
      <c r="D155" s="115"/>
      <c r="E155" s="101">
        <v>0</v>
      </c>
      <c r="F155" s="102"/>
      <c r="G155" s="103"/>
      <c r="H155" s="83"/>
      <c r="I155" s="104" t="s">
        <v>1463</v>
      </c>
      <c r="J155" s="102"/>
      <c r="K155" s="105">
        <v>20</v>
      </c>
      <c r="L155" s="83"/>
      <c r="M155" s="102"/>
      <c r="N155" s="105">
        <v>0.5</v>
      </c>
      <c r="O155" s="83"/>
    </row>
    <row r="156" spans="1:15" x14ac:dyDescent="0.35">
      <c r="A156" s="79" t="s">
        <v>1462</v>
      </c>
      <c r="B156" s="100" t="s">
        <v>919</v>
      </c>
      <c r="C156" s="81" t="str">
        <f>IFERROR(IF(B156="No CAS","",INDEX('DEQ Pollutant List'!$C$7:$C$611,MATCH('3. Pollutant Emissions - EF'!B156,'DEQ Pollutant List'!$B$7:$B$611,0))),"")</f>
        <v>Propylene</v>
      </c>
      <c r="D156" s="115">
        <f>IFERROR(IF(OR($B116="",$B116="No CAS"),INDEX('DEQ Pollutant List'!$A$7:$A$611,MATCH($C116,'DEQ Pollutant List'!$C$7:$C$611,0)),INDEX('DEQ Pollutant List'!$A$7:$A$611,MATCH($B116,'DEQ Pollutant List'!$B$7:$B$611,0))),"")</f>
        <v>591</v>
      </c>
      <c r="E156" s="101">
        <v>0</v>
      </c>
      <c r="F156" s="102"/>
      <c r="G156" s="103"/>
      <c r="H156" s="83"/>
      <c r="I156" s="104" t="s">
        <v>1463</v>
      </c>
      <c r="J156" s="102"/>
      <c r="K156" s="105">
        <v>20</v>
      </c>
      <c r="L156" s="83"/>
      <c r="M156" s="102"/>
      <c r="N156" s="105">
        <v>0.5</v>
      </c>
      <c r="O156" s="83"/>
    </row>
    <row r="157" spans="1:15" x14ac:dyDescent="0.35">
      <c r="A157" s="79" t="s">
        <v>1462</v>
      </c>
      <c r="B157" s="100" t="s">
        <v>144</v>
      </c>
      <c r="C157" s="81" t="str">
        <f>IFERROR(IF(B157="No CAS","",INDEX('DEQ Pollutant List'!$C$7:$C$611,MATCH('3. Pollutant Emissions - EF'!B157,'DEQ Pollutant List'!$B$7:$B$611,0))),"")</f>
        <v>sec-Butyl alcohol</v>
      </c>
      <c r="D157" s="115" t="str">
        <f>IFERROR(IF(OR(#REF!="",#REF!="No CAS"),INDEX('DEQ Pollutant List'!$A$7:$A$611,MATCH(#REF!,'DEQ Pollutant List'!$C$7:$C$611,0)),INDEX('DEQ Pollutant List'!$A$7:$A$611,MATCH(#REF!,'DEQ Pollutant List'!$B$7:$B$611,0))),"")</f>
        <v/>
      </c>
      <c r="E157" s="101">
        <v>0</v>
      </c>
      <c r="F157" s="102"/>
      <c r="G157" s="103"/>
      <c r="H157" s="83"/>
      <c r="I157" s="104" t="s">
        <v>1463</v>
      </c>
      <c r="J157" s="102"/>
      <c r="K157" s="105">
        <v>20</v>
      </c>
      <c r="L157" s="83"/>
      <c r="M157" s="102"/>
      <c r="N157" s="105">
        <v>0.5</v>
      </c>
      <c r="O157" s="83"/>
    </row>
    <row r="158" spans="1:15" x14ac:dyDescent="0.35">
      <c r="A158" s="79"/>
      <c r="B158" s="100"/>
      <c r="C158" s="81"/>
      <c r="D158" s="115">
        <f>IFERROR(IF(OR($B118="",$B118="No CAS"),INDEX('DEQ Pollutant List'!$A$7:$A$611,MATCH($C118,'DEQ Pollutant List'!$C$7:$C$611,0)),INDEX('DEQ Pollutant List'!$A$7:$A$611,MATCH($B118,'DEQ Pollutant List'!$B$7:$B$611,0))),"")</f>
        <v>73</v>
      </c>
      <c r="E158" s="101"/>
      <c r="F158" s="102"/>
      <c r="G158" s="103"/>
      <c r="H158" s="83"/>
      <c r="I158" s="104"/>
      <c r="J158" s="102"/>
      <c r="K158" s="105"/>
      <c r="L158" s="83"/>
      <c r="M158" s="102"/>
      <c r="N158" s="105"/>
      <c r="O158" s="83"/>
    </row>
    <row r="159" spans="1:15" x14ac:dyDescent="0.35">
      <c r="A159" s="79"/>
      <c r="B159" s="100"/>
      <c r="C159" s="81" t="str">
        <f>IFERROR(IF(B159="No CAS","",INDEX('DEQ Pollutant List'!$C$7:$C$611,MATCH('3. Pollutant Emissions - EF'!B159,'DEQ Pollutant List'!$B$7:$B$611,0))),"")</f>
        <v/>
      </c>
      <c r="D159" s="115">
        <f>IFERROR(IF(OR($B119="",$B119="No CAS"),INDEX('DEQ Pollutant List'!$A$7:$A$611,MATCH($C119,'DEQ Pollutant List'!$C$7:$C$611,0)),INDEX('DEQ Pollutant List'!$A$7:$A$611,MATCH($B119,'DEQ Pollutant List'!$B$7:$B$611,0))),"")</f>
        <v>30</v>
      </c>
      <c r="E159" s="101"/>
      <c r="F159" s="102"/>
      <c r="G159" s="103"/>
      <c r="H159" s="83"/>
      <c r="I159" s="104"/>
      <c r="J159" s="102"/>
      <c r="K159" s="105"/>
      <c r="L159" s="83"/>
      <c r="M159" s="102"/>
      <c r="N159" s="105"/>
      <c r="O159" s="83"/>
    </row>
    <row r="160" spans="1:15" x14ac:dyDescent="0.35">
      <c r="A160" s="79" t="s">
        <v>1471</v>
      </c>
      <c r="B160" s="100" t="s">
        <v>132</v>
      </c>
      <c r="C160" s="81" t="str">
        <f>IFERROR(IF(B160="No CAS","",INDEX('DEQ Pollutant List'!$C$7:$C$611,MATCH('3. Pollutant Emissions - EF'!B160,'DEQ Pollutant List'!$B$7:$B$611,0))),"")</f>
        <v>1-Bromopropane (n-propyl bromide)</v>
      </c>
      <c r="D160" s="115">
        <f>IFERROR(IF(OR($B120="",$B120="No CAS"),INDEX('DEQ Pollutant List'!$A$7:$A$611,MATCH($C120,'DEQ Pollutant List'!$C$7:$C$611,0)),INDEX('DEQ Pollutant List'!$A$7:$A$611,MATCH($B120,'DEQ Pollutant List'!$B$7:$B$611,0))),"")</f>
        <v>101</v>
      </c>
      <c r="E160" s="101">
        <v>0</v>
      </c>
      <c r="F160" s="102">
        <v>0.01</v>
      </c>
      <c r="G160" s="103">
        <v>0.1</v>
      </c>
      <c r="H160" s="83"/>
      <c r="I160" s="104" t="s">
        <v>1487</v>
      </c>
      <c r="J160" s="202"/>
      <c r="K160" s="203">
        <f ca="1">$F160*SUMIF(B$56:B$158,$B160,K$56:K$58)</f>
        <v>0.2</v>
      </c>
      <c r="L160" s="83"/>
      <c r="M160" s="102"/>
      <c r="N160" s="203">
        <f ca="1">G160*K160</f>
        <v>2.0000000000000004E-2</v>
      </c>
      <c r="O160" s="83"/>
    </row>
    <row r="161" spans="1:15" x14ac:dyDescent="0.35">
      <c r="A161" s="79" t="s">
        <v>1471</v>
      </c>
      <c r="B161" s="100" t="s">
        <v>304</v>
      </c>
      <c r="C161" s="81" t="str">
        <f>IFERROR(IF(B161="No CAS","",INDEX('DEQ Pollutant List'!$C$7:$C$611,MATCH('3. Pollutant Emissions - EF'!B161,'DEQ Pollutant List'!$B$7:$B$611,0))),"")</f>
        <v>1,2-Dichlorobenzene</v>
      </c>
      <c r="D161" s="115">
        <f>IFERROR(IF(OR($B121="",$B121="No CAS"),INDEX('DEQ Pollutant List'!$A$7:$A$611,MATCH($C121,'DEQ Pollutant List'!$C$7:$C$611,0)),INDEX('DEQ Pollutant List'!$A$7:$A$611,MATCH($B121,'DEQ Pollutant List'!$B$7:$B$611,0))),"")</f>
        <v>108</v>
      </c>
      <c r="E161" s="101">
        <v>0</v>
      </c>
      <c r="F161" s="102">
        <v>0.01</v>
      </c>
      <c r="G161" s="103">
        <v>0.1</v>
      </c>
      <c r="H161" s="83"/>
      <c r="I161" s="104" t="s">
        <v>1487</v>
      </c>
      <c r="J161" s="202"/>
      <c r="K161" s="105">
        <f t="shared" ref="K161:K223" ca="1" si="1">$F161*SUMIF(B$56:B$158,$B161,K$56:K$58)</f>
        <v>0.2</v>
      </c>
      <c r="L161" s="83"/>
      <c r="M161" s="102"/>
      <c r="N161" s="105">
        <f t="shared" ref="N161:N223" ca="1" si="2">G161*K161</f>
        <v>2.0000000000000004E-2</v>
      </c>
      <c r="O161" s="83"/>
    </row>
    <row r="162" spans="1:15" x14ac:dyDescent="0.35">
      <c r="A162" s="79" t="s">
        <v>1471</v>
      </c>
      <c r="B162" s="100" t="s">
        <v>306</v>
      </c>
      <c r="C162" s="81" t="str">
        <f>IFERROR(IF(B162="No CAS","",INDEX('DEQ Pollutant List'!$C$7:$C$611,MATCH('3. Pollutant Emissions - EF'!B162,'DEQ Pollutant List'!$B$7:$B$611,0))),"")</f>
        <v>1,3-Dichlorobenzene</v>
      </c>
      <c r="D162" s="115">
        <f>IFERROR(IF(OR($B122="",$B122="No CAS"),INDEX('DEQ Pollutant List'!$A$7:$A$611,MATCH($C122,'DEQ Pollutant List'!$C$7:$C$611,0)),INDEX('DEQ Pollutant List'!$A$7:$A$611,MATCH($B122,'DEQ Pollutant List'!$B$7:$B$611,0))),"")</f>
        <v>266</v>
      </c>
      <c r="E162" s="101">
        <v>0</v>
      </c>
      <c r="F162" s="102">
        <v>0.01</v>
      </c>
      <c r="G162" s="103">
        <v>0.1</v>
      </c>
      <c r="H162" s="83"/>
      <c r="I162" s="104" t="s">
        <v>1487</v>
      </c>
      <c r="J162" s="102"/>
      <c r="K162" s="105">
        <f t="shared" ca="1" si="1"/>
        <v>0.2</v>
      </c>
      <c r="L162" s="83"/>
      <c r="M162" s="102"/>
      <c r="N162" s="105">
        <f t="shared" ca="1" si="2"/>
        <v>2.0000000000000004E-2</v>
      </c>
      <c r="O162" s="83"/>
    </row>
    <row r="163" spans="1:15" x14ac:dyDescent="0.35">
      <c r="A163" s="79" t="s">
        <v>1471</v>
      </c>
      <c r="B163" s="100" t="s">
        <v>1046</v>
      </c>
      <c r="C163" s="81" t="str">
        <f>IFERROR(IF(B163="No CAS","",INDEX('DEQ Pollutant List'!$C$7:$C$611,MATCH('3. Pollutant Emissions - EF'!B163,'DEQ Pollutant List'!$B$7:$B$611,0))),"")</f>
        <v>1,3,5-Trimethylbenzene</v>
      </c>
      <c r="D163" s="115">
        <f>IFERROR(IF(OR($B123="",$B123="No CAS"),INDEX('DEQ Pollutant List'!$A$7:$A$611,MATCH($C123,'DEQ Pollutant List'!$C$7:$C$611,0)),INDEX('DEQ Pollutant List'!$A$7:$A$611,MATCH($B123,'DEQ Pollutant List'!$B$7:$B$611,0))),"")</f>
        <v>377</v>
      </c>
      <c r="E163" s="101">
        <v>0</v>
      </c>
      <c r="F163" s="102">
        <v>0.01</v>
      </c>
      <c r="G163" s="103">
        <v>0.1</v>
      </c>
      <c r="H163" s="83"/>
      <c r="I163" s="104" t="s">
        <v>1487</v>
      </c>
      <c r="J163" s="102"/>
      <c r="K163" s="105">
        <f t="shared" ca="1" si="1"/>
        <v>0.2</v>
      </c>
      <c r="L163" s="83"/>
      <c r="M163" s="102"/>
      <c r="N163" s="105">
        <f t="shared" ca="1" si="2"/>
        <v>2.0000000000000004E-2</v>
      </c>
      <c r="O163" s="83"/>
    </row>
    <row r="164" spans="1:15" x14ac:dyDescent="0.35">
      <c r="A164" s="79" t="s">
        <v>1471</v>
      </c>
      <c r="B164" s="100" t="s">
        <v>382</v>
      </c>
      <c r="C164" s="81" t="str">
        <f>IFERROR(IF(B164="No CAS","",INDEX('DEQ Pollutant List'!$C$7:$C$611,MATCH('3. Pollutant Emissions - EF'!B164,'DEQ Pollutant List'!$B$7:$B$611,0))),"")</f>
        <v>1,4-Dioxane</v>
      </c>
      <c r="D164" s="115">
        <f>IFERROR(IF(OR($B124="",$B124="No CAS"),INDEX('DEQ Pollutant List'!$A$7:$A$611,MATCH($C124,'DEQ Pollutant List'!$C$7:$C$611,0)),INDEX('DEQ Pollutant List'!$A$7:$A$611,MATCH($B124,'DEQ Pollutant List'!$B$7:$B$611,0))),"")</f>
        <v>507</v>
      </c>
      <c r="E164" s="101">
        <v>0</v>
      </c>
      <c r="F164" s="102">
        <v>0.01</v>
      </c>
      <c r="G164" s="103">
        <v>0.1</v>
      </c>
      <c r="H164" s="83"/>
      <c r="I164" s="104" t="s">
        <v>1487</v>
      </c>
      <c r="J164" s="102"/>
      <c r="K164" s="105">
        <f t="shared" ca="1" si="1"/>
        <v>5.5720800000000001E-2</v>
      </c>
      <c r="L164" s="83"/>
      <c r="M164" s="102"/>
      <c r="N164" s="105">
        <f t="shared" ca="1" si="2"/>
        <v>5.5720800000000001E-3</v>
      </c>
      <c r="O164" s="83"/>
    </row>
    <row r="165" spans="1:15" x14ac:dyDescent="0.35">
      <c r="A165" s="79" t="s">
        <v>1471</v>
      </c>
      <c r="B165" s="100" t="s">
        <v>137</v>
      </c>
      <c r="C165" s="81" t="str">
        <f>IFERROR(IF(B165="No CAS","",INDEX('DEQ Pollutant List'!$C$7:$C$611,MATCH('3. Pollutant Emissions - EF'!B165,'DEQ Pollutant List'!$B$7:$B$611,0))),"")</f>
        <v>2-Butanone (methyl ethyl ketone)</v>
      </c>
      <c r="D165" s="115">
        <f>IFERROR(IF(OR($B125="",$B125="No CAS"),INDEX('DEQ Pollutant List'!$A$7:$A$611,MATCH($C125,'DEQ Pollutant List'!$C$7:$C$611,0)),INDEX('DEQ Pollutant List'!$A$7:$A$611,MATCH($B125,'DEQ Pollutant List'!$B$7:$B$611,0))),"")</f>
        <v>508</v>
      </c>
      <c r="E165" s="101">
        <v>0</v>
      </c>
      <c r="F165" s="102">
        <v>0.01</v>
      </c>
      <c r="G165" s="103">
        <v>0.1</v>
      </c>
      <c r="H165" s="83"/>
      <c r="I165" s="104" t="s">
        <v>1487</v>
      </c>
      <c r="J165" s="102"/>
      <c r="K165" s="105">
        <f t="shared" ca="1" si="1"/>
        <v>0.2</v>
      </c>
      <c r="L165" s="83"/>
      <c r="M165" s="102"/>
      <c r="N165" s="105">
        <f t="shared" ca="1" si="2"/>
        <v>2.0000000000000004E-2</v>
      </c>
      <c r="O165" s="83"/>
    </row>
    <row r="166" spans="1:15" x14ac:dyDescent="0.35">
      <c r="A166" s="79" t="s">
        <v>1471</v>
      </c>
      <c r="B166" s="100" t="s">
        <v>215</v>
      </c>
      <c r="C166" s="81" t="str">
        <f>IFERROR(IF(B166="No CAS","",INDEX('DEQ Pollutant List'!$C$7:$C$611,MATCH('3. Pollutant Emissions - EF'!B166,'DEQ Pollutant List'!$B$7:$B$611,0))),"")</f>
        <v>2-Chlorophenol</v>
      </c>
      <c r="D166" s="115" t="str">
        <f>IFERROR(IF(OR($B126="",$B126="No CAS"),INDEX('DEQ Pollutant List'!$A$7:$A$611,MATCH($C126,'DEQ Pollutant List'!$C$7:$C$611,0)),INDEX('DEQ Pollutant List'!$A$7:$A$611,MATCH($B126,'DEQ Pollutant List'!$B$7:$B$611,0))),"")</f>
        <v/>
      </c>
      <c r="E166" s="101">
        <v>0</v>
      </c>
      <c r="F166" s="102">
        <v>0.01</v>
      </c>
      <c r="G166" s="103">
        <v>0.1</v>
      </c>
      <c r="H166" s="83"/>
      <c r="I166" s="104" t="s">
        <v>1487</v>
      </c>
      <c r="J166" s="102"/>
      <c r="K166" s="105">
        <f t="shared" ca="1" si="1"/>
        <v>0.2</v>
      </c>
      <c r="L166" s="83"/>
      <c r="M166" s="102"/>
      <c r="N166" s="105">
        <f t="shared" ca="1" si="2"/>
        <v>2.0000000000000004E-2</v>
      </c>
      <c r="O166" s="83"/>
    </row>
    <row r="167" spans="1:15" x14ac:dyDescent="0.35">
      <c r="A167" s="79" t="s">
        <v>1471</v>
      </c>
      <c r="B167" s="100" t="s">
        <v>1048</v>
      </c>
      <c r="C167" s="81" t="str">
        <f>IFERROR(IF(B167="No CAS","",INDEX('DEQ Pollutant List'!$C$7:$C$611,MATCH('3. Pollutant Emissions - EF'!B167,'DEQ Pollutant List'!$B$7:$B$611,0))),"")</f>
        <v>2,2,4-Trimethylpentane</v>
      </c>
      <c r="D167" s="115">
        <f>IFERROR(IF(OR($B127="",$B127="No CAS"),INDEX('DEQ Pollutant List'!$A$7:$A$611,MATCH($C127,'DEQ Pollutant List'!$C$7:$C$611,0)),INDEX('DEQ Pollutant List'!$A$7:$A$611,MATCH($B127,'DEQ Pollutant List'!$B$7:$B$611,0))),"")</f>
        <v>110</v>
      </c>
      <c r="E167" s="101">
        <v>0</v>
      </c>
      <c r="F167" s="102">
        <v>0.01</v>
      </c>
      <c r="G167" s="103">
        <v>0.1</v>
      </c>
      <c r="H167" s="83"/>
      <c r="I167" s="104" t="s">
        <v>1487</v>
      </c>
      <c r="J167" s="102"/>
      <c r="K167" s="105">
        <f t="shared" ca="1" si="1"/>
        <v>1.9725599999999999E-2</v>
      </c>
      <c r="L167" s="83"/>
      <c r="M167" s="102"/>
      <c r="N167" s="105">
        <f t="shared" ca="1" si="2"/>
        <v>1.9725599999999999E-3</v>
      </c>
      <c r="O167" s="83"/>
    </row>
    <row r="168" spans="1:15" x14ac:dyDescent="0.35">
      <c r="A168" s="79" t="s">
        <v>1471</v>
      </c>
      <c r="B168" s="100" t="s">
        <v>14</v>
      </c>
      <c r="C168" s="81" t="str">
        <f>IFERROR(IF(B168="No CAS","",INDEX('DEQ Pollutant List'!$C$7:$C$611,MATCH('3. Pollutant Emissions - EF'!B168,'DEQ Pollutant List'!$B$7:$B$611,0))),"")</f>
        <v>Acetaldehyde</v>
      </c>
      <c r="D168" s="115">
        <f>IFERROR(IF(OR($B128="",$B128="No CAS"),INDEX('DEQ Pollutant List'!$A$7:$A$611,MATCH($C128,'DEQ Pollutant List'!$C$7:$C$611,0)),INDEX('DEQ Pollutant List'!$A$7:$A$611,MATCH($B128,'DEQ Pollutant List'!$B$7:$B$611,0))),"")</f>
        <v>615</v>
      </c>
      <c r="E168" s="101">
        <v>0</v>
      </c>
      <c r="F168" s="102">
        <v>0.01</v>
      </c>
      <c r="G168" s="103">
        <v>0.1</v>
      </c>
      <c r="H168" s="83"/>
      <c r="I168" s="104" t="s">
        <v>1487</v>
      </c>
      <c r="J168" s="102"/>
      <c r="K168" s="105">
        <f t="shared" ca="1" si="1"/>
        <v>0.2</v>
      </c>
      <c r="L168" s="83"/>
      <c r="M168" s="102"/>
      <c r="N168" s="105">
        <f t="shared" ca="1" si="2"/>
        <v>2.0000000000000004E-2</v>
      </c>
      <c r="O168" s="83"/>
    </row>
    <row r="169" spans="1:15" x14ac:dyDescent="0.35">
      <c r="A169" s="79" t="s">
        <v>1471</v>
      </c>
      <c r="B169" s="100" t="s">
        <v>16</v>
      </c>
      <c r="C169" s="81" t="str">
        <f>IFERROR(IF(B169="No CAS","",INDEX('DEQ Pollutant List'!$C$7:$C$611,MATCH('3. Pollutant Emissions - EF'!B169,'DEQ Pollutant List'!$B$7:$B$611,0))),"")</f>
        <v>Acetamide</v>
      </c>
      <c r="D169" s="115">
        <f>IFERROR(IF(OR($B129="",$B129="No CAS"),INDEX('DEQ Pollutant List'!$A$7:$A$611,MATCH($C129,'DEQ Pollutant List'!$C$7:$C$611,0)),INDEX('DEQ Pollutant List'!$A$7:$A$611,MATCH($B129,'DEQ Pollutant List'!$B$7:$B$611,0))),"")</f>
        <v>111</v>
      </c>
      <c r="E169" s="101">
        <v>0</v>
      </c>
      <c r="F169" s="102">
        <v>0.01</v>
      </c>
      <c r="G169" s="103">
        <v>0.1</v>
      </c>
      <c r="H169" s="83"/>
      <c r="I169" s="104" t="s">
        <v>1487</v>
      </c>
      <c r="J169" s="202"/>
      <c r="K169" s="105">
        <f t="shared" ca="1" si="1"/>
        <v>0.2</v>
      </c>
      <c r="L169" s="83"/>
      <c r="M169" s="102"/>
      <c r="N169" s="105">
        <f t="shared" ca="1" si="2"/>
        <v>2.0000000000000004E-2</v>
      </c>
      <c r="O169" s="83"/>
    </row>
    <row r="170" spans="1:15" x14ac:dyDescent="0.35">
      <c r="A170" s="79" t="s">
        <v>1471</v>
      </c>
      <c r="B170" s="100" t="s">
        <v>18</v>
      </c>
      <c r="C170" s="81" t="str">
        <f>IFERROR(IF(B170="No CAS","",INDEX('DEQ Pollutant List'!$C$7:$C$611,MATCH('3. Pollutant Emissions - EF'!B170,'DEQ Pollutant List'!$B$7:$B$611,0))),"")</f>
        <v>Acetone</v>
      </c>
      <c r="D170" s="115">
        <f>IFERROR(IF(OR($B130="",$B130="No CAS"),INDEX('DEQ Pollutant List'!$A$7:$A$611,MATCH($C130,'DEQ Pollutant List'!$C$7:$C$611,0)),INDEX('DEQ Pollutant List'!$A$7:$A$611,MATCH($B130,'DEQ Pollutant List'!$B$7:$B$611,0))),"")</f>
        <v>333</v>
      </c>
      <c r="E170" s="101">
        <v>0</v>
      </c>
      <c r="F170" s="102">
        <v>0.01</v>
      </c>
      <c r="G170" s="103">
        <v>0.1</v>
      </c>
      <c r="H170" s="83"/>
      <c r="I170" s="104" t="s">
        <v>1487</v>
      </c>
      <c r="J170" s="102"/>
      <c r="K170" s="105">
        <f t="shared" ca="1" si="1"/>
        <v>31.285571999999998</v>
      </c>
      <c r="L170" s="83"/>
      <c r="M170" s="102"/>
      <c r="N170" s="105">
        <f t="shared" ca="1" si="2"/>
        <v>3.1285571999999999</v>
      </c>
      <c r="O170" s="83"/>
    </row>
    <row r="171" spans="1:15" x14ac:dyDescent="0.35">
      <c r="A171" s="79" t="s">
        <v>1471</v>
      </c>
      <c r="B171" s="100" t="s">
        <v>20</v>
      </c>
      <c r="C171" s="81" t="str">
        <f>IFERROR(IF(B171="No CAS","",INDEX('DEQ Pollutant List'!$C$7:$C$611,MATCH('3. Pollutant Emissions - EF'!B171,'DEQ Pollutant List'!$B$7:$B$611,0))),"")</f>
        <v>Acetonitrile</v>
      </c>
      <c r="D171" s="115">
        <f>IFERROR(IF(OR($B131="",$B131="No CAS"),INDEX('DEQ Pollutant List'!$A$7:$A$611,MATCH($C131,'DEQ Pollutant List'!$C$7:$C$611,0)),INDEX('DEQ Pollutant List'!$A$7:$A$611,MATCH($B131,'DEQ Pollutant List'!$B$7:$B$611,0))),"")</f>
        <v>122</v>
      </c>
      <c r="E171" s="101">
        <v>0</v>
      </c>
      <c r="F171" s="102">
        <v>0.01</v>
      </c>
      <c r="G171" s="103">
        <v>0.1</v>
      </c>
      <c r="H171" s="83"/>
      <c r="I171" s="104" t="s">
        <v>1487</v>
      </c>
      <c r="J171" s="102"/>
      <c r="K171" s="105">
        <f t="shared" ca="1" si="1"/>
        <v>8.6883845999999991</v>
      </c>
      <c r="L171" s="83"/>
      <c r="M171" s="102"/>
      <c r="N171" s="105">
        <f t="shared" ca="1" si="2"/>
        <v>0.86883845999999998</v>
      </c>
      <c r="O171" s="83"/>
    </row>
    <row r="172" spans="1:15" x14ac:dyDescent="0.35">
      <c r="A172" s="79" t="s">
        <v>1471</v>
      </c>
      <c r="B172" s="100" t="s">
        <v>22</v>
      </c>
      <c r="C172" s="81" t="str">
        <f>IFERROR(IF(B172="No CAS","",INDEX('DEQ Pollutant List'!$C$7:$C$611,MATCH('3. Pollutant Emissions - EF'!B172,'DEQ Pollutant List'!$B$7:$B$611,0))),"")</f>
        <v>Acetophenone</v>
      </c>
      <c r="D172" s="115">
        <f>IFERROR(IF(OR($B132="",$B132="No CAS"),INDEX('DEQ Pollutant List'!$A$7:$A$611,MATCH($C132,'DEQ Pollutant List'!$C$7:$C$611,0)),INDEX('DEQ Pollutant List'!$A$7:$A$611,MATCH($B132,'DEQ Pollutant List'!$B$7:$B$611,0))),"")</f>
        <v>1</v>
      </c>
      <c r="E172" s="101">
        <v>0</v>
      </c>
      <c r="F172" s="102">
        <v>0.01</v>
      </c>
      <c r="G172" s="103">
        <v>0.1</v>
      </c>
      <c r="H172" s="83"/>
      <c r="I172" s="104" t="s">
        <v>1487</v>
      </c>
      <c r="J172" s="102"/>
      <c r="K172" s="105">
        <f t="shared" ca="1" si="1"/>
        <v>0.2</v>
      </c>
      <c r="L172" s="83"/>
      <c r="M172" s="102"/>
      <c r="N172" s="105">
        <f t="shared" ca="1" si="2"/>
        <v>2.0000000000000004E-2</v>
      </c>
      <c r="O172" s="83"/>
    </row>
    <row r="173" spans="1:15" x14ac:dyDescent="0.35">
      <c r="A173" s="79" t="s">
        <v>1471</v>
      </c>
      <c r="B173" s="100" t="s">
        <v>30</v>
      </c>
      <c r="C173" s="81" t="str">
        <f>IFERROR(IF(B173="No CAS","",INDEX('DEQ Pollutant List'!$C$7:$C$611,MATCH('3. Pollutant Emissions - EF'!B173,'DEQ Pollutant List'!$B$7:$B$611,0))),"")</f>
        <v>Acrylonitrile</v>
      </c>
      <c r="D173" s="115">
        <f>IFERROR(IF(OR($B133="",$B133="No CAS"),INDEX('DEQ Pollutant List'!$A$7:$A$611,MATCH($C133,'DEQ Pollutant List'!$C$7:$C$611,0)),INDEX('DEQ Pollutant List'!$A$7:$A$611,MATCH($B133,'DEQ Pollutant List'!$B$7:$B$611,0))),"")</f>
        <v>2</v>
      </c>
      <c r="E173" s="101">
        <v>0</v>
      </c>
      <c r="F173" s="102">
        <v>0.01</v>
      </c>
      <c r="G173" s="103">
        <v>0.1</v>
      </c>
      <c r="H173" s="83"/>
      <c r="I173" s="104" t="s">
        <v>1487</v>
      </c>
      <c r="J173" s="102"/>
      <c r="K173" s="105">
        <f t="shared" ca="1" si="1"/>
        <v>1.008E-3</v>
      </c>
      <c r="L173" s="83"/>
      <c r="M173" s="102"/>
      <c r="N173" s="105">
        <f t="shared" ca="1" si="2"/>
        <v>1.0080000000000001E-4</v>
      </c>
      <c r="O173" s="83"/>
    </row>
    <row r="174" spans="1:15" x14ac:dyDescent="0.35">
      <c r="A174" s="79" t="s">
        <v>1471</v>
      </c>
      <c r="B174" s="100" t="s">
        <v>38</v>
      </c>
      <c r="C174" s="81" t="str">
        <f>IFERROR(IF(B174="No CAS","",INDEX('DEQ Pollutant List'!$C$7:$C$611,MATCH('3. Pollutant Emissions - EF'!B174,'DEQ Pollutant List'!$B$7:$B$611,0))),"")</f>
        <v>Allyl chloride</v>
      </c>
      <c r="D174" s="115">
        <f>IFERROR(IF(OR($B134="",$B134="No CAS"),INDEX('DEQ Pollutant List'!$A$7:$A$611,MATCH($C134,'DEQ Pollutant List'!$C$7:$C$611,0)),INDEX('DEQ Pollutant List'!$A$7:$A$611,MATCH($B134,'DEQ Pollutant List'!$B$7:$B$611,0))),"")</f>
        <v>4</v>
      </c>
      <c r="E174" s="101">
        <v>0</v>
      </c>
      <c r="F174" s="102">
        <v>0.01</v>
      </c>
      <c r="G174" s="103">
        <v>0.1</v>
      </c>
      <c r="H174" s="83"/>
      <c r="I174" s="104" t="s">
        <v>1487</v>
      </c>
      <c r="J174" s="102"/>
      <c r="K174" s="105">
        <f t="shared" ca="1" si="1"/>
        <v>0.2</v>
      </c>
      <c r="L174" s="83"/>
      <c r="M174" s="102"/>
      <c r="N174" s="105">
        <f t="shared" ca="1" si="2"/>
        <v>2.0000000000000004E-2</v>
      </c>
      <c r="O174" s="83"/>
    </row>
    <row r="175" spans="1:15" x14ac:dyDescent="0.35">
      <c r="A175" s="79" t="s">
        <v>1471</v>
      </c>
      <c r="B175" s="100" t="s">
        <v>61</v>
      </c>
      <c r="C175" s="81" t="str">
        <f>IFERROR(IF(B175="No CAS","",INDEX('DEQ Pollutant List'!$C$7:$C$611,MATCH('3. Pollutant Emissions - EF'!B175,'DEQ Pollutant List'!$B$7:$B$611,0))),"")</f>
        <v>Ammonia</v>
      </c>
      <c r="D175" s="115">
        <f>IFERROR(IF(OR($B135="",$B135="No CAS"),INDEX('DEQ Pollutant List'!$A$7:$A$611,MATCH($C135,'DEQ Pollutant List'!$C$7:$C$611,0)),INDEX('DEQ Pollutant List'!$A$7:$A$611,MATCH($B135,'DEQ Pollutant List'!$B$7:$B$611,0))),"")</f>
        <v>12</v>
      </c>
      <c r="E175" s="101">
        <v>0</v>
      </c>
      <c r="F175" s="102">
        <v>0.01</v>
      </c>
      <c r="G175" s="103">
        <v>0.1</v>
      </c>
      <c r="H175" s="83"/>
      <c r="I175" s="104" t="s">
        <v>1487</v>
      </c>
      <c r="J175" s="102"/>
      <c r="K175" s="105">
        <f t="shared" ca="1" si="1"/>
        <v>0.2</v>
      </c>
      <c r="L175" s="83"/>
      <c r="M175" s="102"/>
      <c r="N175" s="105">
        <f t="shared" ca="1" si="2"/>
        <v>2.0000000000000004E-2</v>
      </c>
      <c r="O175" s="83"/>
    </row>
    <row r="176" spans="1:15" x14ac:dyDescent="0.35">
      <c r="A176" s="79" t="s">
        <v>1471</v>
      </c>
      <c r="B176" s="100" t="s">
        <v>69</v>
      </c>
      <c r="C176" s="81" t="str">
        <f>IFERROR(IF(B176="No CAS","",INDEX('DEQ Pollutant List'!$C$7:$C$611,MATCH('3. Pollutant Emissions - EF'!B176,'DEQ Pollutant List'!$B$7:$B$611,0))),"")</f>
        <v>Aniline</v>
      </c>
      <c r="D176" s="115">
        <f>IFERROR(IF(OR($B136="",$B136="No CAS"),INDEX('DEQ Pollutant List'!$A$7:$A$611,MATCH($C136,'DEQ Pollutant List'!$C$7:$C$611,0)),INDEX('DEQ Pollutant List'!$A$7:$A$611,MATCH($B136,'DEQ Pollutant List'!$B$7:$B$611,0))),"")</f>
        <v>26</v>
      </c>
      <c r="E176" s="101">
        <v>0</v>
      </c>
      <c r="F176" s="102">
        <v>0.01</v>
      </c>
      <c r="G176" s="103">
        <v>0.1</v>
      </c>
      <c r="H176" s="83"/>
      <c r="I176" s="104" t="s">
        <v>1487</v>
      </c>
      <c r="J176" s="102"/>
      <c r="K176" s="105">
        <f t="shared" ca="1" si="1"/>
        <v>0.2</v>
      </c>
      <c r="L176" s="83"/>
      <c r="M176" s="102"/>
      <c r="N176" s="105">
        <f t="shared" ca="1" si="2"/>
        <v>2.0000000000000004E-2</v>
      </c>
      <c r="O176" s="83"/>
    </row>
    <row r="177" spans="1:15" x14ac:dyDescent="0.35">
      <c r="A177" s="79" t="s">
        <v>1471</v>
      </c>
      <c r="B177" s="100" t="s">
        <v>98</v>
      </c>
      <c r="C177" s="81" t="str">
        <f>IFERROR(IF(B177="No CAS","",INDEX('DEQ Pollutant List'!$C$7:$C$611,MATCH('3. Pollutant Emissions - EF'!B177,'DEQ Pollutant List'!$B$7:$B$611,0))),"")</f>
        <v>Benzene</v>
      </c>
      <c r="D177" s="115">
        <f>IFERROR(IF(OR($B137="",$B137="No CAS"),INDEX('DEQ Pollutant List'!$A$7:$A$611,MATCH($C137,'DEQ Pollutant List'!$C$7:$C$611,0)),INDEX('DEQ Pollutant List'!$A$7:$A$611,MATCH($B137,'DEQ Pollutant List'!$B$7:$B$611,0))),"")</f>
        <v>46</v>
      </c>
      <c r="E177" s="101">
        <v>0</v>
      </c>
      <c r="F177" s="102">
        <v>0.01</v>
      </c>
      <c r="G177" s="103">
        <v>0.1</v>
      </c>
      <c r="H177" s="83"/>
      <c r="I177" s="104" t="s">
        <v>1487</v>
      </c>
      <c r="J177" s="102"/>
      <c r="K177" s="105">
        <f t="shared" ca="1" si="1"/>
        <v>0.2</v>
      </c>
      <c r="L177" s="83"/>
      <c r="M177" s="102"/>
      <c r="N177" s="105">
        <f t="shared" ca="1" si="2"/>
        <v>2.0000000000000004E-2</v>
      </c>
      <c r="O177" s="83"/>
    </row>
    <row r="178" spans="1:15" x14ac:dyDescent="0.35">
      <c r="A178" s="79" t="s">
        <v>1471</v>
      </c>
      <c r="B178" s="100" t="s">
        <v>105</v>
      </c>
      <c r="C178" s="81" t="str">
        <f>IFERROR(IF(B178="No CAS","",INDEX('DEQ Pollutant List'!$C$7:$C$611,MATCH('3. Pollutant Emissions - EF'!B178,'DEQ Pollutant List'!$B$7:$B$611,0))),"")</f>
        <v>Benzoyl chloride</v>
      </c>
      <c r="D178" s="115">
        <f>IFERROR(IF(OR($B138="",$B138="No CAS"),INDEX('DEQ Pollutant List'!$A$7:$A$611,MATCH($C138,'DEQ Pollutant List'!$C$7:$C$611,0)),INDEX('DEQ Pollutant List'!$A$7:$A$611,MATCH($B138,'DEQ Pollutant List'!$B$7:$B$611,0))),"")</f>
        <v>54</v>
      </c>
      <c r="E178" s="101">
        <v>0</v>
      </c>
      <c r="F178" s="102">
        <v>0.01</v>
      </c>
      <c r="G178" s="103">
        <v>0.1</v>
      </c>
      <c r="H178" s="83"/>
      <c r="I178" s="104" t="s">
        <v>1487</v>
      </c>
      <c r="J178" s="102"/>
      <c r="K178" s="105">
        <f t="shared" ca="1" si="1"/>
        <v>0.2</v>
      </c>
      <c r="L178" s="83"/>
      <c r="M178" s="102"/>
      <c r="N178" s="105">
        <f t="shared" ca="1" si="2"/>
        <v>2.0000000000000004E-2</v>
      </c>
      <c r="O178" s="83"/>
    </row>
    <row r="179" spans="1:15" x14ac:dyDescent="0.35">
      <c r="A179" s="79" t="s">
        <v>1471</v>
      </c>
      <c r="B179" s="100" t="s">
        <v>123</v>
      </c>
      <c r="C179" s="81" t="str">
        <f>IFERROR(IF(B179="No CAS","",INDEX('DEQ Pollutant List'!$C$7:$C$611,MATCH('3. Pollutant Emissions - EF'!B179,'DEQ Pollutant List'!$B$7:$B$611,0))),"")</f>
        <v>Bromine and compounds</v>
      </c>
      <c r="D179" s="115">
        <f>IFERROR(IF(OR($B139="",$B139="No CAS"),INDEX('DEQ Pollutant List'!$A$7:$A$611,MATCH($C139,'DEQ Pollutant List'!$C$7:$C$611,0)),INDEX('DEQ Pollutant List'!$A$7:$A$611,MATCH($B139,'DEQ Pollutant List'!$B$7:$B$611,0))),"")</f>
        <v>66</v>
      </c>
      <c r="E179" s="101">
        <v>0</v>
      </c>
      <c r="F179" s="102">
        <v>0.01</v>
      </c>
      <c r="G179" s="103">
        <v>0.1</v>
      </c>
      <c r="H179" s="83"/>
      <c r="I179" s="104" t="s">
        <v>1487</v>
      </c>
      <c r="J179" s="102"/>
      <c r="K179" s="105">
        <f t="shared" ca="1" si="1"/>
        <v>0.2</v>
      </c>
      <c r="L179" s="83"/>
      <c r="M179" s="102"/>
      <c r="N179" s="105">
        <f t="shared" ca="1" si="2"/>
        <v>2.0000000000000004E-2</v>
      </c>
      <c r="O179" s="83"/>
    </row>
    <row r="180" spans="1:15" x14ac:dyDescent="0.35">
      <c r="A180" s="79" t="s">
        <v>1471</v>
      </c>
      <c r="B180" s="100" t="s">
        <v>166</v>
      </c>
      <c r="C180" s="81" t="str">
        <f>IFERROR(IF(B180="No CAS","",INDEX('DEQ Pollutant List'!$C$7:$C$611,MATCH('3. Pollutant Emissions - EF'!B180,'DEQ Pollutant List'!$B$7:$B$611,0))),"")</f>
        <v>Carbon disulfide</v>
      </c>
      <c r="D180" s="115">
        <f>IFERROR(IF(OR($B140="",$B140="No CAS"),INDEX('DEQ Pollutant List'!$A$7:$A$611,MATCH($C140,'DEQ Pollutant List'!$C$7:$C$611,0)),INDEX('DEQ Pollutant List'!$A$7:$A$611,MATCH($B140,'DEQ Pollutant List'!$B$7:$B$611,0))),"")</f>
        <v>90</v>
      </c>
      <c r="E180" s="101">
        <v>0</v>
      </c>
      <c r="F180" s="102">
        <v>0.01</v>
      </c>
      <c r="G180" s="103">
        <v>0.1</v>
      </c>
      <c r="H180" s="83"/>
      <c r="I180" s="104" t="s">
        <v>1487</v>
      </c>
      <c r="J180" s="102"/>
      <c r="K180" s="105">
        <f t="shared" ca="1" si="1"/>
        <v>0.2</v>
      </c>
      <c r="L180" s="83"/>
      <c r="M180" s="102"/>
      <c r="N180" s="105">
        <f t="shared" ca="1" si="2"/>
        <v>2.0000000000000004E-2</v>
      </c>
      <c r="O180" s="83"/>
    </row>
    <row r="181" spans="1:15" x14ac:dyDescent="0.35">
      <c r="A181" s="79" t="s">
        <v>1471</v>
      </c>
      <c r="B181" s="100" t="s">
        <v>174</v>
      </c>
      <c r="C181" s="81" t="str">
        <f>IFERROR(IF(B181="No CAS","",INDEX('DEQ Pollutant List'!$C$7:$C$611,MATCH('3. Pollutant Emissions - EF'!B181,'DEQ Pollutant List'!$B$7:$B$611,0))),"")</f>
        <v>Catechol</v>
      </c>
      <c r="D181" s="115">
        <f>IFERROR(IF(OR($B141="",$B141="No CAS"),INDEX('DEQ Pollutant List'!$A$7:$A$611,MATCH($C141,'DEQ Pollutant List'!$C$7:$C$611,0)),INDEX('DEQ Pollutant List'!$A$7:$A$611,MATCH($B141,'DEQ Pollutant List'!$B$7:$B$611,0))),"")</f>
        <v>94</v>
      </c>
      <c r="E181" s="101">
        <v>0</v>
      </c>
      <c r="F181" s="102">
        <v>0.01</v>
      </c>
      <c r="G181" s="103">
        <v>0.1</v>
      </c>
      <c r="H181" s="83"/>
      <c r="I181" s="104" t="s">
        <v>1487</v>
      </c>
      <c r="J181" s="102"/>
      <c r="K181" s="105">
        <f t="shared" ca="1" si="1"/>
        <v>0.2</v>
      </c>
      <c r="L181" s="83"/>
      <c r="M181" s="102"/>
      <c r="N181" s="105">
        <f t="shared" ca="1" si="2"/>
        <v>2.0000000000000004E-2</v>
      </c>
      <c r="O181" s="83"/>
    </row>
    <row r="182" spans="1:15" x14ac:dyDescent="0.35">
      <c r="A182" s="79" t="s">
        <v>1471</v>
      </c>
      <c r="B182" s="100" t="s">
        <v>189</v>
      </c>
      <c r="C182" s="81" t="str">
        <f>IFERROR(IF(B182="No CAS","",INDEX('DEQ Pollutant List'!$C$7:$C$611,MATCH('3. Pollutant Emissions - EF'!B182,'DEQ Pollutant List'!$B$7:$B$611,0))),"")</f>
        <v>Chlorine</v>
      </c>
      <c r="D182" s="115" t="str">
        <f>IFERROR(IF(OR(#REF!="",#REF!="No CAS"),INDEX('DEQ Pollutant List'!$A$7:$A$611,MATCH(#REF!,'DEQ Pollutant List'!$C$7:$C$611,0)),INDEX('DEQ Pollutant List'!$A$7:$A$611,MATCH(#REF!,'DEQ Pollutant List'!$B$7:$B$611,0))),"")</f>
        <v/>
      </c>
      <c r="E182" s="101">
        <v>0</v>
      </c>
      <c r="F182" s="102">
        <v>0.01</v>
      </c>
      <c r="G182" s="103">
        <v>0.1</v>
      </c>
      <c r="H182" s="83"/>
      <c r="I182" s="104" t="s">
        <v>1487</v>
      </c>
      <c r="J182" s="102"/>
      <c r="K182" s="105">
        <f t="shared" ca="1" si="1"/>
        <v>0.2</v>
      </c>
      <c r="L182" s="83"/>
      <c r="M182" s="102"/>
      <c r="N182" s="105">
        <f ca="1">G182*K182</f>
        <v>2.0000000000000004E-2</v>
      </c>
      <c r="O182" s="83"/>
    </row>
    <row r="183" spans="1:15" x14ac:dyDescent="0.35">
      <c r="A183" s="79" t="s">
        <v>1471</v>
      </c>
      <c r="B183" s="100" t="s">
        <v>200</v>
      </c>
      <c r="C183" s="81" t="str">
        <f>IFERROR(IF(B183="No CAS","",INDEX('DEQ Pollutant List'!$C$7:$C$611,MATCH('3. Pollutant Emissions - EF'!B183,'DEQ Pollutant List'!$B$7:$B$611,0))),"")</f>
        <v>Chlorobenzene</v>
      </c>
      <c r="D183" s="115" t="str">
        <f>IFERROR(IF(OR(#REF!="",#REF!="No CAS"),INDEX('DEQ Pollutant List'!$A$7:$A$611,MATCH(#REF!,'DEQ Pollutant List'!$C$7:$C$611,0)),INDEX('DEQ Pollutant List'!$A$7:$A$611,MATCH(#REF!,'DEQ Pollutant List'!$B$7:$B$611,0))),"")</f>
        <v/>
      </c>
      <c r="E183" s="101">
        <v>0</v>
      </c>
      <c r="F183" s="102">
        <v>0.01</v>
      </c>
      <c r="G183" s="103">
        <v>0.1</v>
      </c>
      <c r="H183" s="83"/>
      <c r="I183" s="104" t="s">
        <v>1487</v>
      </c>
      <c r="J183" s="102"/>
      <c r="K183" s="105">
        <f t="shared" ca="1" si="1"/>
        <v>0.2</v>
      </c>
      <c r="L183" s="83"/>
      <c r="M183" s="102"/>
      <c r="N183" s="105">
        <f t="shared" ca="1" si="2"/>
        <v>2.0000000000000004E-2</v>
      </c>
      <c r="O183" s="83"/>
    </row>
    <row r="184" spans="1:15" x14ac:dyDescent="0.35">
      <c r="A184" s="79" t="s">
        <v>1471</v>
      </c>
      <c r="B184" s="100" t="s">
        <v>208</v>
      </c>
      <c r="C184" s="81" t="str">
        <f>IFERROR(IF(B184="No CAS","",INDEX('DEQ Pollutant List'!$C$7:$C$611,MATCH('3. Pollutant Emissions - EF'!B184,'DEQ Pollutant List'!$B$7:$B$611,0))),"")</f>
        <v>Chloroform</v>
      </c>
      <c r="D184" s="115">
        <f>IFERROR(IF(OR($B142="",$B142="No CAS"),INDEX('DEQ Pollutant List'!$A$7:$A$611,MATCH($C142,'DEQ Pollutant List'!$C$7:$C$611,0)),INDEX('DEQ Pollutant List'!$A$7:$A$611,MATCH($B142,'DEQ Pollutant List'!$B$7:$B$611,0))),"")</f>
        <v>152</v>
      </c>
      <c r="E184" s="101">
        <v>0</v>
      </c>
      <c r="F184" s="102">
        <v>0.01</v>
      </c>
      <c r="G184" s="103">
        <v>0.1</v>
      </c>
      <c r="H184" s="83"/>
      <c r="I184" s="104" t="s">
        <v>1487</v>
      </c>
      <c r="J184" s="102"/>
      <c r="K184" s="105">
        <f t="shared" ca="1" si="1"/>
        <v>0.16614000000000001</v>
      </c>
      <c r="L184" s="83"/>
      <c r="M184" s="102"/>
      <c r="N184" s="105">
        <f t="shared" ca="1" si="2"/>
        <v>1.6614E-2</v>
      </c>
      <c r="O184" s="83"/>
    </row>
    <row r="185" spans="1:15" x14ac:dyDescent="0.35">
      <c r="A185" s="79" t="s">
        <v>1471</v>
      </c>
      <c r="B185" s="100" t="s">
        <v>241</v>
      </c>
      <c r="C185" s="81" t="str">
        <f>IFERROR(IF(B185="No CAS","",INDEX('DEQ Pollutant List'!$C$7:$C$611,MATCH('3. Pollutant Emissions - EF'!B185,'DEQ Pollutant List'!$B$7:$B$611,0))),"")</f>
        <v>Cresols (mixture), including m-cresol, o-cresol, p-cresol</v>
      </c>
      <c r="D185" s="115">
        <f>IFERROR(IF(OR($B143="",$B143="No CAS"),INDEX('DEQ Pollutant List'!$A$7:$A$611,MATCH($C143,'DEQ Pollutant List'!$C$7:$C$611,0)),INDEX('DEQ Pollutant List'!$A$7:$A$611,MATCH($B143,'DEQ Pollutant List'!$B$7:$B$611,0))),"")</f>
        <v>163</v>
      </c>
      <c r="E185" s="101">
        <v>0</v>
      </c>
      <c r="F185" s="102">
        <v>0.01</v>
      </c>
      <c r="G185" s="103">
        <v>0.1</v>
      </c>
      <c r="H185" s="83"/>
      <c r="I185" s="104" t="s">
        <v>1487</v>
      </c>
      <c r="J185" s="102"/>
      <c r="K185" s="105">
        <f t="shared" ca="1" si="1"/>
        <v>0.2</v>
      </c>
      <c r="L185" s="83"/>
      <c r="M185" s="102"/>
      <c r="N185" s="105">
        <f t="shared" ca="1" si="2"/>
        <v>2.0000000000000004E-2</v>
      </c>
      <c r="O185" s="83"/>
    </row>
    <row r="186" spans="1:15" x14ac:dyDescent="0.35">
      <c r="A186" s="79" t="s">
        <v>1471</v>
      </c>
      <c r="B186" s="100" t="s">
        <v>254</v>
      </c>
      <c r="C186" s="81" t="str">
        <f>IFERROR(IF(B186="No CAS","",INDEX('DEQ Pollutant List'!$C$7:$C$611,MATCH('3. Pollutant Emissions - EF'!B186,'DEQ Pollutant List'!$B$7:$B$611,0))),"")</f>
        <v>Cyclohexane</v>
      </c>
      <c r="D186" s="115">
        <f>IFERROR(IF(OR($B144="",$B144="No CAS"),INDEX('DEQ Pollutant List'!$A$7:$A$611,MATCH($C144,'DEQ Pollutant List'!$C$7:$C$611,0)),INDEX('DEQ Pollutant List'!$A$7:$A$611,MATCH($B144,'DEQ Pollutant List'!$B$7:$B$611,0))),"")</f>
        <v>259</v>
      </c>
      <c r="E186" s="101">
        <v>0</v>
      </c>
      <c r="F186" s="102">
        <v>0.01</v>
      </c>
      <c r="G186" s="103">
        <v>0.1</v>
      </c>
      <c r="H186" s="83"/>
      <c r="I186" s="104" t="s">
        <v>1487</v>
      </c>
      <c r="J186" s="102"/>
      <c r="K186" s="105">
        <f t="shared" ca="1" si="1"/>
        <v>0.29397119999999999</v>
      </c>
      <c r="L186" s="83"/>
      <c r="M186" s="102"/>
      <c r="N186" s="105">
        <f t="shared" ca="1" si="2"/>
        <v>2.9397119999999999E-2</v>
      </c>
      <c r="O186" s="83"/>
    </row>
    <row r="187" spans="1:15" x14ac:dyDescent="0.35">
      <c r="A187" s="79" t="s">
        <v>1471</v>
      </c>
      <c r="B187" s="100" t="s">
        <v>256</v>
      </c>
      <c r="C187" s="81" t="str">
        <f>IFERROR(IF(B187="No CAS","",INDEX('DEQ Pollutant List'!$C$7:$C$611,MATCH('3. Pollutant Emissions - EF'!B187,'DEQ Pollutant List'!$B$7:$B$611,0))),"")</f>
        <v>Cyclohexanol</v>
      </c>
      <c r="D187" s="115">
        <f>IFERROR(IF(OR($B145="",$B145="No CAS"),INDEX('DEQ Pollutant List'!$A$7:$A$611,MATCH($C145,'DEQ Pollutant List'!$C$7:$C$611,0)),INDEX('DEQ Pollutant List'!$A$7:$A$611,MATCH($B145,'DEQ Pollutant List'!$B$7:$B$611,0))),"")</f>
        <v>229</v>
      </c>
      <c r="E187" s="101">
        <v>0</v>
      </c>
      <c r="F187" s="102">
        <v>0.01</v>
      </c>
      <c r="G187" s="103">
        <v>0.1</v>
      </c>
      <c r="H187" s="83"/>
      <c r="I187" s="104" t="s">
        <v>1487</v>
      </c>
      <c r="J187" s="102"/>
      <c r="K187" s="105">
        <f t="shared" ca="1" si="1"/>
        <v>0.2</v>
      </c>
      <c r="L187" s="83"/>
      <c r="M187" s="102"/>
      <c r="N187" s="105">
        <f t="shared" ca="1" si="2"/>
        <v>2.0000000000000004E-2</v>
      </c>
      <c r="O187" s="83"/>
    </row>
    <row r="188" spans="1:15" x14ac:dyDescent="0.35">
      <c r="A188" s="79" t="s">
        <v>1471</v>
      </c>
      <c r="B188" s="100" t="s">
        <v>317</v>
      </c>
      <c r="C188" s="81" t="str">
        <f>IFERROR(IF(B188="No CAS","",INDEX('DEQ Pollutant List'!$C$7:$C$611,MATCH('3. Pollutant Emissions - EF'!B188,'DEQ Pollutant List'!$B$7:$B$611,0))),"")</f>
        <v>Dichloromethane (methylene chloride)</v>
      </c>
      <c r="D188" s="115">
        <f>IFERROR(IF(OR($B146="",$B146="No CAS"),INDEX('DEQ Pollutant List'!$A$7:$A$611,MATCH($C146,'DEQ Pollutant List'!$C$7:$C$611,0)),INDEX('DEQ Pollutant List'!$A$7:$A$611,MATCH($B146,'DEQ Pollutant List'!$B$7:$B$611,0))),"")</f>
        <v>234</v>
      </c>
      <c r="E188" s="101">
        <v>0</v>
      </c>
      <c r="F188" s="102">
        <v>0.01</v>
      </c>
      <c r="G188" s="103">
        <v>0.1</v>
      </c>
      <c r="H188" s="83"/>
      <c r="I188" s="104" t="s">
        <v>1487</v>
      </c>
      <c r="J188" s="102"/>
      <c r="K188" s="105">
        <f t="shared" ca="1" si="1"/>
        <v>22.589027999999999</v>
      </c>
      <c r="L188" s="83"/>
      <c r="M188" s="102"/>
      <c r="N188" s="105">
        <f t="shared" ca="1" si="2"/>
        <v>2.2589028</v>
      </c>
      <c r="O188" s="83"/>
    </row>
    <row r="189" spans="1:15" x14ac:dyDescent="0.35">
      <c r="A189" s="79" t="s">
        <v>1471</v>
      </c>
      <c r="B189" s="100" t="s">
        <v>336</v>
      </c>
      <c r="C189" s="81" t="str">
        <f>IFERROR(IF(B189="No CAS","",INDEX('DEQ Pollutant List'!$C$7:$C$611,MATCH('3. Pollutant Emissions - EF'!B189,'DEQ Pollutant List'!$B$7:$B$611,0))),"")</f>
        <v>Diethylene glycol dimethyl ether</v>
      </c>
      <c r="D189" s="115">
        <f>IFERROR(IF(OR($B147="",$B147="No CAS"),INDEX('DEQ Pollutant List'!$A$7:$A$611,MATCH($C147,'DEQ Pollutant List'!$C$7:$C$611,0)),INDEX('DEQ Pollutant List'!$A$7:$A$611,MATCH($B147,'DEQ Pollutant List'!$B$7:$B$611,0))),"")</f>
        <v>288</v>
      </c>
      <c r="E189" s="101">
        <v>0</v>
      </c>
      <c r="F189" s="102">
        <v>0.01</v>
      </c>
      <c r="G189" s="103">
        <v>0.1</v>
      </c>
      <c r="H189" s="83"/>
      <c r="I189" s="104" t="s">
        <v>1487</v>
      </c>
      <c r="J189" s="102"/>
      <c r="K189" s="105">
        <f t="shared" ca="1" si="1"/>
        <v>0.2</v>
      </c>
      <c r="L189" s="83"/>
      <c r="M189" s="102"/>
      <c r="N189" s="105">
        <f t="shared" ca="1" si="2"/>
        <v>2.0000000000000004E-2</v>
      </c>
      <c r="O189" s="83"/>
    </row>
    <row r="190" spans="1:15" x14ac:dyDescent="0.35">
      <c r="A190" s="79" t="s">
        <v>1471</v>
      </c>
      <c r="B190" s="100" t="s">
        <v>364</v>
      </c>
      <c r="C190" s="81" t="str">
        <f>IFERROR(IF(B190="No CAS","",INDEX('DEQ Pollutant List'!$C$7:$C$611,MATCH('3. Pollutant Emissions - EF'!B190,'DEQ Pollutant List'!$B$7:$B$611,0))),"")</f>
        <v>Dimethyl formamide</v>
      </c>
      <c r="D190" s="115">
        <f>IFERROR(IF(OR($B148="",$B148="No CAS"),INDEX('DEQ Pollutant List'!$A$7:$A$611,MATCH($C148,'DEQ Pollutant List'!$C$7:$C$611,0)),INDEX('DEQ Pollutant List'!$A$7:$A$611,MATCH($B148,'DEQ Pollutant List'!$B$7:$B$611,0))),"")</f>
        <v>311</v>
      </c>
      <c r="E190" s="101">
        <v>0</v>
      </c>
      <c r="F190" s="102">
        <v>0.01</v>
      </c>
      <c r="G190" s="103">
        <v>0.1</v>
      </c>
      <c r="H190" s="83"/>
      <c r="I190" s="104" t="s">
        <v>1487</v>
      </c>
      <c r="J190" s="102"/>
      <c r="K190" s="105">
        <f t="shared" ca="1" si="1"/>
        <v>1.0990188599999999</v>
      </c>
      <c r="L190" s="83"/>
      <c r="M190" s="102"/>
      <c r="N190" s="105">
        <f t="shared" ca="1" si="2"/>
        <v>0.109901886</v>
      </c>
      <c r="O190" s="83"/>
    </row>
    <row r="191" spans="1:15" x14ac:dyDescent="0.35">
      <c r="A191" s="79" t="s">
        <v>1471</v>
      </c>
      <c r="B191" s="100" t="s">
        <v>370</v>
      </c>
      <c r="C191" s="81" t="str">
        <f>IFERROR(IF(B191="No CAS","",INDEX('DEQ Pollutant List'!$C$7:$C$611,MATCH('3. Pollutant Emissions - EF'!B191,'DEQ Pollutant List'!$B$7:$B$611,0))),"")</f>
        <v>Dimethyl sulfate</v>
      </c>
      <c r="D191" s="115">
        <f>IFERROR(IF(OR($B149="",$B149="No CAS"),INDEX('DEQ Pollutant List'!$A$7:$A$611,MATCH($C149,'DEQ Pollutant List'!$C$7:$C$611,0)),INDEX('DEQ Pollutant List'!$A$7:$A$611,MATCH($B149,'DEQ Pollutant List'!$B$7:$B$611,0))),"")</f>
        <v>337</v>
      </c>
      <c r="E191" s="101">
        <v>0</v>
      </c>
      <c r="F191" s="102">
        <v>0.01</v>
      </c>
      <c r="G191" s="103">
        <v>0.1</v>
      </c>
      <c r="H191" s="83"/>
      <c r="I191" s="104" t="s">
        <v>1487</v>
      </c>
      <c r="J191" s="102"/>
      <c r="K191" s="105">
        <f t="shared" ca="1" si="1"/>
        <v>1.4241600000000002E-2</v>
      </c>
      <c r="L191" s="83"/>
      <c r="M191" s="102"/>
      <c r="N191" s="105">
        <f t="shared" ca="1" si="2"/>
        <v>1.4241600000000003E-3</v>
      </c>
      <c r="O191" s="83"/>
    </row>
    <row r="192" spans="1:15" x14ac:dyDescent="0.35">
      <c r="A192" s="79" t="s">
        <v>1471</v>
      </c>
      <c r="B192" s="100" t="s">
        <v>410</v>
      </c>
      <c r="C192" s="81" t="str">
        <f>IFERROR(IF(B192="No CAS","",INDEX('DEQ Pollutant List'!$C$7:$C$611,MATCH('3. Pollutant Emissions - EF'!B192,'DEQ Pollutant List'!$B$7:$B$611,0))),"")</f>
        <v>Ethyl benzene</v>
      </c>
      <c r="D192" s="115" t="str">
        <f>IFERROR(IF(OR(#REF!="",#REF!="No CAS"),INDEX('DEQ Pollutant List'!$A$7:$A$611,MATCH(#REF!,'DEQ Pollutant List'!$C$7:$C$611,0)),INDEX('DEQ Pollutant List'!$A$7:$A$611,MATCH(#REF!,'DEQ Pollutant List'!$B$7:$B$611,0))),"")</f>
        <v/>
      </c>
      <c r="E192" s="101">
        <v>0</v>
      </c>
      <c r="F192" s="102">
        <v>0.01</v>
      </c>
      <c r="G192" s="103">
        <v>0.1</v>
      </c>
      <c r="H192" s="83"/>
      <c r="I192" s="104" t="s">
        <v>1487</v>
      </c>
      <c r="J192" s="102"/>
      <c r="K192" s="105">
        <f t="shared" ca="1" si="1"/>
        <v>0.2</v>
      </c>
      <c r="L192" s="83"/>
      <c r="M192" s="102"/>
      <c r="N192" s="105">
        <f t="shared" ca="1" si="2"/>
        <v>2.0000000000000004E-2</v>
      </c>
      <c r="O192" s="83"/>
    </row>
    <row r="193" spans="1:15" x14ac:dyDescent="0.35">
      <c r="A193" s="79" t="s">
        <v>1471</v>
      </c>
      <c r="B193" s="100" t="s">
        <v>416</v>
      </c>
      <c r="C193" s="81" t="str">
        <f>IFERROR(IF(B193="No CAS","",INDEX('DEQ Pollutant List'!$C$7:$C$611,MATCH('3. Pollutant Emissions - EF'!B193,'DEQ Pollutant List'!$B$7:$B$611,0))),"")</f>
        <v>Ethylene glycol</v>
      </c>
      <c r="D193" s="115">
        <f>IFERROR(IF(OR($B150="",$B150="No CAS"),INDEX('DEQ Pollutant List'!$A$7:$A$611,MATCH($C150,'DEQ Pollutant List'!$C$7:$C$611,0)),INDEX('DEQ Pollutant List'!$A$7:$A$611,MATCH($B150,'DEQ Pollutant List'!$B$7:$B$611,0))),"")</f>
        <v>386</v>
      </c>
      <c r="E193" s="101">
        <v>0</v>
      </c>
      <c r="F193" s="102">
        <v>0.01</v>
      </c>
      <c r="G193" s="103">
        <v>0.1</v>
      </c>
      <c r="H193" s="83"/>
      <c r="I193" s="104" t="s">
        <v>1487</v>
      </c>
      <c r="J193" s="102"/>
      <c r="K193" s="105">
        <f t="shared" ca="1" si="1"/>
        <v>0.2</v>
      </c>
      <c r="L193" s="83"/>
      <c r="M193" s="102"/>
      <c r="N193" s="105">
        <f t="shared" ca="1" si="2"/>
        <v>2.0000000000000004E-2</v>
      </c>
      <c r="O193" s="83"/>
    </row>
    <row r="194" spans="1:15" x14ac:dyDescent="0.35">
      <c r="A194" s="79" t="s">
        <v>1471</v>
      </c>
      <c r="B194" s="100" t="s">
        <v>420</v>
      </c>
      <c r="C194" s="81" t="str">
        <f>IFERROR(IF(B194="No CAS","",INDEX('DEQ Pollutant List'!$C$7:$C$611,MATCH('3. Pollutant Emissions - EF'!B194,'DEQ Pollutant List'!$B$7:$B$611,0))),"")</f>
        <v>Ethylene glycol dimethyl ether</v>
      </c>
      <c r="D194" s="115">
        <f>IFERROR(IF(OR($B151="",$B151="No CAS"),INDEX('DEQ Pollutant List'!$A$7:$A$611,MATCH($C151,'DEQ Pollutant List'!$C$7:$C$611,0)),INDEX('DEQ Pollutant List'!$A$7:$A$611,MATCH($B151,'DEQ Pollutant List'!$B$7:$B$611,0))),"")</f>
        <v>112</v>
      </c>
      <c r="E194" s="101">
        <v>0</v>
      </c>
      <c r="F194" s="102">
        <v>0.01</v>
      </c>
      <c r="G194" s="103">
        <v>0.1</v>
      </c>
      <c r="H194" s="83"/>
      <c r="I194" s="104" t="s">
        <v>1487</v>
      </c>
      <c r="J194" s="102"/>
      <c r="K194" s="105">
        <f t="shared" ca="1" si="1"/>
        <v>0.2</v>
      </c>
      <c r="L194" s="83"/>
      <c r="M194" s="102"/>
      <c r="N194" s="105">
        <f t="shared" ca="1" si="2"/>
        <v>2.0000000000000004E-2</v>
      </c>
      <c r="O194" s="83"/>
    </row>
    <row r="195" spans="1:15" x14ac:dyDescent="0.35">
      <c r="A195" s="79" t="s">
        <v>1471</v>
      </c>
      <c r="B195" s="100" t="s">
        <v>443</v>
      </c>
      <c r="C195" s="81" t="str">
        <f>IFERROR(IF(B195="No CAS","",INDEX('DEQ Pollutant List'!$C$7:$C$611,MATCH('3. Pollutant Emissions - EF'!B195,'DEQ Pollutant List'!$B$7:$B$611,0))),"")</f>
        <v>Formaldehyde</v>
      </c>
      <c r="D195" s="115" t="str">
        <f>IFERROR(IF(OR(#REF!="",#REF!="No CAS"),INDEX('DEQ Pollutant List'!$A$7:$A$611,MATCH(#REF!,'DEQ Pollutant List'!$C$7:$C$611,0)),INDEX('DEQ Pollutant List'!$A$7:$A$611,MATCH(#REF!,'DEQ Pollutant List'!$B$7:$B$611,0))),"")</f>
        <v/>
      </c>
      <c r="E195" s="101">
        <v>0</v>
      </c>
      <c r="F195" s="102">
        <v>0.01</v>
      </c>
      <c r="G195" s="103">
        <v>0.1</v>
      </c>
      <c r="H195" s="83"/>
      <c r="I195" s="104" t="s">
        <v>1487</v>
      </c>
      <c r="J195" s="102"/>
      <c r="K195" s="105">
        <f t="shared" ca="1" si="1"/>
        <v>6.2399999999999999E-3</v>
      </c>
      <c r="L195" s="83"/>
      <c r="M195" s="102"/>
      <c r="N195" s="105">
        <f t="shared" ca="1" si="2"/>
        <v>6.2399999999999999E-4</v>
      </c>
      <c r="O195" s="83"/>
    </row>
    <row r="196" spans="1:15" x14ac:dyDescent="0.35">
      <c r="A196" s="79" t="s">
        <v>1471</v>
      </c>
      <c r="B196" s="100" t="s">
        <v>479</v>
      </c>
      <c r="C196" s="81" t="str">
        <f>IFERROR(IF(B196="No CAS","",INDEX('DEQ Pollutant List'!$C$7:$C$611,MATCH('3. Pollutant Emissions - EF'!B196,'DEQ Pollutant List'!$B$7:$B$611,0))),"")</f>
        <v>Hexamethylphosphoramide</v>
      </c>
      <c r="D196" s="115">
        <f>IFERROR(IF(OR($B152="",$B152="No CAS"),INDEX('DEQ Pollutant List'!$A$7:$A$611,MATCH($C152,'DEQ Pollutant List'!$C$7:$C$611,0)),INDEX('DEQ Pollutant List'!$A$7:$A$611,MATCH($B152,'DEQ Pollutant List'!$B$7:$B$611,0))),"")</f>
        <v>497</v>
      </c>
      <c r="E196" s="101">
        <v>0</v>
      </c>
      <c r="F196" s="102">
        <v>0.01</v>
      </c>
      <c r="G196" s="103">
        <v>0.1</v>
      </c>
      <c r="H196" s="83"/>
      <c r="I196" s="104" t="s">
        <v>1487</v>
      </c>
      <c r="J196" s="102"/>
      <c r="K196" s="105">
        <f t="shared" ca="1" si="1"/>
        <v>0.2</v>
      </c>
      <c r="L196" s="83"/>
      <c r="M196" s="102"/>
      <c r="N196" s="105">
        <f t="shared" ca="1" si="2"/>
        <v>2.0000000000000004E-2</v>
      </c>
      <c r="O196" s="83"/>
    </row>
    <row r="197" spans="1:15" x14ac:dyDescent="0.35">
      <c r="A197" s="79" t="s">
        <v>1471</v>
      </c>
      <c r="B197" s="100" t="s">
        <v>483</v>
      </c>
      <c r="C197" s="81" t="str">
        <f>IFERROR(IF(B197="No CAS","",INDEX('DEQ Pollutant List'!$C$7:$C$611,MATCH('3. Pollutant Emissions - EF'!B197,'DEQ Pollutant List'!$B$7:$B$611,0))),"")</f>
        <v>Hexane</v>
      </c>
      <c r="D197" s="115">
        <f>IFERROR(IF(OR($B153="",$B153="No CAS"),INDEX('DEQ Pollutant List'!$A$7:$A$611,MATCH($C153,'DEQ Pollutant List'!$C$7:$C$611,0)),INDEX('DEQ Pollutant List'!$A$7:$A$611,MATCH($B153,'DEQ Pollutant List'!$B$7:$B$611,0))),"")</f>
        <v>503</v>
      </c>
      <c r="E197" s="101">
        <v>0</v>
      </c>
      <c r="F197" s="102">
        <v>0.01</v>
      </c>
      <c r="G197" s="103">
        <v>0.1</v>
      </c>
      <c r="H197" s="83"/>
      <c r="I197" s="104" t="s">
        <v>1487</v>
      </c>
      <c r="J197" s="102"/>
      <c r="K197" s="105">
        <f t="shared" ca="1" si="1"/>
        <v>6.709502399999999</v>
      </c>
      <c r="L197" s="83"/>
      <c r="M197" s="102"/>
      <c r="N197" s="105">
        <f t="shared" ca="1" si="2"/>
        <v>0.67095023999999992</v>
      </c>
      <c r="O197" s="83"/>
    </row>
    <row r="198" spans="1:15" x14ac:dyDescent="0.35">
      <c r="A198" s="79" t="s">
        <v>1471</v>
      </c>
      <c r="B198" s="100" t="s">
        <v>489</v>
      </c>
      <c r="C198" s="81" t="str">
        <f>IFERROR(IF(B198="No CAS","",INDEX('DEQ Pollutant List'!$C$7:$C$611,MATCH('3. Pollutant Emissions - EF'!B198,'DEQ Pollutant List'!$B$7:$B$611,0))),"")</f>
        <v>Hydrochloric acid</v>
      </c>
      <c r="D198" s="115">
        <f>IFERROR(IF(OR($B154="",$B154="No CAS"),INDEX('DEQ Pollutant List'!$A$7:$A$611,MATCH($C154,'DEQ Pollutant List'!$C$7:$C$611,0)),INDEX('DEQ Pollutant List'!$A$7:$A$611,MATCH($B154,'DEQ Pollutant List'!$B$7:$B$611,0))),"")</f>
        <v>525</v>
      </c>
      <c r="E198" s="101">
        <v>0</v>
      </c>
      <c r="F198" s="102">
        <v>0.01</v>
      </c>
      <c r="G198" s="103">
        <v>0.1</v>
      </c>
      <c r="H198" s="83"/>
      <c r="I198" s="104" t="s">
        <v>1487</v>
      </c>
      <c r="J198" s="102"/>
      <c r="K198" s="105">
        <f t="shared" ca="1" si="1"/>
        <v>15.45117516</v>
      </c>
      <c r="L198" s="83"/>
      <c r="M198" s="102"/>
      <c r="N198" s="105">
        <f t="shared" ca="1" si="2"/>
        <v>1.5451175160000001</v>
      </c>
      <c r="O198" s="83"/>
    </row>
    <row r="199" spans="1:15" x14ac:dyDescent="0.35">
      <c r="A199" s="79" t="s">
        <v>1471</v>
      </c>
      <c r="B199" s="100" t="s">
        <v>506</v>
      </c>
      <c r="C199" s="81" t="str">
        <f>IFERROR(IF(B199="No CAS","",INDEX('DEQ Pollutant List'!$C$7:$C$611,MATCH('3. Pollutant Emissions - EF'!B199,'DEQ Pollutant List'!$B$7:$B$611,0))),"")</f>
        <v>Isopropyl alcohol</v>
      </c>
      <c r="D199" s="115">
        <f>IFERROR(IF(OR($B155="",$B155="No CAS"),INDEX('DEQ Pollutant List'!$A$7:$A$611,MATCH($C155,'DEQ Pollutant List'!$C$7:$C$611,0)),INDEX('DEQ Pollutant List'!$A$7:$A$611,MATCH($B155,'DEQ Pollutant List'!$B$7:$B$611,0))),"")</f>
        <v>432</v>
      </c>
      <c r="E199" s="101">
        <v>0</v>
      </c>
      <c r="F199" s="102">
        <v>0.01</v>
      </c>
      <c r="G199" s="103">
        <v>0.1</v>
      </c>
      <c r="H199" s="83"/>
      <c r="I199" s="104" t="s">
        <v>1487</v>
      </c>
      <c r="J199" s="102"/>
      <c r="K199" s="105">
        <f t="shared" ca="1" si="1"/>
        <v>10.018181550000001</v>
      </c>
      <c r="L199" s="83"/>
      <c r="M199" s="102"/>
      <c r="N199" s="105">
        <f t="shared" ca="1" si="2"/>
        <v>1.0018181550000003</v>
      </c>
      <c r="O199" s="83"/>
    </row>
    <row r="200" spans="1:15" x14ac:dyDescent="0.35">
      <c r="A200" s="79" t="s">
        <v>1471</v>
      </c>
      <c r="B200" s="100" t="s">
        <v>516</v>
      </c>
      <c r="C200" s="81" t="str">
        <f>IFERROR(IF(B200="No CAS","",INDEX('DEQ Pollutant List'!$C$7:$C$611,MATCH('3. Pollutant Emissions - EF'!B200,'DEQ Pollutant List'!$B$7:$B$611,0))),"")</f>
        <v>Maleic anhydride</v>
      </c>
      <c r="D200" s="115">
        <f>IFERROR(IF(OR($B156="",$B156="No CAS"),INDEX('DEQ Pollutant List'!$A$7:$A$611,MATCH($C156,'DEQ Pollutant List'!$C$7:$C$611,0)),INDEX('DEQ Pollutant List'!$A$7:$A$611,MATCH($B156,'DEQ Pollutant List'!$B$7:$B$611,0))),"")</f>
        <v>561</v>
      </c>
      <c r="E200" s="101">
        <v>0</v>
      </c>
      <c r="F200" s="102">
        <v>0.01</v>
      </c>
      <c r="G200" s="103">
        <v>0.1</v>
      </c>
      <c r="H200" s="83"/>
      <c r="I200" s="104" t="s">
        <v>1487</v>
      </c>
      <c r="J200" s="102"/>
      <c r="K200" s="105">
        <f t="shared" ca="1" si="1"/>
        <v>0.2</v>
      </c>
      <c r="L200" s="83"/>
      <c r="M200" s="102"/>
      <c r="N200" s="105">
        <f t="shared" ca="1" si="2"/>
        <v>2.0000000000000004E-2</v>
      </c>
      <c r="O200" s="83"/>
    </row>
    <row r="201" spans="1:15" x14ac:dyDescent="0.35">
      <c r="A201" s="196" t="s">
        <v>1471</v>
      </c>
      <c r="B201" s="200" t="s">
        <v>529</v>
      </c>
      <c r="C201" s="197" t="str">
        <f>IFERROR(IF(B201="No CAS","",INDEX('DEQ Pollutant List'!$C$7:$C$611,MATCH('3. Pollutant Emissions - EF'!B201,'DEQ Pollutant List'!$B$7:$B$611,0))),"")</f>
        <v>Methanol</v>
      </c>
      <c r="D201" s="115">
        <f>IFERROR(IF(OR($B157="",$B157="No CAS"),INDEX('DEQ Pollutant List'!$A$7:$A$611,MATCH($C157,'DEQ Pollutant List'!$C$7:$C$611,0)),INDEX('DEQ Pollutant List'!$A$7:$A$611,MATCH($B157,'DEQ Pollutant List'!$B$7:$B$611,0))),"")</f>
        <v>79</v>
      </c>
      <c r="E201" s="101">
        <v>0</v>
      </c>
      <c r="F201" s="102">
        <v>0.01</v>
      </c>
      <c r="G201" s="103">
        <v>0.1</v>
      </c>
      <c r="H201" s="83"/>
      <c r="I201" s="104" t="s">
        <v>1487</v>
      </c>
      <c r="J201" s="102"/>
      <c r="K201" s="105">
        <f t="shared" ca="1" si="1"/>
        <v>22.973592</v>
      </c>
      <c r="L201" s="83"/>
      <c r="M201" s="102"/>
      <c r="N201" s="105">
        <f t="shared" ca="1" si="2"/>
        <v>2.2973592000000003</v>
      </c>
      <c r="O201" s="83"/>
    </row>
    <row r="202" spans="1:15" x14ac:dyDescent="0.35">
      <c r="A202" s="196" t="s">
        <v>1471</v>
      </c>
      <c r="B202" s="200" t="s">
        <v>549</v>
      </c>
      <c r="C202" s="197" t="str">
        <f>IFERROR(IF(B202="No CAS","",INDEX('DEQ Pollutant List'!$C$7:$C$611,MATCH('3. Pollutant Emissions - EF'!B202,'DEQ Pollutant List'!$B$7:$B$611,0))),"")</f>
        <v>Methyl isobutyl ketone (MIBK, hexone)</v>
      </c>
      <c r="D202" s="115" t="str">
        <f>IFERROR(IF(OR($B158="",$B158="No CAS"),INDEX('DEQ Pollutant List'!$A$7:$A$611,MATCH($C158,'DEQ Pollutant List'!$C$7:$C$611,0)),INDEX('DEQ Pollutant List'!$A$7:$A$611,MATCH($B158,'DEQ Pollutant List'!$B$7:$B$611,0))),"")</f>
        <v/>
      </c>
      <c r="E202" s="101">
        <v>0</v>
      </c>
      <c r="F202" s="102">
        <v>0.01</v>
      </c>
      <c r="G202" s="103">
        <v>0.1</v>
      </c>
      <c r="H202" s="83"/>
      <c r="I202" s="104" t="s">
        <v>1487</v>
      </c>
      <c r="J202" s="102"/>
      <c r="K202" s="105">
        <f t="shared" ca="1" si="1"/>
        <v>0.2</v>
      </c>
      <c r="L202" s="83"/>
      <c r="M202" s="102"/>
      <c r="N202" s="105">
        <f t="shared" ca="1" si="2"/>
        <v>2.0000000000000004E-2</v>
      </c>
      <c r="O202" s="83"/>
    </row>
    <row r="203" spans="1:15" x14ac:dyDescent="0.35">
      <c r="A203" s="79" t="s">
        <v>1471</v>
      </c>
      <c r="B203" s="100" t="s">
        <v>564</v>
      </c>
      <c r="C203" s="81" t="str">
        <f>IFERROR(IF(B203="No CAS","",INDEX('DEQ Pollutant List'!$C$7:$C$611,MATCH('3. Pollutant Emissions - EF'!B203,'DEQ Pollutant List'!$B$7:$B$611,0))),"")</f>
        <v>Methyl tert-butyl ether</v>
      </c>
      <c r="D203" s="115">
        <f>IFERROR(IF(OR($B203="",$B203="No CAS"),INDEX('DEQ Pollutant List'!$A$7:$A$611,MATCH($C203,'DEQ Pollutant List'!$C$7:$C$611,0)),INDEX('DEQ Pollutant List'!$A$7:$A$611,MATCH($B203,'DEQ Pollutant List'!$B$7:$B$611,0))),"")</f>
        <v>346</v>
      </c>
      <c r="E203" s="101">
        <v>0</v>
      </c>
      <c r="F203" s="102">
        <v>0.01</v>
      </c>
      <c r="G203" s="103">
        <v>0.1</v>
      </c>
      <c r="H203" s="83"/>
      <c r="I203" s="104" t="s">
        <v>1487</v>
      </c>
      <c r="J203" s="102"/>
      <c r="K203" s="105">
        <f t="shared" ca="1" si="1"/>
        <v>68.322866399999995</v>
      </c>
      <c r="L203" s="83"/>
      <c r="M203" s="102"/>
      <c r="N203" s="105">
        <f ca="1">G203*K203</f>
        <v>6.8322866399999995</v>
      </c>
      <c r="O203" s="83"/>
    </row>
    <row r="204" spans="1:15" x14ac:dyDescent="0.35">
      <c r="A204" s="79" t="s">
        <v>1471</v>
      </c>
      <c r="B204" s="100" t="s">
        <v>630</v>
      </c>
      <c r="C204" s="81" t="str">
        <f>IFERROR(IF(B204="No CAS","",INDEX('DEQ Pollutant List'!$C$7:$C$611,MATCH('3. Pollutant Emissions - EF'!B204,'DEQ Pollutant List'!$B$7:$B$611,0))),"")</f>
        <v>N-[4-(5-Nitro-2-furyl)-2-thiazolyl]-acetamide</v>
      </c>
      <c r="D204" s="115">
        <f>IFERROR(IF(OR($B204="",$B204="No CAS"),INDEX('DEQ Pollutant List'!$A$7:$A$611,MATCH($C204,'DEQ Pollutant List'!$C$7:$C$611,0)),INDEX('DEQ Pollutant List'!$A$7:$A$611,MATCH($B204,'DEQ Pollutant List'!$B$7:$B$611,0))),"")</f>
        <v>386</v>
      </c>
      <c r="E204" s="101">
        <v>0</v>
      </c>
      <c r="F204" s="102">
        <v>0.01</v>
      </c>
      <c r="G204" s="103">
        <v>0.1</v>
      </c>
      <c r="H204" s="83"/>
      <c r="I204" s="104" t="s">
        <v>1487</v>
      </c>
      <c r="J204" s="102"/>
      <c r="K204" s="105">
        <f t="shared" ca="1" si="1"/>
        <v>0.2</v>
      </c>
      <c r="L204" s="83"/>
      <c r="M204" s="102"/>
      <c r="N204" s="105">
        <f t="shared" ca="1" si="2"/>
        <v>2.0000000000000004E-2</v>
      </c>
      <c r="O204" s="83"/>
    </row>
    <row r="205" spans="1:15" x14ac:dyDescent="0.35">
      <c r="A205" s="79" t="s">
        <v>1471</v>
      </c>
      <c r="B205" s="100" t="s">
        <v>142</v>
      </c>
      <c r="C205" s="81" t="str">
        <f>IFERROR(IF(B205="No CAS","",INDEX('DEQ Pollutant List'!$C$7:$C$611,MATCH('3. Pollutant Emissions - EF'!B205,'DEQ Pollutant List'!$B$7:$B$611,0))),"")</f>
        <v>n-Butyl alcohol</v>
      </c>
      <c r="D205" s="115">
        <f>IFERROR(IF(OR($B205="",$B205="No CAS"),INDEX('DEQ Pollutant List'!$A$7:$A$611,MATCH($C205,'DEQ Pollutant List'!$C$7:$C$611,0)),INDEX('DEQ Pollutant List'!$A$7:$A$611,MATCH($B205,'DEQ Pollutant List'!$B$7:$B$611,0))),"")</f>
        <v>78</v>
      </c>
      <c r="E205" s="101">
        <v>0</v>
      </c>
      <c r="F205" s="102">
        <v>0.01</v>
      </c>
      <c r="G205" s="103">
        <v>0.1</v>
      </c>
      <c r="H205" s="83"/>
      <c r="I205" s="104" t="s">
        <v>1487</v>
      </c>
      <c r="J205" s="102"/>
      <c r="K205" s="105">
        <f t="shared" ca="1" si="1"/>
        <v>1.2E-4</v>
      </c>
      <c r="L205" s="83"/>
      <c r="M205" s="102"/>
      <c r="N205" s="105">
        <f t="shared" ca="1" si="2"/>
        <v>1.2E-5</v>
      </c>
      <c r="O205" s="83"/>
    </row>
    <row r="206" spans="1:15" x14ac:dyDescent="0.35">
      <c r="A206" s="79" t="s">
        <v>1471</v>
      </c>
      <c r="B206" s="100" t="s">
        <v>359</v>
      </c>
      <c r="C206" s="81" t="str">
        <f>IFERROR(IF(B206="No CAS","",INDEX('DEQ Pollutant List'!$C$7:$C$611,MATCH('3. Pollutant Emissions - EF'!B206,'DEQ Pollutant List'!$B$7:$B$611,0))),"")</f>
        <v>N,N-Dimethylaniline</v>
      </c>
      <c r="D206" s="115">
        <f>IFERROR(IF(OR($B206="",$B206="No CAS"),INDEX('DEQ Pollutant List'!$A$7:$A$611,MATCH($C206,'DEQ Pollutant List'!$C$7:$C$611,0)),INDEX('DEQ Pollutant List'!$A$7:$A$611,MATCH($B206,'DEQ Pollutant List'!$B$7:$B$611,0))),"")</f>
        <v>208</v>
      </c>
      <c r="E206" s="101">
        <v>0</v>
      </c>
      <c r="F206" s="102">
        <v>0.01</v>
      </c>
      <c r="G206" s="103">
        <v>0.1</v>
      </c>
      <c r="H206" s="83"/>
      <c r="I206" s="104" t="s">
        <v>1487</v>
      </c>
      <c r="J206" s="102"/>
      <c r="K206" s="105">
        <f t="shared" ca="1" si="1"/>
        <v>3.0336000000000004E-3</v>
      </c>
      <c r="L206" s="83"/>
      <c r="M206" s="102"/>
      <c r="N206" s="105">
        <f t="shared" ca="1" si="2"/>
        <v>3.0336000000000008E-4</v>
      </c>
      <c r="O206" s="83"/>
    </row>
    <row r="207" spans="1:15" x14ac:dyDescent="0.35">
      <c r="A207" s="79" t="s">
        <v>1471</v>
      </c>
      <c r="B207" s="100" t="s">
        <v>613</v>
      </c>
      <c r="C207" s="81" t="str">
        <f>IFERROR(IF(B207="No CAS","",INDEX('DEQ Pollutant List'!$C$7:$C$611,MATCH('3. Pollutant Emissions - EF'!B207,'DEQ Pollutant List'!$B$7:$B$611,0))),"")</f>
        <v>Nitric acid</v>
      </c>
      <c r="D207" s="115">
        <f>IFERROR(IF(OR($B207="",$B207="No CAS"),INDEX('DEQ Pollutant List'!$A$7:$A$611,MATCH($C207,'DEQ Pollutant List'!$C$7:$C$611,0)),INDEX('DEQ Pollutant List'!$A$7:$A$611,MATCH($B207,'DEQ Pollutant List'!$B$7:$B$611,0))),"")</f>
        <v>377</v>
      </c>
      <c r="E207" s="101">
        <v>0</v>
      </c>
      <c r="F207" s="102">
        <v>0.01</v>
      </c>
      <c r="G207" s="103">
        <v>0.1</v>
      </c>
      <c r="H207" s="83"/>
      <c r="I207" s="104" t="s">
        <v>1487</v>
      </c>
      <c r="J207" s="102"/>
      <c r="K207" s="105">
        <f t="shared" ca="1" si="1"/>
        <v>0.2</v>
      </c>
      <c r="L207" s="83"/>
      <c r="M207" s="102"/>
      <c r="N207" s="105">
        <f t="shared" ca="1" si="2"/>
        <v>2.0000000000000004E-2</v>
      </c>
      <c r="O207" s="83"/>
    </row>
    <row r="208" spans="1:15" x14ac:dyDescent="0.35">
      <c r="A208" s="79" t="s">
        <v>1471</v>
      </c>
      <c r="B208" s="100" t="s">
        <v>620</v>
      </c>
      <c r="C208" s="81" t="str">
        <f>IFERROR(IF(B208="No CAS","",INDEX('DEQ Pollutant List'!$C$7:$C$611,MATCH('3. Pollutant Emissions - EF'!B208,'DEQ Pollutant List'!$B$7:$B$611,0))),"")</f>
        <v>Nitrobenzene</v>
      </c>
      <c r="D208" s="115">
        <f>IFERROR(IF(OR($B208="",$B208="No CAS"),INDEX('DEQ Pollutant List'!$A$7:$A$611,MATCH($C208,'DEQ Pollutant List'!$C$7:$C$611,0)),INDEX('DEQ Pollutant List'!$A$7:$A$611,MATCH($B208,'DEQ Pollutant List'!$B$7:$B$611,0))),"")</f>
        <v>381</v>
      </c>
      <c r="E208" s="101">
        <v>0</v>
      </c>
      <c r="F208" s="102">
        <v>0.01</v>
      </c>
      <c r="G208" s="103">
        <v>0.1</v>
      </c>
      <c r="H208" s="83"/>
      <c r="I208" s="104" t="s">
        <v>1487</v>
      </c>
      <c r="J208" s="102"/>
      <c r="K208" s="105">
        <f t="shared" ca="1" si="1"/>
        <v>3.3599999999999997E-5</v>
      </c>
      <c r="L208" s="83"/>
      <c r="M208" s="102"/>
      <c r="N208" s="105">
        <f t="shared" ca="1" si="2"/>
        <v>3.36E-6</v>
      </c>
      <c r="O208" s="83"/>
    </row>
    <row r="209" spans="1:15" x14ac:dyDescent="0.35">
      <c r="A209" s="79" t="s">
        <v>1471</v>
      </c>
      <c r="B209" s="100" t="s">
        <v>308</v>
      </c>
      <c r="C209" s="81" t="str">
        <f>IFERROR(IF(B209="No CAS","",INDEX('DEQ Pollutant List'!$C$7:$C$611,MATCH('3. Pollutant Emissions - EF'!B209,'DEQ Pollutant List'!$B$7:$B$611,0))),"")</f>
        <v>p-Dichlorobenzene (1,4-dichlorobenzene)</v>
      </c>
      <c r="D209" s="115">
        <f>IFERROR(IF(OR($B209="",$B209="No CAS"),INDEX('DEQ Pollutant List'!$A$7:$A$611,MATCH($C209,'DEQ Pollutant List'!$C$7:$C$611,0)),INDEX('DEQ Pollutant List'!$A$7:$A$611,MATCH($B209,'DEQ Pollutant List'!$B$7:$B$611,0))),"")</f>
        <v>112</v>
      </c>
      <c r="E209" s="101">
        <v>0</v>
      </c>
      <c r="F209" s="102">
        <v>0.01</v>
      </c>
      <c r="G209" s="103">
        <v>0.1</v>
      </c>
      <c r="H209" s="83"/>
      <c r="I209" s="104" t="s">
        <v>1487</v>
      </c>
      <c r="J209" s="102"/>
      <c r="K209" s="105">
        <f t="shared" ca="1" si="1"/>
        <v>0.2</v>
      </c>
      <c r="L209" s="83"/>
      <c r="M209" s="102"/>
      <c r="N209" s="105">
        <f t="shared" ca="1" si="2"/>
        <v>2.0000000000000004E-2</v>
      </c>
      <c r="O209" s="83"/>
    </row>
    <row r="210" spans="1:15" x14ac:dyDescent="0.35">
      <c r="A210" s="79" t="s">
        <v>1471</v>
      </c>
      <c r="B210" s="100" t="s">
        <v>693</v>
      </c>
      <c r="C210" s="81" t="str">
        <f>IFERROR(IF(B210="No CAS","",INDEX('DEQ Pollutant List'!$C$7:$C$611,MATCH('3. Pollutant Emissions - EF'!B210,'DEQ Pollutant List'!$B$7:$B$611,0))),"")</f>
        <v>Phenol</v>
      </c>
      <c r="D210" s="115">
        <f>IFERROR(IF(OR($B210="",$B210="No CAS"),INDEX('DEQ Pollutant List'!$A$7:$A$611,MATCH($C210,'DEQ Pollutant List'!$C$7:$C$611,0)),INDEX('DEQ Pollutant List'!$A$7:$A$611,MATCH($B210,'DEQ Pollutant List'!$B$7:$B$611,0))),"")</f>
        <v>497</v>
      </c>
      <c r="E210" s="101">
        <v>0</v>
      </c>
      <c r="F210" s="102">
        <v>0.01</v>
      </c>
      <c r="G210" s="103">
        <v>0.1</v>
      </c>
      <c r="H210" s="83"/>
      <c r="I210" s="104" t="s">
        <v>1487</v>
      </c>
      <c r="J210" s="102"/>
      <c r="K210" s="105">
        <f t="shared" ca="1" si="1"/>
        <v>0.2</v>
      </c>
      <c r="L210" s="83"/>
      <c r="M210" s="102"/>
      <c r="N210" s="105">
        <f t="shared" ca="1" si="2"/>
        <v>2.0000000000000004E-2</v>
      </c>
      <c r="O210" s="83"/>
    </row>
    <row r="211" spans="1:15" x14ac:dyDescent="0.35">
      <c r="A211" s="79" t="s">
        <v>1471</v>
      </c>
      <c r="B211" s="100" t="s">
        <v>704</v>
      </c>
      <c r="C211" s="81" t="str">
        <f>IFERROR(IF(B211="No CAS","",INDEX('DEQ Pollutant List'!$C$7:$C$611,MATCH('3. Pollutant Emissions - EF'!B211,'DEQ Pollutant List'!$B$7:$B$611,0))),"")</f>
        <v>Phosgene</v>
      </c>
      <c r="D211" s="115">
        <f>IFERROR(IF(OR($B211="",$B211="No CAS"),INDEX('DEQ Pollutant List'!$A$7:$A$611,MATCH($C211,'DEQ Pollutant List'!$C$7:$C$611,0)),INDEX('DEQ Pollutant List'!$A$7:$A$611,MATCH($B211,'DEQ Pollutant List'!$B$7:$B$611,0))),"")</f>
        <v>503</v>
      </c>
      <c r="E211" s="101">
        <v>0</v>
      </c>
      <c r="F211" s="102">
        <v>0.01</v>
      </c>
      <c r="G211" s="103">
        <v>0.1</v>
      </c>
      <c r="H211" s="83"/>
      <c r="I211" s="104" t="s">
        <v>1487</v>
      </c>
      <c r="J211" s="102"/>
      <c r="K211" s="105">
        <f t="shared" ca="1" si="1"/>
        <v>0.2</v>
      </c>
      <c r="L211" s="83"/>
      <c r="M211" s="102"/>
      <c r="N211" s="105">
        <f t="shared" ca="1" si="2"/>
        <v>2.0000000000000004E-2</v>
      </c>
      <c r="O211" s="83"/>
    </row>
    <row r="212" spans="1:15" x14ac:dyDescent="0.35">
      <c r="A212" s="79" t="s">
        <v>1471</v>
      </c>
      <c r="B212" s="100" t="s">
        <v>708</v>
      </c>
      <c r="C212" s="81" t="str">
        <f>IFERROR(IF(B212="No CAS","",INDEX('DEQ Pollutant List'!$C$7:$C$611,MATCH('3. Pollutant Emissions - EF'!B212,'DEQ Pollutant List'!$B$7:$B$611,0))),"")</f>
        <v>Phosphoric acid</v>
      </c>
      <c r="D212" s="115">
        <f>IFERROR(IF(OR($B212="",$B212="No CAS"),INDEX('DEQ Pollutant List'!$A$7:$A$611,MATCH($C212,'DEQ Pollutant List'!$C$7:$C$611,0)),INDEX('DEQ Pollutant List'!$A$7:$A$611,MATCH($B212,'DEQ Pollutant List'!$B$7:$B$611,0))),"")</f>
        <v>507</v>
      </c>
      <c r="E212" s="101">
        <v>0</v>
      </c>
      <c r="F212" s="102">
        <v>0.01</v>
      </c>
      <c r="G212" s="103">
        <v>0.1</v>
      </c>
      <c r="H212" s="83"/>
      <c r="I212" s="104" t="s">
        <v>1487</v>
      </c>
      <c r="J212" s="102"/>
      <c r="K212" s="105">
        <f t="shared" ca="1" si="1"/>
        <v>0.20002684587012987</v>
      </c>
      <c r="L212" s="83"/>
      <c r="M212" s="102"/>
      <c r="N212" s="105">
        <f t="shared" ca="1" si="2"/>
        <v>2.0002684587012987E-2</v>
      </c>
      <c r="O212" s="83"/>
    </row>
    <row r="213" spans="1:15" x14ac:dyDescent="0.35">
      <c r="A213" s="79" t="s">
        <v>1471</v>
      </c>
      <c r="B213" s="100" t="s">
        <v>710</v>
      </c>
      <c r="C213" s="81" t="str">
        <f>IFERROR(IF(B213="No CAS","",INDEX('DEQ Pollutant List'!$C$7:$C$611,MATCH('3. Pollutant Emissions - EF'!B213,'DEQ Pollutant List'!$B$7:$B$611,0))),"")</f>
        <v>Phosphorus oxychloride</v>
      </c>
      <c r="D213" s="115">
        <f>IFERROR(IF(OR($B213="",$B213="No CAS"),INDEX('DEQ Pollutant List'!$A$7:$A$611,MATCH($C213,'DEQ Pollutant List'!$C$7:$C$611,0)),INDEX('DEQ Pollutant List'!$A$7:$A$611,MATCH($B213,'DEQ Pollutant List'!$B$7:$B$611,0))),"")</f>
        <v>508</v>
      </c>
      <c r="E213" s="101">
        <v>0</v>
      </c>
      <c r="F213" s="102">
        <v>0.01</v>
      </c>
      <c r="G213" s="103">
        <v>0.1</v>
      </c>
      <c r="H213" s="83"/>
      <c r="I213" s="104" t="s">
        <v>1487</v>
      </c>
      <c r="J213" s="102"/>
      <c r="K213" s="105">
        <f t="shared" ca="1" si="1"/>
        <v>0.2</v>
      </c>
      <c r="L213" s="83"/>
      <c r="M213" s="102"/>
      <c r="N213" s="105">
        <f t="shared" ca="1" si="2"/>
        <v>2.0000000000000004E-2</v>
      </c>
      <c r="O213" s="83"/>
    </row>
    <row r="214" spans="1:15" x14ac:dyDescent="0.35">
      <c r="A214" s="79" t="s">
        <v>1471</v>
      </c>
      <c r="B214" s="100" t="s">
        <v>720</v>
      </c>
      <c r="C214" s="81" t="str">
        <f>IFERROR(IF(B214="No CAS","",INDEX('DEQ Pollutant List'!$C$7:$C$611,MATCH('3. Pollutant Emissions - EF'!B214,'DEQ Pollutant List'!$B$7:$B$611,0))),"")</f>
        <v>Phthalic anhydride</v>
      </c>
      <c r="D214" s="115">
        <f>IFERROR(IF(OR($B214="",$B214="No CAS"),INDEX('DEQ Pollutant List'!$A$7:$A$611,MATCH($C214,'DEQ Pollutant List'!$C$7:$C$611,0)),INDEX('DEQ Pollutant List'!$A$7:$A$611,MATCH($B214,'DEQ Pollutant List'!$B$7:$B$611,0))),"")</f>
        <v>525</v>
      </c>
      <c r="E214" s="101">
        <v>0</v>
      </c>
      <c r="F214" s="102">
        <v>0.01</v>
      </c>
      <c r="G214" s="103">
        <v>0.1</v>
      </c>
      <c r="H214" s="83"/>
      <c r="I214" s="104" t="s">
        <v>1487</v>
      </c>
      <c r="J214" s="102"/>
      <c r="K214" s="105">
        <f t="shared" ca="1" si="1"/>
        <v>0.2</v>
      </c>
      <c r="L214" s="83"/>
      <c r="M214" s="102"/>
      <c r="N214" s="105">
        <f t="shared" ca="1" si="2"/>
        <v>2.0000000000000004E-2</v>
      </c>
      <c r="O214" s="83"/>
    </row>
    <row r="215" spans="1:15" x14ac:dyDescent="0.35">
      <c r="A215" s="79" t="s">
        <v>1471</v>
      </c>
      <c r="B215" s="100">
        <v>432</v>
      </c>
      <c r="C215" s="81" t="str">
        <f>IFERROR(IF(B215="No CAS","",INDEX('DEQ Pollutant List'!$C$7:$C$611,MATCH('3. Pollutant Emissions - EF'!B215,'DEQ Pollutant List'!$B$7:$B$611,0))),"")</f>
        <v>Polycyclic aromatic hydrocarbon derivatives [PAH-Derivatives]</v>
      </c>
      <c r="D215" s="115">
        <f>IFERROR(IF(OR($B215="",$B215="No CAS"),INDEX('DEQ Pollutant List'!$A$7:$A$611,MATCH($C215,'DEQ Pollutant List'!$C$7:$C$611,0)),INDEX('DEQ Pollutant List'!$A$7:$A$611,MATCH($B215,'DEQ Pollutant List'!$B$7:$B$611,0))),"")</f>
        <v>432</v>
      </c>
      <c r="E215" s="101">
        <v>0</v>
      </c>
      <c r="F215" s="102">
        <v>0.01</v>
      </c>
      <c r="G215" s="103">
        <v>0.1</v>
      </c>
      <c r="H215" s="83"/>
      <c r="I215" s="104" t="s">
        <v>1487</v>
      </c>
      <c r="J215" s="102"/>
      <c r="K215" s="105">
        <f t="shared" ca="1" si="1"/>
        <v>0.2</v>
      </c>
      <c r="L215" s="83"/>
      <c r="M215" s="102"/>
      <c r="N215" s="105">
        <f t="shared" ca="1" si="2"/>
        <v>2.0000000000000004E-2</v>
      </c>
      <c r="O215" s="83"/>
    </row>
    <row r="216" spans="1:15" x14ac:dyDescent="0.35">
      <c r="A216" s="79" t="s">
        <v>1471</v>
      </c>
      <c r="B216" s="100" t="s">
        <v>919</v>
      </c>
      <c r="C216" s="81" t="str">
        <f>IFERROR(IF(B216="No CAS","",INDEX('DEQ Pollutant List'!$C$7:$C$611,MATCH('3. Pollutant Emissions - EF'!B216,'DEQ Pollutant List'!$B$7:$B$611,0))),"")</f>
        <v>Propylene</v>
      </c>
      <c r="D216" s="115">
        <f>IFERROR(IF(OR($B216="",$B216="No CAS"),INDEX('DEQ Pollutant List'!$A$7:$A$611,MATCH($C216,'DEQ Pollutant List'!$C$7:$C$611,0)),INDEX('DEQ Pollutant List'!$A$7:$A$611,MATCH($B216,'DEQ Pollutant List'!$B$7:$B$611,0))),"")</f>
        <v>561</v>
      </c>
      <c r="E216" s="101">
        <v>0</v>
      </c>
      <c r="F216" s="102">
        <v>0.01</v>
      </c>
      <c r="G216" s="103">
        <v>0.1</v>
      </c>
      <c r="H216" s="83"/>
      <c r="I216" s="104" t="s">
        <v>1487</v>
      </c>
      <c r="J216" s="102"/>
      <c r="K216" s="105">
        <f t="shared" ca="1" si="1"/>
        <v>0.2</v>
      </c>
      <c r="L216" s="83"/>
      <c r="M216" s="102"/>
      <c r="N216" s="105">
        <f t="shared" ca="1" si="2"/>
        <v>2.0000000000000004E-2</v>
      </c>
      <c r="O216" s="83"/>
    </row>
    <row r="217" spans="1:15" x14ac:dyDescent="0.35">
      <c r="A217" s="79" t="s">
        <v>1471</v>
      </c>
      <c r="B217" s="100" t="s">
        <v>932</v>
      </c>
      <c r="C217" s="81" t="str">
        <f>IFERROR(IF(B217="No CAS","",INDEX('DEQ Pollutant List'!$C$7:$C$611,MATCH('3. Pollutant Emissions - EF'!B217,'DEQ Pollutant List'!$B$7:$B$611,0))),"")</f>
        <v>Pyridine</v>
      </c>
      <c r="D217" s="115">
        <f>IFERROR(IF(OR($B217="",$B217="No CAS"),INDEX('DEQ Pollutant List'!$A$7:$A$611,MATCH($C217,'DEQ Pollutant List'!$C$7:$C$611,0)),INDEX('DEQ Pollutant List'!$A$7:$A$611,MATCH($B217,'DEQ Pollutant List'!$B$7:$B$611,0))),"")</f>
        <v>566</v>
      </c>
      <c r="E217" s="101">
        <v>0</v>
      </c>
      <c r="F217" s="102">
        <v>0.01</v>
      </c>
      <c r="G217" s="103">
        <v>0.1</v>
      </c>
      <c r="H217" s="83"/>
      <c r="I217" s="104" t="s">
        <v>1487</v>
      </c>
      <c r="J217" s="102"/>
      <c r="K217" s="105">
        <f t="shared" ca="1" si="1"/>
        <v>0.22933979999999998</v>
      </c>
      <c r="L217" s="83"/>
      <c r="M217" s="102"/>
      <c r="N217" s="105">
        <f t="shared" ca="1" si="2"/>
        <v>2.293398E-2</v>
      </c>
      <c r="O217" s="83"/>
    </row>
    <row r="218" spans="1:15" x14ac:dyDescent="0.35">
      <c r="A218" s="79" t="s">
        <v>1471</v>
      </c>
      <c r="B218" s="100" t="s">
        <v>144</v>
      </c>
      <c r="C218" s="81" t="str">
        <f>IFERROR(IF(B218="No CAS","",INDEX('DEQ Pollutant List'!$C$7:$C$611,MATCH('3. Pollutant Emissions - EF'!B218,'DEQ Pollutant List'!$B$7:$B$611,0))),"")</f>
        <v>sec-Butyl alcohol</v>
      </c>
      <c r="D218" s="115">
        <f>IFERROR(IF(OR($B218="",$B218="No CAS"),INDEX('DEQ Pollutant List'!$A$7:$A$611,MATCH($C218,'DEQ Pollutant List'!$C$7:$C$611,0)),INDEX('DEQ Pollutant List'!$A$7:$A$611,MATCH($B218,'DEQ Pollutant List'!$B$7:$B$611,0))),"")</f>
        <v>79</v>
      </c>
      <c r="E218" s="101">
        <v>0</v>
      </c>
      <c r="F218" s="102">
        <v>0.01</v>
      </c>
      <c r="G218" s="103">
        <v>0.1</v>
      </c>
      <c r="H218" s="83"/>
      <c r="I218" s="104" t="s">
        <v>1487</v>
      </c>
      <c r="J218" s="102"/>
      <c r="K218" s="105">
        <f t="shared" ca="1" si="1"/>
        <v>0.2</v>
      </c>
      <c r="L218" s="83"/>
      <c r="M218" s="102"/>
      <c r="N218" s="105">
        <f t="shared" ca="1" si="2"/>
        <v>2.0000000000000004E-2</v>
      </c>
      <c r="O218" s="83"/>
    </row>
    <row r="219" spans="1:15" x14ac:dyDescent="0.35">
      <c r="A219" s="79" t="s">
        <v>1471</v>
      </c>
      <c r="B219" s="100" t="s">
        <v>966</v>
      </c>
      <c r="C219" s="81" t="str">
        <f>IFERROR(IF(B219="No CAS","",INDEX('DEQ Pollutant List'!$C$7:$C$611,MATCH('3. Pollutant Emissions - EF'!B219,'DEQ Pollutant List'!$B$7:$B$611,0))),"")</f>
        <v>Sulfuric acid</v>
      </c>
      <c r="D219" s="115">
        <f>IFERROR(IF(OR($B219="",$B219="No CAS"),INDEX('DEQ Pollutant List'!$A$7:$A$611,MATCH($C219,'DEQ Pollutant List'!$C$7:$C$611,0)),INDEX('DEQ Pollutant List'!$A$7:$A$611,MATCH($B219,'DEQ Pollutant List'!$B$7:$B$611,0))),"")</f>
        <v>591</v>
      </c>
      <c r="E219" s="101">
        <v>0</v>
      </c>
      <c r="F219" s="102">
        <v>0.01</v>
      </c>
      <c r="G219" s="103">
        <v>0.1</v>
      </c>
      <c r="H219" s="83"/>
      <c r="I219" s="104" t="s">
        <v>1487</v>
      </c>
      <c r="J219" s="102"/>
      <c r="K219" s="105">
        <f t="shared" ca="1" si="1"/>
        <v>7.4511850000000008E-4</v>
      </c>
      <c r="L219" s="83"/>
      <c r="M219" s="102"/>
      <c r="N219" s="105">
        <f t="shared" ca="1" si="2"/>
        <v>7.4511850000000011E-5</v>
      </c>
      <c r="O219" s="83"/>
    </row>
    <row r="220" spans="1:15" x14ac:dyDescent="0.35">
      <c r="A220" s="79" t="s">
        <v>1471</v>
      </c>
      <c r="B220" s="100" t="s">
        <v>146</v>
      </c>
      <c r="C220" s="81" t="str">
        <f>IFERROR(IF(B220="No CAS","",INDEX('DEQ Pollutant List'!$C$7:$C$611,MATCH('3. Pollutant Emissions - EF'!B220,'DEQ Pollutant List'!$B$7:$B$611,0))),"")</f>
        <v>tert-Butyl alcohol</v>
      </c>
      <c r="D220" s="115">
        <f>IFERROR(IF(OR($B220="",$B220="No CAS"),INDEX('DEQ Pollutant List'!$A$7:$A$611,MATCH($C220,'DEQ Pollutant List'!$C$7:$C$611,0)),INDEX('DEQ Pollutant List'!$A$7:$A$611,MATCH($B220,'DEQ Pollutant List'!$B$7:$B$611,0))),"")</f>
        <v>80</v>
      </c>
      <c r="E220" s="101">
        <v>0</v>
      </c>
      <c r="F220" s="102">
        <v>0.01</v>
      </c>
      <c r="G220" s="103">
        <v>0.1</v>
      </c>
      <c r="H220" s="83"/>
      <c r="I220" s="104" t="s">
        <v>1487</v>
      </c>
      <c r="J220" s="102"/>
      <c r="K220" s="105">
        <f t="shared" ca="1" si="1"/>
        <v>1.6080000000000001E-3</v>
      </c>
      <c r="L220" s="83"/>
      <c r="M220" s="102"/>
      <c r="N220" s="105">
        <f t="shared" ca="1" si="2"/>
        <v>1.6080000000000001E-4</v>
      </c>
      <c r="O220" s="83"/>
    </row>
    <row r="221" spans="1:15" x14ac:dyDescent="0.35">
      <c r="A221" s="79" t="s">
        <v>1471</v>
      </c>
      <c r="B221" s="100" t="s">
        <v>994</v>
      </c>
      <c r="C221" s="81" t="str">
        <f>IFERROR(IF(B221="No CAS","",INDEX('DEQ Pollutant List'!$C$7:$C$611,MATCH('3. Pollutant Emissions - EF'!B221,'DEQ Pollutant List'!$B$7:$B$611,0))),"")</f>
        <v>Toluene</v>
      </c>
      <c r="D221" s="115">
        <f>IFERROR(IF(OR($B221="",$B221="No CAS"),INDEX('DEQ Pollutant List'!$A$7:$A$611,MATCH($C221,'DEQ Pollutant List'!$C$7:$C$611,0)),INDEX('DEQ Pollutant List'!$A$7:$A$611,MATCH($B221,'DEQ Pollutant List'!$B$7:$B$611,0))),"")</f>
        <v>600</v>
      </c>
      <c r="E221" s="101">
        <v>0</v>
      </c>
      <c r="F221" s="102">
        <v>0.01</v>
      </c>
      <c r="G221" s="103">
        <v>0.1</v>
      </c>
      <c r="H221" s="83"/>
      <c r="I221" s="104" t="s">
        <v>1487</v>
      </c>
      <c r="J221" s="102"/>
      <c r="K221" s="105">
        <f t="shared" ca="1" si="1"/>
        <v>21.9965373</v>
      </c>
      <c r="L221" s="83"/>
      <c r="M221" s="102"/>
      <c r="N221" s="105">
        <f t="shared" ca="1" si="2"/>
        <v>2.1996537300000001</v>
      </c>
      <c r="O221" s="83"/>
    </row>
    <row r="222" spans="1:15" x14ac:dyDescent="0.35">
      <c r="A222" s="79" t="s">
        <v>1471</v>
      </c>
      <c r="B222" s="100" t="s">
        <v>1031</v>
      </c>
      <c r="C222" s="81" t="str">
        <f>IFERROR(IF(B222="No CAS","",INDEX('DEQ Pollutant List'!$C$7:$C$611,MATCH('3. Pollutant Emissions - EF'!B222,'DEQ Pollutant List'!$B$7:$B$611,0))),"")</f>
        <v>Triethylamine</v>
      </c>
      <c r="D222" s="115">
        <f>IFERROR(IF(OR($B222="",$B222="No CAS"),INDEX('DEQ Pollutant List'!$A$7:$A$611,MATCH($C222,'DEQ Pollutant List'!$C$7:$C$611,0)),INDEX('DEQ Pollutant List'!$A$7:$A$611,MATCH($B222,'DEQ Pollutant List'!$B$7:$B$611,0))),"")</f>
        <v>610</v>
      </c>
      <c r="E222" s="101">
        <v>0</v>
      </c>
      <c r="F222" s="102">
        <v>0.01</v>
      </c>
      <c r="G222" s="103">
        <v>0.1</v>
      </c>
      <c r="H222" s="83"/>
      <c r="I222" s="104" t="s">
        <v>1487</v>
      </c>
      <c r="J222" s="102"/>
      <c r="K222" s="105">
        <f t="shared" ca="1" si="1"/>
        <v>4.5163199999999994E-2</v>
      </c>
      <c r="L222" s="83"/>
      <c r="M222" s="102"/>
      <c r="N222" s="105">
        <f t="shared" ca="1" si="2"/>
        <v>4.5163199999999999E-3</v>
      </c>
      <c r="O222" s="83"/>
    </row>
    <row r="223" spans="1:15" x14ac:dyDescent="0.35">
      <c r="A223" s="79" t="s">
        <v>1471</v>
      </c>
      <c r="B223" s="100" t="s">
        <v>1071</v>
      </c>
      <c r="C223" s="81" t="str">
        <f>IFERROR(IF(B223="No CAS","",INDEX('DEQ Pollutant List'!$C$7:$C$611,MATCH('3. Pollutant Emissions - EF'!B223,'DEQ Pollutant List'!$B$7:$B$611,0))),"")</f>
        <v>Xylene (mixture), including m-xylene, o-xylene, p-xylene</v>
      </c>
      <c r="D223" s="115">
        <f>IFERROR(IF(OR($B223="",$B223="No CAS"),INDEX('DEQ Pollutant List'!$A$7:$A$611,MATCH($C223,'DEQ Pollutant List'!$C$7:$C$611,0)),INDEX('DEQ Pollutant List'!$A$7:$A$611,MATCH($B223,'DEQ Pollutant List'!$B$7:$B$611,0))),"")</f>
        <v>628</v>
      </c>
      <c r="E223" s="101">
        <v>0</v>
      </c>
      <c r="F223" s="102">
        <v>0.01</v>
      </c>
      <c r="G223" s="103">
        <v>0.1</v>
      </c>
      <c r="H223" s="83"/>
      <c r="I223" s="104" t="s">
        <v>1487</v>
      </c>
      <c r="J223" s="102"/>
      <c r="K223" s="105">
        <f t="shared" ca="1" si="1"/>
        <v>9.1343999999999991E-3</v>
      </c>
      <c r="L223" s="83"/>
      <c r="M223" s="102"/>
      <c r="N223" s="105">
        <f t="shared" ca="1" si="2"/>
        <v>9.1343999999999996E-4</v>
      </c>
      <c r="O223" s="83"/>
    </row>
    <row r="224" spans="1:15" x14ac:dyDescent="0.35">
      <c r="A224" s="79"/>
      <c r="B224" s="100"/>
      <c r="C224" s="81"/>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t="s">
        <v>1470</v>
      </c>
      <c r="K227" s="203">
        <f ca="1">SUM(K160:K224)</f>
        <v>217.78011003437004</v>
      </c>
      <c r="L227" s="83"/>
      <c r="M227" s="102" t="s">
        <v>1470</v>
      </c>
      <c r="N227" s="105">
        <f ca="1">SUM(N160:N224)</f>
        <v>21.778011003437005</v>
      </c>
      <c r="O227" s="83"/>
    </row>
    <row r="228" spans="1:15" x14ac:dyDescent="0.3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96" t="s">
        <v>1481</v>
      </c>
      <c r="K228" s="105"/>
      <c r="L228" s="83"/>
      <c r="M228" s="102" t="s">
        <v>1482</v>
      </c>
      <c r="N228" s="105"/>
      <c r="O228" s="83"/>
    </row>
    <row r="229" spans="1:15" x14ac:dyDescent="0.3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5">
      <c r="A233" s="196"/>
      <c r="B233" s="200"/>
      <c r="C233" s="197"/>
      <c r="D233" s="115" t="str">
        <f>IFERROR(IF(OR($B159="",$B159="No CAS"),INDEX('DEQ Pollutant List'!$A$7:$A$611,MATCH($C159,'DEQ Pollutant List'!$C$7:$C$611,0)),INDEX('DEQ Pollutant List'!$A$7:$A$611,MATCH($B159,'DEQ Pollutant List'!$B$7:$B$611,0))),"")</f>
        <v/>
      </c>
      <c r="E233" s="201"/>
      <c r="F233" s="196"/>
      <c r="G233" s="196"/>
      <c r="H233" s="196"/>
      <c r="I233" s="197"/>
      <c r="J233" s="196"/>
      <c r="K233" s="196"/>
      <c r="L233" s="196"/>
      <c r="M233" s="196"/>
      <c r="N233" s="196"/>
      <c r="O233" s="196"/>
    </row>
    <row r="234" spans="1:15" x14ac:dyDescent="0.35">
      <c r="A234" s="196"/>
      <c r="B234" s="200"/>
      <c r="C234" s="197"/>
      <c r="D234" s="115">
        <f>IFERROR(IF(OR($B160="",$B160="No CAS"),INDEX('DEQ Pollutant List'!$A$7:$A$611,MATCH($C160,'DEQ Pollutant List'!$C$7:$C$611,0)),INDEX('DEQ Pollutant List'!$A$7:$A$611,MATCH($B160,'DEQ Pollutant List'!$B$7:$B$611,0))),"")</f>
        <v>73</v>
      </c>
      <c r="E234" s="201"/>
      <c r="F234" s="196"/>
      <c r="G234" s="196"/>
      <c r="H234" s="196"/>
      <c r="I234" s="197"/>
      <c r="J234" s="196"/>
      <c r="K234" s="196"/>
      <c r="L234" s="196"/>
      <c r="M234" s="196"/>
      <c r="N234" s="196"/>
      <c r="O234" s="196"/>
    </row>
    <row r="235" spans="1:15" x14ac:dyDescent="0.35">
      <c r="A235" s="196"/>
      <c r="B235" s="200"/>
      <c r="C235" s="197"/>
      <c r="D235" s="115">
        <f>IFERROR(IF(OR($B161="",$B161="No CAS"),INDEX('DEQ Pollutant List'!$A$7:$A$611,MATCH($C161,'DEQ Pollutant List'!$C$7:$C$611,0)),INDEX('DEQ Pollutant List'!$A$7:$A$611,MATCH($B161,'DEQ Pollutant List'!$B$7:$B$611,0))),"")</f>
        <v>110</v>
      </c>
      <c r="E235" s="201"/>
      <c r="F235" s="196"/>
      <c r="G235" s="196"/>
      <c r="H235" s="196"/>
      <c r="I235" s="197"/>
      <c r="J235" s="196"/>
      <c r="K235" s="196"/>
      <c r="L235" s="196"/>
      <c r="M235" s="196"/>
      <c r="N235" s="196"/>
      <c r="O235" s="196"/>
    </row>
    <row r="236" spans="1:15" x14ac:dyDescent="0.35">
      <c r="A236" s="196"/>
      <c r="B236" s="200"/>
      <c r="C236" s="197"/>
      <c r="D236" s="115">
        <f>IFERROR(IF(OR($B162="",$B162="No CAS"),INDEX('DEQ Pollutant List'!$A$7:$A$611,MATCH($C162,'DEQ Pollutant List'!$C$7:$C$611,0)),INDEX('DEQ Pollutant List'!$A$7:$A$611,MATCH($B162,'DEQ Pollutant List'!$B$7:$B$611,0))),"")</f>
        <v>111</v>
      </c>
      <c r="E236" s="201"/>
      <c r="F236" s="196"/>
      <c r="G236" s="196"/>
      <c r="H236" s="196"/>
      <c r="I236" s="197"/>
      <c r="J236" s="196"/>
      <c r="K236" s="196"/>
      <c r="L236" s="196"/>
      <c r="M236" s="196"/>
      <c r="N236" s="196"/>
      <c r="O236" s="196"/>
    </row>
    <row r="237" spans="1:15" x14ac:dyDescent="0.35">
      <c r="A237" s="196"/>
      <c r="B237" s="200"/>
      <c r="C237" s="197"/>
      <c r="D237" s="115">
        <f>IFERROR(IF(OR($B163="",$B163="No CAS"),INDEX('DEQ Pollutant List'!$A$7:$A$611,MATCH($C163,'DEQ Pollutant List'!$C$7:$C$611,0)),INDEX('DEQ Pollutant List'!$A$7:$A$611,MATCH($B163,'DEQ Pollutant List'!$B$7:$B$611,0))),"")</f>
        <v>615</v>
      </c>
      <c r="E237" s="201"/>
      <c r="F237" s="196"/>
      <c r="G237" s="196"/>
      <c r="H237" s="196"/>
      <c r="I237" s="197"/>
      <c r="J237" s="196"/>
      <c r="K237" s="196"/>
      <c r="L237" s="196"/>
      <c r="M237" s="196"/>
      <c r="N237" s="196"/>
      <c r="O237" s="196"/>
    </row>
    <row r="238" spans="1:15" x14ac:dyDescent="0.35">
      <c r="A238" s="196"/>
      <c r="B238" s="200"/>
      <c r="C238" s="197"/>
      <c r="D238" s="115">
        <f>IFERROR(IF(OR($B164="",$B164="No CAS"),INDEX('DEQ Pollutant List'!$A$7:$A$611,MATCH($C164,'DEQ Pollutant List'!$C$7:$C$611,0)),INDEX('DEQ Pollutant List'!$A$7:$A$611,MATCH($B164,'DEQ Pollutant List'!$B$7:$B$611,0))),"")</f>
        <v>220</v>
      </c>
      <c r="E238" s="201"/>
      <c r="F238" s="196"/>
      <c r="G238" s="196"/>
      <c r="H238" s="196"/>
      <c r="I238" s="197"/>
      <c r="J238" s="196"/>
      <c r="K238" s="196"/>
      <c r="L238" s="196"/>
      <c r="M238" s="196"/>
      <c r="N238" s="196"/>
      <c r="O238" s="196"/>
    </row>
    <row r="239" spans="1:15" x14ac:dyDescent="0.35">
      <c r="A239" s="196"/>
      <c r="B239" s="200"/>
      <c r="C239" s="197"/>
      <c r="D239" s="115">
        <f>IFERROR(IF(OR($B165="",$B165="No CAS"),INDEX('DEQ Pollutant List'!$A$7:$A$611,MATCH($C165,'DEQ Pollutant List'!$C$7:$C$611,0)),INDEX('DEQ Pollutant List'!$A$7:$A$611,MATCH($B165,'DEQ Pollutant List'!$B$7:$B$611,0))),"")</f>
        <v>333</v>
      </c>
      <c r="E239" s="201"/>
      <c r="F239" s="196"/>
      <c r="G239" s="196"/>
      <c r="H239" s="196"/>
      <c r="I239" s="197"/>
      <c r="J239" s="196"/>
      <c r="K239" s="196"/>
      <c r="L239" s="196"/>
      <c r="M239" s="196"/>
      <c r="N239" s="196"/>
      <c r="O239" s="196"/>
    </row>
    <row r="240" spans="1:15" x14ac:dyDescent="0.35">
      <c r="A240" s="196"/>
      <c r="B240" s="200"/>
      <c r="C240" s="197"/>
      <c r="D240" s="115">
        <f>IFERROR(IF(OR($B166="",$B166="No CAS"),INDEX('DEQ Pollutant List'!$A$7:$A$611,MATCH($C166,'DEQ Pollutant List'!$C$7:$C$611,0)),INDEX('DEQ Pollutant List'!$A$7:$A$611,MATCH($B166,'DEQ Pollutant List'!$B$7:$B$611,0))),"")</f>
        <v>122</v>
      </c>
      <c r="E240" s="201"/>
      <c r="F240" s="196"/>
      <c r="G240" s="196"/>
      <c r="H240" s="196"/>
      <c r="I240" s="197"/>
      <c r="J240" s="196"/>
      <c r="K240" s="196"/>
      <c r="L240" s="196"/>
      <c r="M240" s="196"/>
      <c r="N240" s="196"/>
      <c r="O240" s="196"/>
    </row>
    <row r="241" spans="1:15" x14ac:dyDescent="0.35">
      <c r="A241" s="196"/>
      <c r="B241" s="200"/>
      <c r="C241" s="197"/>
      <c r="D241" s="115">
        <f>IFERROR(IF(OR($B167="",$B167="No CAS"),INDEX('DEQ Pollutant List'!$A$7:$A$611,MATCH($C167,'DEQ Pollutant List'!$C$7:$C$611,0)),INDEX('DEQ Pollutant List'!$A$7:$A$611,MATCH($B167,'DEQ Pollutant List'!$B$7:$B$611,0))),"")</f>
        <v>616</v>
      </c>
      <c r="E241" s="201"/>
      <c r="F241" s="196"/>
      <c r="G241" s="196"/>
      <c r="H241" s="196"/>
      <c r="I241" s="197"/>
      <c r="J241" s="196"/>
      <c r="K241" s="196"/>
      <c r="L241" s="196"/>
      <c r="M241" s="196"/>
      <c r="N241" s="196"/>
      <c r="O241" s="196"/>
    </row>
    <row r="242" spans="1:15" x14ac:dyDescent="0.35">
      <c r="A242" s="196"/>
      <c r="B242" s="200"/>
      <c r="C242" s="197"/>
      <c r="D242" s="115">
        <f>IFERROR(IF(OR($B168="",$B168="No CAS"),INDEX('DEQ Pollutant List'!$A$7:$A$611,MATCH($C168,'DEQ Pollutant List'!$C$7:$C$611,0)),INDEX('DEQ Pollutant List'!$A$7:$A$611,MATCH($B168,'DEQ Pollutant List'!$B$7:$B$611,0))),"")</f>
        <v>1</v>
      </c>
      <c r="E242" s="201"/>
      <c r="F242" s="196"/>
      <c r="G242" s="196"/>
      <c r="H242" s="196"/>
      <c r="I242" s="197"/>
      <c r="J242" s="196"/>
      <c r="K242" s="196"/>
      <c r="L242" s="196"/>
      <c r="M242" s="196"/>
      <c r="N242" s="196"/>
      <c r="O242" s="196"/>
    </row>
    <row r="243" spans="1:15" x14ac:dyDescent="0.35">
      <c r="A243" s="196"/>
      <c r="B243" s="200"/>
      <c r="C243" s="197"/>
      <c r="D243" s="115">
        <f>IFERROR(IF(OR($B169="",$B169="No CAS"),INDEX('DEQ Pollutant List'!$A$7:$A$611,MATCH($C169,'DEQ Pollutant List'!$C$7:$C$611,0)),INDEX('DEQ Pollutant List'!$A$7:$A$611,MATCH($B169,'DEQ Pollutant List'!$B$7:$B$611,0))),"")</f>
        <v>2</v>
      </c>
      <c r="E243" s="201"/>
      <c r="F243" s="196"/>
      <c r="G243" s="196"/>
      <c r="H243" s="196"/>
      <c r="I243" s="197"/>
      <c r="J243" s="196"/>
      <c r="K243" s="196"/>
      <c r="L243" s="196"/>
      <c r="M243" s="196"/>
      <c r="N243" s="196"/>
      <c r="O243" s="196"/>
    </row>
    <row r="244" spans="1:15" x14ac:dyDescent="0.35">
      <c r="A244" s="196"/>
      <c r="B244" s="200"/>
      <c r="C244" s="197"/>
      <c r="D244" s="115">
        <f>IFERROR(IF(OR($B170="",$B170="No CAS"),INDEX('DEQ Pollutant List'!$A$7:$A$611,MATCH($C170,'DEQ Pollutant List'!$C$7:$C$611,0)),INDEX('DEQ Pollutant List'!$A$7:$A$611,MATCH($B170,'DEQ Pollutant List'!$B$7:$B$611,0))),"")</f>
        <v>634</v>
      </c>
      <c r="E244" s="201"/>
      <c r="F244" s="196"/>
      <c r="G244" s="196"/>
      <c r="H244" s="196"/>
      <c r="I244" s="197"/>
      <c r="J244" s="196"/>
      <c r="K244" s="196"/>
      <c r="L244" s="196"/>
      <c r="M244" s="196"/>
      <c r="N244" s="196"/>
      <c r="O244" s="196"/>
    </row>
    <row r="245" spans="1:15" x14ac:dyDescent="0.35">
      <c r="A245" s="196"/>
      <c r="B245" s="200"/>
      <c r="C245" s="197"/>
      <c r="D245" s="115">
        <f>IFERROR(IF(OR($B171="",$B171="No CAS"),INDEX('DEQ Pollutant List'!$A$7:$A$611,MATCH($C171,'DEQ Pollutant List'!$C$7:$C$611,0)),INDEX('DEQ Pollutant List'!$A$7:$A$611,MATCH($B171,'DEQ Pollutant List'!$B$7:$B$611,0))),"")</f>
        <v>3</v>
      </c>
      <c r="E245" s="201"/>
      <c r="F245" s="196"/>
      <c r="G245" s="196"/>
      <c r="H245" s="196"/>
      <c r="I245" s="197"/>
      <c r="J245" s="196"/>
      <c r="K245" s="196"/>
      <c r="L245" s="196"/>
      <c r="M245" s="196"/>
      <c r="N245" s="196"/>
      <c r="O245" s="196"/>
    </row>
    <row r="246" spans="1:15" x14ac:dyDescent="0.35">
      <c r="A246" s="196"/>
      <c r="B246" s="200"/>
      <c r="C246" s="197"/>
      <c r="D246" s="115">
        <f>IFERROR(IF(OR($B172="",$B172="No CAS"),INDEX('DEQ Pollutant List'!$A$7:$A$611,MATCH($C172,'DEQ Pollutant List'!$C$7:$C$611,0)),INDEX('DEQ Pollutant List'!$A$7:$A$611,MATCH($B172,'DEQ Pollutant List'!$B$7:$B$611,0))),"")</f>
        <v>4</v>
      </c>
      <c r="E246" s="201"/>
      <c r="F246" s="196"/>
      <c r="G246" s="196"/>
      <c r="H246" s="196"/>
      <c r="I246" s="197"/>
      <c r="J246" s="196"/>
      <c r="K246" s="196"/>
      <c r="L246" s="196"/>
      <c r="M246" s="196"/>
      <c r="N246" s="196"/>
      <c r="O246" s="196"/>
    </row>
    <row r="247" spans="1:15" x14ac:dyDescent="0.35">
      <c r="A247" s="196"/>
      <c r="B247" s="200"/>
      <c r="C247" s="197"/>
      <c r="D247" s="115">
        <f>IFERROR(IF(OR($B173="",$B173="No CAS"),INDEX('DEQ Pollutant List'!$A$7:$A$611,MATCH($C173,'DEQ Pollutant List'!$C$7:$C$611,0)),INDEX('DEQ Pollutant List'!$A$7:$A$611,MATCH($B173,'DEQ Pollutant List'!$B$7:$B$611,0))),"")</f>
        <v>8</v>
      </c>
      <c r="E247" s="201"/>
      <c r="F247" s="196"/>
      <c r="G247" s="196"/>
      <c r="H247" s="196"/>
      <c r="I247" s="197"/>
      <c r="J247" s="196"/>
      <c r="K247" s="196"/>
      <c r="L247" s="196"/>
      <c r="M247" s="196"/>
      <c r="N247" s="196"/>
      <c r="O247" s="196"/>
    </row>
    <row r="248" spans="1:15" x14ac:dyDescent="0.35">
      <c r="A248" s="196"/>
      <c r="B248" s="200"/>
      <c r="C248" s="197"/>
      <c r="D248" s="115">
        <f>IFERROR(IF(OR($B174="",$B174="No CAS"),INDEX('DEQ Pollutant List'!$A$7:$A$611,MATCH($C174,'DEQ Pollutant List'!$C$7:$C$611,0)),INDEX('DEQ Pollutant List'!$A$7:$A$611,MATCH($B174,'DEQ Pollutant List'!$B$7:$B$611,0))),"")</f>
        <v>12</v>
      </c>
      <c r="E248" s="201"/>
      <c r="F248" s="196"/>
      <c r="G248" s="196"/>
      <c r="H248" s="196"/>
      <c r="I248" s="197"/>
      <c r="J248" s="196"/>
      <c r="K248" s="196"/>
      <c r="L248" s="196"/>
      <c r="M248" s="196"/>
      <c r="N248" s="196"/>
      <c r="O248" s="196"/>
    </row>
    <row r="249" spans="1:15" x14ac:dyDescent="0.35">
      <c r="A249" s="196"/>
      <c r="B249" s="200"/>
      <c r="C249" s="197"/>
      <c r="D249" s="115">
        <f>IFERROR(IF(OR($B175="",$B175="No CAS"),INDEX('DEQ Pollutant List'!$A$7:$A$611,MATCH($C175,'DEQ Pollutant List'!$C$7:$C$611,0)),INDEX('DEQ Pollutant List'!$A$7:$A$611,MATCH($B175,'DEQ Pollutant List'!$B$7:$B$611,0))),"")</f>
        <v>26</v>
      </c>
      <c r="E249" s="201"/>
      <c r="F249" s="196"/>
      <c r="G249" s="196"/>
      <c r="H249" s="196"/>
      <c r="I249" s="197"/>
      <c r="J249" s="196"/>
      <c r="K249" s="196"/>
      <c r="L249" s="196"/>
      <c r="M249" s="196"/>
      <c r="N249" s="196"/>
      <c r="O249" s="196"/>
    </row>
    <row r="250" spans="1:15" x14ac:dyDescent="0.35">
      <c r="A250" s="196"/>
      <c r="B250" s="200"/>
      <c r="C250" s="197"/>
      <c r="D250" s="115">
        <f>IFERROR(IF(OR($B176="",$B176="No CAS"),INDEX('DEQ Pollutant List'!$A$7:$A$611,MATCH($C176,'DEQ Pollutant List'!$C$7:$C$611,0)),INDEX('DEQ Pollutant List'!$A$7:$A$611,MATCH($B176,'DEQ Pollutant List'!$B$7:$B$611,0))),"")</f>
        <v>30</v>
      </c>
      <c r="E250" s="201"/>
      <c r="F250" s="196"/>
      <c r="G250" s="196"/>
      <c r="H250" s="196"/>
      <c r="I250" s="197"/>
      <c r="J250" s="196"/>
      <c r="K250" s="196"/>
      <c r="L250" s="196"/>
      <c r="M250" s="196"/>
      <c r="N250" s="196"/>
      <c r="O250" s="196"/>
    </row>
    <row r="251" spans="1:15" x14ac:dyDescent="0.35">
      <c r="A251" s="196"/>
      <c r="B251" s="200"/>
      <c r="C251" s="197"/>
      <c r="D251" s="115">
        <f>IFERROR(IF(OR($B177="",$B177="No CAS"),INDEX('DEQ Pollutant List'!$A$7:$A$611,MATCH($C177,'DEQ Pollutant List'!$C$7:$C$611,0)),INDEX('DEQ Pollutant List'!$A$7:$A$611,MATCH($B177,'DEQ Pollutant List'!$B$7:$B$611,0))),"")</f>
        <v>46</v>
      </c>
      <c r="E251" s="201"/>
      <c r="F251" s="196"/>
      <c r="G251" s="196"/>
      <c r="H251" s="196"/>
      <c r="I251" s="197"/>
      <c r="J251" s="196"/>
      <c r="K251" s="196"/>
      <c r="L251" s="196"/>
      <c r="M251" s="196"/>
      <c r="N251" s="196"/>
      <c r="O251" s="196"/>
    </row>
    <row r="252" spans="1:15" x14ac:dyDescent="0.35">
      <c r="A252" s="196"/>
      <c r="B252" s="200"/>
      <c r="C252" s="197"/>
      <c r="D252" s="115">
        <f>IFERROR(IF(OR($B178="",$B178="No CAS"),INDEX('DEQ Pollutant List'!$A$7:$A$611,MATCH($C178,'DEQ Pollutant List'!$C$7:$C$611,0)),INDEX('DEQ Pollutant List'!$A$7:$A$611,MATCH($B178,'DEQ Pollutant List'!$B$7:$B$611,0))),"")</f>
        <v>54</v>
      </c>
      <c r="E252" s="201"/>
      <c r="F252" s="196"/>
      <c r="G252" s="196"/>
      <c r="H252" s="196"/>
      <c r="I252" s="197"/>
      <c r="J252" s="196"/>
      <c r="K252" s="196"/>
      <c r="L252" s="196"/>
      <c r="M252" s="196"/>
      <c r="N252" s="196"/>
      <c r="O252" s="196"/>
    </row>
    <row r="253" spans="1:15" x14ac:dyDescent="0.35">
      <c r="A253" s="196"/>
      <c r="B253" s="200"/>
      <c r="C253" s="197"/>
      <c r="D253" s="115">
        <f>IFERROR(IF(OR($B179="",$B179="No CAS"),INDEX('DEQ Pollutant List'!$A$7:$A$611,MATCH($C179,'DEQ Pollutant List'!$C$7:$C$611,0)),INDEX('DEQ Pollutant List'!$A$7:$A$611,MATCH($B179,'DEQ Pollutant List'!$B$7:$B$611,0))),"")</f>
        <v>66</v>
      </c>
      <c r="E253" s="201"/>
      <c r="F253" s="196"/>
      <c r="G253" s="196"/>
      <c r="H253" s="196"/>
      <c r="I253" s="197"/>
      <c r="J253" s="196"/>
      <c r="K253" s="196"/>
      <c r="L253" s="196"/>
      <c r="M253" s="196"/>
      <c r="N253" s="196"/>
      <c r="O253" s="196"/>
    </row>
    <row r="254" spans="1:15" x14ac:dyDescent="0.35">
      <c r="A254" s="196"/>
      <c r="B254" s="200"/>
      <c r="C254" s="197"/>
      <c r="D254" s="115">
        <f>IFERROR(IF(OR($B180="",$B180="No CAS"),INDEX('DEQ Pollutant List'!$A$7:$A$611,MATCH($C180,'DEQ Pollutant List'!$C$7:$C$611,0)),INDEX('DEQ Pollutant List'!$A$7:$A$611,MATCH($B180,'DEQ Pollutant List'!$B$7:$B$611,0))),"")</f>
        <v>90</v>
      </c>
      <c r="E254" s="201"/>
      <c r="F254" s="196"/>
      <c r="G254" s="196"/>
      <c r="H254" s="196"/>
      <c r="I254" s="197"/>
      <c r="J254" s="196"/>
      <c r="K254" s="196"/>
      <c r="L254" s="196"/>
      <c r="M254" s="196"/>
      <c r="N254" s="196"/>
      <c r="O254" s="196"/>
    </row>
    <row r="255" spans="1:15" x14ac:dyDescent="0.35">
      <c r="A255" s="196"/>
      <c r="B255" s="200"/>
      <c r="C255" s="197"/>
      <c r="D255" s="115">
        <f>IFERROR(IF(OR($B181="",$B181="No CAS"),INDEX('DEQ Pollutant List'!$A$7:$A$611,MATCH($C181,'DEQ Pollutant List'!$C$7:$C$611,0)),INDEX('DEQ Pollutant List'!$A$7:$A$611,MATCH($B181,'DEQ Pollutant List'!$B$7:$B$611,0))),"")</f>
        <v>94</v>
      </c>
      <c r="E255" s="201"/>
      <c r="F255" s="196"/>
      <c r="G255" s="196"/>
      <c r="H255" s="196"/>
      <c r="I255" s="197"/>
      <c r="J255" s="196"/>
      <c r="K255" s="196"/>
      <c r="L255" s="196"/>
      <c r="M255" s="196"/>
      <c r="N255" s="196"/>
      <c r="O255" s="196"/>
    </row>
    <row r="256" spans="1:15" x14ac:dyDescent="0.35">
      <c r="A256" s="196"/>
      <c r="B256" s="200"/>
      <c r="C256" s="197"/>
      <c r="D256" s="115">
        <f>IFERROR(IF(OR($B182="",$B182="No CAS"),INDEX('DEQ Pollutant List'!$A$7:$A$611,MATCH($C182,'DEQ Pollutant List'!$C$7:$C$611,0)),INDEX('DEQ Pollutant List'!$A$7:$A$611,MATCH($B182,'DEQ Pollutant List'!$B$7:$B$611,0))),"")</f>
        <v>101</v>
      </c>
      <c r="E256" s="201"/>
      <c r="F256" s="196"/>
      <c r="G256" s="196"/>
      <c r="H256" s="196"/>
      <c r="I256" s="197"/>
      <c r="J256" s="196"/>
      <c r="K256" s="196"/>
      <c r="L256" s="196"/>
      <c r="M256" s="196"/>
      <c r="N256" s="196"/>
      <c r="O256" s="196"/>
    </row>
    <row r="257" spans="1:15" x14ac:dyDescent="0.35">
      <c r="A257" s="196"/>
      <c r="B257" s="200"/>
      <c r="C257" s="197"/>
      <c r="D257" s="115">
        <f>IFERROR(IF(OR($B183="",$B183="No CAS"),INDEX('DEQ Pollutant List'!$A$7:$A$611,MATCH($C183,'DEQ Pollutant List'!$C$7:$C$611,0)),INDEX('DEQ Pollutant List'!$A$7:$A$611,MATCH($B183,'DEQ Pollutant List'!$B$7:$B$611,0))),"")</f>
        <v>108</v>
      </c>
      <c r="E257" s="201"/>
      <c r="F257" s="196"/>
      <c r="G257" s="196"/>
      <c r="H257" s="196"/>
      <c r="I257" s="197"/>
      <c r="J257" s="196"/>
      <c r="K257" s="196"/>
      <c r="L257" s="196"/>
      <c r="M257" s="196"/>
      <c r="N257" s="196"/>
      <c r="O257" s="196"/>
    </row>
    <row r="258" spans="1:15" x14ac:dyDescent="0.35">
      <c r="A258" s="196"/>
      <c r="B258" s="200"/>
      <c r="C258" s="197"/>
      <c r="D258" s="115">
        <f>IFERROR(IF(OR($B184="",$B184="No CAS"),INDEX('DEQ Pollutant List'!$A$7:$A$611,MATCH($C184,'DEQ Pollutant List'!$C$7:$C$611,0)),INDEX('DEQ Pollutant List'!$A$7:$A$611,MATCH($B184,'DEQ Pollutant List'!$B$7:$B$611,0))),"")</f>
        <v>118</v>
      </c>
      <c r="E258" s="201"/>
      <c r="F258" s="196"/>
      <c r="G258" s="196"/>
      <c r="H258" s="196"/>
      <c r="I258" s="197"/>
      <c r="J258" s="196"/>
      <c r="K258" s="196"/>
      <c r="L258" s="196"/>
      <c r="M258" s="196"/>
      <c r="N258" s="196"/>
      <c r="O258" s="196"/>
    </row>
    <row r="259" spans="1:15" x14ac:dyDescent="0.35">
      <c r="A259" s="196"/>
      <c r="B259" s="200"/>
      <c r="C259" s="197"/>
      <c r="D259" s="115">
        <f>IFERROR(IF(OR($B185="",$B185="No CAS"),INDEX('DEQ Pollutant List'!$A$7:$A$611,MATCH($C185,'DEQ Pollutant List'!$C$7:$C$611,0)),INDEX('DEQ Pollutant List'!$A$7:$A$611,MATCH($B185,'DEQ Pollutant List'!$B$7:$B$611,0))),"")</f>
        <v>152</v>
      </c>
      <c r="E259" s="201"/>
      <c r="F259" s="196"/>
      <c r="G259" s="196"/>
      <c r="H259" s="196"/>
      <c r="I259" s="197"/>
      <c r="J259" s="196"/>
      <c r="K259" s="196"/>
      <c r="L259" s="196"/>
      <c r="M259" s="196"/>
      <c r="N259" s="196"/>
      <c r="O259" s="196"/>
    </row>
    <row r="260" spans="1:15" x14ac:dyDescent="0.35">
      <c r="A260" s="196"/>
      <c r="B260" s="200"/>
      <c r="C260" s="197"/>
      <c r="D260" s="115">
        <f>IFERROR(IF(OR($B186="",$B186="No CAS"),INDEX('DEQ Pollutant List'!$A$7:$A$611,MATCH($C186,'DEQ Pollutant List'!$C$7:$C$611,0)),INDEX('DEQ Pollutant List'!$A$7:$A$611,MATCH($B186,'DEQ Pollutant List'!$B$7:$B$611,0))),"")</f>
        <v>162</v>
      </c>
      <c r="E260" s="201"/>
      <c r="F260" s="196"/>
      <c r="G260" s="196"/>
      <c r="H260" s="196"/>
      <c r="I260" s="197"/>
      <c r="J260" s="196"/>
      <c r="K260" s="196"/>
      <c r="L260" s="196"/>
      <c r="M260" s="196"/>
      <c r="N260" s="196"/>
      <c r="O260" s="196"/>
    </row>
    <row r="261" spans="1:15" x14ac:dyDescent="0.35">
      <c r="A261" s="196"/>
      <c r="B261" s="200"/>
      <c r="C261" s="197"/>
      <c r="D261" s="115">
        <f>IFERROR(IF(OR($B187="",$B187="No CAS"),INDEX('DEQ Pollutant List'!$A$7:$A$611,MATCH($C187,'DEQ Pollutant List'!$C$7:$C$611,0)),INDEX('DEQ Pollutant List'!$A$7:$A$611,MATCH($B187,'DEQ Pollutant List'!$B$7:$B$611,0))),"")</f>
        <v>163</v>
      </c>
      <c r="E261" s="201"/>
      <c r="F261" s="196"/>
      <c r="G261" s="196"/>
      <c r="H261" s="196"/>
      <c r="I261" s="197"/>
      <c r="J261" s="196"/>
      <c r="K261" s="196"/>
      <c r="L261" s="196"/>
      <c r="M261" s="196"/>
      <c r="N261" s="196"/>
      <c r="O261" s="196"/>
    </row>
    <row r="262" spans="1:15" x14ac:dyDescent="0.35">
      <c r="A262" s="196"/>
      <c r="B262" s="200"/>
      <c r="C262" s="197"/>
      <c r="D262" s="115">
        <f>IFERROR(IF(OR($B188="",$B188="No CAS"),INDEX('DEQ Pollutant List'!$A$7:$A$611,MATCH($C188,'DEQ Pollutant List'!$C$7:$C$611,0)),INDEX('DEQ Pollutant List'!$A$7:$A$611,MATCH($B188,'DEQ Pollutant List'!$B$7:$B$611,0))),"")</f>
        <v>328</v>
      </c>
      <c r="E262" s="201"/>
      <c r="F262" s="196"/>
      <c r="G262" s="196"/>
      <c r="H262" s="196"/>
      <c r="I262" s="197"/>
      <c r="J262" s="196"/>
      <c r="K262" s="196"/>
      <c r="L262" s="196"/>
      <c r="M262" s="196"/>
      <c r="N262" s="196"/>
      <c r="O262" s="196"/>
    </row>
    <row r="263" spans="1:15" x14ac:dyDescent="0.35">
      <c r="A263" s="196"/>
      <c r="B263" s="200"/>
      <c r="C263" s="197"/>
      <c r="D263" s="115">
        <f>IFERROR(IF(OR($B189="",$B189="No CAS"),INDEX('DEQ Pollutant List'!$A$7:$A$611,MATCH($C189,'DEQ Pollutant List'!$C$7:$C$611,0)),INDEX('DEQ Pollutant List'!$A$7:$A$611,MATCH($B189,'DEQ Pollutant List'!$B$7:$B$611,0))),"")</f>
        <v>259</v>
      </c>
      <c r="E263" s="201"/>
      <c r="F263" s="196"/>
      <c r="G263" s="196"/>
      <c r="H263" s="196"/>
      <c r="I263" s="197"/>
      <c r="J263" s="196"/>
      <c r="K263" s="196"/>
      <c r="L263" s="196"/>
      <c r="M263" s="196"/>
      <c r="N263" s="196"/>
      <c r="O263" s="196"/>
    </row>
    <row r="264" spans="1:15" x14ac:dyDescent="0.35">
      <c r="A264" s="196"/>
      <c r="B264" s="200"/>
      <c r="C264" s="197"/>
      <c r="D264" s="115">
        <f>IFERROR(IF(OR($B190="",$B190="No CAS"),INDEX('DEQ Pollutant List'!$A$7:$A$611,MATCH($C190,'DEQ Pollutant List'!$C$7:$C$611,0)),INDEX('DEQ Pollutant List'!$A$7:$A$611,MATCH($B190,'DEQ Pollutant List'!$B$7:$B$611,0))),"")</f>
        <v>211</v>
      </c>
      <c r="E264" s="201"/>
      <c r="F264" s="196"/>
      <c r="G264" s="196"/>
      <c r="H264" s="196"/>
      <c r="I264" s="197"/>
      <c r="J264" s="196"/>
      <c r="K264" s="196"/>
      <c r="L264" s="196"/>
      <c r="M264" s="196"/>
      <c r="N264" s="196"/>
      <c r="O264" s="196"/>
    </row>
    <row r="265" spans="1:15" x14ac:dyDescent="0.35">
      <c r="A265" s="196"/>
      <c r="B265" s="200"/>
      <c r="C265" s="197"/>
      <c r="D265" s="115">
        <f>IFERROR(IF(OR($B191="",$B191="No CAS"),INDEX('DEQ Pollutant List'!$A$7:$A$611,MATCH($C191,'DEQ Pollutant List'!$C$7:$C$611,0)),INDEX('DEQ Pollutant List'!$A$7:$A$611,MATCH($B191,'DEQ Pollutant List'!$B$7:$B$611,0))),"")</f>
        <v>213</v>
      </c>
      <c r="E265" s="201"/>
      <c r="F265" s="196"/>
      <c r="G265" s="196"/>
      <c r="H265" s="196"/>
      <c r="I265" s="197"/>
      <c r="J265" s="196"/>
      <c r="K265" s="196"/>
      <c r="L265" s="196"/>
      <c r="M265" s="196"/>
      <c r="N265" s="196"/>
      <c r="O265" s="196"/>
    </row>
    <row r="266" spans="1:15" x14ac:dyDescent="0.35">
      <c r="A266" s="196"/>
      <c r="B266" s="200"/>
      <c r="C266" s="197"/>
      <c r="D266" s="115">
        <f>IFERROR(IF(OR($B192="",$B192="No CAS"),INDEX('DEQ Pollutant List'!$A$7:$A$611,MATCH($C192,'DEQ Pollutant List'!$C$7:$C$611,0)),INDEX('DEQ Pollutant List'!$A$7:$A$611,MATCH($B192,'DEQ Pollutant List'!$B$7:$B$611,0))),"")</f>
        <v>229</v>
      </c>
      <c r="E266" s="201"/>
      <c r="F266" s="196"/>
      <c r="G266" s="196"/>
      <c r="H266" s="196"/>
      <c r="I266" s="197"/>
      <c r="J266" s="196"/>
      <c r="K266" s="196"/>
      <c r="L266" s="196"/>
      <c r="M266" s="196"/>
      <c r="N266" s="196"/>
      <c r="O266" s="196"/>
    </row>
    <row r="267" spans="1:15" x14ac:dyDescent="0.35">
      <c r="A267" s="196"/>
      <c r="B267" s="200"/>
      <c r="C267" s="197"/>
      <c r="D267" s="115">
        <f>IFERROR(IF(OR($B193="",$B193="No CAS"),INDEX('DEQ Pollutant List'!$A$7:$A$611,MATCH($C193,'DEQ Pollutant List'!$C$7:$C$611,0)),INDEX('DEQ Pollutant List'!$A$7:$A$611,MATCH($B193,'DEQ Pollutant List'!$B$7:$B$611,0))),"")</f>
        <v>234</v>
      </c>
      <c r="E267" s="201"/>
      <c r="F267" s="196"/>
      <c r="G267" s="196"/>
      <c r="H267" s="196"/>
      <c r="I267" s="197"/>
      <c r="J267" s="196"/>
      <c r="K267" s="196"/>
      <c r="L267" s="196"/>
      <c r="M267" s="196"/>
      <c r="N267" s="196"/>
      <c r="O267" s="196"/>
    </row>
    <row r="268" spans="1:15" x14ac:dyDescent="0.35">
      <c r="A268" s="196"/>
      <c r="B268" s="200"/>
      <c r="C268" s="197"/>
      <c r="D268" s="115">
        <f>IFERROR(IF(OR($B194="",$B194="No CAS"),INDEX('DEQ Pollutant List'!$A$7:$A$611,MATCH($C194,'DEQ Pollutant List'!$C$7:$C$611,0)),INDEX('DEQ Pollutant List'!$A$7:$A$611,MATCH($B194,'DEQ Pollutant List'!$B$7:$B$611,0))),"")</f>
        <v>266</v>
      </c>
      <c r="E268" s="201"/>
      <c r="F268" s="196"/>
      <c r="G268" s="196"/>
      <c r="H268" s="196"/>
      <c r="I268" s="197"/>
      <c r="J268" s="196"/>
      <c r="K268" s="196"/>
      <c r="L268" s="196"/>
      <c r="M268" s="196"/>
      <c r="N268" s="196"/>
      <c r="O268" s="196"/>
    </row>
    <row r="269" spans="1:15" x14ac:dyDescent="0.35">
      <c r="A269" s="196"/>
      <c r="B269" s="200"/>
      <c r="C269" s="197"/>
      <c r="D269" s="115">
        <f>IFERROR(IF(OR($B195="",$B195="No CAS"),INDEX('DEQ Pollutant List'!$A$7:$A$611,MATCH($C195,'DEQ Pollutant List'!$C$7:$C$611,0)),INDEX('DEQ Pollutant List'!$A$7:$A$611,MATCH($B195,'DEQ Pollutant List'!$B$7:$B$611,0))),"")</f>
        <v>250</v>
      </c>
      <c r="E269" s="201"/>
      <c r="F269" s="196"/>
      <c r="G269" s="196"/>
      <c r="H269" s="196"/>
      <c r="I269" s="197"/>
      <c r="J269" s="196"/>
      <c r="K269" s="196"/>
      <c r="L269" s="196"/>
      <c r="M269" s="196"/>
      <c r="N269" s="196"/>
      <c r="O269" s="196"/>
    </row>
    <row r="270" spans="1:15" x14ac:dyDescent="0.35">
      <c r="A270" s="196"/>
      <c r="B270" s="200"/>
      <c r="C270" s="197"/>
      <c r="D270" s="115">
        <f>IFERROR(IF(OR($B196="",$B196="No CAS"),INDEX('DEQ Pollutant List'!$A$7:$A$611,MATCH($C196,'DEQ Pollutant List'!$C$7:$C$611,0)),INDEX('DEQ Pollutant List'!$A$7:$A$611,MATCH($B196,'DEQ Pollutant List'!$B$7:$B$611,0))),"")</f>
        <v>288</v>
      </c>
      <c r="E270" s="201"/>
      <c r="F270" s="196"/>
      <c r="G270" s="196"/>
      <c r="H270" s="196"/>
      <c r="I270" s="197"/>
      <c r="J270" s="196"/>
      <c r="K270" s="196"/>
      <c r="L270" s="196"/>
      <c r="M270" s="196"/>
      <c r="N270" s="196"/>
      <c r="O270" s="196"/>
    </row>
    <row r="271" spans="1:15" x14ac:dyDescent="0.35">
      <c r="A271" s="196"/>
      <c r="B271" s="200"/>
      <c r="C271" s="197"/>
      <c r="D271" s="115">
        <f>IFERROR(IF(OR($B197="",$B197="No CAS"),INDEX('DEQ Pollutant List'!$A$7:$A$611,MATCH($C197,'DEQ Pollutant List'!$C$7:$C$611,0)),INDEX('DEQ Pollutant List'!$A$7:$A$611,MATCH($B197,'DEQ Pollutant List'!$B$7:$B$611,0))),"")</f>
        <v>289</v>
      </c>
      <c r="E271" s="201"/>
      <c r="F271" s="196"/>
      <c r="G271" s="196"/>
      <c r="H271" s="196"/>
      <c r="I271" s="197"/>
      <c r="J271" s="196"/>
      <c r="K271" s="196"/>
      <c r="L271" s="196"/>
      <c r="M271" s="196"/>
      <c r="N271" s="196"/>
      <c r="O271" s="196"/>
    </row>
    <row r="272" spans="1:15" x14ac:dyDescent="0.35">
      <c r="A272" s="196"/>
      <c r="B272" s="200"/>
      <c r="C272" s="197"/>
      <c r="D272" s="115">
        <f>IFERROR(IF(OR($B198="",$B198="No CAS"),INDEX('DEQ Pollutant List'!$A$7:$A$611,MATCH($C198,'DEQ Pollutant List'!$C$7:$C$611,0)),INDEX('DEQ Pollutant List'!$A$7:$A$611,MATCH($B198,'DEQ Pollutant List'!$B$7:$B$611,0))),"")</f>
        <v>292</v>
      </c>
      <c r="E272" s="201"/>
      <c r="F272" s="196"/>
      <c r="G272" s="196"/>
      <c r="H272" s="196"/>
      <c r="I272" s="197"/>
      <c r="J272" s="196"/>
      <c r="K272" s="196"/>
      <c r="L272" s="196"/>
      <c r="M272" s="196"/>
      <c r="N272" s="196"/>
      <c r="O272" s="196"/>
    </row>
    <row r="273" spans="1:15" x14ac:dyDescent="0.35">
      <c r="A273" s="196"/>
      <c r="B273" s="200"/>
      <c r="C273" s="197"/>
      <c r="D273" s="115">
        <f>IFERROR(IF(OR($B199="",$B199="No CAS"),INDEX('DEQ Pollutant List'!$A$7:$A$611,MATCH($C199,'DEQ Pollutant List'!$C$7:$C$611,0)),INDEX('DEQ Pollutant List'!$A$7:$A$611,MATCH($B199,'DEQ Pollutant List'!$B$7:$B$611,0))),"")</f>
        <v>302</v>
      </c>
      <c r="E273" s="201"/>
      <c r="F273" s="196"/>
      <c r="G273" s="196"/>
      <c r="H273" s="196"/>
      <c r="I273" s="197"/>
      <c r="J273" s="196"/>
      <c r="K273" s="196"/>
      <c r="L273" s="196"/>
      <c r="M273" s="196"/>
      <c r="N273" s="196"/>
      <c r="O273" s="196"/>
    </row>
    <row r="274" spans="1:15" x14ac:dyDescent="0.35">
      <c r="A274" s="196"/>
      <c r="B274" s="200"/>
      <c r="C274" s="197"/>
      <c r="D274" s="115">
        <f>IFERROR(IF(OR($B200="",$B200="No CAS"),INDEX('DEQ Pollutant List'!$A$7:$A$611,MATCH($C200,'DEQ Pollutant List'!$C$7:$C$611,0)),INDEX('DEQ Pollutant List'!$A$7:$A$611,MATCH($B200,'DEQ Pollutant List'!$B$7:$B$611,0))),"")</f>
        <v>311</v>
      </c>
      <c r="E274" s="201"/>
      <c r="F274" s="196"/>
      <c r="G274" s="196"/>
      <c r="H274" s="196"/>
      <c r="I274" s="197"/>
      <c r="J274" s="196"/>
      <c r="K274" s="196"/>
      <c r="L274" s="196"/>
      <c r="M274" s="196"/>
      <c r="N274" s="196"/>
      <c r="O274" s="196"/>
    </row>
    <row r="275" spans="1:15" x14ac:dyDescent="0.3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201"/>
      <c r="F275" s="196"/>
      <c r="G275" s="196"/>
      <c r="H275" s="196"/>
      <c r="I275" s="197"/>
      <c r="J275" s="196"/>
      <c r="K275" s="196"/>
      <c r="L275" s="196"/>
      <c r="M275" s="196"/>
      <c r="N275" s="196"/>
      <c r="O275" s="196"/>
    </row>
    <row r="276" spans="1:15" x14ac:dyDescent="0.3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201"/>
      <c r="F276" s="196"/>
      <c r="G276" s="196"/>
      <c r="H276" s="196"/>
      <c r="I276" s="197"/>
      <c r="J276" s="196"/>
      <c r="K276" s="196"/>
      <c r="L276" s="196"/>
      <c r="M276" s="196"/>
      <c r="N276" s="196"/>
      <c r="O276" s="196"/>
    </row>
    <row r="277" spans="1:15" x14ac:dyDescent="0.3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201"/>
      <c r="F277" s="196"/>
      <c r="G277" s="196"/>
      <c r="H277" s="196"/>
      <c r="I277" s="197"/>
      <c r="J277" s="196"/>
      <c r="K277" s="196"/>
      <c r="L277" s="196"/>
      <c r="M277" s="196"/>
      <c r="N277" s="196"/>
      <c r="O277" s="196"/>
    </row>
    <row r="278" spans="1:15" x14ac:dyDescent="0.3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201"/>
      <c r="F278" s="196"/>
      <c r="G278" s="196"/>
      <c r="H278" s="196"/>
      <c r="I278" s="197"/>
      <c r="J278" s="196"/>
      <c r="K278" s="196"/>
      <c r="L278" s="196"/>
      <c r="M278" s="196"/>
      <c r="N278" s="196"/>
      <c r="O278" s="196"/>
    </row>
    <row r="279" spans="1:15" x14ac:dyDescent="0.3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201"/>
      <c r="F279" s="196"/>
      <c r="G279" s="196"/>
      <c r="H279" s="196"/>
      <c r="I279" s="197"/>
      <c r="J279" s="196"/>
      <c r="K279" s="196"/>
      <c r="L279" s="196"/>
      <c r="M279" s="196"/>
      <c r="N279" s="196"/>
      <c r="O279" s="196"/>
    </row>
    <row r="280" spans="1:15" x14ac:dyDescent="0.3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201"/>
      <c r="F280" s="196"/>
      <c r="G280" s="196"/>
      <c r="H280" s="196"/>
      <c r="I280" s="197"/>
      <c r="J280" s="196"/>
      <c r="K280" s="196"/>
      <c r="L280" s="196"/>
      <c r="M280" s="196"/>
      <c r="N280" s="196"/>
      <c r="O280" s="196"/>
    </row>
    <row r="281" spans="1:15" x14ac:dyDescent="0.3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201"/>
      <c r="F281" s="196"/>
      <c r="G281" s="196"/>
      <c r="H281" s="196"/>
      <c r="I281" s="197"/>
      <c r="J281" s="196"/>
      <c r="K281" s="196"/>
      <c r="L281" s="196"/>
      <c r="M281" s="196"/>
      <c r="N281" s="196"/>
      <c r="O281" s="196"/>
    </row>
    <row r="282" spans="1:15" x14ac:dyDescent="0.3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201"/>
      <c r="F282" s="196"/>
      <c r="G282" s="196"/>
      <c r="H282" s="196"/>
      <c r="I282" s="197"/>
      <c r="J282" s="196"/>
      <c r="K282" s="196"/>
      <c r="L282" s="196"/>
      <c r="M282" s="196"/>
      <c r="N282" s="196"/>
      <c r="O282" s="196"/>
    </row>
    <row r="283" spans="1:15" x14ac:dyDescent="0.3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201"/>
      <c r="F283" s="196"/>
      <c r="G283" s="196"/>
      <c r="H283" s="196"/>
      <c r="I283" s="197"/>
      <c r="J283" s="196"/>
      <c r="K283" s="196"/>
      <c r="L283" s="196"/>
      <c r="M283" s="196"/>
      <c r="N283" s="196"/>
      <c r="O283" s="196"/>
    </row>
    <row r="284" spans="1:15" x14ac:dyDescent="0.3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201"/>
      <c r="F284" s="196"/>
      <c r="G284" s="196"/>
      <c r="H284" s="196"/>
      <c r="I284" s="197"/>
      <c r="J284" s="196"/>
      <c r="K284" s="196"/>
      <c r="L284" s="196"/>
      <c r="M284" s="196"/>
      <c r="N284" s="196"/>
      <c r="O284" s="196"/>
    </row>
    <row r="285" spans="1:15" x14ac:dyDescent="0.3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3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3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3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3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3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3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3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3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3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3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3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3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3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3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3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3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3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3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3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3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3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3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3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3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3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3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3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3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3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3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3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3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3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3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3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3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3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3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3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3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3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3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3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3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3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3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3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3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3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3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3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3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3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3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3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3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3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3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3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3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3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3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3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3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ht="15" thickBot="1" x14ac:dyDescent="0.4">
      <c r="A564" s="87"/>
      <c r="B564" s="106"/>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7"/>
      <c r="F564" s="108"/>
      <c r="G564" s="109"/>
      <c r="H564" s="91"/>
      <c r="I564" s="110"/>
      <c r="J564" s="108"/>
      <c r="K564" s="111"/>
      <c r="L564" s="91"/>
      <c r="M564" s="108"/>
      <c r="N564" s="111"/>
      <c r="O564" s="91"/>
    </row>
    <row r="565" spans="1:15" x14ac:dyDescent="0.35">
      <c r="A565" s="242" t="s">
        <v>1138</v>
      </c>
      <c r="B565" s="243"/>
      <c r="C565" s="243"/>
      <c r="D565" s="243"/>
      <c r="E565" s="243"/>
      <c r="F565" s="243"/>
      <c r="G565" s="243"/>
      <c r="H565" s="243"/>
      <c r="I565" s="243"/>
      <c r="J565" s="243"/>
      <c r="K565" s="243"/>
      <c r="L565" s="243"/>
      <c r="M565" s="243"/>
      <c r="N565" s="243"/>
      <c r="O565" s="244"/>
    </row>
    <row r="566" spans="1:15" x14ac:dyDescent="0.35">
      <c r="A566" s="245"/>
      <c r="B566" s="246"/>
      <c r="C566" s="246"/>
      <c r="D566" s="246"/>
      <c r="E566" s="246"/>
      <c r="F566" s="246"/>
      <c r="G566" s="246"/>
      <c r="H566" s="246"/>
      <c r="I566" s="246"/>
      <c r="J566" s="246"/>
      <c r="K566" s="246"/>
      <c r="L566" s="246"/>
      <c r="M566" s="246"/>
      <c r="N566" s="246"/>
      <c r="O566" s="247"/>
    </row>
    <row r="567" spans="1:15" ht="15" thickBot="1" x14ac:dyDescent="0.4">
      <c r="A567" s="248"/>
      <c r="B567" s="249"/>
      <c r="C567" s="249"/>
      <c r="D567" s="249"/>
      <c r="E567" s="249"/>
      <c r="F567" s="249"/>
      <c r="G567" s="249"/>
      <c r="H567" s="249"/>
      <c r="I567" s="249"/>
      <c r="J567" s="249"/>
      <c r="K567" s="249"/>
      <c r="L567" s="249"/>
      <c r="M567" s="249"/>
      <c r="N567" s="249"/>
      <c r="O567" s="250"/>
    </row>
    <row r="568" spans="1:15" x14ac:dyDescent="0.35">
      <c r="A568" s="22"/>
      <c r="B568" s="112"/>
      <c r="C568" s="113"/>
      <c r="D568" s="22"/>
      <c r="E568" s="114"/>
      <c r="F568" s="22"/>
      <c r="G568" s="22"/>
      <c r="H568" s="22"/>
      <c r="I568" s="113"/>
      <c r="J568" s="22"/>
      <c r="K568" s="22"/>
      <c r="L568" s="22"/>
      <c r="M568" s="22"/>
      <c r="N568" s="22"/>
      <c r="O568" s="22"/>
    </row>
    <row r="569" spans="1:15" x14ac:dyDescent="0.35">
      <c r="A569" s="22"/>
      <c r="B569" s="112"/>
      <c r="C569" s="113"/>
      <c r="D569" s="22"/>
      <c r="E569" s="114"/>
      <c r="F569" s="22"/>
      <c r="G569" s="22"/>
      <c r="H569" s="22"/>
      <c r="I569" s="113"/>
      <c r="J569" s="22"/>
      <c r="K569" s="22"/>
      <c r="L569" s="22"/>
      <c r="M569" s="22"/>
      <c r="N569" s="22"/>
      <c r="O569" s="22"/>
    </row>
    <row r="570" spans="1:15" x14ac:dyDescent="0.35">
      <c r="A570" s="22"/>
      <c r="B570" s="112"/>
      <c r="C570" s="113"/>
      <c r="D570" s="22"/>
      <c r="E570" s="114"/>
      <c r="F570" s="22"/>
      <c r="G570" s="22"/>
      <c r="H570" s="22"/>
      <c r="I570" s="113"/>
      <c r="J570" s="22"/>
      <c r="K570" s="22"/>
      <c r="L570" s="22"/>
      <c r="M570" s="22"/>
      <c r="N570" s="22"/>
      <c r="O570" s="22"/>
    </row>
    <row r="571" spans="1:15" x14ac:dyDescent="0.35">
      <c r="A571" s="22"/>
      <c r="B571" s="112"/>
      <c r="C571" s="113"/>
      <c r="D571" s="22"/>
      <c r="E571" s="114"/>
      <c r="F571" s="22"/>
      <c r="G571" s="22"/>
      <c r="H571" s="22"/>
      <c r="I571" s="113"/>
      <c r="J571" s="22"/>
      <c r="K571" s="22"/>
      <c r="L571" s="22"/>
      <c r="M571" s="22"/>
      <c r="N571" s="22"/>
      <c r="O571" s="22"/>
    </row>
    <row r="572" spans="1:15" x14ac:dyDescent="0.35">
      <c r="A572" s="22"/>
      <c r="B572" s="112"/>
      <c r="C572" s="113"/>
      <c r="D572" s="22"/>
      <c r="E572" s="114"/>
      <c r="F572" s="22"/>
      <c r="G572" s="22"/>
      <c r="H572" s="22"/>
      <c r="I572" s="113"/>
      <c r="J572" s="22"/>
      <c r="K572" s="22"/>
      <c r="L572" s="22"/>
      <c r="M572" s="22"/>
      <c r="N572" s="22"/>
      <c r="O572" s="22"/>
    </row>
    <row r="573" spans="1:15" x14ac:dyDescent="0.35">
      <c r="A573" s="22"/>
      <c r="B573" s="112"/>
      <c r="C573" s="113"/>
      <c r="D573" s="22"/>
      <c r="E573" s="114"/>
      <c r="F573" s="22"/>
      <c r="G573" s="22"/>
      <c r="H573" s="22"/>
      <c r="I573" s="113"/>
      <c r="J573" s="22"/>
      <c r="K573" s="22"/>
      <c r="L573" s="22"/>
      <c r="M573" s="22"/>
      <c r="N573" s="22"/>
      <c r="O573" s="22"/>
    </row>
    <row r="574" spans="1:15" x14ac:dyDescent="0.35">
      <c r="A574" s="22"/>
      <c r="B574" s="112"/>
      <c r="C574" s="113"/>
      <c r="D574" s="22"/>
      <c r="E574" s="114"/>
      <c r="F574" s="22"/>
      <c r="G574" s="22"/>
      <c r="H574" s="22"/>
      <c r="I574" s="113"/>
      <c r="J574" s="22"/>
      <c r="K574" s="22"/>
      <c r="L574" s="22"/>
      <c r="M574" s="22"/>
      <c r="N574" s="22"/>
      <c r="O574" s="22"/>
    </row>
    <row r="575" spans="1:15" x14ac:dyDescent="0.35">
      <c r="A575" s="22"/>
      <c r="B575" s="112"/>
      <c r="C575" s="113"/>
      <c r="D575" s="22"/>
      <c r="E575" s="114"/>
      <c r="F575" s="22"/>
      <c r="G575" s="22"/>
      <c r="H575" s="22"/>
      <c r="I575" s="113"/>
      <c r="J575" s="22"/>
      <c r="K575" s="22"/>
      <c r="L575" s="22"/>
      <c r="M575" s="22"/>
      <c r="N575" s="22"/>
      <c r="O575" s="22"/>
    </row>
    <row r="576" spans="1:15" x14ac:dyDescent="0.35">
      <c r="A576" s="22"/>
      <c r="B576" s="112"/>
      <c r="C576" s="113"/>
      <c r="D576" s="22"/>
      <c r="E576" s="114"/>
      <c r="F576" s="22"/>
      <c r="G576" s="22"/>
      <c r="H576" s="22"/>
      <c r="I576" s="113"/>
      <c r="J576" s="22"/>
      <c r="K576" s="22"/>
      <c r="L576" s="22"/>
      <c r="M576" s="22"/>
      <c r="N576" s="22"/>
      <c r="O576" s="22"/>
    </row>
    <row r="577" spans="1:15" x14ac:dyDescent="0.35">
      <c r="A577" s="22"/>
      <c r="B577" s="112"/>
      <c r="C577" s="113"/>
      <c r="D577" s="22"/>
      <c r="E577" s="114"/>
      <c r="F577" s="22"/>
      <c r="G577" s="22"/>
      <c r="H577" s="22"/>
      <c r="I577" s="113"/>
      <c r="J577" s="22"/>
      <c r="K577" s="22"/>
      <c r="L577" s="22"/>
      <c r="M577" s="22"/>
      <c r="N577" s="22"/>
      <c r="O577" s="22"/>
    </row>
    <row r="578" spans="1:15" x14ac:dyDescent="0.35">
      <c r="A578" s="22"/>
      <c r="B578" s="112"/>
      <c r="C578" s="113"/>
      <c r="D578" s="22"/>
      <c r="E578" s="114"/>
      <c r="F578" s="22"/>
      <c r="G578" s="22"/>
      <c r="H578" s="22"/>
      <c r="I578" s="113"/>
      <c r="J578" s="22"/>
      <c r="K578" s="22"/>
      <c r="L578" s="22"/>
      <c r="M578" s="22"/>
      <c r="N578" s="22"/>
      <c r="O578" s="22"/>
    </row>
    <row r="579" spans="1:15" x14ac:dyDescent="0.35">
      <c r="A579" s="22"/>
      <c r="B579" s="112"/>
      <c r="C579" s="113"/>
      <c r="D579" s="22"/>
      <c r="E579" s="114"/>
      <c r="F579" s="22"/>
      <c r="G579" s="22"/>
      <c r="H579" s="22"/>
      <c r="I579" s="113"/>
      <c r="J579" s="22"/>
      <c r="K579" s="22"/>
      <c r="L579" s="22"/>
      <c r="M579" s="22"/>
      <c r="N579" s="22"/>
      <c r="O579" s="22"/>
    </row>
    <row r="580" spans="1:15" x14ac:dyDescent="0.35">
      <c r="A580" s="22"/>
      <c r="B580" s="112"/>
      <c r="C580" s="113"/>
      <c r="D580" s="22"/>
      <c r="E580" s="114"/>
      <c r="F580" s="22"/>
      <c r="G580" s="22"/>
      <c r="H580" s="22"/>
      <c r="I580" s="113"/>
      <c r="J580" s="22"/>
      <c r="K580" s="22"/>
      <c r="L580" s="22"/>
      <c r="M580" s="22"/>
      <c r="N580" s="22"/>
      <c r="O580" s="22"/>
    </row>
    <row r="581" spans="1:15" x14ac:dyDescent="0.35">
      <c r="A581" s="22"/>
      <c r="B581" s="112"/>
      <c r="C581" s="113"/>
      <c r="D581" s="22"/>
      <c r="E581" s="114"/>
      <c r="F581" s="22"/>
      <c r="G581" s="22"/>
      <c r="H581" s="22"/>
      <c r="I581" s="113"/>
      <c r="J581" s="22"/>
      <c r="K581" s="22"/>
      <c r="L581" s="22"/>
      <c r="M581" s="22"/>
      <c r="N581" s="22"/>
      <c r="O581" s="22"/>
    </row>
    <row r="582" spans="1:15" x14ac:dyDescent="0.35">
      <c r="A582" s="22"/>
      <c r="B582" s="112"/>
      <c r="C582" s="113"/>
      <c r="D582" s="22"/>
      <c r="E582" s="114"/>
      <c r="F582" s="22"/>
      <c r="G582" s="22"/>
      <c r="H582" s="22"/>
      <c r="I582" s="113"/>
      <c r="J582" s="22"/>
      <c r="K582" s="22"/>
      <c r="L582" s="22"/>
      <c r="M582" s="22"/>
      <c r="N582" s="22"/>
      <c r="O582" s="22"/>
    </row>
    <row r="583" spans="1:15" x14ac:dyDescent="0.35">
      <c r="A583" s="22"/>
      <c r="B583" s="112"/>
      <c r="C583" s="113"/>
      <c r="D583" s="22"/>
      <c r="E583" s="114"/>
      <c r="F583" s="22"/>
      <c r="G583" s="22"/>
      <c r="H583" s="22"/>
      <c r="I583" s="113"/>
      <c r="J583" s="22"/>
      <c r="K583" s="22"/>
      <c r="L583" s="22"/>
      <c r="M583" s="22"/>
      <c r="N583" s="22"/>
      <c r="O583" s="22"/>
    </row>
    <row r="584" spans="1:15" x14ac:dyDescent="0.35">
      <c r="A584" s="22"/>
      <c r="B584" s="112"/>
      <c r="C584" s="113"/>
      <c r="D584" s="22"/>
      <c r="E584" s="114"/>
      <c r="F584" s="22"/>
      <c r="G584" s="22"/>
      <c r="H584" s="22"/>
      <c r="I584" s="113"/>
      <c r="J584" s="22"/>
      <c r="K584" s="22"/>
      <c r="L584" s="22"/>
      <c r="M584" s="22"/>
      <c r="N584" s="22"/>
      <c r="O584" s="22"/>
    </row>
    <row r="585" spans="1:15" x14ac:dyDescent="0.35">
      <c r="A585" s="22"/>
      <c r="B585" s="112"/>
      <c r="C585" s="113"/>
      <c r="D585" s="22"/>
      <c r="E585" s="114"/>
      <c r="F585" s="22"/>
      <c r="G585" s="22"/>
      <c r="H585" s="22"/>
      <c r="I585" s="113"/>
      <c r="J585" s="22"/>
      <c r="K585" s="22"/>
      <c r="L585" s="22"/>
      <c r="M585" s="22"/>
      <c r="N585" s="22"/>
      <c r="O585" s="22"/>
    </row>
    <row r="586" spans="1:15" x14ac:dyDescent="0.35">
      <c r="A586" s="22"/>
      <c r="B586" s="112"/>
      <c r="C586" s="113"/>
      <c r="D586" s="22"/>
      <c r="E586" s="114"/>
      <c r="F586" s="22"/>
      <c r="G586" s="22"/>
      <c r="H586" s="22"/>
      <c r="I586" s="113"/>
      <c r="J586" s="22"/>
      <c r="K586" s="22"/>
      <c r="L586" s="22"/>
      <c r="M586" s="22"/>
      <c r="N586" s="22"/>
      <c r="O586" s="22"/>
    </row>
    <row r="587" spans="1:15" x14ac:dyDescent="0.35">
      <c r="A587" s="22"/>
      <c r="B587" s="112"/>
      <c r="C587" s="113"/>
      <c r="D587" s="22"/>
      <c r="E587" s="114"/>
      <c r="F587" s="22"/>
      <c r="G587" s="22"/>
      <c r="H587" s="22"/>
      <c r="I587" s="113"/>
      <c r="J587" s="22"/>
      <c r="K587" s="22"/>
      <c r="L587" s="22"/>
      <c r="M587" s="22"/>
      <c r="N587" s="22"/>
      <c r="O587" s="22"/>
    </row>
    <row r="588" spans="1:15" x14ac:dyDescent="0.35">
      <c r="A588" s="22"/>
      <c r="B588" s="112"/>
      <c r="C588" s="113"/>
      <c r="D588" s="22"/>
      <c r="E588" s="114"/>
      <c r="F588" s="22"/>
      <c r="G588" s="22"/>
      <c r="H588" s="22"/>
      <c r="I588" s="113"/>
      <c r="J588" s="22"/>
      <c r="K588" s="22"/>
      <c r="L588" s="22"/>
      <c r="M588" s="22"/>
      <c r="N588" s="22"/>
      <c r="O588" s="22"/>
    </row>
    <row r="589" spans="1:15" x14ac:dyDescent="0.35">
      <c r="A589" s="22"/>
      <c r="B589" s="112"/>
      <c r="C589" s="113"/>
      <c r="D589" s="22"/>
      <c r="E589" s="114"/>
      <c r="F589" s="22"/>
      <c r="G589" s="22"/>
      <c r="H589" s="22"/>
      <c r="I589" s="113"/>
      <c r="J589" s="22"/>
      <c r="K589" s="22"/>
      <c r="L589" s="22"/>
      <c r="M589" s="22"/>
      <c r="N589" s="22"/>
      <c r="O589" s="22"/>
    </row>
    <row r="590" spans="1:15" x14ac:dyDescent="0.35">
      <c r="A590" s="22"/>
      <c r="B590" s="112"/>
      <c r="C590" s="113"/>
      <c r="D590" s="22"/>
      <c r="E590" s="114"/>
      <c r="F590" s="22"/>
      <c r="G590" s="22"/>
      <c r="H590" s="22"/>
      <c r="I590" s="113"/>
      <c r="J590" s="22"/>
      <c r="K590" s="22"/>
      <c r="L590" s="22"/>
      <c r="M590" s="22"/>
      <c r="N590" s="22"/>
      <c r="O590" s="22"/>
    </row>
    <row r="591" spans="1:15" x14ac:dyDescent="0.35">
      <c r="A591" s="22"/>
      <c r="B591" s="112"/>
      <c r="C591" s="113"/>
      <c r="D591" s="22"/>
      <c r="E591" s="114"/>
      <c r="F591" s="22"/>
      <c r="G591" s="22"/>
      <c r="H591" s="22"/>
      <c r="I591" s="113"/>
      <c r="J591" s="22"/>
      <c r="K591" s="22"/>
      <c r="L591" s="22"/>
      <c r="M591" s="22"/>
      <c r="N591" s="22"/>
      <c r="O591" s="22"/>
    </row>
    <row r="592" spans="1:15" x14ac:dyDescent="0.35">
      <c r="A592" s="22"/>
      <c r="B592" s="112"/>
      <c r="C592" s="113"/>
      <c r="D592" s="22"/>
      <c r="E592" s="114"/>
      <c r="F592" s="22"/>
      <c r="G592" s="22"/>
      <c r="H592" s="22"/>
      <c r="I592" s="113"/>
      <c r="J592" s="22"/>
      <c r="K592" s="22"/>
      <c r="L592" s="22"/>
      <c r="M592" s="22"/>
      <c r="N592" s="22"/>
      <c r="O592" s="22"/>
    </row>
    <row r="593" spans="1:15" x14ac:dyDescent="0.35">
      <c r="A593" s="22"/>
      <c r="B593" s="112"/>
      <c r="C593" s="113"/>
      <c r="D593" s="22"/>
      <c r="E593" s="114"/>
      <c r="F593" s="22"/>
      <c r="G593" s="22"/>
      <c r="H593" s="22"/>
      <c r="I593" s="113"/>
      <c r="J593" s="22"/>
      <c r="K593" s="22"/>
      <c r="L593" s="22"/>
      <c r="M593" s="22"/>
      <c r="N593" s="22"/>
      <c r="O593" s="22"/>
    </row>
    <row r="594" spans="1:15" x14ac:dyDescent="0.35">
      <c r="A594" s="22"/>
      <c r="B594" s="112"/>
      <c r="C594" s="113"/>
      <c r="D594" s="22"/>
      <c r="E594" s="114"/>
      <c r="F594" s="22"/>
      <c r="G594" s="22"/>
      <c r="H594" s="22"/>
      <c r="I594" s="113"/>
      <c r="J594" s="22"/>
      <c r="K594" s="22"/>
      <c r="L594" s="22"/>
      <c r="M594" s="22"/>
      <c r="N594" s="22"/>
      <c r="O594" s="22"/>
    </row>
    <row r="595" spans="1:15" x14ac:dyDescent="0.35">
      <c r="A595" s="22"/>
      <c r="B595" s="112"/>
      <c r="C595" s="113"/>
      <c r="D595" s="22"/>
      <c r="E595" s="114"/>
      <c r="F595" s="22"/>
      <c r="G595" s="22"/>
      <c r="H595" s="22"/>
      <c r="I595" s="113"/>
      <c r="J595" s="22"/>
      <c r="K595" s="22"/>
      <c r="L595" s="22"/>
      <c r="M595" s="22"/>
      <c r="N595" s="22"/>
      <c r="O595" s="22"/>
    </row>
    <row r="596" spans="1:15" x14ac:dyDescent="0.35">
      <c r="A596" s="22"/>
      <c r="B596" s="112"/>
      <c r="C596" s="113"/>
      <c r="D596" s="22"/>
      <c r="E596" s="114"/>
      <c r="F596" s="22"/>
      <c r="G596" s="22"/>
      <c r="H596" s="22"/>
      <c r="I596" s="113"/>
      <c r="J596" s="22"/>
      <c r="K596" s="22"/>
      <c r="L596" s="22"/>
      <c r="M596" s="22"/>
      <c r="N596" s="22"/>
      <c r="O596" s="22"/>
    </row>
    <row r="597" spans="1:15" x14ac:dyDescent="0.35">
      <c r="A597" s="22"/>
      <c r="B597" s="112"/>
      <c r="C597" s="113"/>
      <c r="D597" s="22"/>
      <c r="E597" s="114"/>
      <c r="F597" s="22"/>
      <c r="G597" s="22"/>
      <c r="H597" s="22"/>
      <c r="I597" s="113"/>
      <c r="J597" s="22"/>
      <c r="K597" s="22"/>
      <c r="L597" s="22"/>
      <c r="M597" s="22"/>
      <c r="N597" s="22"/>
      <c r="O597" s="22"/>
    </row>
    <row r="598" spans="1:15" x14ac:dyDescent="0.35">
      <c r="A598" s="22"/>
      <c r="B598" s="112"/>
      <c r="C598" s="113"/>
      <c r="D598" s="22"/>
      <c r="E598" s="114"/>
      <c r="F598" s="22"/>
      <c r="G598" s="22"/>
      <c r="H598" s="22"/>
      <c r="I598" s="113"/>
      <c r="J598" s="22"/>
      <c r="K598" s="22"/>
      <c r="L598" s="22"/>
      <c r="M598" s="22"/>
      <c r="N598" s="22"/>
      <c r="O598" s="22"/>
    </row>
    <row r="599" spans="1:15" x14ac:dyDescent="0.35">
      <c r="A599" s="22"/>
      <c r="B599" s="112"/>
      <c r="C599" s="113"/>
      <c r="D599" s="22"/>
      <c r="E599" s="114"/>
      <c r="F599" s="22"/>
      <c r="G599" s="22"/>
      <c r="H599" s="22"/>
      <c r="I599" s="113"/>
      <c r="J599" s="22"/>
      <c r="K599" s="22"/>
      <c r="L599" s="22"/>
      <c r="M599" s="22"/>
      <c r="N599" s="22"/>
      <c r="O599" s="22"/>
    </row>
    <row r="600" spans="1:15" x14ac:dyDescent="0.35">
      <c r="A600" s="22"/>
      <c r="B600" s="112"/>
      <c r="C600" s="113"/>
      <c r="D600" s="22"/>
      <c r="E600" s="114"/>
      <c r="F600" s="22"/>
      <c r="G600" s="22"/>
      <c r="H600" s="22"/>
      <c r="I600" s="113"/>
      <c r="J600" s="22"/>
      <c r="K600" s="22"/>
      <c r="L600" s="22"/>
      <c r="M600" s="22"/>
      <c r="N600" s="22"/>
      <c r="O600" s="22"/>
    </row>
    <row r="601" spans="1:15" x14ac:dyDescent="0.35">
      <c r="A601" s="22"/>
      <c r="B601" s="112"/>
      <c r="C601" s="113"/>
      <c r="D601" s="22"/>
      <c r="E601" s="114"/>
      <c r="F601" s="22"/>
      <c r="G601" s="22"/>
      <c r="H601" s="22"/>
      <c r="I601" s="113"/>
      <c r="J601" s="22"/>
      <c r="K601" s="22"/>
      <c r="L601" s="22"/>
      <c r="M601" s="22"/>
      <c r="N601" s="22"/>
      <c r="O601" s="22"/>
    </row>
    <row r="602" spans="1:15" x14ac:dyDescent="0.35">
      <c r="A602" s="22"/>
      <c r="B602" s="112"/>
      <c r="C602" s="113"/>
      <c r="D602" s="22"/>
      <c r="E602" s="114"/>
      <c r="F602" s="22"/>
      <c r="G602" s="22"/>
      <c r="H602" s="22"/>
      <c r="I602" s="113"/>
      <c r="J602" s="22"/>
      <c r="K602" s="22"/>
      <c r="L602" s="22"/>
      <c r="M602" s="22"/>
      <c r="N602" s="22"/>
      <c r="O602" s="22"/>
    </row>
    <row r="603" spans="1:15" x14ac:dyDescent="0.35">
      <c r="A603" s="22"/>
      <c r="B603" s="112"/>
      <c r="C603" s="113"/>
      <c r="D603" s="22"/>
      <c r="E603" s="114"/>
      <c r="F603" s="22"/>
      <c r="G603" s="22"/>
      <c r="H603" s="22"/>
      <c r="I603" s="113"/>
      <c r="J603" s="22"/>
      <c r="K603" s="22"/>
      <c r="L603" s="22"/>
      <c r="M603" s="22"/>
      <c r="N603" s="22"/>
      <c r="O603" s="22"/>
    </row>
    <row r="604" spans="1:15" x14ac:dyDescent="0.35">
      <c r="A604" s="22"/>
      <c r="B604" s="112"/>
      <c r="C604" s="113"/>
      <c r="D604" s="22"/>
      <c r="E604" s="114"/>
      <c r="F604" s="22"/>
      <c r="G604" s="22"/>
      <c r="H604" s="22"/>
      <c r="I604" s="113"/>
      <c r="J604" s="22"/>
      <c r="K604" s="22"/>
      <c r="L604" s="22"/>
      <c r="M604" s="22"/>
      <c r="N604" s="22"/>
      <c r="O604" s="22"/>
    </row>
    <row r="605" spans="1:15" x14ac:dyDescent="0.35">
      <c r="A605" s="22"/>
      <c r="B605" s="112"/>
      <c r="C605" s="113"/>
      <c r="D605" s="22"/>
      <c r="E605" s="114"/>
      <c r="F605" s="22"/>
      <c r="G605" s="22"/>
      <c r="H605" s="22"/>
      <c r="I605" s="113"/>
      <c r="J605" s="22"/>
      <c r="K605" s="22"/>
      <c r="L605" s="22"/>
      <c r="M605" s="22"/>
      <c r="N605" s="22"/>
      <c r="O605" s="22"/>
    </row>
    <row r="606" spans="1:15" x14ac:dyDescent="0.35">
      <c r="A606" s="22"/>
      <c r="B606" s="112"/>
      <c r="C606" s="113"/>
      <c r="D606" s="22"/>
      <c r="E606" s="114"/>
      <c r="F606" s="22"/>
      <c r="G606" s="22"/>
      <c r="H606" s="22"/>
      <c r="I606" s="113"/>
      <c r="J606" s="22"/>
      <c r="K606" s="22"/>
      <c r="L606" s="22"/>
      <c r="M606" s="22"/>
      <c r="N606" s="22"/>
      <c r="O606" s="22"/>
    </row>
    <row r="607" spans="1:15" x14ac:dyDescent="0.35">
      <c r="A607" s="22"/>
      <c r="B607" s="112"/>
      <c r="C607" s="113"/>
      <c r="D607" s="22"/>
      <c r="E607" s="114"/>
      <c r="F607" s="22"/>
      <c r="G607" s="22"/>
      <c r="H607" s="22"/>
      <c r="I607" s="113"/>
      <c r="J607" s="22"/>
      <c r="K607" s="22"/>
      <c r="L607" s="22"/>
      <c r="M607" s="22"/>
      <c r="N607" s="22"/>
      <c r="O607" s="22"/>
    </row>
    <row r="608" spans="1:15" x14ac:dyDescent="0.35">
      <c r="A608" s="22"/>
      <c r="B608" s="112"/>
      <c r="C608" s="113"/>
      <c r="D608" s="22"/>
      <c r="E608" s="114"/>
      <c r="F608" s="22"/>
      <c r="G608" s="22"/>
      <c r="H608" s="22"/>
      <c r="I608" s="113"/>
      <c r="J608" s="22"/>
      <c r="K608" s="22"/>
      <c r="L608" s="22"/>
      <c r="M608" s="22"/>
      <c r="N608" s="22"/>
      <c r="O608" s="22"/>
    </row>
    <row r="609" spans="1:15" x14ac:dyDescent="0.35">
      <c r="A609" s="22"/>
      <c r="B609" s="112"/>
      <c r="C609" s="113"/>
      <c r="D609" s="22"/>
      <c r="E609" s="114"/>
      <c r="F609" s="22"/>
      <c r="G609" s="22"/>
      <c r="H609" s="22"/>
      <c r="I609" s="113"/>
      <c r="J609" s="22"/>
      <c r="K609" s="22"/>
      <c r="L609" s="22"/>
      <c r="M609" s="22"/>
      <c r="N609" s="22"/>
      <c r="O609" s="22"/>
    </row>
    <row r="610" spans="1:15" x14ac:dyDescent="0.35">
      <c r="A610" s="22"/>
      <c r="B610" s="112"/>
      <c r="C610" s="113"/>
      <c r="D610" s="22"/>
      <c r="E610" s="114"/>
      <c r="F610" s="22"/>
      <c r="G610" s="22"/>
      <c r="H610" s="22"/>
      <c r="I610" s="113"/>
      <c r="J610" s="22"/>
      <c r="K610" s="22"/>
      <c r="L610" s="22"/>
      <c r="M610" s="22"/>
      <c r="N610" s="22"/>
      <c r="O610" s="22"/>
    </row>
    <row r="611" spans="1:15" x14ac:dyDescent="0.35">
      <c r="A611" s="22"/>
      <c r="B611" s="112"/>
      <c r="C611" s="113"/>
      <c r="D611" s="22"/>
      <c r="E611" s="114"/>
      <c r="F611" s="22"/>
      <c r="G611" s="22"/>
      <c r="H611" s="22"/>
      <c r="I611" s="113"/>
      <c r="J611" s="22"/>
      <c r="K611" s="22"/>
      <c r="L611" s="22"/>
      <c r="M611" s="22"/>
      <c r="N611" s="22"/>
      <c r="O611" s="22"/>
    </row>
    <row r="612" spans="1:15" x14ac:dyDescent="0.35">
      <c r="A612" s="22"/>
      <c r="B612" s="112"/>
      <c r="C612" s="113"/>
      <c r="D612" s="22"/>
      <c r="E612" s="114"/>
      <c r="F612" s="22"/>
      <c r="G612" s="22"/>
      <c r="H612" s="22"/>
      <c r="I612" s="113"/>
      <c r="J612" s="22"/>
      <c r="K612" s="22"/>
      <c r="L612" s="22"/>
      <c r="M612" s="22"/>
      <c r="N612" s="22"/>
      <c r="O612" s="22"/>
    </row>
    <row r="613" spans="1:15" x14ac:dyDescent="0.35">
      <c r="A613" s="22"/>
      <c r="B613" s="112"/>
      <c r="C613" s="113"/>
      <c r="D613" s="22"/>
      <c r="E613" s="114"/>
      <c r="F613" s="22"/>
      <c r="G613" s="22"/>
      <c r="H613" s="22"/>
      <c r="I613" s="113"/>
      <c r="J613" s="22"/>
      <c r="K613" s="22"/>
      <c r="L613" s="22"/>
      <c r="M613" s="22"/>
      <c r="N613" s="22"/>
      <c r="O613" s="22"/>
    </row>
    <row r="614" spans="1:15" x14ac:dyDescent="0.35">
      <c r="A614" s="22"/>
      <c r="B614" s="112"/>
      <c r="C614" s="113"/>
      <c r="D614" s="22"/>
      <c r="E614" s="114"/>
      <c r="F614" s="22"/>
      <c r="G614" s="22"/>
      <c r="H614" s="22"/>
      <c r="I614" s="113"/>
      <c r="J614" s="22"/>
      <c r="K614" s="22"/>
      <c r="L614" s="22"/>
      <c r="M614" s="22"/>
      <c r="N614" s="22"/>
      <c r="O614" s="22"/>
    </row>
    <row r="615" spans="1:15" x14ac:dyDescent="0.35">
      <c r="A615" s="22"/>
      <c r="B615" s="112"/>
      <c r="C615" s="113"/>
      <c r="D615" s="22"/>
      <c r="E615" s="114"/>
      <c r="F615" s="22"/>
      <c r="G615" s="22"/>
      <c r="H615" s="22"/>
      <c r="I615" s="113"/>
      <c r="J615" s="22"/>
      <c r="K615" s="22"/>
      <c r="L615" s="22"/>
      <c r="M615" s="22"/>
      <c r="N615" s="22"/>
      <c r="O615" s="22"/>
    </row>
    <row r="616" spans="1:15" x14ac:dyDescent="0.35">
      <c r="A616" s="22"/>
      <c r="B616" s="112"/>
      <c r="C616" s="113"/>
      <c r="D616" s="22"/>
      <c r="E616" s="114"/>
      <c r="F616" s="22"/>
      <c r="G616" s="22"/>
      <c r="H616" s="22"/>
      <c r="I616" s="113"/>
      <c r="J616" s="22"/>
      <c r="K616" s="22"/>
      <c r="L616" s="22"/>
      <c r="M616" s="22"/>
      <c r="N616" s="22"/>
      <c r="O616" s="22"/>
    </row>
    <row r="617" spans="1:15" x14ac:dyDescent="0.35">
      <c r="A617" s="22"/>
      <c r="B617" s="112"/>
      <c r="C617" s="113"/>
      <c r="D617" s="22"/>
      <c r="E617" s="114"/>
      <c r="F617" s="22"/>
      <c r="G617" s="22"/>
      <c r="H617" s="22"/>
      <c r="I617" s="113"/>
      <c r="J617" s="22"/>
      <c r="K617" s="22"/>
      <c r="L617" s="22"/>
      <c r="M617" s="22"/>
      <c r="N617" s="22"/>
      <c r="O617" s="22"/>
    </row>
    <row r="618" spans="1:15" x14ac:dyDescent="0.35">
      <c r="A618" s="22"/>
      <c r="B618" s="112"/>
      <c r="C618" s="113"/>
      <c r="D618" s="22"/>
      <c r="E618" s="114"/>
      <c r="F618" s="22"/>
      <c r="G618" s="22"/>
      <c r="H618" s="22"/>
      <c r="I618" s="113"/>
      <c r="J618" s="22"/>
      <c r="K618" s="22"/>
      <c r="L618" s="22"/>
      <c r="M618" s="22"/>
      <c r="N618" s="22"/>
      <c r="O618" s="22"/>
    </row>
    <row r="619" spans="1:15" x14ac:dyDescent="0.35">
      <c r="A619" s="22"/>
      <c r="B619" s="112"/>
      <c r="C619" s="113"/>
      <c r="D619" s="22"/>
      <c r="E619" s="114"/>
      <c r="F619" s="22"/>
      <c r="G619" s="22"/>
      <c r="H619" s="22"/>
      <c r="I619" s="113"/>
      <c r="J619" s="22"/>
      <c r="K619" s="22"/>
      <c r="L619" s="22"/>
      <c r="M619" s="22"/>
      <c r="N619" s="22"/>
      <c r="O619" s="22"/>
    </row>
    <row r="620" spans="1:15" x14ac:dyDescent="0.35">
      <c r="A620" s="22"/>
      <c r="B620" s="112"/>
      <c r="C620" s="113"/>
      <c r="D620" s="22"/>
      <c r="E620" s="114"/>
      <c r="F620" s="22"/>
      <c r="G620" s="22"/>
      <c r="H620" s="22"/>
      <c r="I620" s="113"/>
      <c r="J620" s="22"/>
      <c r="K620" s="22"/>
      <c r="L620" s="22"/>
      <c r="M620" s="22"/>
      <c r="N620" s="22"/>
      <c r="O620" s="22"/>
    </row>
    <row r="621" spans="1:15" x14ac:dyDescent="0.35">
      <c r="A621" s="22"/>
      <c r="B621" s="112"/>
      <c r="C621" s="113"/>
      <c r="D621" s="22"/>
      <c r="E621" s="114"/>
      <c r="F621" s="22"/>
      <c r="G621" s="22"/>
      <c r="H621" s="22"/>
      <c r="I621" s="113"/>
      <c r="J621" s="22"/>
      <c r="K621" s="22"/>
      <c r="L621" s="22"/>
      <c r="M621" s="22"/>
      <c r="N621" s="22"/>
      <c r="O621" s="22"/>
    </row>
    <row r="622" spans="1:15" x14ac:dyDescent="0.35">
      <c r="A622" s="22"/>
      <c r="B622" s="112"/>
      <c r="C622" s="113"/>
      <c r="D622" s="22"/>
      <c r="E622" s="114"/>
      <c r="F622" s="22"/>
      <c r="G622" s="22"/>
      <c r="H622" s="22"/>
      <c r="I622" s="113"/>
      <c r="J622" s="22"/>
      <c r="K622" s="22"/>
      <c r="L622" s="22"/>
      <c r="M622" s="22"/>
      <c r="N622" s="22"/>
      <c r="O622" s="22"/>
    </row>
    <row r="623" spans="1:15" x14ac:dyDescent="0.35">
      <c r="A623" s="22"/>
      <c r="B623" s="112"/>
      <c r="C623" s="113"/>
      <c r="D623" s="22"/>
      <c r="E623" s="114"/>
      <c r="F623" s="22"/>
      <c r="G623" s="22"/>
      <c r="H623" s="22"/>
      <c r="I623" s="113"/>
      <c r="J623" s="22"/>
      <c r="K623" s="22"/>
      <c r="L623" s="22"/>
      <c r="M623" s="22"/>
      <c r="N623" s="22"/>
      <c r="O623" s="22"/>
    </row>
    <row r="624" spans="1:15" x14ac:dyDescent="0.35">
      <c r="A624" s="22"/>
      <c r="B624" s="112"/>
      <c r="C624" s="113"/>
      <c r="D624" s="22"/>
      <c r="E624" s="114"/>
      <c r="F624" s="22"/>
      <c r="G624" s="22"/>
      <c r="H624" s="22"/>
      <c r="I624" s="113"/>
      <c r="J624" s="22"/>
      <c r="K624" s="22"/>
      <c r="L624" s="22"/>
      <c r="M624" s="22"/>
      <c r="N624" s="22"/>
      <c r="O624" s="22"/>
    </row>
    <row r="625" spans="1:15" x14ac:dyDescent="0.35">
      <c r="A625" s="22"/>
      <c r="B625" s="112"/>
      <c r="C625" s="113"/>
      <c r="D625" s="22"/>
      <c r="E625" s="114"/>
      <c r="F625" s="22"/>
      <c r="G625" s="22"/>
      <c r="H625" s="22"/>
      <c r="I625" s="113"/>
      <c r="J625" s="22"/>
      <c r="K625" s="22"/>
      <c r="L625" s="22"/>
      <c r="M625" s="22"/>
      <c r="N625" s="22"/>
      <c r="O625" s="22"/>
    </row>
    <row r="626" spans="1:15" x14ac:dyDescent="0.35">
      <c r="A626" s="22"/>
      <c r="B626" s="112"/>
      <c r="C626" s="113"/>
      <c r="D626" s="22"/>
      <c r="E626" s="114"/>
      <c r="F626" s="22"/>
      <c r="G626" s="22"/>
      <c r="H626" s="22"/>
      <c r="I626" s="113"/>
      <c r="J626" s="22"/>
      <c r="K626" s="22"/>
      <c r="L626" s="22"/>
      <c r="M626" s="22"/>
      <c r="N626" s="22"/>
      <c r="O626" s="22"/>
    </row>
    <row r="627" spans="1:15" x14ac:dyDescent="0.35">
      <c r="A627" s="22"/>
      <c r="B627" s="112"/>
      <c r="C627" s="113"/>
      <c r="D627" s="22"/>
      <c r="E627" s="114"/>
      <c r="F627" s="22"/>
      <c r="G627" s="22"/>
      <c r="H627" s="22"/>
      <c r="I627" s="113"/>
      <c r="J627" s="22"/>
      <c r="K627" s="22"/>
      <c r="L627" s="22"/>
      <c r="M627" s="22"/>
      <c r="N627" s="22"/>
      <c r="O627" s="22"/>
    </row>
    <row r="628" spans="1:15" x14ac:dyDescent="0.35">
      <c r="A628" s="22"/>
      <c r="B628" s="112"/>
      <c r="C628" s="113"/>
      <c r="D628" s="22"/>
      <c r="E628" s="114"/>
      <c r="F628" s="22"/>
      <c r="G628" s="22"/>
      <c r="H628" s="22"/>
      <c r="I628" s="113"/>
      <c r="J628" s="22"/>
      <c r="K628" s="22"/>
      <c r="L628" s="22"/>
      <c r="M628" s="22"/>
      <c r="N628" s="22"/>
      <c r="O628" s="22"/>
    </row>
    <row r="629" spans="1:15" x14ac:dyDescent="0.35">
      <c r="A629" s="22"/>
      <c r="B629" s="112"/>
      <c r="C629" s="113"/>
      <c r="D629" s="22"/>
      <c r="E629" s="114"/>
      <c r="F629" s="22"/>
      <c r="G629" s="22"/>
      <c r="H629" s="22"/>
      <c r="I629" s="113"/>
      <c r="J629" s="22"/>
      <c r="K629" s="22"/>
      <c r="L629" s="22"/>
      <c r="M629" s="22"/>
      <c r="N629" s="22"/>
      <c r="O629" s="22"/>
    </row>
    <row r="630" spans="1:15" x14ac:dyDescent="0.35">
      <c r="A630" s="22"/>
      <c r="B630" s="112"/>
      <c r="C630" s="113"/>
      <c r="D630" s="22"/>
      <c r="E630" s="114"/>
      <c r="F630" s="22"/>
      <c r="G630" s="22"/>
      <c r="H630" s="22"/>
      <c r="I630" s="113"/>
      <c r="J630" s="22"/>
      <c r="K630" s="22"/>
      <c r="L630" s="22"/>
      <c r="M630" s="22"/>
      <c r="N630" s="22"/>
      <c r="O630" s="22"/>
    </row>
  </sheetData>
  <sheetProtection sheet="1" objects="1" insertRows="0"/>
  <mergeCells count="11">
    <mergeCell ref="J9:O9"/>
    <mergeCell ref="F10:I10"/>
    <mergeCell ref="A565:O567"/>
    <mergeCell ref="A10:A12"/>
    <mergeCell ref="E10:E12"/>
    <mergeCell ref="B10:D11"/>
    <mergeCell ref="F11:G11"/>
    <mergeCell ref="H11:H12"/>
    <mergeCell ref="I11:I12"/>
    <mergeCell ref="J10:L11"/>
    <mergeCell ref="M10:O11"/>
  </mergeCells>
  <phoneticPr fontId="48" type="noConversion"/>
  <conditionalFormatting sqref="D13:D564">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C13:C116 C118:C200 C203:C232 C275:C564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B13:B116 B118:B200 B203:B232 B275:B564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topLeftCell="A8" zoomScaleNormal="100" workbookViewId="0">
      <selection activeCell="A16" sqref="A16"/>
    </sheetView>
  </sheetViews>
  <sheetFormatPr defaultColWidth="8.81640625" defaultRowHeight="14.5" x14ac:dyDescent="0.35"/>
  <cols>
    <col min="1" max="1" width="22.453125" style="1" customWidth="1"/>
    <col min="2" max="2" width="60.453125" customWidth="1"/>
    <col min="3" max="4" width="28.453125" customWidth="1"/>
    <col min="5" max="6" width="18.453125" style="1" customWidth="1"/>
    <col min="7" max="18" width="12.453125" style="1" customWidth="1"/>
  </cols>
  <sheetData>
    <row r="1" spans="1:18" ht="20" customHeight="1" x14ac:dyDescent="0.35"/>
    <row r="2" spans="1:18" ht="20" customHeight="1" x14ac:dyDescent="0.35"/>
    <row r="3" spans="1:18" ht="20" customHeight="1" x14ac:dyDescent="0.35"/>
    <row r="4" spans="1:18" ht="20" customHeight="1" x14ac:dyDescent="0.35"/>
    <row r="5" spans="1:18" ht="20" customHeight="1" x14ac:dyDescent="0.35"/>
    <row r="6" spans="1:18" ht="20" customHeight="1" x14ac:dyDescent="0.35"/>
    <row r="7" spans="1:18" ht="20" customHeight="1" x14ac:dyDescent="0.35"/>
    <row r="8" spans="1:18" ht="20" customHeight="1" x14ac:dyDescent="0.35"/>
    <row r="9" spans="1:18" ht="20" customHeight="1" thickBot="1" x14ac:dyDescent="0.4"/>
    <row r="10" spans="1:18" ht="50" customHeight="1" thickBot="1" x14ac:dyDescent="0.4">
      <c r="A10" s="279" t="s">
        <v>1082</v>
      </c>
      <c r="B10" s="280"/>
      <c r="C10" s="280"/>
      <c r="D10" s="281"/>
      <c r="E10" s="232" t="s">
        <v>1087</v>
      </c>
      <c r="F10" s="233"/>
      <c r="G10" s="283" t="s">
        <v>1084</v>
      </c>
      <c r="H10" s="283"/>
      <c r="I10" s="283"/>
      <c r="J10" s="283"/>
      <c r="K10" s="283"/>
      <c r="L10" s="284"/>
      <c r="M10" s="282" t="s">
        <v>1085</v>
      </c>
      <c r="N10" s="283"/>
      <c r="O10" s="283"/>
      <c r="P10" s="283"/>
      <c r="Q10" s="283"/>
      <c r="R10" s="284"/>
    </row>
    <row r="11" spans="1:18" ht="20" customHeight="1" thickBot="1" x14ac:dyDescent="0.4">
      <c r="A11" s="277" t="s">
        <v>1185</v>
      </c>
      <c r="B11" s="257" t="s">
        <v>1080</v>
      </c>
      <c r="C11" s="287" t="s">
        <v>1103</v>
      </c>
      <c r="D11" s="285" t="s">
        <v>1081</v>
      </c>
      <c r="E11" s="230" t="s">
        <v>11</v>
      </c>
      <c r="F11" s="223" t="s">
        <v>1086</v>
      </c>
      <c r="G11" s="228" t="s">
        <v>1155</v>
      </c>
      <c r="H11" s="228"/>
      <c r="I11" s="229"/>
      <c r="J11" s="213" t="s">
        <v>1198</v>
      </c>
      <c r="K11" s="214"/>
      <c r="L11" s="215"/>
      <c r="M11" s="227" t="s">
        <v>1155</v>
      </c>
      <c r="N11" s="228"/>
      <c r="O11" s="229"/>
      <c r="P11" s="213" t="s">
        <v>1198</v>
      </c>
      <c r="Q11" s="214"/>
      <c r="R11" s="215"/>
    </row>
    <row r="12" spans="1:18" ht="45" customHeight="1" thickBot="1" x14ac:dyDescent="0.4">
      <c r="A12" s="278"/>
      <c r="B12" s="259"/>
      <c r="C12" s="288"/>
      <c r="D12" s="286"/>
      <c r="E12" s="231"/>
      <c r="F12" s="224"/>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c r="B16" s="133"/>
      <c r="C16" s="81"/>
      <c r="D16" s="84"/>
      <c r="E16" s="82"/>
      <c r="F16" s="83"/>
      <c r="G16" s="82"/>
      <c r="H16" s="134"/>
      <c r="I16" s="83"/>
      <c r="J16" s="82"/>
      <c r="K16" s="134"/>
      <c r="L16" s="83"/>
      <c r="M16" s="82"/>
      <c r="N16" s="134"/>
      <c r="O16" s="83"/>
      <c r="P16" s="82"/>
      <c r="Q16" s="134"/>
      <c r="R16" s="83"/>
    </row>
    <row r="17" spans="1:18" x14ac:dyDescent="0.35">
      <c r="A17" s="79" t="s">
        <v>1450</v>
      </c>
      <c r="B17" s="133" t="s">
        <v>1486</v>
      </c>
      <c r="C17" s="81" t="s">
        <v>1451</v>
      </c>
      <c r="D17" s="84" t="s">
        <v>1452</v>
      </c>
      <c r="E17" s="82" t="s">
        <v>1453</v>
      </c>
      <c r="F17" s="83" t="s">
        <v>1450</v>
      </c>
      <c r="G17" s="82">
        <f>55*10.35</f>
        <v>569.25</v>
      </c>
      <c r="H17" s="134">
        <f>G17*2</f>
        <v>1138.5</v>
      </c>
      <c r="I17" s="83">
        <f>H17</f>
        <v>1138.5</v>
      </c>
      <c r="J17" s="82">
        <f>G17/365</f>
        <v>1.5595890410958904</v>
      </c>
      <c r="K17" s="134">
        <f>H17/365</f>
        <v>3.1191780821917807</v>
      </c>
      <c r="L17" s="83">
        <f>I17/365</f>
        <v>3.1191780821917807</v>
      </c>
      <c r="M17" s="82"/>
      <c r="N17" s="134"/>
      <c r="O17" s="83"/>
      <c r="P17" s="82"/>
      <c r="Q17" s="134"/>
      <c r="R17" s="83"/>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A19" sqref="A19"/>
    </sheetView>
  </sheetViews>
  <sheetFormatPr defaultColWidth="8.81640625" defaultRowHeight="14.5" x14ac:dyDescent="0.35"/>
  <cols>
    <col min="1" max="1" width="22.453125" style="1" customWidth="1"/>
    <col min="2" max="2" width="30.453125" customWidth="1"/>
    <col min="3" max="3" width="17.1796875" style="3" customWidth="1"/>
    <col min="4" max="4" width="53.1796875" bestFit="1" customWidth="1"/>
    <col min="5" max="5" width="19.1796875" style="1" hidden="1" customWidth="1"/>
    <col min="6" max="7" width="20.453125" style="7" customWidth="1"/>
    <col min="8" max="8" width="46.453125" customWidth="1"/>
    <col min="9" max="14" width="18.453125" style="1" customWidth="1"/>
  </cols>
  <sheetData>
    <row r="1" spans="1:14" ht="20" customHeight="1" x14ac:dyDescent="0.35">
      <c r="F1" s="153"/>
      <c r="G1" s="153"/>
    </row>
    <row r="2" spans="1:14" ht="20" customHeight="1" x14ac:dyDescent="0.35">
      <c r="F2" s="153"/>
      <c r="G2" s="153"/>
    </row>
    <row r="3" spans="1:14" ht="20" customHeight="1" x14ac:dyDescent="0.35">
      <c r="F3" s="153"/>
      <c r="G3" s="153"/>
    </row>
    <row r="4" spans="1:14" ht="20" customHeight="1" x14ac:dyDescent="0.35">
      <c r="F4" s="153"/>
      <c r="G4" s="153"/>
    </row>
    <row r="5" spans="1:14" ht="20" customHeight="1" x14ac:dyDescent="0.35">
      <c r="F5" s="153"/>
      <c r="G5" s="153"/>
    </row>
    <row r="6" spans="1:14" ht="20" customHeight="1" x14ac:dyDescent="0.35">
      <c r="F6" s="153"/>
      <c r="G6" s="153"/>
    </row>
    <row r="7" spans="1:14" ht="20" customHeight="1" x14ac:dyDescent="0.35">
      <c r="F7" s="153"/>
      <c r="G7" s="153"/>
    </row>
    <row r="8" spans="1:14" ht="20" customHeight="1" thickBot="1" x14ac:dyDescent="0.4">
      <c r="F8" s="153"/>
      <c r="G8" s="153"/>
    </row>
    <row r="9" spans="1:14" ht="20" customHeight="1" thickBot="1" x14ac:dyDescent="0.45">
      <c r="A9" s="22"/>
      <c r="B9" s="113"/>
      <c r="C9" s="112"/>
      <c r="D9" s="113"/>
      <c r="E9" s="22"/>
      <c r="F9" s="154"/>
      <c r="G9" s="154"/>
      <c r="H9" s="113"/>
      <c r="I9" s="236" t="s">
        <v>1194</v>
      </c>
      <c r="J9" s="237"/>
      <c r="K9" s="237"/>
      <c r="L9" s="237"/>
      <c r="M9" s="237"/>
      <c r="N9" s="238"/>
    </row>
    <row r="10" spans="1:14" ht="18" thickBot="1" x14ac:dyDescent="0.4">
      <c r="A10" s="251" t="s">
        <v>1185</v>
      </c>
      <c r="B10" s="290" t="s">
        <v>1103</v>
      </c>
      <c r="C10" s="292" t="s">
        <v>1083</v>
      </c>
      <c r="D10" s="293"/>
      <c r="E10" s="294"/>
      <c r="F10" s="261" t="s">
        <v>1201</v>
      </c>
      <c r="G10" s="262"/>
      <c r="H10" s="289"/>
      <c r="I10" s="227" t="s">
        <v>1193</v>
      </c>
      <c r="J10" s="228"/>
      <c r="K10" s="229"/>
      <c r="L10" s="213" t="s">
        <v>1153</v>
      </c>
      <c r="M10" s="214"/>
      <c r="N10" s="215"/>
    </row>
    <row r="11" spans="1:14" ht="20" customHeight="1" thickBot="1" x14ac:dyDescent="0.4">
      <c r="A11" s="253"/>
      <c r="B11" s="291"/>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5">
      <c r="A20" s="79" t="s">
        <v>1450</v>
      </c>
      <c r="B20" s="133" t="s">
        <v>1451</v>
      </c>
      <c r="C20" s="137" t="s">
        <v>189</v>
      </c>
      <c r="D20" s="81" t="str">
        <f>IFERROR(IF(C20="No CAS","",INDEX('DEQ Pollutant List'!$C$7:$C$611,MATCH('5. Pollutant Emissions - MB'!C20,'DEQ Pollutant List'!$B$7:$B$611,0))),"")</f>
        <v>Chlorine</v>
      </c>
      <c r="E20" s="115">
        <f>IFERROR(IF(OR($C20="",$C20="No CAS"),INDEX('DEQ Pollutant List'!$A$7:$A$611,MATCH($D20,'DEQ Pollutant List'!$C$7:$C$611,0)),INDEX('DEQ Pollutant List'!$A$7:$A$611,MATCH($C20,'DEQ Pollutant List'!$B$7:$B$611,0))),"")</f>
        <v>101</v>
      </c>
      <c r="F20" s="138">
        <v>0.8</v>
      </c>
      <c r="G20" s="139">
        <f>0.125*(0.55)</f>
        <v>6.8750000000000006E-2</v>
      </c>
      <c r="H20" s="104" t="s">
        <v>1483</v>
      </c>
      <c r="I20" s="102">
        <f>$G20*'4. Material Balance Activities'!G17*(1-$F20)</f>
        <v>7.8271874999999991</v>
      </c>
      <c r="J20" s="105">
        <f>$G20*'4. Material Balance Activities'!H17*(1-$F20)</f>
        <v>15.654374999999998</v>
      </c>
      <c r="K20" s="83">
        <f>$G20*'4. Material Balance Activities'!I17*(1-$F20)</f>
        <v>15.654374999999998</v>
      </c>
      <c r="L20" s="102">
        <f>I20/365</f>
        <v>2.144434931506849E-2</v>
      </c>
      <c r="M20" s="105">
        <f t="shared" ref="M20:N20" si="0">J20/365</f>
        <v>4.288869863013698E-2</v>
      </c>
      <c r="N20" s="83">
        <f t="shared" si="0"/>
        <v>4.288869863013698E-2</v>
      </c>
    </row>
    <row r="21" spans="1:14" x14ac:dyDescent="0.3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42" t="s">
        <v>1138</v>
      </c>
      <c r="B501" s="243"/>
      <c r="C501" s="243"/>
      <c r="D501" s="243"/>
      <c r="E501" s="243"/>
      <c r="F501" s="243"/>
      <c r="G501" s="243"/>
      <c r="H501" s="243"/>
      <c r="I501" s="243"/>
      <c r="J501" s="243"/>
      <c r="K501" s="243"/>
      <c r="L501" s="243"/>
      <c r="M501" s="243"/>
      <c r="N501" s="243"/>
    </row>
    <row r="502" spans="1:14" x14ac:dyDescent="0.35">
      <c r="A502" s="245"/>
      <c r="B502" s="246"/>
      <c r="C502" s="246"/>
      <c r="D502" s="246"/>
      <c r="E502" s="246"/>
      <c r="F502" s="246"/>
      <c r="G502" s="246"/>
      <c r="H502" s="246"/>
      <c r="I502" s="246"/>
      <c r="J502" s="246"/>
      <c r="K502" s="246"/>
      <c r="L502" s="246"/>
      <c r="M502" s="246"/>
      <c r="N502" s="246"/>
    </row>
    <row r="503" spans="1:14" ht="15" thickBot="1" x14ac:dyDescent="0.4">
      <c r="A503" s="248"/>
      <c r="B503" s="249"/>
      <c r="C503" s="249"/>
      <c r="D503" s="249"/>
      <c r="E503" s="249"/>
      <c r="F503" s="249"/>
      <c r="G503" s="249"/>
      <c r="H503" s="249"/>
      <c r="I503" s="249"/>
      <c r="J503" s="249"/>
      <c r="K503" s="249"/>
      <c r="L503" s="249"/>
      <c r="M503" s="249"/>
      <c r="N503" s="249"/>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326" workbookViewId="0">
      <selection activeCell="C347" sqref="C347"/>
    </sheetView>
  </sheetViews>
  <sheetFormatPr defaultColWidth="8.63281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63281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81640625"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89cdaa30-7b22-4a6a-9ff8-e919efaf11cd"/>
    <ds:schemaRef ds:uri="http://schemas.microsoft.com/sharepoint/v3"/>
    <ds:schemaRef ds:uri="http://purl.org/dc/elements/1.1/"/>
    <ds:schemaRef ds:uri="4d0624c3-f678-473a-aaed-aa14d03be472"/>
    <ds:schemaRef ds:uri="http://schemas.microsoft.com/office/2006/metadata/properties"/>
    <ds:schemaRef ds:uri="http://purl.org/dc/dcmitype/"/>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F09E5956-1BB6-4B2F-96EE-59C3E4414047}"/>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EAGLESON Katie * DEQ</cp:lastModifiedBy>
  <cp:lastPrinted>2018-12-14T23:57:06Z</cp:lastPrinted>
  <dcterms:created xsi:type="dcterms:W3CDTF">2018-11-29T22:27:46Z</dcterms:created>
  <dcterms:modified xsi:type="dcterms:W3CDTF">2026-02-13T21:19:47Z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